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drawings/drawing7.xml" ContentType="application/vnd.openxmlformats-officedocument.drawing+xml"/>
  <Override PartName="/xl/embeddings/oleObject7.bin" ContentType="application/vnd.openxmlformats-officedocument.oleObject"/>
  <Override PartName="/xl/drawings/drawing8.xml" ContentType="application/vnd.openxmlformats-officedocument.drawing+xml"/>
  <Override PartName="/xl/embeddings/oleObject8.bin" ContentType="application/vnd.openxmlformats-officedocument.oleObject"/>
  <Override PartName="/xl/drawings/drawing9.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10.xml" ContentType="application/vnd.openxmlformats-officedocument.drawing+xml"/>
  <Override PartName="/xl/ctrlProps/ctrlProp113.xml" ContentType="application/vnd.ms-excel.controlproperties+xml"/>
  <Override PartName="/xl/ctrlProps/ctrlProp114.xml" ContentType="application/vnd.ms-excel.controlproperties+xml"/>
  <Override PartName="/xl/drawings/drawing11.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drawings/drawing12.xml" ContentType="application/vnd.openxmlformats-officedocument.drawing+xml"/>
  <Override PartName="/xl/embeddings/oleObject14.bin" ContentType="application/vnd.openxmlformats-officedocument.oleObject"/>
  <Override PartName="/xl/drawings/drawing13.xml" ContentType="application/vnd.openxmlformats-officedocument.drawing+xml"/>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drawings/drawing14.xml" ContentType="application/vnd.openxmlformats-officedocument.drawing+xml"/>
  <Override PartName="/xl/embeddings/oleObject18.bin" ContentType="application/vnd.openxmlformats-officedocument.oleObject"/>
  <Override PartName="/xl/embeddings/oleObject19.bin" ContentType="application/vnd.openxmlformats-officedocument.oleObject"/>
  <Override PartName="/xl/drawings/drawing15.xml" ContentType="application/vnd.openxmlformats-officedocument.drawing+xml"/>
  <Override PartName="/xl/embeddings/oleObject20.bin" ContentType="application/vnd.openxmlformats-officedocument.oleObject"/>
  <Override PartName="/xl/drawings/drawing16.xml" ContentType="application/vnd.openxmlformats-officedocument.drawing+xml"/>
  <Override PartName="/xl/embeddings/oleObject2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A39" lockStructure="1"/>
  <bookViews>
    <workbookView xWindow="-15" yWindow="-15" windowWidth="28830" windowHeight="12840" tabRatio="860" firstSheet="1" activeTab="1"/>
  </bookViews>
  <sheets>
    <sheet name="Uitvoer" sheetId="84" state="hidden" r:id="rId1"/>
    <sheet name="Voorblad" sheetId="109" r:id="rId2"/>
    <sheet name="Inhoud" sheetId="65" r:id="rId3"/>
    <sheet name="instructie" sheetId="48" r:id="rId4"/>
    <sheet name="Opbrengsten" sheetId="59" r:id="rId5"/>
    <sheet name="Afschrijvingen" sheetId="101" r:id="rId6"/>
    <sheet name="investeringen" sheetId="110" r:id="rId7"/>
    <sheet name="Mutaties" sheetId="108" r:id="rId8"/>
    <sheet name="Bijlage 1 vragen" sheetId="88" r:id="rId9"/>
    <sheet name="Bijlage 2 Rentecalc." sheetId="112" r:id="rId10"/>
    <sheet name="toelichting" sheetId="111" r:id="rId11"/>
    <sheet name="Rentecalc." sheetId="63" r:id="rId12"/>
    <sheet name="A-G" sheetId="40" r:id="rId13"/>
    <sheet name="H" sheetId="45" r:id="rId14"/>
    <sheet name="I-J" sheetId="35" r:id="rId15"/>
    <sheet name="overig" sheetId="113" r:id="rId16"/>
    <sheet name="versiebeheer" sheetId="114" r:id="rId17"/>
  </sheets>
  <definedNames>
    <definedName name="_xlnm._FilterDatabase" localSheetId="16" hidden="1">versiebeheer!$A$24:$R$63</definedName>
    <definedName name="_xlnm.Print_Area" localSheetId="5">Afschrijvingen!$A$1:$I$23</definedName>
    <definedName name="_xlnm.Print_Area" localSheetId="12">'A-G'!$A$1:$G$125</definedName>
    <definedName name="_xlnm.Print_Area" localSheetId="8">'Bijlage 1 vragen'!$A$1:$G$80</definedName>
    <definedName name="_xlnm.Print_Area" localSheetId="9">'Bijlage 2 Rentecalc.'!$A$1:$M$28</definedName>
    <definedName name="_xlnm.Print_Area" localSheetId="13">H!$A$1:$T$80</definedName>
    <definedName name="_xlnm.Print_Area" localSheetId="14">'I-J'!$A$1:$E$35</definedName>
    <definedName name="_xlnm.Print_Area" localSheetId="2">Inhoud!$A$1:$I$28</definedName>
    <definedName name="_xlnm.Print_Area" localSheetId="3">instructie!$A$1:$E$19</definedName>
    <definedName name="_xlnm.Print_Area" localSheetId="6">investeringen!$A$1:$N$41</definedName>
    <definedName name="_xlnm.Print_Area" localSheetId="7">Mutaties!$A$1:$E$29</definedName>
    <definedName name="_xlnm.Print_Area" localSheetId="4">Opbrengsten!$A$1:$J$44</definedName>
    <definedName name="_xlnm.Print_Area" localSheetId="11">Rentecalc.!$A$1:$G$31</definedName>
    <definedName name="_xlnm.Print_Area" localSheetId="10">toelichting!$A$1:$E$47</definedName>
    <definedName name="_xlnm.Print_Area" localSheetId="16">versiebeheer!$A$1:$E$21</definedName>
    <definedName name="_xlnm.Print_Area" localSheetId="1">Voorblad!$A$27:$N$45</definedName>
    <definedName name="_xlnm.Print_Titles" localSheetId="11">Rentecalc.!$2:$2</definedName>
    <definedName name="_xlnm.Print_Titles" localSheetId="1">Voorblad!$1:$13</definedName>
    <definedName name="getal_data" localSheetId="16">#REF!</definedName>
    <definedName name="getal_data">#REF!</definedName>
    <definedName name="kolom_data" localSheetId="16">#REF!</definedName>
    <definedName name="kolom_data">#REF!</definedName>
    <definedName name="tabblad" localSheetId="16">#REF!</definedName>
    <definedName name="tabblad">#REF!</definedName>
    <definedName name="Z_52EB1485_ECFC_4D16_B893_125E4D85986E_.wvu.PrintArea" localSheetId="6" hidden="1">investeringen!$1:$1048576</definedName>
    <definedName name="Z_52EB1485_ECFC_4D16_B893_125E4D85986E_.wvu.PrintArea" localSheetId="1" hidden="1">Voorblad!$A$27:$N$50</definedName>
    <definedName name="Z_52EB1485_ECFC_4D16_B893_125E4D85986E_.wvu.PrintTitles" localSheetId="1" hidden="1">Voorblad!$1:$12</definedName>
    <definedName name="Z_60683067_AF12_11D4_9642_08005ACCD915_.wvu.PrintArea" localSheetId="12" hidden="1">'A-G'!$1:$1048576</definedName>
    <definedName name="Z_60683067_AF12_11D4_9642_08005ACCD915_.wvu.PrintArea" localSheetId="13" hidden="1">H!$1:$1048576</definedName>
    <definedName name="Z_60683067_AF12_11D4_9642_08005ACCD915_.wvu.PrintArea" localSheetId="14" hidden="1">'I-J'!$1:$1048576</definedName>
    <definedName name="Z_60683067_AF12_11D4_9642_08005ACCD915_.wvu.PrintArea" localSheetId="6" hidden="1">investeringen!$1:$1048576</definedName>
    <definedName name="Z_60683067_AF12_11D4_9642_08005ACCD915_.wvu.PrintArea" localSheetId="4" hidden="1">Opbrengsten!$1:$1048576</definedName>
    <definedName name="Z_60683067_AF12_11D4_9642_08005ACCD915_.wvu.PrintTitles" localSheetId="11" hidden="1">Rentecalc.!$2:$2</definedName>
    <definedName name="Z_60683068_AF12_11D4_9642_08005ACCD915_.wvu.PrintTitles" localSheetId="12" hidden="1">'A-G'!#REF!</definedName>
    <definedName name="Z_60683068_AF12_11D4_9642_08005ACCD915_.wvu.PrintTitles" localSheetId="13" hidden="1">H!#REF!</definedName>
    <definedName name="Z_60683068_AF12_11D4_9642_08005ACCD915_.wvu.PrintTitles" localSheetId="14" hidden="1">'I-J'!#REF!</definedName>
    <definedName name="Z_60683068_AF12_11D4_9642_08005ACCD915_.wvu.PrintTitles" localSheetId="2" hidden="1">Inhoud!$2:$2</definedName>
    <definedName name="Z_60683068_AF12_11D4_9642_08005ACCD915_.wvu.PrintTitles" localSheetId="3" hidden="1">instructie!$2:$2</definedName>
    <definedName name="Z_60683068_AF12_11D4_9642_08005ACCD915_.wvu.PrintTitles" localSheetId="6" hidden="1">investeringen!#REF!</definedName>
    <definedName name="Z_60683068_AF12_11D4_9642_08005ACCD915_.wvu.PrintTitles" localSheetId="4" hidden="1">Opbrengsten!#REF!</definedName>
    <definedName name="Z_60683068_AF12_11D4_9642_08005ACCD915_.wvu.PrintTitles" localSheetId="11" hidden="1">Rentecalc.!$2:$2</definedName>
    <definedName name="Z_60683068_AF12_11D4_9642_08005ACCD915_.wvu.PrintTitles" localSheetId="10" hidden="1">toelichting!$2:$2</definedName>
    <definedName name="Z_60683068_AF12_11D4_9642_08005ACCD915_.wvu.PrintTitles" localSheetId="16" hidden="1">versiebeheer!$2:$2</definedName>
    <definedName name="Z_60683068_AF12_11D4_9642_08005ACCD915_.wvu.Rows" localSheetId="2" hidden="1">Inhoud!#REF!,Inhoud!#REF!,Inhoud!#REF!</definedName>
    <definedName name="Z_60683068_AF12_11D4_9642_08005ACCD915_.wvu.Rows" localSheetId="3" hidden="1">instructie!#REF!,instructie!#REF!,instructie!#REF!</definedName>
    <definedName name="Z_60683068_AF12_11D4_9642_08005ACCD915_.wvu.Rows" localSheetId="11" hidden="1">Rentecalc.!#REF!,Rentecalc.!#REF!,Rentecalc.!#REF!,Rentecalc.!#REF!</definedName>
    <definedName name="Z_60683068_AF12_11D4_9642_08005ACCD915_.wvu.Rows" localSheetId="10" hidden="1">toelichting!#REF!,toelichting!#REF!,toelichting!#REF!</definedName>
    <definedName name="Z_60683068_AF12_11D4_9642_08005ACCD915_.wvu.Rows" localSheetId="16" hidden="1">versiebeheer!#REF!,versiebeheer!#REF!,versiebeheer!#REF!</definedName>
    <definedName name="Z_60683068_AF12_11D4_9642_08005ACCD915_.wvu.Rows" localSheetId="1" hidden="1">Voorblad!#REF!,Voorblad!#REF!,Voorblad!$32:$32,Voorblad!#REF!</definedName>
  </definedNames>
  <calcPr calcId="145621"/>
  <customWorkbookViews>
    <customWorkbookView name="Weergave Klein" guid="{60683067-AF12-11D4-9642-08005ACCD915}" maximized="1" windowWidth="794" windowHeight="384" activeSheetId="5"/>
    <customWorkbookView name="weergave Groot" guid="{60683068-AF12-11D4-9642-08005ACCD915}" maximized="1" windowWidth="794" windowHeight="384" activeSheetId="5"/>
  </customWorkbookViews>
</workbook>
</file>

<file path=xl/calcChain.xml><?xml version="1.0" encoding="utf-8"?>
<calcChain xmlns="http://schemas.openxmlformats.org/spreadsheetml/2006/main">
  <c r="A2" i="35" l="1"/>
  <c r="A2" i="45"/>
  <c r="A2" i="40"/>
  <c r="A2" i="63"/>
  <c r="A2" i="111"/>
  <c r="A2" i="88"/>
  <c r="A2" i="108"/>
  <c r="A2" i="110"/>
  <c r="A2" i="101"/>
  <c r="A2" i="59"/>
  <c r="A2" i="48"/>
  <c r="A2" i="65"/>
  <c r="A40" i="109"/>
  <c r="C17" i="108" l="1"/>
  <c r="B11" i="59"/>
  <c r="A41" i="109"/>
  <c r="A5" i="35"/>
  <c r="A6" i="45"/>
  <c r="A7" i="40"/>
  <c r="A7" i="63"/>
  <c r="A8" i="108"/>
  <c r="A3" i="110"/>
  <c r="A11" i="101"/>
  <c r="A5" i="59"/>
  <c r="C9" i="108"/>
  <c r="E9" i="108" s="1"/>
  <c r="E10" i="108"/>
  <c r="B50" i="45"/>
  <c r="D50" i="45"/>
  <c r="F50" i="45"/>
  <c r="H50" i="45"/>
  <c r="I50" i="45"/>
  <c r="K50" i="45"/>
  <c r="Q50" i="45"/>
  <c r="B51" i="45"/>
  <c r="D51" i="45"/>
  <c r="F51" i="45"/>
  <c r="H51" i="45"/>
  <c r="I51" i="45"/>
  <c r="K51" i="45"/>
  <c r="Q51" i="45"/>
  <c r="AA51" i="45" s="1"/>
  <c r="B52" i="45"/>
  <c r="D52" i="45"/>
  <c r="F52" i="45"/>
  <c r="H52" i="45"/>
  <c r="I52" i="45"/>
  <c r="K52" i="45"/>
  <c r="Q52" i="45"/>
  <c r="AA52" i="45" s="1"/>
  <c r="B53" i="45"/>
  <c r="D53" i="45"/>
  <c r="F53" i="45"/>
  <c r="H53" i="45"/>
  <c r="I53" i="45"/>
  <c r="K53" i="45"/>
  <c r="Q53" i="45"/>
  <c r="B54" i="45"/>
  <c r="D54" i="45"/>
  <c r="F54" i="45"/>
  <c r="H54" i="45"/>
  <c r="I54" i="45"/>
  <c r="K54" i="45"/>
  <c r="Q54" i="45"/>
  <c r="B55" i="45"/>
  <c r="D55" i="45"/>
  <c r="F55" i="45"/>
  <c r="H55" i="45"/>
  <c r="I55" i="45"/>
  <c r="K55" i="45"/>
  <c r="Q55" i="45"/>
  <c r="B56" i="45"/>
  <c r="D56" i="45"/>
  <c r="F56" i="45"/>
  <c r="H56" i="45"/>
  <c r="I56" i="45"/>
  <c r="K56" i="45"/>
  <c r="Q56" i="45"/>
  <c r="B57" i="45"/>
  <c r="D57" i="45"/>
  <c r="F57" i="45"/>
  <c r="H57" i="45"/>
  <c r="I57" i="45"/>
  <c r="K57" i="45"/>
  <c r="Q57" i="45"/>
  <c r="B58" i="45"/>
  <c r="D58" i="45"/>
  <c r="F58" i="45"/>
  <c r="H58" i="45"/>
  <c r="I58" i="45"/>
  <c r="K58" i="45"/>
  <c r="Q58" i="45"/>
  <c r="B59" i="45"/>
  <c r="D59" i="45"/>
  <c r="F59" i="45"/>
  <c r="H59" i="45"/>
  <c r="I59" i="45"/>
  <c r="K59" i="45"/>
  <c r="Q59" i="45"/>
  <c r="B60" i="45"/>
  <c r="D60" i="45"/>
  <c r="F60" i="45"/>
  <c r="H60" i="45"/>
  <c r="I60" i="45"/>
  <c r="K60" i="45"/>
  <c r="Q60" i="45"/>
  <c r="B61" i="45"/>
  <c r="D61" i="45"/>
  <c r="F61" i="45"/>
  <c r="H61" i="45"/>
  <c r="I61" i="45"/>
  <c r="K61" i="45"/>
  <c r="Q61" i="45"/>
  <c r="AA61" i="45" s="1"/>
  <c r="B62" i="45"/>
  <c r="D62" i="45"/>
  <c r="F62" i="45"/>
  <c r="H62" i="45"/>
  <c r="I62" i="45"/>
  <c r="K62" i="45"/>
  <c r="Q62" i="45"/>
  <c r="AA62" i="45" s="1"/>
  <c r="B63" i="45"/>
  <c r="D63" i="45"/>
  <c r="F63" i="45"/>
  <c r="H63" i="45"/>
  <c r="I63" i="45"/>
  <c r="K63" i="45"/>
  <c r="Q63" i="45"/>
  <c r="B64" i="45"/>
  <c r="D64" i="45"/>
  <c r="F64" i="45"/>
  <c r="H64" i="45"/>
  <c r="I64" i="45"/>
  <c r="K64" i="45"/>
  <c r="Q64" i="45"/>
  <c r="AA64" i="45" s="1"/>
  <c r="B65" i="45"/>
  <c r="D65" i="45"/>
  <c r="F65" i="45"/>
  <c r="H65" i="45"/>
  <c r="I65" i="45"/>
  <c r="K65" i="45"/>
  <c r="Q65" i="45"/>
  <c r="AA65" i="45" s="1"/>
  <c r="B66" i="45"/>
  <c r="D66" i="45"/>
  <c r="F66" i="45"/>
  <c r="H66" i="45"/>
  <c r="I66" i="45"/>
  <c r="K66" i="45"/>
  <c r="Q66" i="45"/>
  <c r="B67" i="45"/>
  <c r="D67" i="45"/>
  <c r="F67" i="45"/>
  <c r="H67" i="45"/>
  <c r="I67" i="45"/>
  <c r="K67" i="45"/>
  <c r="Q67" i="45"/>
  <c r="AA67" i="45" s="1"/>
  <c r="B68" i="45"/>
  <c r="D68" i="45"/>
  <c r="F68" i="45"/>
  <c r="H68" i="45"/>
  <c r="I68" i="45"/>
  <c r="K68" i="45"/>
  <c r="Q68" i="45"/>
  <c r="B69" i="45"/>
  <c r="D69" i="45"/>
  <c r="F69" i="45"/>
  <c r="H69" i="45"/>
  <c r="I69" i="45"/>
  <c r="K69" i="45"/>
  <c r="Q69" i="45"/>
  <c r="AA69" i="45" s="1"/>
  <c r="B70" i="45"/>
  <c r="D70" i="45"/>
  <c r="F70" i="45"/>
  <c r="H70" i="45"/>
  <c r="I70" i="45"/>
  <c r="K70" i="45"/>
  <c r="Q70" i="45"/>
  <c r="AA70" i="45" s="1"/>
  <c r="B71" i="45"/>
  <c r="D71" i="45"/>
  <c r="F71" i="45"/>
  <c r="H71" i="45"/>
  <c r="I71" i="45"/>
  <c r="K71" i="45"/>
  <c r="Q71" i="45"/>
  <c r="AA71" i="45" s="1"/>
  <c r="B72" i="45"/>
  <c r="D72" i="45"/>
  <c r="F72" i="45"/>
  <c r="H72" i="45"/>
  <c r="I72" i="45"/>
  <c r="K72" i="45"/>
  <c r="Q72" i="45"/>
  <c r="B73" i="45"/>
  <c r="D73" i="45"/>
  <c r="F73" i="45"/>
  <c r="H73" i="45"/>
  <c r="I73" i="45"/>
  <c r="K73" i="45"/>
  <c r="Q73" i="45"/>
  <c r="B74" i="45"/>
  <c r="D74" i="45"/>
  <c r="F74" i="45"/>
  <c r="H74" i="45"/>
  <c r="I74" i="45"/>
  <c r="K74" i="45"/>
  <c r="Q74" i="45"/>
  <c r="B75" i="45"/>
  <c r="D75" i="45"/>
  <c r="F75" i="45"/>
  <c r="H75" i="45"/>
  <c r="I75" i="45"/>
  <c r="K75" i="45"/>
  <c r="Q75" i="45"/>
  <c r="B76" i="45"/>
  <c r="D76" i="45"/>
  <c r="F76" i="45"/>
  <c r="H76" i="45"/>
  <c r="I76" i="45"/>
  <c r="K76" i="45"/>
  <c r="Q76" i="45"/>
  <c r="B77" i="45"/>
  <c r="D77" i="45"/>
  <c r="F77" i="45"/>
  <c r="H77" i="45"/>
  <c r="I77" i="45"/>
  <c r="K77" i="45"/>
  <c r="Q77" i="45"/>
  <c r="B78" i="45"/>
  <c r="D78" i="45"/>
  <c r="F78" i="45"/>
  <c r="H78" i="45"/>
  <c r="I78" i="45"/>
  <c r="K78" i="45"/>
  <c r="Q78" i="45"/>
  <c r="B79" i="45"/>
  <c r="D79" i="45"/>
  <c r="F79" i="45"/>
  <c r="H79" i="45"/>
  <c r="I79" i="45"/>
  <c r="K79" i="45"/>
  <c r="Q79" i="45"/>
  <c r="J41" i="59"/>
  <c r="G42" i="59" s="1"/>
  <c r="E28" i="110"/>
  <c r="D27" i="110"/>
  <c r="B37" i="110"/>
  <c r="B36" i="110"/>
  <c r="B35" i="110"/>
  <c r="H9" i="59"/>
  <c r="B42" i="59"/>
  <c r="A35" i="59"/>
  <c r="B13" i="59"/>
  <c r="B10" i="59"/>
  <c r="B9" i="59"/>
  <c r="A2" i="114"/>
  <c r="F102" i="40"/>
  <c r="F101" i="40"/>
  <c r="F104" i="40" s="1"/>
  <c r="G109" i="40" s="1"/>
  <c r="E104" i="40"/>
  <c r="D104" i="40"/>
  <c r="E42" i="59"/>
  <c r="E33" i="59"/>
  <c r="E44" i="59" s="1"/>
  <c r="E26" i="59"/>
  <c r="E20" i="59"/>
  <c r="E14" i="59"/>
  <c r="A17" i="59"/>
  <c r="A18" i="59"/>
  <c r="A19" i="59" s="1"/>
  <c r="N38" i="110"/>
  <c r="N40" i="110"/>
  <c r="E11" i="108" s="1"/>
  <c r="E7" i="35"/>
  <c r="E8" i="35"/>
  <c r="E9" i="35"/>
  <c r="E10" i="35"/>
  <c r="E11" i="35"/>
  <c r="E12" i="35"/>
  <c r="E18" i="35" s="1"/>
  <c r="E13" i="35"/>
  <c r="E14" i="35"/>
  <c r="E15" i="35"/>
  <c r="E16" i="35"/>
  <c r="E17" i="35"/>
  <c r="E19" i="35"/>
  <c r="E20" i="35"/>
  <c r="E21" i="35"/>
  <c r="E28" i="63" s="1"/>
  <c r="F103" i="40"/>
  <c r="E9" i="40"/>
  <c r="G9" i="40"/>
  <c r="E11" i="40"/>
  <c r="G11" i="40"/>
  <c r="E12" i="40"/>
  <c r="G12" i="40"/>
  <c r="E13" i="40"/>
  <c r="G13" i="40"/>
  <c r="E14" i="40"/>
  <c r="G14" i="40"/>
  <c r="E15" i="40"/>
  <c r="G15" i="40"/>
  <c r="E16" i="40"/>
  <c r="G16" i="40"/>
  <c r="E17" i="40"/>
  <c r="G17" i="40"/>
  <c r="E18" i="40"/>
  <c r="G18" i="40"/>
  <c r="E19" i="40"/>
  <c r="G19" i="40"/>
  <c r="E20" i="40"/>
  <c r="G20" i="40"/>
  <c r="E21" i="40"/>
  <c r="G21" i="40"/>
  <c r="E22" i="40"/>
  <c r="G22" i="40"/>
  <c r="G32" i="40"/>
  <c r="E33" i="40"/>
  <c r="G33" i="40" s="1"/>
  <c r="E34" i="40"/>
  <c r="G34" i="40" s="1"/>
  <c r="E35" i="40"/>
  <c r="G35" i="40" s="1"/>
  <c r="E36" i="40"/>
  <c r="G36" i="40" s="1"/>
  <c r="E37" i="40"/>
  <c r="G37" i="40" s="1"/>
  <c r="E38" i="40"/>
  <c r="G38" i="40" s="1"/>
  <c r="E39" i="40"/>
  <c r="G39" i="40" s="1"/>
  <c r="E40" i="40"/>
  <c r="G40" i="40" s="1"/>
  <c r="E41" i="40"/>
  <c r="G41" i="40" s="1"/>
  <c r="E42" i="40"/>
  <c r="G42" i="40" s="1"/>
  <c r="E43" i="40"/>
  <c r="G43" i="40" s="1"/>
  <c r="E44" i="40"/>
  <c r="G44" i="40" s="1"/>
  <c r="E54" i="40"/>
  <c r="G54" i="40" s="1"/>
  <c r="E56" i="40"/>
  <c r="G56" i="40" s="1"/>
  <c r="E57" i="40"/>
  <c r="G57" i="40" s="1"/>
  <c r="F57" i="40"/>
  <c r="E58" i="40"/>
  <c r="F58" i="40"/>
  <c r="E59" i="40"/>
  <c r="F59" i="40"/>
  <c r="G59" i="40" s="1"/>
  <c r="E60" i="40"/>
  <c r="F60" i="40"/>
  <c r="G60" i="40"/>
  <c r="E61" i="40"/>
  <c r="G61" i="40"/>
  <c r="F61" i="40"/>
  <c r="E62" i="40"/>
  <c r="G62" i="40" s="1"/>
  <c r="F62" i="40"/>
  <c r="E63" i="40"/>
  <c r="F63" i="40"/>
  <c r="G63" i="40" s="1"/>
  <c r="E64" i="40"/>
  <c r="F64" i="40"/>
  <c r="G64" i="40"/>
  <c r="E65" i="40"/>
  <c r="G65" i="40"/>
  <c r="F65" i="40"/>
  <c r="E66" i="40"/>
  <c r="F66" i="40"/>
  <c r="E67" i="40"/>
  <c r="F67" i="40"/>
  <c r="G67" i="40"/>
  <c r="E68" i="40"/>
  <c r="G68" i="40" s="1"/>
  <c r="F68" i="40"/>
  <c r="E69" i="40"/>
  <c r="G69" i="40" s="1"/>
  <c r="G77" i="40"/>
  <c r="G78" i="40"/>
  <c r="G79" i="40"/>
  <c r="G80" i="40"/>
  <c r="G81" i="40"/>
  <c r="G82" i="40"/>
  <c r="G83" i="40"/>
  <c r="G84" i="40"/>
  <c r="G85" i="40"/>
  <c r="G86" i="40"/>
  <c r="G87" i="40"/>
  <c r="A78" i="88"/>
  <c r="E2" i="48"/>
  <c r="J2" i="59" s="1"/>
  <c r="B23" i="108" s="1"/>
  <c r="H2" i="110"/>
  <c r="G2" i="59"/>
  <c r="D21" i="35"/>
  <c r="C21" i="35"/>
  <c r="D18" i="35"/>
  <c r="C18" i="35"/>
  <c r="B46" i="111"/>
  <c r="A46" i="111"/>
  <c r="A40" i="111"/>
  <c r="A37" i="111"/>
  <c r="A36" i="111"/>
  <c r="A18" i="88"/>
  <c r="A25" i="65"/>
  <c r="F20" i="110"/>
  <c r="N21" i="110"/>
  <c r="N20" i="110"/>
  <c r="E20" i="110"/>
  <c r="M21" i="110" s="1"/>
  <c r="M20" i="110"/>
  <c r="K21" i="110"/>
  <c r="K26" i="110"/>
  <c r="J30" i="110"/>
  <c r="N30" i="110"/>
  <c r="J31" i="110"/>
  <c r="H27" i="110"/>
  <c r="F28" i="110"/>
  <c r="G28" i="110"/>
  <c r="C71" i="40"/>
  <c r="D86" i="40"/>
  <c r="D85" i="40" s="1"/>
  <c r="D84" i="40" s="1"/>
  <c r="D83" i="40" s="1"/>
  <c r="D82" i="40" s="1"/>
  <c r="D81" i="40" s="1"/>
  <c r="D80" i="40" s="1"/>
  <c r="D79" i="40" s="1"/>
  <c r="D78" i="40" s="1"/>
  <c r="D77" i="40" s="1"/>
  <c r="C2" i="35"/>
  <c r="E2" i="45"/>
  <c r="E2" i="40"/>
  <c r="D2" i="63"/>
  <c r="E33" i="111"/>
  <c r="E2" i="63"/>
  <c r="A9" i="111"/>
  <c r="B9" i="111"/>
  <c r="A11" i="111"/>
  <c r="B11" i="111"/>
  <c r="A13" i="111"/>
  <c r="B13" i="111"/>
  <c r="B15" i="111"/>
  <c r="A16" i="111"/>
  <c r="A33" i="111"/>
  <c r="A35" i="111"/>
  <c r="B35" i="111"/>
  <c r="A43" i="111"/>
  <c r="B43" i="111"/>
  <c r="A7" i="111"/>
  <c r="E17" i="108"/>
  <c r="E12" i="108"/>
  <c r="D19" i="101"/>
  <c r="D21" i="101" s="1"/>
  <c r="D23" i="101" s="1"/>
  <c r="J24" i="59"/>
  <c r="J11" i="59"/>
  <c r="B15" i="108"/>
  <c r="N28" i="110"/>
  <c r="M28" i="110"/>
  <c r="J28" i="110"/>
  <c r="N13" i="110"/>
  <c r="F13" i="110"/>
  <c r="G12" i="101"/>
  <c r="A4" i="59"/>
  <c r="C11" i="65"/>
  <c r="B11" i="65"/>
  <c r="C10" i="65"/>
  <c r="B10" i="65"/>
  <c r="C9" i="65"/>
  <c r="B9" i="65"/>
  <c r="C8" i="65"/>
  <c r="B8" i="65"/>
  <c r="C17" i="65"/>
  <c r="B17" i="65"/>
  <c r="C16" i="65"/>
  <c r="B16" i="65"/>
  <c r="C15" i="65"/>
  <c r="B15" i="65"/>
  <c r="B77" i="40"/>
  <c r="B78" i="40" s="1"/>
  <c r="B79" i="40" s="1"/>
  <c r="B80" i="40" s="1"/>
  <c r="B81" i="40" s="1"/>
  <c r="B82" i="40" s="1"/>
  <c r="B83" i="40" s="1"/>
  <c r="B84" i="40" s="1"/>
  <c r="B85" i="40" s="1"/>
  <c r="B86" i="40" s="1"/>
  <c r="B46" i="40"/>
  <c r="U8" i="45"/>
  <c r="V8" i="45"/>
  <c r="W8" i="45"/>
  <c r="X8" i="45"/>
  <c r="Y8" i="45"/>
  <c r="AA8" i="45" s="1"/>
  <c r="AB8" i="45" s="1"/>
  <c r="Q8" i="45" s="1"/>
  <c r="Z8" i="45"/>
  <c r="U9" i="45"/>
  <c r="V9" i="45"/>
  <c r="W9" i="45"/>
  <c r="X9" i="45"/>
  <c r="AA9" i="45" s="1"/>
  <c r="AB9" i="45" s="1"/>
  <c r="Q9" i="45" s="1"/>
  <c r="Y9" i="45"/>
  <c r="Z9" i="45"/>
  <c r="U10" i="45"/>
  <c r="V10" i="45"/>
  <c r="AA10" i="45" s="1"/>
  <c r="AB10" i="45" s="1"/>
  <c r="Q10" i="45" s="1"/>
  <c r="W10" i="45"/>
  <c r="X10" i="45"/>
  <c r="Y10" i="45"/>
  <c r="Z10" i="45"/>
  <c r="U11" i="45"/>
  <c r="V11" i="45"/>
  <c r="AA11" i="45" s="1"/>
  <c r="AB11" i="45" s="1"/>
  <c r="Q11" i="45" s="1"/>
  <c r="W11" i="45"/>
  <c r="X11" i="45"/>
  <c r="Y11" i="45"/>
  <c r="Z11" i="45"/>
  <c r="U12" i="45"/>
  <c r="AA12" i="45" s="1"/>
  <c r="AB12" i="45" s="1"/>
  <c r="Q12" i="45" s="1"/>
  <c r="V12" i="45"/>
  <c r="W12" i="45"/>
  <c r="X12" i="45"/>
  <c r="Y12" i="45"/>
  <c r="Z12" i="45"/>
  <c r="U13" i="45"/>
  <c r="AA13" i="45" s="1"/>
  <c r="AB13" i="45" s="1"/>
  <c r="Q13" i="45" s="1"/>
  <c r="V13" i="45"/>
  <c r="W13" i="45"/>
  <c r="X13" i="45"/>
  <c r="Y13" i="45"/>
  <c r="Z13" i="45"/>
  <c r="U14" i="45"/>
  <c r="AA14" i="45" s="1"/>
  <c r="AB14" i="45" s="1"/>
  <c r="Q14" i="45" s="1"/>
  <c r="V14" i="45"/>
  <c r="W14" i="45"/>
  <c r="X14" i="45"/>
  <c r="Y14" i="45"/>
  <c r="Z14" i="45"/>
  <c r="U15" i="45"/>
  <c r="AA15" i="45" s="1"/>
  <c r="AB15" i="45" s="1"/>
  <c r="Q15" i="45" s="1"/>
  <c r="V15" i="45"/>
  <c r="W15" i="45"/>
  <c r="X15" i="45"/>
  <c r="Y15" i="45"/>
  <c r="Z15" i="45"/>
  <c r="U16" i="45"/>
  <c r="V16" i="45"/>
  <c r="W16" i="45"/>
  <c r="X16" i="45"/>
  <c r="Y16" i="45"/>
  <c r="AA16" i="45" s="1"/>
  <c r="AB16" i="45" s="1"/>
  <c r="Q16" i="45" s="1"/>
  <c r="Z16" i="45"/>
  <c r="U17" i="45"/>
  <c r="V17" i="45"/>
  <c r="W17" i="45"/>
  <c r="X17" i="45"/>
  <c r="AA17" i="45" s="1"/>
  <c r="AB17" i="45" s="1"/>
  <c r="Q17" i="45" s="1"/>
  <c r="Y17" i="45"/>
  <c r="Z17" i="45"/>
  <c r="U18" i="45"/>
  <c r="V18" i="45"/>
  <c r="W18" i="45"/>
  <c r="X18" i="45"/>
  <c r="Y18" i="45"/>
  <c r="Z18" i="45"/>
  <c r="U19" i="45"/>
  <c r="V19" i="45"/>
  <c r="W19" i="45"/>
  <c r="X19" i="45"/>
  <c r="Y19" i="45"/>
  <c r="Z19" i="45"/>
  <c r="U20" i="45"/>
  <c r="V20" i="45"/>
  <c r="W20" i="45"/>
  <c r="X20" i="45"/>
  <c r="Y20" i="45"/>
  <c r="Z20" i="45"/>
  <c r="U21" i="45"/>
  <c r="V21" i="45"/>
  <c r="W21" i="45"/>
  <c r="X21" i="45"/>
  <c r="Y21" i="45"/>
  <c r="Z21" i="45"/>
  <c r="U22" i="45"/>
  <c r="V22" i="45"/>
  <c r="W22" i="45"/>
  <c r="X22" i="45"/>
  <c r="Y22" i="45"/>
  <c r="Z22" i="45"/>
  <c r="U23" i="45"/>
  <c r="V23" i="45"/>
  <c r="W23" i="45"/>
  <c r="X23" i="45"/>
  <c r="Y23" i="45"/>
  <c r="Z23" i="45"/>
  <c r="U24" i="45"/>
  <c r="V24" i="45"/>
  <c r="W24" i="45"/>
  <c r="X24" i="45"/>
  <c r="Y24" i="45"/>
  <c r="Z24" i="45"/>
  <c r="U25" i="45"/>
  <c r="V25" i="45"/>
  <c r="W25" i="45"/>
  <c r="X25" i="45"/>
  <c r="Y25" i="45"/>
  <c r="Z25" i="45"/>
  <c r="U26" i="45"/>
  <c r="V26" i="45"/>
  <c r="W26" i="45"/>
  <c r="X26" i="45"/>
  <c r="Y26" i="45"/>
  <c r="Z26" i="45"/>
  <c r="U27" i="45"/>
  <c r="V27" i="45"/>
  <c r="W27" i="45"/>
  <c r="X27" i="45"/>
  <c r="Y27" i="45"/>
  <c r="Z27" i="45"/>
  <c r="U28" i="45"/>
  <c r="V28" i="45"/>
  <c r="W28" i="45"/>
  <c r="X28" i="45"/>
  <c r="Y28" i="45"/>
  <c r="Z28" i="45"/>
  <c r="U29" i="45"/>
  <c r="V29" i="45"/>
  <c r="W29" i="45"/>
  <c r="X29" i="45"/>
  <c r="Y29" i="45"/>
  <c r="Z29" i="45"/>
  <c r="AB50" i="45"/>
  <c r="AB51" i="45"/>
  <c r="AB52" i="45"/>
  <c r="AA60" i="45"/>
  <c r="AB60" i="45"/>
  <c r="AB61" i="45"/>
  <c r="AB62" i="45"/>
  <c r="AA63" i="45"/>
  <c r="AB63" i="45"/>
  <c r="AB64" i="45"/>
  <c r="AB65" i="45"/>
  <c r="AA66" i="45"/>
  <c r="AB66" i="45"/>
  <c r="AB67" i="45"/>
  <c r="AA68" i="45"/>
  <c r="AB68" i="45"/>
  <c r="AB69" i="45"/>
  <c r="AB70" i="45"/>
  <c r="AB71" i="45"/>
  <c r="Q30" i="45"/>
  <c r="Q31" i="45"/>
  <c r="Q32" i="45"/>
  <c r="C2" i="108"/>
  <c r="C2" i="88"/>
  <c r="B109" i="40"/>
  <c r="F100" i="40"/>
  <c r="E100" i="40"/>
  <c r="D100" i="40"/>
  <c r="C100" i="40"/>
  <c r="B70" i="40"/>
  <c r="B69" i="40"/>
  <c r="B56" i="40"/>
  <c r="B55" i="40"/>
  <c r="B54" i="40"/>
  <c r="E48" i="40"/>
  <c r="B32" i="40"/>
  <c r="B10" i="40"/>
  <c r="B9" i="40"/>
  <c r="E4" i="35"/>
  <c r="D4" i="35"/>
  <c r="C4" i="35"/>
  <c r="B52" i="88"/>
  <c r="B49" i="88"/>
  <c r="B46" i="88"/>
  <c r="B18" i="88"/>
  <c r="Q5" i="45"/>
  <c r="H5" i="45"/>
  <c r="I4" i="45"/>
  <c r="F10" i="101"/>
  <c r="E10" i="101"/>
  <c r="G9" i="101" s="1"/>
  <c r="D9" i="101"/>
  <c r="F2" i="101"/>
  <c r="E2" i="101"/>
  <c r="E2" i="88"/>
  <c r="B24" i="108"/>
  <c r="B20" i="108"/>
  <c r="C21" i="65" s="1"/>
  <c r="A45" i="45"/>
  <c r="A48" i="40"/>
  <c r="G13" i="101"/>
  <c r="G14" i="101"/>
  <c r="G15" i="101"/>
  <c r="G16" i="101"/>
  <c r="G17" i="101"/>
  <c r="G18" i="101"/>
  <c r="L2" i="109"/>
  <c r="D20" i="110"/>
  <c r="N31" i="110"/>
  <c r="A49" i="88"/>
  <c r="A52" i="88" s="1"/>
  <c r="A55" i="88" s="1"/>
  <c r="A58" i="88" s="1"/>
  <c r="A61" i="88" s="1"/>
  <c r="A64" i="88" s="1"/>
  <c r="A67" i="88" s="1"/>
  <c r="A70" i="88" s="1"/>
  <c r="A19" i="65"/>
  <c r="A13" i="65"/>
  <c r="A6" i="65"/>
  <c r="F40" i="88"/>
  <c r="A35" i="88"/>
  <c r="A21" i="88"/>
  <c r="A24" i="88"/>
  <c r="A29" i="88" s="1"/>
  <c r="B26" i="35"/>
  <c r="Q33" i="45"/>
  <c r="Q34" i="45"/>
  <c r="Q35" i="45"/>
  <c r="Q36" i="45"/>
  <c r="Q37" i="45"/>
  <c r="H38" i="45"/>
  <c r="E10" i="40"/>
  <c r="E23" i="40" s="1"/>
  <c r="C23" i="40"/>
  <c r="D23" i="40"/>
  <c r="C45" i="40"/>
  <c r="D45" i="40"/>
  <c r="C46" i="40"/>
  <c r="E55" i="40"/>
  <c r="E70" i="40"/>
  <c r="D71" i="40"/>
  <c r="E71" i="40"/>
  <c r="C88" i="40"/>
  <c r="E88" i="40"/>
  <c r="C104" i="40"/>
  <c r="D123" i="40"/>
  <c r="B9" i="108"/>
  <c r="E19" i="101"/>
  <c r="F19" i="101"/>
  <c r="F21" i="101" s="1"/>
  <c r="F23" i="101" s="1"/>
  <c r="G20" i="101"/>
  <c r="E21" i="101"/>
  <c r="E23" i="101" s="1"/>
  <c r="B7" i="65"/>
  <c r="C7" i="65"/>
  <c r="A23" i="65"/>
  <c r="B14" i="65"/>
  <c r="C14" i="65"/>
  <c r="B20" i="65"/>
  <c r="C20" i="65"/>
  <c r="B21" i="65"/>
  <c r="A2" i="84"/>
  <c r="C2" i="84"/>
  <c r="D2" i="84"/>
  <c r="E2" i="84"/>
  <c r="F2" i="84"/>
  <c r="G2" i="84"/>
  <c r="H2" i="84"/>
  <c r="I2" i="84"/>
  <c r="J2" i="84"/>
  <c r="M2" i="84"/>
  <c r="A4" i="84"/>
  <c r="E4" i="84"/>
  <c r="A9" i="84"/>
  <c r="A10" i="84"/>
  <c r="A11" i="84" s="1"/>
  <c r="A12" i="84" s="1"/>
  <c r="A13" i="84" s="1"/>
  <c r="A14" i="84" s="1"/>
  <c r="A15" i="84" s="1"/>
  <c r="A16" i="84" s="1"/>
  <c r="A17" i="84" s="1"/>
  <c r="A20" i="84" s="1"/>
  <c r="A21" i="84" s="1"/>
  <c r="A22" i="84" s="1"/>
  <c r="A23" i="84" s="1"/>
  <c r="A24" i="84" s="1"/>
  <c r="A25" i="84" s="1"/>
  <c r="A28" i="84" s="1"/>
  <c r="A29" i="84" s="1"/>
  <c r="A30" i="84" s="1"/>
  <c r="A31" i="84" s="1"/>
  <c r="A32" i="84" s="1"/>
  <c r="A35" i="84" s="1"/>
  <c r="A36" i="84" s="1"/>
  <c r="A37" i="84" s="1"/>
  <c r="A38" i="84" s="1"/>
  <c r="B9" i="84"/>
  <c r="C9" i="84"/>
  <c r="F9" i="84"/>
  <c r="B10" i="84"/>
  <c r="C10" i="84"/>
  <c r="F10" i="84"/>
  <c r="B11" i="84"/>
  <c r="C11" i="84"/>
  <c r="F11" i="84"/>
  <c r="B12" i="84"/>
  <c r="C12" i="84"/>
  <c r="F12" i="84"/>
  <c r="B13" i="84"/>
  <c r="C13" i="84"/>
  <c r="F13" i="84"/>
  <c r="B14" i="84"/>
  <c r="C14" i="84"/>
  <c r="F14" i="84"/>
  <c r="B15" i="84"/>
  <c r="F15" i="84"/>
  <c r="B16" i="84"/>
  <c r="C16" i="84"/>
  <c r="F16" i="84"/>
  <c r="F17" i="84"/>
  <c r="F18" i="84"/>
  <c r="F19" i="84"/>
  <c r="B20" i="84"/>
  <c r="F20" i="84"/>
  <c r="B21" i="84"/>
  <c r="F21" i="84"/>
  <c r="B22" i="84"/>
  <c r="F22" i="84"/>
  <c r="B23" i="84"/>
  <c r="F23" i="84"/>
  <c r="B24" i="84"/>
  <c r="F24" i="84"/>
  <c r="F25" i="84"/>
  <c r="F26" i="84"/>
  <c r="F27" i="84"/>
  <c r="B28" i="84"/>
  <c r="C28" i="84"/>
  <c r="F28" i="84"/>
  <c r="B29" i="84"/>
  <c r="C29" i="84"/>
  <c r="F29" i="84"/>
  <c r="B30" i="84"/>
  <c r="C30" i="84"/>
  <c r="F30" i="84"/>
  <c r="B31" i="84"/>
  <c r="C31" i="84"/>
  <c r="F31" i="84"/>
  <c r="F32" i="84"/>
  <c r="F33" i="84"/>
  <c r="F34" i="84"/>
  <c r="A43" i="84"/>
  <c r="A44" i="84" s="1"/>
  <c r="A45" i="84" s="1"/>
  <c r="A46" i="84" s="1"/>
  <c r="A47" i="84" s="1"/>
  <c r="A48" i="84" s="1"/>
  <c r="A51" i="84" s="1"/>
  <c r="A52" i="84" s="1"/>
  <c r="A54" i="84" s="1"/>
  <c r="A55" i="84" s="1"/>
  <c r="A56" i="84" s="1"/>
  <c r="D43" i="84"/>
  <c r="D45" i="84"/>
  <c r="D47" i="84"/>
  <c r="D52" i="84"/>
  <c r="D53" i="84"/>
  <c r="D55" i="84"/>
  <c r="G60" i="84"/>
  <c r="B61" i="84"/>
  <c r="C61" i="84"/>
  <c r="D61" i="84"/>
  <c r="E61" i="84"/>
  <c r="F61" i="84"/>
  <c r="A64" i="84"/>
  <c r="B64" i="84"/>
  <c r="C64" i="84"/>
  <c r="D64" i="84"/>
  <c r="E64" i="84"/>
  <c r="F64" i="84"/>
  <c r="H64" i="84"/>
  <c r="I64" i="84"/>
  <c r="A65" i="84"/>
  <c r="B65" i="84"/>
  <c r="C65" i="84"/>
  <c r="D65" i="84"/>
  <c r="E65" i="84"/>
  <c r="F65" i="84"/>
  <c r="H65" i="84"/>
  <c r="I65" i="84"/>
  <c r="A66" i="84"/>
  <c r="B66" i="84"/>
  <c r="C66" i="84"/>
  <c r="D66" i="84"/>
  <c r="E66" i="84"/>
  <c r="F66" i="84"/>
  <c r="H66" i="84"/>
  <c r="I66" i="84"/>
  <c r="A67" i="84"/>
  <c r="B67" i="84"/>
  <c r="C67" i="84"/>
  <c r="D67" i="84"/>
  <c r="E67" i="84"/>
  <c r="F67" i="84"/>
  <c r="H67" i="84"/>
  <c r="I67" i="84"/>
  <c r="A68" i="84"/>
  <c r="B68" i="84"/>
  <c r="C68" i="84"/>
  <c r="D68" i="84"/>
  <c r="E68" i="84"/>
  <c r="F68" i="84"/>
  <c r="H68" i="84"/>
  <c r="I68" i="84"/>
  <c r="A69" i="84"/>
  <c r="B69" i="84"/>
  <c r="C69" i="84"/>
  <c r="D69" i="84"/>
  <c r="E69" i="84"/>
  <c r="F69" i="84"/>
  <c r="H69" i="84"/>
  <c r="I69" i="84"/>
  <c r="A70" i="84"/>
  <c r="B70" i="84"/>
  <c r="C70" i="84"/>
  <c r="D70" i="84"/>
  <c r="E70" i="84"/>
  <c r="F70" i="84"/>
  <c r="H70" i="84"/>
  <c r="I70" i="84"/>
  <c r="A71" i="84"/>
  <c r="B71" i="84"/>
  <c r="C71" i="84"/>
  <c r="D71" i="84"/>
  <c r="E71" i="84"/>
  <c r="F71" i="84"/>
  <c r="H71" i="84"/>
  <c r="I71" i="84"/>
  <c r="A72" i="84"/>
  <c r="B72" i="84"/>
  <c r="C72" i="84"/>
  <c r="D72" i="84"/>
  <c r="E72" i="84"/>
  <c r="F72" i="84"/>
  <c r="H72" i="84"/>
  <c r="I72" i="84"/>
  <c r="A73" i="84"/>
  <c r="B73" i="84"/>
  <c r="C73" i="84"/>
  <c r="D73" i="84"/>
  <c r="E73" i="84"/>
  <c r="F73" i="84"/>
  <c r="H73" i="84"/>
  <c r="I73" i="84"/>
  <c r="A74" i="84"/>
  <c r="A75" i="84" s="1"/>
  <c r="G75" i="84"/>
  <c r="G76" i="84" s="1"/>
  <c r="H75" i="84"/>
  <c r="H76" i="84" s="1"/>
  <c r="I75" i="84"/>
  <c r="I76" i="84" s="1"/>
  <c r="A77" i="84"/>
  <c r="B80" i="84"/>
  <c r="G80" i="84" s="1"/>
  <c r="C80" i="84"/>
  <c r="D80" i="84"/>
  <c r="E80" i="84"/>
  <c r="F80" i="84"/>
  <c r="H80" i="84"/>
  <c r="I80" i="84"/>
  <c r="B81" i="84"/>
  <c r="G81" i="84" s="1"/>
  <c r="C81" i="84"/>
  <c r="D81" i="84"/>
  <c r="E81" i="84"/>
  <c r="F81" i="84"/>
  <c r="H81" i="84"/>
  <c r="I81" i="84"/>
  <c r="B82" i="84"/>
  <c r="G82" i="84" s="1"/>
  <c r="C82" i="84"/>
  <c r="D82" i="84"/>
  <c r="E82" i="84"/>
  <c r="F82" i="84"/>
  <c r="H82" i="84"/>
  <c r="I82" i="84"/>
  <c r="B83" i="84"/>
  <c r="G83" i="84" s="1"/>
  <c r="C83" i="84"/>
  <c r="D83" i="84"/>
  <c r="E83" i="84"/>
  <c r="F83" i="84"/>
  <c r="H83" i="84"/>
  <c r="I83" i="84"/>
  <c r="B84" i="84"/>
  <c r="G84" i="84" s="1"/>
  <c r="C84" i="84"/>
  <c r="D84" i="84"/>
  <c r="E84" i="84"/>
  <c r="F84" i="84"/>
  <c r="H84" i="84"/>
  <c r="I84" i="84"/>
  <c r="B85" i="84"/>
  <c r="G85" i="84" s="1"/>
  <c r="C85" i="84"/>
  <c r="D85" i="84"/>
  <c r="E85" i="84"/>
  <c r="F85" i="84"/>
  <c r="H85" i="84"/>
  <c r="I85" i="84"/>
  <c r="A92" i="84"/>
  <c r="A93" i="84" s="1"/>
  <c r="A94" i="84" s="1"/>
  <c r="A95" i="84"/>
  <c r="A96" i="84" s="1"/>
  <c r="A97" i="84" s="1"/>
  <c r="A98" i="84" s="1"/>
  <c r="C92" i="84"/>
  <c r="D92" i="84"/>
  <c r="F92" i="84"/>
  <c r="F93" i="84" s="1"/>
  <c r="F94" i="84"/>
  <c r="F95" i="84" s="1"/>
  <c r="F96" i="84" s="1"/>
  <c r="F97" i="84" s="1"/>
  <c r="F98" i="84" s="1"/>
  <c r="F99" i="84" s="1"/>
  <c r="F100" i="84" s="1"/>
  <c r="F101" i="84" s="1"/>
  <c r="F102" i="84" s="1"/>
  <c r="F103" i="84" s="1"/>
  <c r="F104" i="84" s="1"/>
  <c r="F105" i="84" s="1"/>
  <c r="F106" i="84" s="1"/>
  <c r="F107" i="84" s="1"/>
  <c r="F108" i="84" s="1"/>
  <c r="F109" i="84" s="1"/>
  <c r="F110" i="84" s="1"/>
  <c r="F111" i="84" s="1"/>
  <c r="F112" i="84" s="1"/>
  <c r="F113" i="84" s="1"/>
  <c r="F114" i="84" s="1"/>
  <c r="F115" i="84" s="1"/>
  <c r="F118" i="84" s="1"/>
  <c r="F119" i="84" s="1"/>
  <c r="F120" i="84" s="1"/>
  <c r="F121" i="84" s="1"/>
  <c r="F122" i="84" s="1"/>
  <c r="F123" i="84" s="1"/>
  <c r="G92" i="84"/>
  <c r="H92" i="84"/>
  <c r="C93" i="84"/>
  <c r="D93" i="84"/>
  <c r="G93" i="84"/>
  <c r="H93" i="84"/>
  <c r="C94" i="84"/>
  <c r="D94" i="84"/>
  <c r="G94" i="84"/>
  <c r="H94" i="84"/>
  <c r="D95" i="84"/>
  <c r="G95" i="84"/>
  <c r="H95" i="84"/>
  <c r="G96" i="84"/>
  <c r="H96" i="84"/>
  <c r="G97" i="84"/>
  <c r="H97" i="84"/>
  <c r="G98" i="84"/>
  <c r="H98" i="84"/>
  <c r="G99" i="84"/>
  <c r="H99" i="84"/>
  <c r="G100" i="84"/>
  <c r="H100" i="84"/>
  <c r="G101" i="84"/>
  <c r="H101" i="84"/>
  <c r="G102" i="84"/>
  <c r="H102" i="84"/>
  <c r="G103" i="84"/>
  <c r="H103" i="84"/>
  <c r="G104" i="84"/>
  <c r="H104" i="84"/>
  <c r="G105" i="84"/>
  <c r="H105" i="84"/>
  <c r="G106" i="84"/>
  <c r="H106" i="84"/>
  <c r="G107" i="84"/>
  <c r="H107" i="84"/>
  <c r="G108" i="84"/>
  <c r="H108" i="84"/>
  <c r="G109" i="84"/>
  <c r="H109" i="84"/>
  <c r="G110" i="84"/>
  <c r="H110" i="84"/>
  <c r="G111" i="84"/>
  <c r="H111" i="84"/>
  <c r="G112" i="84"/>
  <c r="H112" i="84"/>
  <c r="H114" i="84"/>
  <c r="G118" i="84"/>
  <c r="H118" i="84"/>
  <c r="G119" i="84"/>
  <c r="H119" i="84"/>
  <c r="G120" i="84"/>
  <c r="H120" i="84"/>
  <c r="G121" i="84"/>
  <c r="H121" i="84"/>
  <c r="G122" i="84"/>
  <c r="H122" i="84"/>
  <c r="B126" i="84"/>
  <c r="A129" i="84"/>
  <c r="A130" i="84"/>
  <c r="A131" i="84" s="1"/>
  <c r="A132" i="84" s="1"/>
  <c r="A133" i="84" s="1"/>
  <c r="A134" i="84"/>
  <c r="A135" i="84" s="1"/>
  <c r="A136" i="84" s="1"/>
  <c r="A137" i="84" s="1"/>
  <c r="A138" i="84" s="1"/>
  <c r="A139" i="84" s="1"/>
  <c r="A140" i="84" s="1"/>
  <c r="A141" i="84" s="1"/>
  <c r="A142" i="84" s="1"/>
  <c r="A143" i="84" s="1"/>
  <c r="A144" i="84" s="1"/>
  <c r="A145" i="84" s="1"/>
  <c r="A146" i="84" s="1"/>
  <c r="A147" i="84" s="1"/>
  <c r="A148" i="84" s="1"/>
  <c r="A149" i="84" s="1"/>
  <c r="B129" i="84"/>
  <c r="B130" i="84"/>
  <c r="B131" i="84"/>
  <c r="B132" i="84"/>
  <c r="B133" i="84"/>
  <c r="B134" i="84"/>
  <c r="B135" i="84"/>
  <c r="B136" i="84"/>
  <c r="B137" i="84"/>
  <c r="B138" i="84"/>
  <c r="B139" i="84"/>
  <c r="B140" i="84"/>
  <c r="B141" i="84"/>
  <c r="B142" i="84"/>
  <c r="B143" i="84"/>
  <c r="B144" i="84"/>
  <c r="B145" i="84"/>
  <c r="B146" i="84"/>
  <c r="B147" i="84"/>
  <c r="B148" i="84"/>
  <c r="A157" i="84"/>
  <c r="A158" i="84" s="1"/>
  <c r="A159" i="84" s="1"/>
  <c r="A160" i="84" s="1"/>
  <c r="A161" i="84" s="1"/>
  <c r="A162" i="84" s="1"/>
  <c r="A163" i="84" s="1"/>
  <c r="A164" i="84" s="1"/>
  <c r="A165" i="84" s="1"/>
  <c r="A166" i="84" s="1"/>
  <c r="A167" i="84" s="1"/>
  <c r="A168" i="84" s="1"/>
  <c r="A169" i="84" s="1"/>
  <c r="A170" i="84" s="1"/>
  <c r="A171" i="84" s="1"/>
  <c r="A176" i="84" s="1"/>
  <c r="A177" i="84" s="1"/>
  <c r="A178" i="84" s="1"/>
  <c r="A181" i="84" s="1"/>
  <c r="A182" i="84" s="1"/>
  <c r="A183" i="84" s="1"/>
  <c r="A185" i="84" s="1"/>
  <c r="E157" i="84"/>
  <c r="E159" i="84"/>
  <c r="E160" i="84"/>
  <c r="E161" i="84"/>
  <c r="E162" i="84"/>
  <c r="C163" i="84"/>
  <c r="C164" i="84"/>
  <c r="E164" i="84"/>
  <c r="C165" i="84"/>
  <c r="E165" i="84"/>
  <c r="C166" i="84"/>
  <c r="E168" i="84"/>
  <c r="F168" i="84"/>
  <c r="H176" i="84"/>
  <c r="H177" i="84"/>
  <c r="H178" i="84"/>
  <c r="F181" i="84"/>
  <c r="F185" i="84"/>
  <c r="D190" i="84"/>
  <c r="E190" i="84"/>
  <c r="A193" i="84"/>
  <c r="F193" i="84"/>
  <c r="A194" i="84"/>
  <c r="A195" i="84" s="1"/>
  <c r="A196" i="84" s="1"/>
  <c r="A197" i="84" s="1"/>
  <c r="A200" i="84" s="1"/>
  <c r="A201" i="84" s="1"/>
  <c r="A202" i="84" s="1"/>
  <c r="A203" i="84" s="1"/>
  <c r="A204" i="84" s="1"/>
  <c r="A205" i="84" s="1"/>
  <c r="A206" i="84" s="1"/>
  <c r="A207" i="84" s="1"/>
  <c r="A208" i="84" s="1"/>
  <c r="A211" i="84" s="1"/>
  <c r="A212" i="84" s="1"/>
  <c r="A213" i="84" s="1"/>
  <c r="A214" i="84" s="1"/>
  <c r="E194" i="84"/>
  <c r="D200" i="84"/>
  <c r="E200" i="84"/>
  <c r="D201" i="84"/>
  <c r="E201" i="84"/>
  <c r="D202" i="84"/>
  <c r="E202" i="84"/>
  <c r="D203" i="84"/>
  <c r="E203" i="84"/>
  <c r="D204" i="84"/>
  <c r="E204" i="84"/>
  <c r="F207" i="84"/>
  <c r="F208" i="84"/>
  <c r="D211" i="84"/>
  <c r="E211" i="84"/>
  <c r="D212" i="84"/>
  <c r="D220" i="84"/>
  <c r="E220" i="84"/>
  <c r="C223" i="84"/>
  <c r="D223" i="84"/>
  <c r="C224" i="84"/>
  <c r="E224" i="84"/>
  <c r="C225" i="84"/>
  <c r="E225" i="84"/>
  <c r="C226" i="84"/>
  <c r="E226" i="84"/>
  <c r="C227" i="84"/>
  <c r="E227" i="84"/>
  <c r="C228" i="84"/>
  <c r="E228" i="84"/>
  <c r="C229" i="84"/>
  <c r="E229" i="84"/>
  <c r="C230" i="84"/>
  <c r="E230" i="84"/>
  <c r="C231" i="84"/>
  <c r="E231" i="84"/>
  <c r="C232" i="84"/>
  <c r="E232" i="84"/>
  <c r="C233" i="84"/>
  <c r="E233" i="84"/>
  <c r="C234" i="84"/>
  <c r="E234" i="84"/>
  <c r="C235" i="84"/>
  <c r="E235" i="84"/>
  <c r="C245" i="84"/>
  <c r="C246" i="84"/>
  <c r="C247" i="84"/>
  <c r="D247" i="84"/>
  <c r="D260" i="84" s="1"/>
  <c r="C248" i="84"/>
  <c r="D248" i="84"/>
  <c r="C249" i="84"/>
  <c r="D249" i="84"/>
  <c r="C250" i="84"/>
  <c r="D250" i="84"/>
  <c r="C251" i="84"/>
  <c r="D251" i="84"/>
  <c r="C252" i="84"/>
  <c r="D252" i="84"/>
  <c r="C253" i="84"/>
  <c r="D253" i="84"/>
  <c r="C254" i="84"/>
  <c r="D254" i="84"/>
  <c r="C255" i="84"/>
  <c r="D255" i="84"/>
  <c r="C256" i="84"/>
  <c r="D256" i="84"/>
  <c r="C257" i="84"/>
  <c r="D257" i="84"/>
  <c r="C258" i="84"/>
  <c r="D258" i="84"/>
  <c r="C259" i="84"/>
  <c r="C260" i="84"/>
  <c r="G262" i="84"/>
  <c r="C268" i="84"/>
  <c r="D268" i="84"/>
  <c r="C269" i="84"/>
  <c r="C270" i="84"/>
  <c r="C271" i="84"/>
  <c r="C272" i="84"/>
  <c r="C273" i="84"/>
  <c r="C274" i="84"/>
  <c r="C275" i="84"/>
  <c r="C276" i="84"/>
  <c r="C277" i="84"/>
  <c r="C278" i="84"/>
  <c r="C279" i="84"/>
  <c r="C280" i="84"/>
  <c r="C281" i="84"/>
  <c r="C282" i="84"/>
  <c r="D283" i="84"/>
  <c r="C284" i="84"/>
  <c r="C285" i="84"/>
  <c r="A292" i="84"/>
  <c r="B292" i="84"/>
  <c r="C292" i="84"/>
  <c r="D292" i="84"/>
  <c r="A293" i="84"/>
  <c r="B293" i="84"/>
  <c r="C293" i="84"/>
  <c r="D293" i="84"/>
  <c r="A294" i="84"/>
  <c r="B294" i="84"/>
  <c r="C294" i="84"/>
  <c r="D294" i="84"/>
  <c r="A295" i="84"/>
  <c r="B295" i="84"/>
  <c r="C295" i="84"/>
  <c r="D295" i="84"/>
  <c r="A296" i="84"/>
  <c r="B296" i="84"/>
  <c r="C296" i="84"/>
  <c r="D296" i="84"/>
  <c r="A297" i="84"/>
  <c r="B297" i="84"/>
  <c r="C297" i="84"/>
  <c r="D297" i="84"/>
  <c r="A298" i="84"/>
  <c r="B298" i="84"/>
  <c r="C298" i="84"/>
  <c r="D298" i="84"/>
  <c r="A299" i="84"/>
  <c r="B299" i="84"/>
  <c r="C299" i="84"/>
  <c r="D299" i="84"/>
  <c r="A300" i="84"/>
  <c r="B300" i="84"/>
  <c r="C300" i="84"/>
  <c r="D300" i="84"/>
  <c r="A301" i="84"/>
  <c r="B301" i="84"/>
  <c r="C301" i="84"/>
  <c r="D301" i="84"/>
  <c r="A302" i="84"/>
  <c r="B302" i="84"/>
  <c r="C302" i="84"/>
  <c r="D302" i="84"/>
  <c r="A303" i="84"/>
  <c r="B303" i="84"/>
  <c r="C303" i="84"/>
  <c r="D303" i="84"/>
  <c r="A304" i="84"/>
  <c r="B304" i="84"/>
  <c r="C304" i="84"/>
  <c r="D304" i="84"/>
  <c r="A305" i="84"/>
  <c r="A310" i="84" s="1"/>
  <c r="A311" i="84" s="1"/>
  <c r="A312" i="84" s="1"/>
  <c r="B310" i="84"/>
  <c r="F310" i="84"/>
  <c r="B311" i="84"/>
  <c r="F311" i="84"/>
  <c r="B312" i="84"/>
  <c r="F312" i="84"/>
  <c r="B313" i="84"/>
  <c r="F313" i="84"/>
  <c r="B314" i="84"/>
  <c r="F314" i="84"/>
  <c r="B315" i="84"/>
  <c r="A316" i="84"/>
  <c r="D319" i="84"/>
  <c r="G323" i="84"/>
  <c r="F324" i="84"/>
  <c r="A327" i="84"/>
  <c r="B327" i="84"/>
  <c r="C327" i="84"/>
  <c r="D327" i="84"/>
  <c r="E327" i="84"/>
  <c r="F327" i="84"/>
  <c r="G327" i="84"/>
  <c r="H327" i="84"/>
  <c r="I327" i="84"/>
  <c r="J327" i="84"/>
  <c r="K327" i="84"/>
  <c r="L327" i="84"/>
  <c r="M327" i="84"/>
  <c r="N327" i="84"/>
  <c r="O327" i="84"/>
  <c r="A328" i="84"/>
  <c r="A329" i="84" s="1"/>
  <c r="A330" i="84" s="1"/>
  <c r="A331" i="84" s="1"/>
  <c r="A332" i="84" s="1"/>
  <c r="A333" i="84" s="1"/>
  <c r="A334" i="84" s="1"/>
  <c r="A335" i="84" s="1"/>
  <c r="A336" i="84" s="1"/>
  <c r="A337" i="84" s="1"/>
  <c r="A338" i="84" s="1"/>
  <c r="A339" i="84" s="1"/>
  <c r="A340" i="84" s="1"/>
  <c r="A341" i="84" s="1"/>
  <c r="A342" i="84" s="1"/>
  <c r="A343" i="84" s="1"/>
  <c r="A344" i="84" s="1"/>
  <c r="A345" i="84" s="1"/>
  <c r="A346" i="84" s="1"/>
  <c r="A347" i="84" s="1"/>
  <c r="A348" i="84" s="1"/>
  <c r="A349" i="84" s="1"/>
  <c r="A350" i="84" s="1"/>
  <c r="B328" i="84"/>
  <c r="C328" i="84"/>
  <c r="D328" i="84"/>
  <c r="E328" i="84"/>
  <c r="F328" i="84"/>
  <c r="G328" i="84"/>
  <c r="H328" i="84"/>
  <c r="I328" i="84"/>
  <c r="J328" i="84"/>
  <c r="K328" i="84"/>
  <c r="L328" i="84"/>
  <c r="M328" i="84"/>
  <c r="N328" i="84"/>
  <c r="O328" i="84"/>
  <c r="B329" i="84"/>
  <c r="C329" i="84"/>
  <c r="D329" i="84"/>
  <c r="E329" i="84"/>
  <c r="F329" i="84"/>
  <c r="G329" i="84"/>
  <c r="H329" i="84"/>
  <c r="I329" i="84"/>
  <c r="J329" i="84"/>
  <c r="K329" i="84"/>
  <c r="L329" i="84"/>
  <c r="M329" i="84"/>
  <c r="N329" i="84"/>
  <c r="O329" i="84"/>
  <c r="B330" i="84"/>
  <c r="C330" i="84"/>
  <c r="D330" i="84"/>
  <c r="E330" i="84"/>
  <c r="F330" i="84"/>
  <c r="G330" i="84"/>
  <c r="H330" i="84"/>
  <c r="I330" i="84"/>
  <c r="J330" i="84"/>
  <c r="K330" i="84"/>
  <c r="L330" i="84"/>
  <c r="M330" i="84"/>
  <c r="N330" i="84"/>
  <c r="O330" i="84"/>
  <c r="B331" i="84"/>
  <c r="C331" i="84"/>
  <c r="D331" i="84"/>
  <c r="E331" i="84"/>
  <c r="F331" i="84"/>
  <c r="G331" i="84"/>
  <c r="H331" i="84"/>
  <c r="I331" i="84"/>
  <c r="J331" i="84"/>
  <c r="K331" i="84"/>
  <c r="L331" i="84"/>
  <c r="M331" i="84"/>
  <c r="N331" i="84"/>
  <c r="O331" i="84"/>
  <c r="B332" i="84"/>
  <c r="C332" i="84"/>
  <c r="D332" i="84"/>
  <c r="E332" i="84"/>
  <c r="F332" i="84"/>
  <c r="G332" i="84"/>
  <c r="H332" i="84"/>
  <c r="I332" i="84"/>
  <c r="J332" i="84"/>
  <c r="K332" i="84"/>
  <c r="L332" i="84"/>
  <c r="M332" i="84"/>
  <c r="N332" i="84"/>
  <c r="B333" i="84"/>
  <c r="C333" i="84"/>
  <c r="D333" i="84"/>
  <c r="E333" i="84"/>
  <c r="F333" i="84"/>
  <c r="G333" i="84"/>
  <c r="H333" i="84"/>
  <c r="I333" i="84"/>
  <c r="J333" i="84"/>
  <c r="K333" i="84"/>
  <c r="L333" i="84"/>
  <c r="M333" i="84"/>
  <c r="N333" i="84"/>
  <c r="B334" i="84"/>
  <c r="C334" i="84"/>
  <c r="D334" i="84"/>
  <c r="E334" i="84"/>
  <c r="F334" i="84"/>
  <c r="G334" i="84"/>
  <c r="H334" i="84"/>
  <c r="I334" i="84"/>
  <c r="J334" i="84"/>
  <c r="K334" i="84"/>
  <c r="L334" i="84"/>
  <c r="M334" i="84"/>
  <c r="N334" i="84"/>
  <c r="B335" i="84"/>
  <c r="C335" i="84"/>
  <c r="D335" i="84"/>
  <c r="E335" i="84"/>
  <c r="F335" i="84"/>
  <c r="G335" i="84"/>
  <c r="H335" i="84"/>
  <c r="I335" i="84"/>
  <c r="J335" i="84"/>
  <c r="K335" i="84"/>
  <c r="L335" i="84"/>
  <c r="M335" i="84"/>
  <c r="N335" i="84"/>
  <c r="B336" i="84"/>
  <c r="C336" i="84"/>
  <c r="D336" i="84"/>
  <c r="E336" i="84"/>
  <c r="F336" i="84"/>
  <c r="G336" i="84"/>
  <c r="H336" i="84"/>
  <c r="I336" i="84"/>
  <c r="J336" i="84"/>
  <c r="K336" i="84"/>
  <c r="L336" i="84"/>
  <c r="M336" i="84"/>
  <c r="N336" i="84"/>
  <c r="B337" i="84"/>
  <c r="C337" i="84"/>
  <c r="D337" i="84"/>
  <c r="E337" i="84"/>
  <c r="F337" i="84"/>
  <c r="G337" i="84"/>
  <c r="H337" i="84"/>
  <c r="I337" i="84"/>
  <c r="J337" i="84"/>
  <c r="K337" i="84"/>
  <c r="L337" i="84"/>
  <c r="M337" i="84"/>
  <c r="N337" i="84"/>
  <c r="B338" i="84"/>
  <c r="C338" i="84"/>
  <c r="D338" i="84"/>
  <c r="E338" i="84"/>
  <c r="F338" i="84"/>
  <c r="G338" i="84"/>
  <c r="H338" i="84"/>
  <c r="I338" i="84"/>
  <c r="J338" i="84"/>
  <c r="K338" i="84"/>
  <c r="L338" i="84"/>
  <c r="M338" i="84"/>
  <c r="N338" i="84"/>
  <c r="B339" i="84"/>
  <c r="C339" i="84"/>
  <c r="D339" i="84"/>
  <c r="E339" i="84"/>
  <c r="F339" i="84"/>
  <c r="G339" i="84"/>
  <c r="H339" i="84"/>
  <c r="I339" i="84"/>
  <c r="J339" i="84"/>
  <c r="K339" i="84"/>
  <c r="L339" i="84"/>
  <c r="M339" i="84"/>
  <c r="N339" i="84"/>
  <c r="B340" i="84"/>
  <c r="C340" i="84"/>
  <c r="D340" i="84"/>
  <c r="E340" i="84"/>
  <c r="F340" i="84"/>
  <c r="G340" i="84"/>
  <c r="H340" i="84"/>
  <c r="I340" i="84"/>
  <c r="J340" i="84"/>
  <c r="K340" i="84"/>
  <c r="L340" i="84"/>
  <c r="M340" i="84"/>
  <c r="N340" i="84"/>
  <c r="B341" i="84"/>
  <c r="C341" i="84"/>
  <c r="D341" i="84"/>
  <c r="E341" i="84"/>
  <c r="F341" i="84"/>
  <c r="G341" i="84"/>
  <c r="H341" i="84"/>
  <c r="I341" i="84"/>
  <c r="J341" i="84"/>
  <c r="K341" i="84"/>
  <c r="L341" i="84"/>
  <c r="M341" i="84"/>
  <c r="N341" i="84"/>
  <c r="B342" i="84"/>
  <c r="C342" i="84"/>
  <c r="D342" i="84"/>
  <c r="E342" i="84"/>
  <c r="F342" i="84"/>
  <c r="G342" i="84"/>
  <c r="H342" i="84"/>
  <c r="I342" i="84"/>
  <c r="J342" i="84"/>
  <c r="K342" i="84"/>
  <c r="L342" i="84"/>
  <c r="M342" i="84"/>
  <c r="N342" i="84"/>
  <c r="B343" i="84"/>
  <c r="C343" i="84"/>
  <c r="D343" i="84"/>
  <c r="E343" i="84"/>
  <c r="F343" i="84"/>
  <c r="G343" i="84"/>
  <c r="H343" i="84"/>
  <c r="I343" i="84"/>
  <c r="J343" i="84"/>
  <c r="K343" i="84"/>
  <c r="L343" i="84"/>
  <c r="M343" i="84"/>
  <c r="N343" i="84"/>
  <c r="B344" i="84"/>
  <c r="C344" i="84"/>
  <c r="D344" i="84"/>
  <c r="E344" i="84"/>
  <c r="F344" i="84"/>
  <c r="G344" i="84"/>
  <c r="H344" i="84"/>
  <c r="I344" i="84"/>
  <c r="J344" i="84"/>
  <c r="K344" i="84"/>
  <c r="L344" i="84"/>
  <c r="M344" i="84"/>
  <c r="N344" i="84"/>
  <c r="B345" i="84"/>
  <c r="C345" i="84"/>
  <c r="D345" i="84"/>
  <c r="E345" i="84"/>
  <c r="F345" i="84"/>
  <c r="G345" i="84"/>
  <c r="H345" i="84"/>
  <c r="I345" i="84"/>
  <c r="J345" i="84"/>
  <c r="K345" i="84"/>
  <c r="L345" i="84"/>
  <c r="M345" i="84"/>
  <c r="N345" i="84"/>
  <c r="B346" i="84"/>
  <c r="C346" i="84"/>
  <c r="D346" i="84"/>
  <c r="E346" i="84"/>
  <c r="F346" i="84"/>
  <c r="G346" i="84"/>
  <c r="H346" i="84"/>
  <c r="I346" i="84"/>
  <c r="J346" i="84"/>
  <c r="K346" i="84"/>
  <c r="L346" i="84"/>
  <c r="M346" i="84"/>
  <c r="N346" i="84"/>
  <c r="C353" i="84"/>
  <c r="D353" i="84"/>
  <c r="E353" i="84"/>
  <c r="C356" i="84"/>
  <c r="D356" i="84"/>
  <c r="C357" i="84"/>
  <c r="D357" i="84"/>
  <c r="C358" i="84"/>
  <c r="D358" i="84"/>
  <c r="C359" i="84"/>
  <c r="D359" i="84"/>
  <c r="C360" i="84"/>
  <c r="D360" i="84"/>
  <c r="C361" i="84"/>
  <c r="D361" i="84"/>
  <c r="C362" i="84"/>
  <c r="D362" i="84"/>
  <c r="C363" i="84"/>
  <c r="D363" i="84"/>
  <c r="C364" i="84"/>
  <c r="D364" i="84"/>
  <c r="C365" i="84"/>
  <c r="D365" i="84"/>
  <c r="C366" i="84"/>
  <c r="D366" i="84"/>
  <c r="C367" i="84"/>
  <c r="D367" i="84"/>
  <c r="C368" i="84"/>
  <c r="D368" i="84"/>
  <c r="B373" i="84"/>
  <c r="E375" i="84"/>
  <c r="E376" i="84"/>
  <c r="E377" i="84"/>
  <c r="E379" i="84"/>
  <c r="E380" i="84"/>
  <c r="E381" i="84"/>
  <c r="E382" i="84"/>
  <c r="D387" i="84"/>
  <c r="F388" i="84"/>
  <c r="A391" i="84"/>
  <c r="A392" i="84" s="1"/>
  <c r="A393" i="84" s="1"/>
  <c r="E391" i="84"/>
  <c r="E396" i="84" s="1"/>
  <c r="E392" i="84"/>
  <c r="E393" i="84"/>
  <c r="E394" i="84"/>
  <c r="E398" i="84"/>
  <c r="E404" i="84" s="1"/>
  <c r="E395" i="84" s="1"/>
  <c r="F398" i="84"/>
  <c r="E399" i="84"/>
  <c r="F399" i="84"/>
  <c r="E400" i="84"/>
  <c r="F400" i="84"/>
  <c r="E401" i="84"/>
  <c r="F401" i="84"/>
  <c r="E402" i="84"/>
  <c r="F402" i="84"/>
  <c r="E403" i="84"/>
  <c r="F403" i="84"/>
  <c r="G404" i="84"/>
  <c r="E407" i="84"/>
  <c r="F407" i="84"/>
  <c r="E408" i="84"/>
  <c r="F408" i="84"/>
  <c r="R71" i="45"/>
  <c r="R29" i="45" s="1"/>
  <c r="E9" i="84"/>
  <c r="E10" i="84" s="1"/>
  <c r="E11" i="84" s="1"/>
  <c r="E12" i="84" s="1"/>
  <c r="E13" i="84" s="1"/>
  <c r="E14" i="84" s="1"/>
  <c r="E15" i="84" s="1"/>
  <c r="E16" i="84" s="1"/>
  <c r="E17" i="84" s="1"/>
  <c r="E18" i="84" s="1"/>
  <c r="E19" i="84" s="1"/>
  <c r="E20" i="84" s="1"/>
  <c r="E21" i="84" s="1"/>
  <c r="E22" i="84" s="1"/>
  <c r="E23" i="84" s="1"/>
  <c r="E24" i="84" s="1"/>
  <c r="E25" i="84" s="1"/>
  <c r="E38" i="84"/>
  <c r="AA29" i="45"/>
  <c r="AB29" i="45"/>
  <c r="Q29" i="45" s="1"/>
  <c r="AA27" i="45"/>
  <c r="AB27" i="45" s="1"/>
  <c r="Q27" i="45"/>
  <c r="AA25" i="45"/>
  <c r="AB25" i="45" s="1"/>
  <c r="Q25" i="45" s="1"/>
  <c r="AA23" i="45"/>
  <c r="AB23" i="45"/>
  <c r="Q23" i="45" s="1"/>
  <c r="AA21" i="45"/>
  <c r="AB21" i="45"/>
  <c r="Q21" i="45"/>
  <c r="AA19" i="45"/>
  <c r="AB19" i="45" s="1"/>
  <c r="Q19" i="45" s="1"/>
  <c r="AA28" i="45"/>
  <c r="AB28" i="45" s="1"/>
  <c r="Q28" i="45" s="1"/>
  <c r="AA26" i="45"/>
  <c r="AB26" i="45"/>
  <c r="Q26" i="45" s="1"/>
  <c r="AA24" i="45"/>
  <c r="AB24" i="45" s="1"/>
  <c r="Q24" i="45"/>
  <c r="AA22" i="45"/>
  <c r="AB22" i="45" s="1"/>
  <c r="Q22" i="45" s="1"/>
  <c r="AA20" i="45"/>
  <c r="AB20" i="45"/>
  <c r="Q20" i="45" s="1"/>
  <c r="AA18" i="45"/>
  <c r="AB18" i="45"/>
  <c r="Q18" i="45"/>
  <c r="A9" i="63"/>
  <c r="G2" i="40"/>
  <c r="G48" i="40" s="1"/>
  <c r="G88" i="40"/>
  <c r="E12" i="63" s="1"/>
  <c r="G66" i="40"/>
  <c r="G58" i="40"/>
  <c r="G71" i="40" s="1"/>
  <c r="E11" i="63" s="1"/>
  <c r="G23" i="40"/>
  <c r="E9" i="63" s="1"/>
  <c r="E18" i="63"/>
  <c r="A9" i="40"/>
  <c r="A223" i="84" s="1"/>
  <c r="A10" i="63"/>
  <c r="A11" i="63" s="1"/>
  <c r="A12" i="63" s="1"/>
  <c r="A13" i="63"/>
  <c r="A14" i="63" s="1"/>
  <c r="G97" i="40"/>
  <c r="A54" i="40"/>
  <c r="A55" i="40"/>
  <c r="A56" i="40"/>
  <c r="A268" i="84"/>
  <c r="A269" i="84" s="1"/>
  <c r="A270" i="84" s="1"/>
  <c r="A271" i="84" s="1"/>
  <c r="A272" i="84" s="1"/>
  <c r="A273" i="84" s="1"/>
  <c r="A274" i="84" s="1"/>
  <c r="A275" i="84" s="1"/>
  <c r="A276" i="84" s="1"/>
  <c r="A277" i="84" s="1"/>
  <c r="A278" i="84" s="1"/>
  <c r="A279" i="84" s="1"/>
  <c r="A280" i="84" s="1"/>
  <c r="A281" i="84" s="1"/>
  <c r="A282" i="84" s="1"/>
  <c r="A283" i="84" s="1"/>
  <c r="A284" i="84" s="1"/>
  <c r="A285" i="84" s="1"/>
  <c r="A286" i="84" s="1"/>
  <c r="T2" i="45"/>
  <c r="A101" i="40"/>
  <c r="A102" i="40" s="1"/>
  <c r="A103" i="40" s="1"/>
  <c r="A104" i="40" s="1"/>
  <c r="A109" i="40" s="1"/>
  <c r="A110" i="40" s="1"/>
  <c r="A111" i="40" s="1"/>
  <c r="A112" i="40" s="1"/>
  <c r="A113" i="40" s="1"/>
  <c r="A114" i="40" s="1"/>
  <c r="A115" i="40" s="1"/>
  <c r="A116" i="40" s="1"/>
  <c r="A117" i="40" s="1"/>
  <c r="A118" i="40" s="1"/>
  <c r="A119" i="40" s="1"/>
  <c r="A120" i="40" s="1"/>
  <c r="A121" i="40" s="1"/>
  <c r="A122" i="40" s="1"/>
  <c r="A123" i="40" s="1"/>
  <c r="T45" i="45"/>
  <c r="E2" i="35" s="1"/>
  <c r="A8" i="45"/>
  <c r="A9" i="45" s="1"/>
  <c r="A10" i="45"/>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7" i="35"/>
  <c r="A356" i="84" s="1"/>
  <c r="A357" i="84" s="1"/>
  <c r="A358" i="84" s="1"/>
  <c r="A359" i="84" s="1"/>
  <c r="A360" i="84" s="1"/>
  <c r="A361" i="84" s="1"/>
  <c r="A362" i="84" s="1"/>
  <c r="A363" i="84" s="1"/>
  <c r="A364" i="84" s="1"/>
  <c r="A365" i="84" s="1"/>
  <c r="A366" i="84" s="1"/>
  <c r="A367" i="84" s="1"/>
  <c r="A368" i="84" s="1"/>
  <c r="A369" i="84" s="1"/>
  <c r="A374" i="84" s="1"/>
  <c r="A375" i="84" s="1"/>
  <c r="A376" i="84" s="1"/>
  <c r="A377" i="84" s="1"/>
  <c r="A378" i="84" s="1"/>
  <c r="A379" i="84" s="1"/>
  <c r="A380" i="84" s="1"/>
  <c r="A381" i="84" s="1"/>
  <c r="A382" i="84" s="1"/>
  <c r="A383" i="84" s="1"/>
  <c r="A50" i="45"/>
  <c r="A51" i="45" s="1"/>
  <c r="A52" i="45" s="1"/>
  <c r="A53" i="45"/>
  <c r="A54" i="45" s="1"/>
  <c r="A55" i="45" s="1"/>
  <c r="A56" i="45" s="1"/>
  <c r="A57" i="45" s="1"/>
  <c r="A58" i="45" s="1"/>
  <c r="A59" i="45" s="1"/>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8" i="35"/>
  <c r="A9" i="35" s="1"/>
  <c r="A10" i="35" s="1"/>
  <c r="A11" i="35" s="1"/>
  <c r="A12" i="35" s="1"/>
  <c r="A13" i="35" s="1"/>
  <c r="A14" i="35" s="1"/>
  <c r="A15" i="35" s="1"/>
  <c r="A16" i="35" s="1"/>
  <c r="A17" i="35" s="1"/>
  <c r="A18" i="35" s="1"/>
  <c r="G2" i="101"/>
  <c r="A12" i="101" s="1"/>
  <c r="A13" i="101" s="1"/>
  <c r="A14" i="101" s="1"/>
  <c r="A15" i="101" s="1"/>
  <c r="A16" i="101" s="1"/>
  <c r="A17" i="101" s="1"/>
  <c r="A18" i="101" s="1"/>
  <c r="A19" i="101" s="1"/>
  <c r="A20" i="101" s="1"/>
  <c r="A21" i="101" s="1"/>
  <c r="A23" i="101" s="1"/>
  <c r="D9" i="65"/>
  <c r="D7" i="65"/>
  <c r="D10" i="65"/>
  <c r="D8" i="65"/>
  <c r="D11" i="65"/>
  <c r="R63" i="45"/>
  <c r="R21" i="45" s="1"/>
  <c r="R60" i="45"/>
  <c r="R18" i="45" s="1"/>
  <c r="R78" i="45"/>
  <c r="R36" i="45" s="1"/>
  <c r="A97" i="40"/>
  <c r="R74" i="45"/>
  <c r="S74" i="45" s="1"/>
  <c r="A40" i="88"/>
  <c r="R61" i="45"/>
  <c r="R19" i="45" s="1"/>
  <c r="A76" i="84"/>
  <c r="A80" i="84"/>
  <c r="A81" i="84"/>
  <c r="A82" i="84" s="1"/>
  <c r="A83" i="84" s="1"/>
  <c r="A84" i="84" s="1"/>
  <c r="A85" i="84" s="1"/>
  <c r="A86" i="84" s="1"/>
  <c r="A237" i="84"/>
  <c r="A394" i="84"/>
  <c r="A398" i="84" s="1"/>
  <c r="A399" i="84" s="1"/>
  <c r="A400" i="84" s="1"/>
  <c r="A401" i="84" s="1"/>
  <c r="A395" i="84"/>
  <c r="A396" i="84" s="1"/>
  <c r="D13" i="65"/>
  <c r="D14" i="65"/>
  <c r="N2" i="110"/>
  <c r="D15" i="65" s="1"/>
  <c r="G19" i="101"/>
  <c r="G21" i="101"/>
  <c r="D24" i="40"/>
  <c r="D25" i="40" s="1"/>
  <c r="E2" i="108"/>
  <c r="D20" i="65" s="1"/>
  <c r="D16" i="65"/>
  <c r="A9" i="108"/>
  <c r="A10" i="108" s="1"/>
  <c r="A11" i="108" s="1"/>
  <c r="A12" i="108" s="1"/>
  <c r="D21" i="65"/>
  <c r="A403" i="84" l="1"/>
  <c r="A404" i="84" s="1"/>
  <c r="A402" i="84"/>
  <c r="A19" i="35"/>
  <c r="A20" i="35" s="1"/>
  <c r="A21" i="35" s="1"/>
  <c r="B21" i="35"/>
  <c r="B14" i="63"/>
  <c r="A124" i="40"/>
  <c r="E29" i="84"/>
  <c r="E30" i="84" s="1"/>
  <c r="E26" i="84"/>
  <c r="E27" i="84" s="1"/>
  <c r="E28" i="84" s="1"/>
  <c r="A39" i="45"/>
  <c r="A40" i="45" s="1"/>
  <c r="A41" i="45" s="1"/>
  <c r="B17" i="63" s="1"/>
  <c r="B41" i="45"/>
  <c r="D17" i="65"/>
  <c r="A7" i="110"/>
  <c r="A9" i="110" s="1"/>
  <c r="A10" i="110" s="1"/>
  <c r="A14" i="110" s="1"/>
  <c r="A15" i="110" s="1"/>
  <c r="A16" i="110" s="1"/>
  <c r="A17" i="110" s="1"/>
  <c r="A18" i="110" s="1"/>
  <c r="A19" i="110" s="1"/>
  <c r="A20" i="110" s="1"/>
  <c r="I7" i="110" s="1"/>
  <c r="I9" i="110" s="1"/>
  <c r="I10" i="110" s="1"/>
  <c r="I14" i="110" s="1"/>
  <c r="I15" i="110" s="1"/>
  <c r="I16" i="110" s="1"/>
  <c r="I17" i="110" s="1"/>
  <c r="I18" i="110" s="1"/>
  <c r="I19" i="110" s="1"/>
  <c r="I20" i="110" s="1"/>
  <c r="I21" i="110" s="1"/>
  <c r="A30" i="110" s="1"/>
  <c r="A31" i="110" s="1"/>
  <c r="A35" i="110" s="1"/>
  <c r="A36" i="110" s="1"/>
  <c r="A37" i="110" s="1"/>
  <c r="A38" i="110" s="1"/>
  <c r="A39" i="110" s="1"/>
  <c r="A40" i="110" s="1"/>
  <c r="B18" i="35"/>
  <c r="AB38" i="45"/>
  <c r="I38" i="45" s="1"/>
  <c r="Q38" i="45"/>
  <c r="A13" i="108"/>
  <c r="A14" i="108" s="1"/>
  <c r="A15" i="108" s="1"/>
  <c r="A16" i="108" s="1"/>
  <c r="A57" i="40"/>
  <c r="A58" i="40" s="1"/>
  <c r="A59" i="40" s="1"/>
  <c r="A60" i="40" s="1"/>
  <c r="A61" i="40" s="1"/>
  <c r="A62" i="40" s="1"/>
  <c r="A63" i="40" s="1"/>
  <c r="A64" i="40" s="1"/>
  <c r="A65" i="40" s="1"/>
  <c r="A66" i="40" s="1"/>
  <c r="A67" i="40" s="1"/>
  <c r="A68" i="40" s="1"/>
  <c r="A69" i="40" s="1"/>
  <c r="A70" i="40" s="1"/>
  <c r="B15" i="63"/>
  <c r="A15" i="63"/>
  <c r="A313" i="84"/>
  <c r="A315" i="84" s="1"/>
  <c r="E310" i="84" s="1"/>
  <c r="E311" i="84" s="1"/>
  <c r="E312" i="84" s="1"/>
  <c r="E313" i="84" s="1"/>
  <c r="E314" i="84" s="1"/>
  <c r="E315" i="84" s="1"/>
  <c r="A319" i="84" s="1"/>
  <c r="A320" i="84" s="1"/>
  <c r="A321" i="84" s="1"/>
  <c r="A314" i="84"/>
  <c r="L41" i="109"/>
  <c r="E23" i="108"/>
  <c r="E24" i="108" s="1"/>
  <c r="G45" i="40"/>
  <c r="E10" i="63" s="1"/>
  <c r="A20" i="59"/>
  <c r="A23" i="59" s="1"/>
  <c r="B20" i="59"/>
  <c r="R58" i="45"/>
  <c r="R54" i="45"/>
  <c r="S54" i="45" s="1"/>
  <c r="R70" i="45"/>
  <c r="S70" i="45" s="1"/>
  <c r="E14" i="108"/>
  <c r="E16" i="108" s="1"/>
  <c r="E18" i="108" s="1"/>
  <c r="L40" i="109" s="1"/>
  <c r="G92" i="40"/>
  <c r="A10" i="40"/>
  <c r="A11" i="40" s="1"/>
  <c r="R32" i="45"/>
  <c r="R52" i="45"/>
  <c r="S52" i="45" s="1"/>
  <c r="R51" i="45"/>
  <c r="S51" i="45" s="1"/>
  <c r="R59" i="45"/>
  <c r="S59" i="45" s="1"/>
  <c r="R57" i="45"/>
  <c r="R15" i="45" s="1"/>
  <c r="R56" i="45"/>
  <c r="R14" i="45" s="1"/>
  <c r="R55" i="45"/>
  <c r="R13" i="45" s="1"/>
  <c r="R53" i="45"/>
  <c r="S53" i="45" s="1"/>
  <c r="R79" i="45"/>
  <c r="S79" i="45" s="1"/>
  <c r="R77" i="45"/>
  <c r="S77" i="45" s="1"/>
  <c r="R76" i="45"/>
  <c r="S76" i="45" s="1"/>
  <c r="R75" i="45"/>
  <c r="R33" i="45" s="1"/>
  <c r="R73" i="45"/>
  <c r="R72" i="45"/>
  <c r="R30" i="45" s="1"/>
  <c r="S30" i="45" s="1"/>
  <c r="R69" i="45"/>
  <c r="R27" i="45" s="1"/>
  <c r="R68" i="45"/>
  <c r="R26" i="45" s="1"/>
  <c r="R67" i="45"/>
  <c r="S67" i="45" s="1"/>
  <c r="R66" i="45"/>
  <c r="S66" i="45" s="1"/>
  <c r="R65" i="45"/>
  <c r="S65" i="45" s="1"/>
  <c r="R64" i="45"/>
  <c r="S64" i="45" s="1"/>
  <c r="R62" i="45"/>
  <c r="S21" i="45"/>
  <c r="T21" i="45"/>
  <c r="O340" i="84" s="1"/>
  <c r="T36" i="45"/>
  <c r="S36" i="45"/>
  <c r="R17" i="45"/>
  <c r="S58" i="45"/>
  <c r="R16" i="45"/>
  <c r="S57" i="45"/>
  <c r="R12" i="45"/>
  <c r="T12" i="45" s="1"/>
  <c r="O336" i="84" s="1"/>
  <c r="R11" i="45"/>
  <c r="A224" i="84"/>
  <c r="A225" i="84" s="1"/>
  <c r="A226" i="84" s="1"/>
  <c r="A227" i="84" s="1"/>
  <c r="A228" i="84" s="1"/>
  <c r="A229" i="84" s="1"/>
  <c r="A230" i="84" s="1"/>
  <c r="A231" i="84" s="1"/>
  <c r="A232" i="84" s="1"/>
  <c r="A233" i="84" s="1"/>
  <c r="A234" i="84" s="1"/>
  <c r="A235" i="84" s="1"/>
  <c r="A236" i="84" s="1"/>
  <c r="R37" i="45"/>
  <c r="S75" i="45"/>
  <c r="R31" i="45"/>
  <c r="S73" i="45"/>
  <c r="S68" i="45"/>
  <c r="S62" i="45"/>
  <c r="R20" i="45"/>
  <c r="R28" i="45"/>
  <c r="S78" i="45"/>
  <c r="S63" i="45"/>
  <c r="A12" i="40"/>
  <c r="A13" i="40" s="1"/>
  <c r="A14" i="40" s="1"/>
  <c r="A15" i="40" s="1"/>
  <c r="A16" i="40" s="1"/>
  <c r="A17" i="40" s="1"/>
  <c r="A18" i="40" s="1"/>
  <c r="A19" i="40" s="1"/>
  <c r="A20" i="40" s="1"/>
  <c r="A21" i="40" s="1"/>
  <c r="A22" i="40" s="1"/>
  <c r="S71" i="45"/>
  <c r="R50" i="45"/>
  <c r="R8" i="45" s="1"/>
  <c r="S19" i="45"/>
  <c r="T19" i="45"/>
  <c r="O338" i="84" s="1"/>
  <c r="S18" i="45"/>
  <c r="T18" i="45"/>
  <c r="O337" i="84" s="1"/>
  <c r="T29" i="45"/>
  <c r="O346" i="84" s="1"/>
  <c r="S29" i="45"/>
  <c r="T27" i="45"/>
  <c r="O344" i="84" s="1"/>
  <c r="S27" i="45"/>
  <c r="S61" i="45"/>
  <c r="AA50" i="45"/>
  <c r="S69" i="45"/>
  <c r="S60" i="45"/>
  <c r="R25" i="45"/>
  <c r="S26" i="45" l="1"/>
  <c r="T26" i="45"/>
  <c r="R22" i="45"/>
  <c r="R35" i="45"/>
  <c r="T35" i="45" s="1"/>
  <c r="R10" i="45"/>
  <c r="L44" i="109"/>
  <c r="L45" i="109"/>
  <c r="T33" i="45"/>
  <c r="S33" i="45"/>
  <c r="A71" i="40"/>
  <c r="B71" i="40"/>
  <c r="S12" i="45"/>
  <c r="S72" i="45"/>
  <c r="S56" i="45"/>
  <c r="L46" i="109"/>
  <c r="R80" i="45"/>
  <c r="R24" i="45"/>
  <c r="A24" i="59"/>
  <c r="A25" i="59" s="1"/>
  <c r="A26" i="59" s="1"/>
  <c r="A29" i="59" s="1"/>
  <c r="A14" i="111"/>
  <c r="E32" i="84"/>
  <c r="E31" i="84"/>
  <c r="E33" i="84" s="1"/>
  <c r="E34" i="84" s="1"/>
  <c r="E35" i="84" s="1"/>
  <c r="A26" i="35"/>
  <c r="B28" i="63"/>
  <c r="B18" i="63"/>
  <c r="A17" i="63"/>
  <c r="A407" i="84"/>
  <c r="A405" i="84"/>
  <c r="A408" i="84"/>
  <c r="B16" i="108"/>
  <c r="A17" i="108"/>
  <c r="A18" i="108" s="1"/>
  <c r="A22" i="108" s="1"/>
  <c r="A23" i="108" s="1"/>
  <c r="A24" i="108" s="1"/>
  <c r="C115" i="40"/>
  <c r="E115" i="40" s="1"/>
  <c r="G115" i="40" s="1"/>
  <c r="C118" i="40"/>
  <c r="E118" i="40" s="1"/>
  <c r="G118" i="40" s="1"/>
  <c r="C117" i="40"/>
  <c r="E117" i="40" s="1"/>
  <c r="G117" i="40" s="1"/>
  <c r="C111" i="40"/>
  <c r="C120" i="40"/>
  <c r="E120" i="40" s="1"/>
  <c r="G120" i="40" s="1"/>
  <c r="C116" i="40"/>
  <c r="E116" i="40" s="1"/>
  <c r="G116" i="40" s="1"/>
  <c r="G94" i="40"/>
  <c r="E13" i="63" s="1"/>
  <c r="C113" i="40"/>
  <c r="E113" i="40" s="1"/>
  <c r="G113" i="40" s="1"/>
  <c r="C114" i="40"/>
  <c r="E114" i="40" s="1"/>
  <c r="G114" i="40" s="1"/>
  <c r="C122" i="40"/>
  <c r="E122" i="40" s="1"/>
  <c r="G122" i="40" s="1"/>
  <c r="C112" i="40"/>
  <c r="E112" i="40" s="1"/>
  <c r="G112" i="40" s="1"/>
  <c r="C121" i="40"/>
  <c r="E121" i="40" s="1"/>
  <c r="G121" i="40" s="1"/>
  <c r="C119" i="40"/>
  <c r="E119" i="40" s="1"/>
  <c r="G119" i="40" s="1"/>
  <c r="A238" i="84"/>
  <c r="S50" i="45"/>
  <c r="R23" i="45"/>
  <c r="R34" i="45"/>
  <c r="S55" i="45"/>
  <c r="R9" i="45"/>
  <c r="T32" i="45"/>
  <c r="S32" i="45"/>
  <c r="A23" i="40"/>
  <c r="B23" i="40"/>
  <c r="S24" i="45"/>
  <c r="T24" i="45"/>
  <c r="O343" i="84" s="1"/>
  <c r="T17" i="45"/>
  <c r="S17" i="45"/>
  <c r="T30" i="45"/>
  <c r="S28" i="45"/>
  <c r="T28" i="45"/>
  <c r="O345" i="84" s="1"/>
  <c r="S31" i="45"/>
  <c r="T31" i="45"/>
  <c r="S11" i="45"/>
  <c r="T11" i="45"/>
  <c r="O335" i="84" s="1"/>
  <c r="S13" i="45"/>
  <c r="T13" i="45"/>
  <c r="S15" i="45"/>
  <c r="T15" i="45"/>
  <c r="S20" i="45"/>
  <c r="T20" i="45"/>
  <c r="O339" i="84" s="1"/>
  <c r="S35" i="45"/>
  <c r="S14" i="45"/>
  <c r="T14" i="45"/>
  <c r="S16" i="45"/>
  <c r="T16" i="45"/>
  <c r="T37" i="45"/>
  <c r="S37" i="45"/>
  <c r="A10" i="111"/>
  <c r="S10" i="45"/>
  <c r="T10" i="45"/>
  <c r="O334" i="84" s="1"/>
  <c r="S25" i="45"/>
  <c r="T25" i="45"/>
  <c r="S8" i="45"/>
  <c r="T8" i="45"/>
  <c r="S22" i="45"/>
  <c r="T22" i="45"/>
  <c r="O341" i="84" s="1"/>
  <c r="S80" i="45"/>
  <c r="A27" i="35" l="1"/>
  <c r="A28" i="35" s="1"/>
  <c r="B26" i="63" s="1"/>
  <c r="B28" i="35"/>
  <c r="B33" i="59"/>
  <c r="A30" i="59"/>
  <c r="A31" i="59" s="1"/>
  <c r="A32" i="59" s="1"/>
  <c r="A33" i="59" s="1"/>
  <c r="A36" i="59" s="1"/>
  <c r="A37" i="59" s="1"/>
  <c r="A38" i="59" s="1"/>
  <c r="A39" i="59" s="1"/>
  <c r="A40" i="59" s="1"/>
  <c r="A41" i="59" s="1"/>
  <c r="A42" i="59" s="1"/>
  <c r="A44" i="59" s="1"/>
  <c r="G9" i="59" s="1"/>
  <c r="A18" i="63"/>
  <c r="A19" i="63" s="1"/>
  <c r="B26" i="59"/>
  <c r="A77" i="40"/>
  <c r="B11" i="63"/>
  <c r="E111" i="40"/>
  <c r="C123" i="40"/>
  <c r="B18" i="108"/>
  <c r="E22" i="63"/>
  <c r="S34" i="45"/>
  <c r="T34" i="45"/>
  <c r="R38" i="45"/>
  <c r="R41" i="45" s="1"/>
  <c r="E17" i="63" s="1"/>
  <c r="E19" i="63" s="1"/>
  <c r="T23" i="45"/>
  <c r="O342" i="84" s="1"/>
  <c r="S23" i="45"/>
  <c r="S9" i="45"/>
  <c r="S38" i="45" s="1"/>
  <c r="T9" i="45"/>
  <c r="O333" i="84" s="1"/>
  <c r="A24" i="40"/>
  <c r="A25" i="40" s="1"/>
  <c r="B9" i="63"/>
  <c r="O332" i="84"/>
  <c r="A78" i="40" l="1"/>
  <c r="A79" i="40" s="1"/>
  <c r="A80" i="40" s="1"/>
  <c r="A81" i="40" s="1"/>
  <c r="A82" i="40" s="1"/>
  <c r="A83" i="40" s="1"/>
  <c r="A84" i="40" s="1"/>
  <c r="A85" i="40" s="1"/>
  <c r="A86" i="40" s="1"/>
  <c r="A87" i="40" s="1"/>
  <c r="A88" i="40" s="1"/>
  <c r="G10" i="59"/>
  <c r="G11" i="59" s="1"/>
  <c r="G14" i="59" s="1"/>
  <c r="A21" i="63"/>
  <c r="B21" i="63"/>
  <c r="B19" i="63"/>
  <c r="G111" i="40"/>
  <c r="G123" i="40" s="1"/>
  <c r="E14" i="63" s="1"/>
  <c r="E15" i="63" s="1"/>
  <c r="E21" i="63" s="1"/>
  <c r="E27" i="63" s="1"/>
  <c r="E123" i="40"/>
  <c r="E23" i="63"/>
  <c r="T38" i="45"/>
  <c r="E26" i="35" s="1"/>
  <c r="E28" i="35" s="1"/>
  <c r="E26" i="63" s="1"/>
  <c r="A32" i="40"/>
  <c r="B78" i="88"/>
  <c r="G15" i="59" l="1"/>
  <c r="G16" i="59" s="1"/>
  <c r="G17" i="59" s="1"/>
  <c r="G18" i="59" s="1"/>
  <c r="G19" i="59" s="1"/>
  <c r="G20" i="59" s="1"/>
  <c r="G21" i="59" s="1"/>
  <c r="G22" i="59" s="1"/>
  <c r="G23" i="59" s="1"/>
  <c r="G24" i="59" s="1"/>
  <c r="G40" i="59" s="1"/>
  <c r="G41" i="59" s="1"/>
  <c r="H11" i="59"/>
  <c r="A92" i="40"/>
  <c r="A93" i="40" s="1"/>
  <c r="A94" i="40" s="1"/>
  <c r="B13" i="63" s="1"/>
  <c r="B12" i="63"/>
  <c r="B27" i="63"/>
  <c r="A22" i="63"/>
  <c r="A23" i="63" s="1"/>
  <c r="A24" i="63" s="1"/>
  <c r="A26" i="63" s="1"/>
  <c r="B88" i="40"/>
  <c r="E29" i="63"/>
  <c r="A12" i="111"/>
  <c r="A33" i="40"/>
  <c r="A34" i="40" s="1"/>
  <c r="A35" i="40" s="1"/>
  <c r="A36" i="40" s="1"/>
  <c r="A37" i="40" s="1"/>
  <c r="A38" i="40" s="1"/>
  <c r="A39" i="40" s="1"/>
  <c r="A40" i="40" s="1"/>
  <c r="A41" i="40" s="1"/>
  <c r="A42" i="40" s="1"/>
  <c r="A43" i="40" s="1"/>
  <c r="A44" i="40" s="1"/>
  <c r="A45" i="40" s="1"/>
  <c r="A245" i="84"/>
  <c r="A246" i="84" s="1"/>
  <c r="A247" i="84" s="1"/>
  <c r="A248" i="84" s="1"/>
  <c r="A249" i="84" s="1"/>
  <c r="A250" i="84" s="1"/>
  <c r="A251" i="84" s="1"/>
  <c r="A252" i="84" s="1"/>
  <c r="A253" i="84" s="1"/>
  <c r="A254" i="84" s="1"/>
  <c r="A255" i="84" s="1"/>
  <c r="A256" i="84" s="1"/>
  <c r="A257" i="84" s="1"/>
  <c r="A258" i="84" s="1"/>
  <c r="A259" i="84" s="1"/>
  <c r="A260" i="84" s="1"/>
  <c r="A262" i="84" s="1"/>
  <c r="A27" i="63" l="1"/>
  <c r="A28" i="63" s="1"/>
  <c r="A29" i="63" s="1"/>
  <c r="A31" i="63" s="1"/>
  <c r="A35" i="63" s="1"/>
  <c r="A36" i="63" s="1"/>
  <c r="B29" i="63"/>
  <c r="H24" i="59"/>
  <c r="A46" i="40"/>
  <c r="B10" i="63"/>
  <c r="B45" i="40"/>
</calcChain>
</file>

<file path=xl/sharedStrings.xml><?xml version="1.0" encoding="utf-8"?>
<sst xmlns="http://schemas.openxmlformats.org/spreadsheetml/2006/main" count="594" uniqueCount="477">
  <si>
    <t>Met betrekking tot 2009</t>
  </si>
  <si>
    <t>Met betrekking tot 2010</t>
  </si>
  <si>
    <t xml:space="preserve">U dient hier de afschrijvingen volgens de laatste rekenstaat 2009 in te vullen en deze vervolgens te vermenigvuldigen met de aangegeven factor. Het resultaat is de normatieve boekwaarde van medische en overige inventarissen. </t>
  </si>
  <si>
    <t xml:space="preserve">opgeven. Bij deze schoning dienen de in 2009 uitgevoerde verrichtingen van de DBC's die in 2009 geopend zijn en die in 2010 niet declarabel zijn </t>
  </si>
  <si>
    <t>Nacalculeerbare afschrijvingskosten (pagina 5)</t>
  </si>
  <si>
    <t>Investeringen in instandhouding (WZV/WTZi-meldingsplichtige vaste activa) (pagina 6)</t>
  </si>
  <si>
    <t>Afschrijvingskosten medische en overige inventarissen (pagina 6)</t>
  </si>
  <si>
    <t>Op pagina 6 wordt de budgetaanpassing op basis van de beleidsregel groei van de afschrijvingskosten berekend.</t>
  </si>
  <si>
    <t>Totaal Afschrijvingskosten Cure</t>
  </si>
  <si>
    <t xml:space="preserve"> Cure</t>
  </si>
  <si>
    <t>Investerings-</t>
  </si>
  <si>
    <t>ruimte</t>
  </si>
  <si>
    <t>Cure</t>
  </si>
  <si>
    <t xml:space="preserve">ruimte </t>
  </si>
  <si>
    <t xml:space="preserve">*** inclusief eventueel afschrijvingsbestanddeel in leasebetalingen </t>
  </si>
  <si>
    <t xml:space="preserve">KvK nummer </t>
  </si>
  <si>
    <t>Onderhanden bouwprojecten  met WZV/WTZi vergunning (geen investeringen meldingsregeling)</t>
  </si>
  <si>
    <t>U dient het NZa-nummer in te vullen</t>
  </si>
  <si>
    <t xml:space="preserve">      Invulvelden gearceerd</t>
  </si>
  <si>
    <t>040</t>
  </si>
  <si>
    <t>Zijn, voor de berekening van de nacalculeerbare afschrijvingskosten van de in 2007 geactiveerde activa, de afschrijvingspercentages gehanteerd zoals in de beleidsregel Afschrijving opgenomen? Indien in 2007 geen activa zijn geactiveerd, kies dan 'nvt:</t>
  </si>
  <si>
    <t>Maximaal aanvaardbare afschrijvingskosten cf toepassing van de beleidsregel groei van de afschrijvingskosten (2,25%)</t>
  </si>
  <si>
    <t>1.2</t>
  </si>
  <si>
    <t xml:space="preserve">C. </t>
  </si>
  <si>
    <t>Werkelijke boekwaarde instandhoudingsinvesteringen</t>
  </si>
  <si>
    <t xml:space="preserve">D. </t>
  </si>
  <si>
    <t xml:space="preserve">E. </t>
  </si>
  <si>
    <t xml:space="preserve">Afschrijvingen* </t>
  </si>
  <si>
    <t xml:space="preserve">F. </t>
  </si>
  <si>
    <t>Is voor de langlopende leningen die geborgd zijn door het Waarborgfonds van 22 november 1999 tot 1 januari 2001, de werkelijke verschuldigde rente verhoogd met 0,6%? Indien geen langlopende leningen zijn geborgd tussen genoemde periode, kies dan 'nvt'.</t>
  </si>
  <si>
    <t>Voldoen de aanvullende inkomsten die worden aangemerkt als vrij besteedbaar, aan de voorwaarden genoemd onder artikel 4 van de beleidsregel aanvullende inkomsten zorginstellingen? Indien geen aanvullende inkomsten, kies dan 'nvt'.</t>
  </si>
  <si>
    <t>Normatief werkkapitaal</t>
  </si>
  <si>
    <t xml:space="preserve">Norm. Boekwaarde </t>
  </si>
  <si>
    <t>Langlopende leningen (incl. langlopende leasecontracten)</t>
  </si>
  <si>
    <t xml:space="preserve">G. </t>
  </si>
  <si>
    <t xml:space="preserve">H. </t>
  </si>
  <si>
    <t>Eigen vermogen</t>
  </si>
  <si>
    <t xml:space="preserve">I. </t>
  </si>
  <si>
    <t>4.2</t>
  </si>
  <si>
    <t>4.3</t>
  </si>
  <si>
    <t>Nog in de tarieven te verrekenen</t>
  </si>
  <si>
    <t>TOELICHTING / INVULINSTRUCTIE</t>
  </si>
  <si>
    <t>Boekwaarde investeringen waarvoor vergunning is verleend</t>
  </si>
  <si>
    <t>Vrijvallende afschrijvingen</t>
  </si>
  <si>
    <t>Afschrijvingen nieuw</t>
  </si>
  <si>
    <t xml:space="preserve">Aanschafw. </t>
  </si>
  <si>
    <t>1.7</t>
  </si>
  <si>
    <t>Contactpersoon</t>
  </si>
  <si>
    <t>Telefoon</t>
  </si>
  <si>
    <t>Fax</t>
  </si>
  <si>
    <t>E-mail</t>
  </si>
  <si>
    <t>(datum)</t>
  </si>
  <si>
    <t>(naam)</t>
  </si>
  <si>
    <t>(handtekening)</t>
  </si>
  <si>
    <t>Ondertekening namens het orgaan voor de gezondheidszorg:</t>
  </si>
  <si>
    <t>INHOUDSOPGAVE</t>
  </si>
  <si>
    <t>1.4</t>
  </si>
  <si>
    <t>RUBRIEK 3: OVERZICHT MUTATIES</t>
  </si>
  <si>
    <t>januari</t>
  </si>
  <si>
    <t>februari</t>
  </si>
  <si>
    <t>maart</t>
  </si>
  <si>
    <t>april</t>
  </si>
  <si>
    <t>mei</t>
  </si>
  <si>
    <t>juni</t>
  </si>
  <si>
    <t>juli</t>
  </si>
  <si>
    <t>augustus</t>
  </si>
  <si>
    <t>Afschrijvingskosten medische en overige inventarissen</t>
  </si>
  <si>
    <t>Totaal budgetaanpassing</t>
  </si>
  <si>
    <t>RUBRIEK 4: Exploitatieresultaat</t>
  </si>
  <si>
    <t>Eventuele vordering vakantiegeldverplichting (volgens de balans per 1 januari van het jaar van invoering van het budgetsysteem)</t>
  </si>
  <si>
    <t>Grond</t>
  </si>
  <si>
    <t>2.6</t>
  </si>
  <si>
    <t>2.8</t>
  </si>
  <si>
    <t xml:space="preserve">Werkelijke </t>
  </si>
  <si>
    <t xml:space="preserve">rente** </t>
  </si>
  <si>
    <t>HOND</t>
  </si>
  <si>
    <t>Code</t>
  </si>
  <si>
    <t>1.8</t>
  </si>
  <si>
    <t>Positie eigen vermogen Ribw</t>
  </si>
  <si>
    <t>CEO</t>
  </si>
  <si>
    <t xml:space="preserve"> (t.b.v. definitieve afrekening met zorgkantoor)</t>
  </si>
  <si>
    <t>3.1</t>
  </si>
  <si>
    <t>3.2</t>
  </si>
  <si>
    <t>3.3</t>
  </si>
  <si>
    <t>BIJLAGEN RENTENORMERING</t>
  </si>
  <si>
    <t>K.</t>
  </si>
  <si>
    <t xml:space="preserve">Aanvullende informatie </t>
  </si>
  <si>
    <t xml:space="preserve">onderbesteding </t>
  </si>
  <si>
    <t xml:space="preserve">overbesteding/ </t>
  </si>
  <si>
    <t xml:space="preserve">Exploitatiekosten** </t>
  </si>
  <si>
    <t>nr.</t>
  </si>
  <si>
    <t>cat.</t>
  </si>
  <si>
    <t>Bedrag</t>
  </si>
  <si>
    <t>Omschrijving project 1.</t>
  </si>
  <si>
    <t>Goedgekeurd bedrag</t>
  </si>
  <si>
    <t>Omschrijving project 2.</t>
  </si>
  <si>
    <t>Te verklaren verschillen</t>
  </si>
  <si>
    <t xml:space="preserve">afschrijvingen* </t>
  </si>
  <si>
    <t xml:space="preserve">boekwaarde </t>
  </si>
  <si>
    <t>Is de Regeling Jaarverslaggeving Zorginstellingen (inclusief consolidatieplicht) toegepast ?</t>
  </si>
  <si>
    <t>Mutatie op overschrijding  (verzoek onderbouwen)</t>
  </si>
  <si>
    <t>Einddatum</t>
  </si>
  <si>
    <t>Werk.</t>
  </si>
  <si>
    <t>Norm.</t>
  </si>
  <si>
    <t>N,W,</t>
  </si>
  <si>
    <t>of V</t>
  </si>
  <si>
    <t>rentebedrag</t>
  </si>
  <si>
    <t>Aanvaardbaar</t>
  </si>
  <si>
    <t>Overschrijding bedrag kort gefinancierd</t>
  </si>
  <si>
    <t>2.1</t>
  </si>
  <si>
    <t>2.2</t>
  </si>
  <si>
    <t>RUBRIEK 4: OVERZICHT MUTATIES</t>
  </si>
  <si>
    <t>afschrijving</t>
  </si>
  <si>
    <t>Immateriële vaste activa</t>
  </si>
  <si>
    <t>Gebouwen</t>
  </si>
  <si>
    <t>Huur en leasing voor gebouwen / installaties</t>
  </si>
  <si>
    <t>Subtotaal</t>
  </si>
  <si>
    <t>Niet aanvaarde afschrijvingskosten</t>
  </si>
  <si>
    <t>Mutatie</t>
  </si>
  <si>
    <t>Overige vergoedingen ter dekking van het budget</t>
  </si>
  <si>
    <t>Overige opbrengsten</t>
  </si>
  <si>
    <t>Te dekken door opbrengsten</t>
  </si>
  <si>
    <t>Berekende</t>
  </si>
  <si>
    <t xml:space="preserve">rente </t>
  </si>
  <si>
    <t>Normatief</t>
  </si>
  <si>
    <t>Rentekosten langlopende leningen</t>
  </si>
  <si>
    <t xml:space="preserve">Gewogen schuld per periode (1 januari-data aflossingen-31 december) </t>
  </si>
  <si>
    <t>Berekening  gewogen schuld en rentekosten</t>
  </si>
  <si>
    <t>normrente</t>
  </si>
  <si>
    <t>schuld</t>
  </si>
  <si>
    <t>Specificatie in gebruikgenomen nacalculeerbare investeringen</t>
  </si>
  <si>
    <t>rentevastper.</t>
  </si>
  <si>
    <t>1)</t>
  </si>
  <si>
    <t>Pag.</t>
  </si>
  <si>
    <t>Minimaal te financieren met langlopende leningen</t>
  </si>
  <si>
    <t>Werkelijke boekwaarde instandhoudingsinvesteringen (inclusief onderhanden werk)</t>
  </si>
  <si>
    <t>Zorgverzekeraar 1</t>
  </si>
  <si>
    <t>Zorgverzekeraar 2</t>
  </si>
  <si>
    <t>BIJLAGEN BIJ CALCULATIEMODEL RENTEKOSTEN</t>
  </si>
  <si>
    <t>1) Voor oude leningen (w) in de kolom "aanvaardbare rentekosten" het werkelijke rentebedrag vermelden</t>
  </si>
  <si>
    <t xml:space="preserve">3. In de kolom 'N, W of V' moet een 'W' worden vermeld voor bestaande leningen waarvoor de werkelijke rentekosten aanvaardbaar zijn.  U vermeldt een 'V' als sprake is van een na 31 december 2000 afgesloten lening waarvoor een normrente is vastgesteld en die in de plaats komt van een vervroegd afgeloste lening. U vermeldt een 'N' wanneer voor de lening een normatief percentage is vastgesteld en er geen sprake is van vervanging van een vervroegd afgeloste lening. </t>
  </si>
  <si>
    <t>Nadat de periode, waarin voor de berekening van de aanvaardbare rentekosten werd uitgegaan van het rentepercentage van de oude lening, is verstreken dient u in de kolom 'einddatum rentevastperiode' de einddatum van de vervangende lening te vermelden en in de kolom '%werkelijk' het werkelijke rentepercentage van de vervangende lening.</t>
  </si>
  <si>
    <t>Nieuwe leningen kunt u in dit overzicht opnemen door de storting te verwerken als een negatieve aflossing. Als op de nieuwe lening in hetzelfde jaar nog wordt afgelost, kunnen deze aflossingen op een aparte regel worden verwerkt.</t>
  </si>
  <si>
    <t>Mutaties januari</t>
  </si>
  <si>
    <t>Mutaties februari</t>
  </si>
  <si>
    <t>Mutaties maart</t>
  </si>
  <si>
    <t>Mutaties april</t>
  </si>
  <si>
    <t>Mutaties mei</t>
  </si>
  <si>
    <t>Mutaties juni</t>
  </si>
  <si>
    <t>Mutaties juli</t>
  </si>
  <si>
    <t>Mutaties augustus</t>
  </si>
  <si>
    <t>Mutaties september</t>
  </si>
  <si>
    <t>Mutaties oktober</t>
  </si>
  <si>
    <t>Mutaties november</t>
  </si>
  <si>
    <t>Mutaties december</t>
  </si>
  <si>
    <t>Factor kolom 1</t>
  </si>
  <si>
    <t>Factor kolom 2</t>
  </si>
  <si>
    <t>Uitgevoerde nog niet</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</si>
  <si>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</si>
  <si>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</si>
  <si>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</si>
  <si>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</si>
  <si>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</si>
  <si>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</si>
  <si>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</si>
  <si>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</si>
  <si>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</si>
  <si>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</si>
  <si>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</si>
  <si>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</si>
  <si>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 xml:space="preserve">in gebruik genomen </t>
  </si>
  <si>
    <t>Aantal extra bijlagen bij het nacalculatieformulier:</t>
  </si>
  <si>
    <t>Verkeerde bed</t>
  </si>
  <si>
    <t>Diverse baten en lasten:</t>
  </si>
  <si>
    <t>Zorgprestaties derde compartiment</t>
  </si>
  <si>
    <t>Overige zorgprestaties</t>
  </si>
  <si>
    <t>Overige dienstverlening</t>
  </si>
  <si>
    <t>Overige subsidies</t>
  </si>
  <si>
    <t>Aanvullende inkomsten (niet ter dekking van het budget)</t>
  </si>
  <si>
    <t>Nacalculeerbare afschrijvingskosten (normale en verkorte procedures)</t>
  </si>
  <si>
    <t>Terreinvoorzieningen</t>
  </si>
  <si>
    <t>Verbouwingen</t>
  </si>
  <si>
    <t>Afschrijvings-</t>
  </si>
  <si>
    <t>percentages</t>
  </si>
  <si>
    <t>Afschrijvingen</t>
  </si>
  <si>
    <t>Mutaties aanvaardbare kosten</t>
  </si>
  <si>
    <t>Aanvaardbare</t>
  </si>
  <si>
    <t>kosten</t>
  </si>
  <si>
    <t>Immat. vaste activa</t>
  </si>
  <si>
    <t>Terreinvoorz.</t>
  </si>
  <si>
    <t>Structurele</t>
  </si>
  <si>
    <t>Vrijval afschrijving</t>
  </si>
  <si>
    <t xml:space="preserve">Jaar </t>
  </si>
  <si>
    <t xml:space="preserve">bedrag* </t>
  </si>
  <si>
    <t>*) Vermeld hier het aflossingsbedrag per aflossingsmoment</t>
  </si>
  <si>
    <t>F.</t>
  </si>
  <si>
    <t>Nog in tarieven te verrekenen kosten/opbrengsten</t>
  </si>
  <si>
    <t>Eventuele correctie voorgaande jaren</t>
  </si>
  <si>
    <t>1/12 van het budget</t>
  </si>
  <si>
    <t>Gedeclareerd</t>
  </si>
  <si>
    <t>Bestemmingsreserves</t>
  </si>
  <si>
    <t>Reserve afschrijving inventarissen</t>
  </si>
  <si>
    <t xml:space="preserve">Overige reserves </t>
  </si>
  <si>
    <t>Egalisatierekening afschrijving instandhoudingsinvesteringen</t>
  </si>
  <si>
    <t>Overige egalisatierekeningen</t>
  </si>
  <si>
    <t>Voorziening groot onderhoud</t>
  </si>
  <si>
    <t xml:space="preserve">Overige voorzieningen </t>
  </si>
  <si>
    <t>Versie</t>
  </si>
  <si>
    <t>Uitgevoerd en gefactureerd in januari</t>
  </si>
  <si>
    <t>Uitgevoerd en gefactureerd in februari</t>
  </si>
  <si>
    <t>Uitgevoerd en gefactureerd in maart</t>
  </si>
  <si>
    <t>D./E.</t>
  </si>
  <si>
    <t>G.</t>
  </si>
  <si>
    <t>Nog in tarieven te verrekenen</t>
  </si>
  <si>
    <t xml:space="preserve">J. </t>
  </si>
  <si>
    <t>Uitgevoerd en gefactureerd in april</t>
  </si>
  <si>
    <t>Uitgevoerd en gefactureerd in mei</t>
  </si>
  <si>
    <t>Uitgevoerd en gefactureerd in juni</t>
  </si>
  <si>
    <t>Uitgevoerd en gefactureerd in juli</t>
  </si>
  <si>
    <t>Uitgevoerd en gefactureerd in augustus</t>
  </si>
  <si>
    <t>Uitgevoerd en gefactureerd in september</t>
  </si>
  <si>
    <t>Uitgevoerd en gefactureerd in oktober</t>
  </si>
  <si>
    <t>Uitgevoerd en gefactureerd in november</t>
  </si>
  <si>
    <t>Uitgevoerd en gefactureerd in december</t>
  </si>
  <si>
    <t>Alle in te vullen velden zijn gearceerd. Dit kunt u hier aan- en uitschakelen. Voor het maken van een duidelijke afdruk van het nacalculatieformulier wordt aanbevolen eerst de arcering van de velden uit te zetten</t>
  </si>
  <si>
    <t>Kolommen</t>
  </si>
  <si>
    <t xml:space="preserve">Algemeen </t>
  </si>
  <si>
    <t>Deze vragenlijst wordt ingevuld door de instelling en gecontroleerd door de accountant.</t>
  </si>
  <si>
    <t>Per vraag aanklikken wat van toepassing is.</t>
  </si>
  <si>
    <t>Indien het antwoord in kolom 2 is aangeklikt dient op een separate bijlage een toelichting te worden gegeven.</t>
  </si>
  <si>
    <t>Vervolg VRAGENLIJST NACALCULATIE</t>
  </si>
  <si>
    <t>(in aanv.kstn)</t>
  </si>
  <si>
    <t>desinvestering</t>
  </si>
  <si>
    <t>Afschrijving v.</t>
  </si>
  <si>
    <t>Afschrijving investeringen t.l.v. trekkingsrechten</t>
  </si>
  <si>
    <t>Afschrijving inventarissen</t>
  </si>
  <si>
    <t>Budgetaanpassing rentekosten</t>
  </si>
  <si>
    <t>Is de berekening van de doorberekende kapitaalslasten juist en volledig, conform de beleidsregel Aanvullende inkomsten? Indien geen doorberekende kapitaalslasten, kies dan 'nvt'.</t>
  </si>
  <si>
    <t>Is bij de leningen (met een rentefixatieperiode van minimaal twee jaar) die vervroegd zijn afgelost en vervangen door nieuwe leningen, het juiste rentepercentage toegepast? Indien geen vervroegde aflossing en vervanging van leningen heeft plaatsgevonden, kies dan 'nvt'.</t>
  </si>
  <si>
    <t>Opbrengstresultaat</t>
  </si>
  <si>
    <t>Januari</t>
  </si>
  <si>
    <t>Februari</t>
  </si>
  <si>
    <t>Maart</t>
  </si>
  <si>
    <t>April</t>
  </si>
  <si>
    <t>Mei</t>
  </si>
  <si>
    <t>Juni</t>
  </si>
  <si>
    <t>Juli</t>
  </si>
  <si>
    <t>Augustus</t>
  </si>
  <si>
    <t>September</t>
  </si>
  <si>
    <t>Oktober</t>
  </si>
  <si>
    <t>November</t>
  </si>
  <si>
    <t>December</t>
  </si>
  <si>
    <t>Nacalculatie productie/aanvullende inkomsten</t>
  </si>
  <si>
    <t>Kapitaalslasten</t>
  </si>
  <si>
    <t>Vervolg kapitaalslasten</t>
  </si>
  <si>
    <t>Overige vragen</t>
  </si>
  <si>
    <t>Zijn in het lokaal overleg overige afspraken gemaakt die van invloed zijn op de aanvaardbare kosten?</t>
  </si>
  <si>
    <t>Handtekening</t>
  </si>
  <si>
    <t>KAFOV</t>
  </si>
  <si>
    <t>KRENTE</t>
  </si>
  <si>
    <t>KDOOKA</t>
  </si>
  <si>
    <t>KHUERF</t>
  </si>
  <si>
    <t>LPRIV</t>
  </si>
  <si>
    <t>VOORL</t>
  </si>
  <si>
    <t>Regel</t>
  </si>
  <si>
    <t xml:space="preserve">Instelling </t>
  </si>
  <si>
    <t>Plaats</t>
  </si>
  <si>
    <t>Omschrijving</t>
  </si>
  <si>
    <t>KPVP</t>
  </si>
  <si>
    <t>%</t>
  </si>
  <si>
    <t>Installaties</t>
  </si>
  <si>
    <t>Rekenstaat</t>
  </si>
  <si>
    <t>Gewogen boekwaarde</t>
  </si>
  <si>
    <t>Factor</t>
  </si>
  <si>
    <t>Geldgever</t>
  </si>
  <si>
    <t xml:space="preserve">Saldo </t>
  </si>
  <si>
    <t>Fictief berekende lening met betrekking tot huur/leasing van inventarissen</t>
  </si>
  <si>
    <t>Kapitaal</t>
  </si>
  <si>
    <t>Algemene reserves</t>
  </si>
  <si>
    <t>Reserve aanvaardbare kosten</t>
  </si>
  <si>
    <t>Saldo resultatenrekening</t>
  </si>
  <si>
    <t>Intrest leasingcontracten</t>
  </si>
  <si>
    <t>Datum</t>
  </si>
  <si>
    <t>Mutatie aanvaardbare kosten</t>
  </si>
  <si>
    <t>* In rekenstaat te vinden bij onderbouwing van de regel</t>
  </si>
  <si>
    <t>Berekening exploitatieresultaat</t>
  </si>
  <si>
    <t>&lt;&lt;&lt;</t>
  </si>
  <si>
    <t>Instandhoudingsinvestering</t>
  </si>
  <si>
    <t>dag</t>
  </si>
  <si>
    <t>ma(a)nd(en)</t>
  </si>
  <si>
    <t>Egalisatierekening annuïteitenrente en nog te verrekenen (aanvaardbare) boeterente [(beginbalans + eindbalans) : 2]</t>
  </si>
  <si>
    <t xml:space="preserve">% </t>
  </si>
  <si>
    <t xml:space="preserve">Bedrag </t>
  </si>
  <si>
    <t xml:space="preserve">bedrag </t>
  </si>
  <si>
    <t xml:space="preserve">Boekwaarde vergunningsplichtige investeringen zonder vergunning. </t>
  </si>
  <si>
    <t xml:space="preserve">Gewogen </t>
  </si>
  <si>
    <t xml:space="preserve">Factor </t>
  </si>
  <si>
    <t xml:space="preserve">Onderhanden </t>
  </si>
  <si>
    <t xml:space="preserve"> VKP´s </t>
  </si>
  <si>
    <t xml:space="preserve">In gebruik </t>
  </si>
  <si>
    <t xml:space="preserve"> genomen VKP´s </t>
  </si>
  <si>
    <t xml:space="preserve">Nog niet in </t>
  </si>
  <si>
    <t xml:space="preserve">genomen </t>
  </si>
  <si>
    <t xml:space="preserve">investeringen </t>
  </si>
  <si>
    <t xml:space="preserve">Boekwaarde </t>
  </si>
  <si>
    <t xml:space="preserve">Afschrijving </t>
  </si>
  <si>
    <t>Afschrijving</t>
  </si>
  <si>
    <t>investeringen</t>
  </si>
  <si>
    <t xml:space="preserve">gebruik genomen </t>
  </si>
  <si>
    <t xml:space="preserve">in gebruik </t>
  </si>
  <si>
    <t xml:space="preserve"> </t>
  </si>
  <si>
    <t>RUBRIEK 2: KAPITAALSLASTEN</t>
  </si>
  <si>
    <t>1.5</t>
  </si>
  <si>
    <t xml:space="preserve">1.1 </t>
  </si>
  <si>
    <t xml:space="preserve">1.2 </t>
  </si>
  <si>
    <t xml:space="preserve">1.3 </t>
  </si>
  <si>
    <t xml:space="preserve">1.6 </t>
  </si>
  <si>
    <t>Totaal</t>
  </si>
  <si>
    <t>Tarief*</t>
  </si>
  <si>
    <t xml:space="preserve">2.1 </t>
  </si>
  <si>
    <t>Nacalculeerbare afschrijvingskosten</t>
  </si>
  <si>
    <t xml:space="preserve">Totaal </t>
  </si>
  <si>
    <t xml:space="preserve">Aantal </t>
  </si>
  <si>
    <t xml:space="preserve">2.2 </t>
  </si>
  <si>
    <t>Niet-nacalculeerbare afschrijvingskosten</t>
  </si>
  <si>
    <t>Instandhoudingsinvesteringen</t>
  </si>
  <si>
    <t>2.3</t>
  </si>
  <si>
    <t xml:space="preserve">Jaarlijks </t>
  </si>
  <si>
    <t xml:space="preserve">Incidenteel </t>
  </si>
  <si>
    <t>Huren onroerende goederen en erfpacht</t>
  </si>
  <si>
    <t>2.4</t>
  </si>
  <si>
    <t>Activa</t>
  </si>
  <si>
    <t>Passiva</t>
  </si>
  <si>
    <t xml:space="preserve">Aanvaardbare </t>
  </si>
  <si>
    <t xml:space="preserve">kosten </t>
  </si>
  <si>
    <t>2.7</t>
  </si>
  <si>
    <t>Doorbelaste kapitaalslasten</t>
  </si>
  <si>
    <t xml:space="preserve">Mutatie </t>
  </si>
  <si>
    <t>4.1</t>
  </si>
  <si>
    <t xml:space="preserve">Werkelijk </t>
  </si>
  <si>
    <t xml:space="preserve">Rekenstaat </t>
  </si>
  <si>
    <t xml:space="preserve">Aanschafwaarde </t>
  </si>
  <si>
    <t xml:space="preserve">Afschrijvingen </t>
  </si>
  <si>
    <t xml:space="preserve">Besteed </t>
  </si>
  <si>
    <t>Onderhanden bouwprojecten normale WZV-procedures</t>
  </si>
  <si>
    <t xml:space="preserve">A. </t>
  </si>
  <si>
    <t>B.</t>
  </si>
  <si>
    <t>Epilepsiecentra, waarvoor de beleidsregels voor epilespie van toepassing zijn (040)</t>
  </si>
  <si>
    <t>Werkelijke boekwaarde medische en overige inventarissen</t>
  </si>
  <si>
    <t>* zie brief december 2003</t>
  </si>
  <si>
    <t xml:space="preserve">werkelijke </t>
  </si>
  <si>
    <t>(-/-)</t>
  </si>
  <si>
    <t>Met ingang van 2005 is het protocol voor evenwichtig balansbeheer komen te vervallen.</t>
  </si>
  <si>
    <t>Ontvangt u inkomsten (zoals bijvoorbeeld opbrengsten buitenlandse patienten) die dienen ter dekking van het WTG/WMG-budget, die vallen onder artikel 3.2 van de beleidsregel Aanvullende inkomsten zorginstellingen? Indien geen aanvullende inkomsten, kies dan 'nvt'.</t>
  </si>
  <si>
    <t>Zijn er ex WTG/WMG gefinancierde vermogensbestanddelen en / of gebouwen uit de WTG-instelling overgebracht naar een andere rechtspersoon?</t>
  </si>
  <si>
    <t xml:space="preserve">Zijn er WZV/WTZi-goedgekeurde onroerende zaken (ook door beheersstichtingen en / of -vennootschappen) verkocht (zie beleidsregel Verrekening boekwinsten)? </t>
  </si>
  <si>
    <t>Zijn de aanvaardbare rentekosten berekend conform het door de NZa opgestelde calculatiemodel rentekosten?</t>
  </si>
  <si>
    <t>Is voor de langlopende leningen, die zijn afgesloten na 1 januari 2001, het normrentepercentage gehanteerd dat overeenkomt met het normrentepercentage volgens de NZa-website rentenormering? Indien geen langlopende leningen zijn afgesloten na 1 januari 2001, kies dan 'nvt'.</t>
  </si>
  <si>
    <t>Registratienummer NZa</t>
  </si>
  <si>
    <t>Toelichting bij het elektronische formulier:</t>
  </si>
  <si>
    <t>De werkbladen zijn met een wachtwoord beveiligd. U kunt zelf werkbladen toevoegen. Indien u een onjuistheid ontdekt verzoeken wij u dit via e-mail aan de Nza door te geven (vragencure@nza.nl).</t>
  </si>
  <si>
    <t>Cellen waar met haakjes (    ) is aangegeven dat een negatief bedrag wordt verwacht, kunnen worden gevuld met positieve bedragen. Het programma rekent deze cellen automatisch om; bij een totaaltelling worden ze negatief in de som opgenomen.</t>
  </si>
  <si>
    <t>Kenmerk goedkeuring</t>
  </si>
  <si>
    <t>Investering</t>
  </si>
  <si>
    <t>investering</t>
  </si>
  <si>
    <t xml:space="preserve">Norm. </t>
  </si>
  <si>
    <t>In gebruik gen.</t>
  </si>
  <si>
    <t>investering-</t>
  </si>
  <si>
    <t>Jaarl. instandhouding</t>
  </si>
  <si>
    <t>Incidentele instandhouding (TR)</t>
  </si>
  <si>
    <t xml:space="preserve">Alle activiteiten die in rekening worden gebracht voor gezondheidszorgprestaties dienen als opbrengsten ter dekking voor het wettelijk budget te worden verantwoord met uitzondering van de opbrengsten in het kader van onderlinge dienstverlening tussen zorginstellingen. Vanaf 1 januari 1999 is de beleidsregel "aanvullende inkomsten zorginstellingen" van kracht. Opbrengsten die vallen onder deze beleidsregel hoeven niet ter dekking van het budget te worden aangewend. </t>
  </si>
  <si>
    <t xml:space="preserve">Betalingen door buitenlandse patiënten of verzekeraars, betalingen door werkgevers van patiënten en de in rekening gebrachte tarieven door aan de instelling verbonden dochtermaatschappen (bedrijvenpoliklinieken, buitenpoliklinieken en -praktijken, zotels, etc.) dienen door u als opbrengst verantwoord te worden. </t>
  </si>
  <si>
    <t>Normatieve boekwaarde medische en overige inventarissen</t>
  </si>
  <si>
    <t>D.</t>
  </si>
  <si>
    <t>DBC-A opbrengst</t>
  </si>
  <si>
    <t>Honoraria-opbrengsten voor medisch specialialistische hulp in loondienst</t>
  </si>
  <si>
    <t>Opbrengsten DBC-B segment inclusief kapitaallasten</t>
  </si>
  <si>
    <t>Mutatie onderhanden werk kostencomponent DBC-B</t>
  </si>
  <si>
    <t>Onderlinge dienstverlening tussen instellingen (WDS)</t>
  </si>
  <si>
    <t>Dieetadvisering</t>
  </si>
  <si>
    <t>Opbrengst trajecten</t>
  </si>
  <si>
    <t>Verblijf gezonde moeder</t>
  </si>
  <si>
    <t>Eigen bijdrage cliënten</t>
  </si>
  <si>
    <t>Verblijf gezonde zuigeling</t>
  </si>
  <si>
    <t>Opbrengsten wegblijftarief</t>
  </si>
  <si>
    <t>Ondersteunende en overige producten 1e lijn</t>
  </si>
  <si>
    <t>Overige producten</t>
  </si>
  <si>
    <t>Overige trajecten</t>
  </si>
  <si>
    <t>Opbrengst transmuraal</t>
  </si>
  <si>
    <t>Opbrengst buitenlandse patiënten</t>
  </si>
  <si>
    <t>Werkelijke opbrengsten (pagina 4)</t>
  </si>
  <si>
    <t>Specificatie aanvullende inkomsten (pagina 4)</t>
  </si>
  <si>
    <t>1.1</t>
  </si>
  <si>
    <t>1.3</t>
  </si>
  <si>
    <t>1.6</t>
  </si>
  <si>
    <t>Investerings</t>
  </si>
  <si>
    <t xml:space="preserve"> -ruimte ult</t>
  </si>
  <si>
    <t>Inbreng</t>
  </si>
  <si>
    <t xml:space="preserve"> -verplichting </t>
  </si>
  <si>
    <t xml:space="preserve">OHW ultimo </t>
  </si>
  <si>
    <t xml:space="preserve">Verplichting </t>
  </si>
  <si>
    <t>ultimo</t>
  </si>
  <si>
    <t xml:space="preserve">Besteedbaar </t>
  </si>
  <si>
    <t xml:space="preserve">ultimo </t>
  </si>
  <si>
    <t xml:space="preserve">Afgegeven </t>
  </si>
  <si>
    <t>budget</t>
  </si>
  <si>
    <t>Mutatie aanvaardbare kosten exclusief aanpasing rentekosten (regel 701 tm 703</t>
  </si>
  <si>
    <t>Doorberekende kapitaalslasten</t>
  </si>
  <si>
    <t>BIJLAGE 1: VRAGENLIJST NACALCULATIE</t>
  </si>
  <si>
    <t>In de derde kolom dient te worden uitgegaan van het budget op kasbasis volgens de laatst bekende rekenstaat 2006 aangevuld met de budgetmutaties volgens het nacalculatieformulier 2005 uitgezonderd de rentemutatie. Het totaal van deze kolom dient gelijk te</t>
  </si>
  <si>
    <t>BIJLAGE 2: CALCULATIEMODEL RENTEKOSTEN</t>
  </si>
  <si>
    <t>De werkbladen zijn met een wachtwoord beveiligd. U kunt zelf werkbladen toevoegen. Indien u een onjuistheid ontdekt verzoeken wij u dit via e-mail aan de Nza door te geven (formulierencure@nza.nl).</t>
  </si>
  <si>
    <t xml:space="preserve">  Invulvelden gearceerd</t>
  </si>
  <si>
    <t>toegerekende boekwaarde automatiseringsapparatuur (27% * regel 519*10)</t>
  </si>
  <si>
    <t>Overzicht afschrijvingen + regel 401- regel 402</t>
  </si>
  <si>
    <t>Normatief werkapitaal regel (532) + (6,8% * regel 531)</t>
  </si>
  <si>
    <t>Opbrengsten volgens regel 420 nac formulier</t>
  </si>
  <si>
    <t>Sub(totaal) regel 701 t/m 730</t>
  </si>
  <si>
    <t>Totaal aanvaardbare rentekosten Cure</t>
  </si>
  <si>
    <t>Correctie tbv aansluiting aanvaardb. kosten cf jaarrekening en aanvaardb kosten cf nacalc. Formulier</t>
  </si>
  <si>
    <t>Op regel 914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t>
  </si>
  <si>
    <t>De rente van lange leningen op regel 916 dient te corresponderen met de leningen die in het overzicht onder H zijn vermeld. Boeterente als gevolg van het converteren van leningen (voor 2001) wordt afgeschreven over een variabele periode. De lengte van de periode wordt berekend door het bedrag van de boeterente te delen door het rentevoordeel dat in het eerste jaar na de conversiedatum wordt behaald.</t>
  </si>
  <si>
    <t>Aanvaardbare kosten op kasbasis conform nacalculatieformulier voor budgetaanpassing rente (regel 707)</t>
  </si>
  <si>
    <t>Correctie schoning slaap waak DBC*</t>
  </si>
  <si>
    <t xml:space="preserve">betrokken te worden. </t>
  </si>
  <si>
    <t>Werkelijke opbrengsten</t>
  </si>
  <si>
    <t xml:space="preserve">* Tussen het epilepsiecentrum en de zorgverzekeraars zijn er voorlopige afspraken gemaakt over de hoogte van de schoning van het budget 2010 ten </t>
  </si>
  <si>
    <t>Met betrekking tot 2007</t>
  </si>
  <si>
    <t>Met betrekking tot 2008</t>
  </si>
  <si>
    <r>
      <t xml:space="preserve">Tussentijdse verrekening opbrengsten via vaste bedragen </t>
    </r>
    <r>
      <rPr>
        <b/>
        <sz val="9"/>
        <rFont val="Verdana"/>
        <family val="2"/>
      </rPr>
      <t>2009</t>
    </r>
    <r>
      <rPr>
        <sz val="9"/>
        <rFont val="Verdana"/>
        <family val="2"/>
      </rPr>
      <t>*</t>
    </r>
  </si>
  <si>
    <t xml:space="preserve">*Deze opbrengsten zijn in de rentenormerings balans van het nacalculatieformulier 2009 opgenomen als vordering/schuld en dienen uit de opbrengsten te worden gehaald ten behoeve van de rente berekening 2010. Hierdoor blijven de tussentijdse verrekeningen van het financieringsoverschot 2008 en/of 2009, afgerekend in 2009, buiten het nog te verrekenen bedrag per 31-12-2009. </t>
  </si>
  <si>
    <t>Versiebeheer</t>
  </si>
  <si>
    <t>Omschrijving wijzigingen</t>
  </si>
  <si>
    <t>Distributie</t>
  </si>
  <si>
    <t>Werkelijke afschrijvingskosten medisch en overige inventarissen**</t>
  </si>
  <si>
    <t>Met betrekking tot 2011</t>
  </si>
  <si>
    <t>Totaal tussentijds verrekend via vaste bedragen</t>
  </si>
  <si>
    <t>Percentages t.b.v. berekening rentekosten</t>
  </si>
  <si>
    <t>Normatieve rentepercentage kort krediet **</t>
  </si>
  <si>
    <t>1.0</t>
  </si>
  <si>
    <t>Publicatie formulier</t>
  </si>
  <si>
    <t>Met betrekking tot 2012</t>
  </si>
  <si>
    <r>
      <t xml:space="preserve">*Opbrengstverschillen worden vanaf 1-1-2008 niet via het verrekenpercentage verrekend, maar door middel van een vast bedrag per instelling dat over verzekeraars verdeeld moet worden. Deze vaste bedragen dienen in de opbrengsten ter dekking van het budget meegenomen te worden in het jaar dat daadwerkelijk verrekening heeft plaatsgevonden </t>
    </r>
    <r>
      <rPr>
        <b/>
        <sz val="8"/>
        <rFont val="Verdana"/>
        <family val="2"/>
      </rPr>
      <t>nadat de NZa deze heeft vastgesteld middels een tariefbeschikking</t>
    </r>
    <r>
      <rPr>
        <sz val="8"/>
        <rFont val="Verdana"/>
        <family val="2"/>
      </rPr>
      <t xml:space="preserve">. De bedragen die worden opgevoerd dienen de werkelijk verrekende bedragen te zijn en niet de door de NZa afgegeven bedragen. Ten aanzien van tussentijdse verrekeningen met betrekking tot 2012 wordt opgemerkt dat deze dus niet als (negatieve) opbrengsten moeten worden verantwoord. Deze bedragen moeten wel als vordering/schuld aan de zorgverzekeraar in de balans worden opgenomen. Op regel 442 kan dit bedrag ter informatie worden opgenomen. </t>
    </r>
  </si>
  <si>
    <t>Hier dient u investeringen waarvoor een normale WZV/WTZi-procedure is doorlopen en ingebruikname in 2012 heeft plaatsgevonden te specificeren. Met betrekking tot de rentekosten tijdens de bouw wordt nog opgemerkt dat overeenkomstig de beleidsregel rentenormering de rentekosten tijdens de bouw tot 2002 onderdeel uitmaken van de investeringskosten, waarover dient te worden afgeschreven. In de verleende WZV/WTZi-vergunning van normale procedures tot 2002 maken de rentekosten tijdens de bouw ook onderdeel uit van de totale investeringskosten waarvoor toestemming is verleend. De investeringen op grond  van verkorte procedures kunt u tevens kwijt op deze pagina´s. Voor deze investeringen dient de rente tijdens de bouw niet te worden geactiveerd, maar rechtstreeks ten laste van het exploitatieresultaat te worden gebracht.</t>
  </si>
  <si>
    <t>Op basis van de vaststellling van de nacalculeerbare afschrijvingskosten 2012 dient aangegeven te worden welke afschrijvingskosten aanvaardbaar zijn voor de vaststelling van het budget curatieve zorg 2012. De NZa verzoekt u een toelichting te geven op de wijze waarop de afschrijvingskosten zijn toegerekend aan de curatieve zorg.</t>
  </si>
  <si>
    <t>Is eerst de jaarlijkse investeringsruimte volledig benut (in het onderdeel van het nacalculatieformulier over instandhoudingsinvesteringen), alvorens trekkingsrechten zijn aangesproken voor incidentele instandhoudingsinvesteringen? Indien geen instandhoudingsinvesteringen in 2012, kies dan 'nvt'</t>
  </si>
  <si>
    <t>De bijlage calculatiemodel rentekosten dient te worden gebruikt om de aanvaarbare rentekosten 2012 te berekenen. Het berekende bedrag op regel 318 wordt ingevuld in het nacalculatieformulier 2012 op regel 709. Deze pagina's hoeft u niet naar de NZa te zenden.</t>
  </si>
  <si>
    <t>Heffingsrente</t>
  </si>
  <si>
    <t>In de derde kolom worden de maandbedragen berekend op basis van 1/12 deel van het budget op kasbasis volgens de laatst bekende rekenstaat 2012 aangevuld met de budgetmutaties volgens het nacalculatieformulier 2012 uitgezonderd de rentemutatie. Het totaal van deze kolom dient gelijk te zijn aan het bedrag op pagina 7 nacalculatieformulier, regel 708. In de vierde kolom dient per maand te worden aangegeven de declaratiewaarde van de productie in die maand, ongeacht het moment van factureren. Opbrengsten van toeslagen die zijn afgegeven voor de verrekening van de lumpsum (specialistenhonorering) dienen buiten beschouwing te blijven.</t>
  </si>
  <si>
    <t>In de laatste kolom komt op regel 604 het saldo ultimo 2011 te staan. Dit bedrag komt overeen met het financieringsresultaat ultimo 2011 conform de berekening in de eerste tabel bij onderdeel G. Voor het invullen van de eerste tabel dient u uit te gaan van de opbrengstregistratie uit de meest recente rekenstaat van het lopende jaar.</t>
  </si>
  <si>
    <t>Voor de bepaling van het resultaat dient te worden uitgegaan van het budget aanvaardbare kosten op kasbasis volgens de laatst bekende rekenstaat 2011, aangevuld met de budgetmutaties volgens het nacalculatieformulier 2011, uitgezonderd de mutatie op de rente. De gegevens op deze bijlage dienen aan te sluiten bij de jaarrekening. In het resultaat volgens de jaarrekening is het volledige resultaat op rente inbegrepen. Teneinde aanluiting te behouden kan op regel 913 de mutatie op rente worden opgenomen. Als het resultaat in de reserves is verwerkt, behoeft regel 911 niet te worden ingevuld.</t>
  </si>
  <si>
    <t>** In de beleidsregel CU-2056 wordt aangegeven dat over het eigen vermogen een vergoeding wordt ingecalculeerd. Deze vergoeding is gelijk aan de prijsstijging van de materiële kosten.</t>
  </si>
  <si>
    <t>Inflatievergoeding over eigen vermogen *</t>
  </si>
  <si>
    <t xml:space="preserve">behoeve van de slaap waak DBC's die in 2010 tot het B-segment behoren. Op regel regel 706 kunt u eventuele aanpassingen op deze afspraak </t>
  </si>
  <si>
    <t>Aantal extra bijlagen bij het formulier:</t>
  </si>
  <si>
    <t>Verrekenbedrag 2013</t>
  </si>
  <si>
    <t>* De bijlage calculatiemodel rentekosten dient te worden gebruikt om de aanvaarbare rentekosten 2013 te berekenen. Het berekende bedrag op regel 818 wordt ingevuld in het nacalculatieformulier 2013 op regel 710. Deze pagina's van bijlage 2 hoeft u niet naar de NZa te zenden.</t>
  </si>
  <si>
    <t>Het betreft hier opbrengsten die vallen onder de beleidsregel aanvullende inkomsten zorginstellingen. Hierin is vastgelegd dat inkomsten van bepaalde activiteiten niet met de aanvaardbare kosten behoeven te worden verrekend, maar dat deze onder bepaalde voorwaarden kunnen worden behouden. Deze opbrengsten dienen in het rekeningschema 2013 verantwoord te worden in rekeninggroep 83. Onder de aanvullende inkomsten valt tevens onderlinge dienstverlening tussen instellingen; hierop is de beleidsregel onderlinge dienstverlening van toepassing. 
Slechts ter bepaling van de reserve aanvaardbare kosten kunnen deze opbrengsten met de exploitatiekosten worden verrekend. Ook als u de opbrengsten als negatieve kosten in de exploitatie-rekening hebt verwerkt, wordt u verzocht een specificatie te geven.</t>
  </si>
  <si>
    <t xml:space="preserve">Voor een onderbouwing van de afschrijvingsbedragen over investeringen die in 2013 in gebruik zijn genomen, dient u de investeringen per vergunning te specificeren. U wordt verzocht om per project een kopie van de betreffende vergunning met het nacalculatieformulier mee te zenden. Dit geldt ook voor de goedgekeurde huurbedragen.
</t>
  </si>
  <si>
    <t>De instandhoudingsinvesteringen die in 2013 in gebruik zijn genomen dienen te worden gespecificeerd. Hierbij wordt onderscheid gemaakt in investeringen ten laste van de jaarlijkse instandhoudingen en investeringen ten laste van trekkingsrechten.</t>
  </si>
  <si>
    <t>Het formulier biedt ruimte om de beschikbare investeringsruimte 2013 vast te stellen. Zorgaanbieder en zorgverzekeraars dienen overeen te komen welke gedeelte van de normatieve ruimte 2013 betrekking heeft op de curatieve zorg. Van deze ruimte kunnen de investeringen die in 2010 in gebruik genomen zijn en betrekking hadden op de curatieve zorg in mindering worden gebracht. De NZa verzoekt u een toelichting te geven op de wijze waarop deze afspraak tot stand is gekomen.</t>
  </si>
  <si>
    <t>Totaal opbrengsten 2013 ter dekking van het vaste budget</t>
  </si>
  <si>
    <t>Tussentijdse verrekening opbrengsten in 2013 via vaste bedragen</t>
  </si>
  <si>
    <t>Met betrekking tot 2013</t>
  </si>
  <si>
    <t>(1)</t>
  </si>
  <si>
    <t>(2)</t>
  </si>
  <si>
    <t>Verrekenbedrag 2014</t>
  </si>
  <si>
    <t>Transitiebedrag (1) - (2)</t>
  </si>
  <si>
    <t>Totaal 2013</t>
  </si>
  <si>
    <t>** De normatieve investeringsruimte 2013 kan bepaald worden door het aantal normatieve vierkante meters te vermenigvuldigen met € 18,37 voor de jaarlijkse instandhouding en          € 112 ,28 voor de trekkingsrechten.</t>
  </si>
  <si>
    <t>Verrekend in opbrengsten (budget 2013 plus eventuele verrekeningen voorgaande jaren)</t>
  </si>
  <si>
    <t>Bijlage bij Vaststelling Transitiebedrag Epilepsiecentra (040)</t>
  </si>
  <si>
    <t>* U dient conform nadere regeling "Transitie bekostigingsstructuur medisch specialistische zorg" het ingevulde formulier (Excel) en het ondertekende voorblad (PDF) elektronisch naar de NZa toe te zenden. U wordt verzocht uw mail met bijlages te sturen naar info@nza.nl.</t>
  </si>
  <si>
    <t>Definiteve Vaststelling Transitiebedrag</t>
  </si>
  <si>
    <t>Inzenden voor 1 juni 2015</t>
  </si>
  <si>
    <t>Totaal 604 t/m 618</t>
  </si>
  <si>
    <t>De gedeclareerde bedragen op regel 619 en 620 moeten aan elkaar gelijk zijn.</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</si>
</sst>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0.0000"/>
    <numFmt numFmtId="165" formatCode="#,##0.0_-;#,##0.0\-"/>
    <numFmt numFmtId="166" formatCode="0.000"/>
    <numFmt numFmtId="167" formatCode="#,##0_ ;[Red]\-#,##0\ "/>
    <numFmt numFmtId="168" formatCode="#,##0.0"/>
    <numFmt numFmtId="169" formatCode="#,##0;\(#,##0\);"/>
    <numFmt numFmtId="170" formatCode="0.0%"/>
    <numFmt numFmtId="171" formatCode="#,##0.0000"/>
    <numFmt numFmtId="172" formatCode="#,##0_ \ ;\(#,##0\)_ ;"/>
    <numFmt numFmtId="173" formatCode="#,##0\ ;\(#,##0\);"/>
    <numFmt numFmtId="174" formatCode="#,##0_ \ ;\(#,##0\)_ ;\ \ "/>
    <numFmt numFmtId="175" formatCode="#,##0_ ;\(#,##0\);"/>
    <numFmt numFmtId="176" formatCode="dd/mm/yy_ "/>
    <numFmt numFmtId="177" formatCode="\(#,##0\)_ ;#,##0_ \ ;\ \(* \)_ "/>
    <numFmt numFmtId="178" formatCode="#,##0_ ;;"/>
    <numFmt numFmtId="179" formatCode="General\ "/>
    <numFmt numFmtId="180" formatCode="0\ ;"/>
    <numFmt numFmtId="181" formatCode="\ \ƒ* #,##0_ \ ;\ \ƒ* ;\ \ƒ* "/>
    <numFmt numFmtId="182" formatCode="\ \ \ \ 0"/>
    <numFmt numFmtId="183" formatCode="0_ "/>
    <numFmt numFmtId="184" formatCode="0;;"/>
    <numFmt numFmtId="185" formatCode="0%;\(0%\);\%"/>
    <numFmt numFmtId="186" formatCode="dd/mm/yy;@"/>
    <numFmt numFmtId="187" formatCode="d/mm/yy;@"/>
  </numFmts>
  <fonts count="37" x14ac:knownFonts="1">
    <font>
      <sz val="10"/>
      <name val="Arial"/>
    </font>
    <font>
      <sz val="10"/>
      <name val="Arial"/>
      <family val="2"/>
    </font>
    <font>
      <b/>
      <sz val="10"/>
      <name val="Arial"/>
      <family val="2"/>
    </font>
    <font>
      <sz val="8"/>
      <name val="Arial"/>
      <family val="2"/>
    </font>
    <font>
      <sz val="10"/>
      <name val="Arial"/>
      <family val="2"/>
    </font>
    <font>
      <b/>
      <sz val="8"/>
      <name val="Arial"/>
      <family val="2"/>
    </font>
    <font>
      <sz val="9"/>
      <name val="Arial"/>
      <family val="2"/>
    </font>
    <font>
      <b/>
      <sz val="9"/>
      <name val="Arial"/>
      <family val="2"/>
    </font>
    <font>
      <sz val="8"/>
      <color indexed="9"/>
      <name val="Arial"/>
      <family val="2"/>
    </font>
    <font>
      <sz val="10"/>
      <name val="Helv"/>
    </font>
    <font>
      <b/>
      <sz val="14"/>
      <name val="Helv"/>
    </font>
    <font>
      <sz val="24"/>
      <color indexed="13"/>
      <name val="Helv"/>
    </font>
    <font>
      <b/>
      <i/>
      <sz val="8"/>
      <name val="Arial"/>
      <family val="2"/>
    </font>
    <font>
      <b/>
      <sz val="8"/>
      <color indexed="9"/>
      <name val="Arial"/>
      <family val="2"/>
    </font>
    <font>
      <b/>
      <i/>
      <sz val="9"/>
      <name val="Arial"/>
      <family val="2"/>
    </font>
    <font>
      <sz val="9"/>
      <color indexed="61"/>
      <name val="Arial"/>
      <family val="2"/>
    </font>
    <font>
      <i/>
      <sz val="9"/>
      <name val="Arial"/>
      <family val="2"/>
    </font>
    <font>
      <sz val="8"/>
      <name val="Arial"/>
      <family val="2"/>
    </font>
    <font>
      <sz val="9"/>
      <name val="Arial"/>
      <family val="2"/>
    </font>
    <font>
      <b/>
      <sz val="8"/>
      <name val="Verdana"/>
      <family val="2"/>
    </font>
    <font>
      <b/>
      <sz val="14"/>
      <name val="Verdana"/>
      <family val="2"/>
    </font>
    <font>
      <sz val="10"/>
      <name val="Verdana"/>
      <family val="2"/>
    </font>
    <font>
      <sz val="10"/>
      <color indexed="9"/>
      <name val="Verdana"/>
      <family val="2"/>
    </font>
    <font>
      <b/>
      <sz val="9"/>
      <name val="Verdana"/>
      <family val="2"/>
    </font>
    <font>
      <sz val="9"/>
      <name val="Verdana"/>
      <family val="2"/>
    </font>
    <font>
      <sz val="9"/>
      <color indexed="9"/>
      <name val="Verdana"/>
      <family val="2"/>
    </font>
    <font>
      <sz val="9"/>
      <color indexed="47"/>
      <name val="Verdana"/>
      <family val="2"/>
    </font>
    <font>
      <sz val="8"/>
      <name val="Verdana"/>
      <family val="2"/>
    </font>
    <font>
      <b/>
      <sz val="9"/>
      <color indexed="9"/>
      <name val="Verdana"/>
      <family val="2"/>
    </font>
    <font>
      <b/>
      <sz val="9"/>
      <color indexed="8"/>
      <name val="Verdana"/>
      <family val="2"/>
    </font>
    <font>
      <b/>
      <i/>
      <sz val="9"/>
      <name val="Verdana"/>
      <family val="2"/>
    </font>
    <font>
      <b/>
      <sz val="11"/>
      <name val="Verdana"/>
      <family val="2"/>
    </font>
    <font>
      <b/>
      <sz val="10"/>
      <name val="Verdana"/>
      <family val="2"/>
    </font>
    <font>
      <sz val="8"/>
      <color indexed="10"/>
      <name val="Verdana"/>
      <family val="2"/>
    </font>
    <font>
      <b/>
      <sz val="9"/>
      <color indexed="43"/>
      <name val="Verdana"/>
      <family val="2"/>
    </font>
    <font>
      <sz val="9"/>
      <color indexed="43"/>
      <name val="Verdana"/>
      <family val="2"/>
    </font>
    <font>
      <sz val="8"/>
      <color rgb="FF000000"/>
      <name val="Tahoma"/>
      <family val="2"/>
    </font>
  </fonts>
  <fills count="10">
    <fill>
      <patternFill patternType="none"/>
    </fill>
    <fill>
      <patternFill patternType="gray125"/>
    </fill>
    <fill>
      <patternFill patternType="solid">
        <fgColor indexed="13"/>
      </patternFill>
    </fill>
    <fill>
      <patternFill patternType="solid">
        <fgColor indexed="43"/>
        <bgColor indexed="64"/>
      </patternFill>
    </fill>
    <fill>
      <patternFill patternType="solid">
        <fgColor indexed="12"/>
      </patternFill>
    </fill>
    <fill>
      <patternFill patternType="solid">
        <fgColor indexed="60"/>
        <bgColor indexed="64"/>
      </patternFill>
    </fill>
    <fill>
      <patternFill patternType="solid">
        <fgColor indexed="16"/>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7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double">
        <color indexed="8"/>
      </top>
      <bottom style="thin">
        <color indexed="8"/>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bottom/>
      <diagonal/>
    </border>
    <border>
      <left/>
      <right/>
      <top style="hair">
        <color indexed="64"/>
      </top>
      <bottom/>
      <diagonal/>
    </border>
    <border>
      <left/>
      <right/>
      <top style="thin">
        <color indexed="64"/>
      </top>
      <bottom/>
      <diagonal/>
    </border>
    <border>
      <left/>
      <right style="thin">
        <color indexed="64"/>
      </right>
      <top/>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hair">
        <color indexed="64"/>
      </right>
      <top/>
      <bottom style="hair">
        <color indexed="64"/>
      </bottom>
      <diagonal/>
    </border>
    <border>
      <left/>
      <right/>
      <top style="thin">
        <color indexed="64"/>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style="thin">
        <color indexed="64"/>
      </right>
      <top/>
      <bottom/>
      <diagonal/>
    </border>
  </borders>
  <cellStyleXfs count="27">
    <xf numFmtId="0" fontId="0" fillId="0" borderId="0" applyFill="0" applyBorder="0"/>
    <xf numFmtId="0" fontId="9" fillId="0" borderId="0"/>
    <xf numFmtId="0" fontId="9" fillId="0" borderId="1"/>
    <xf numFmtId="0" fontId="10" fillId="2" borderId="1"/>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1" fillId="0" borderId="0" applyFont="0" applyFill="0" applyBorder="0" applyAlignment="0" applyProtection="0"/>
    <xf numFmtId="0" fontId="9" fillId="0" borderId="0"/>
    <xf numFmtId="0" fontId="1" fillId="0" borderId="0" applyFill="0" applyBorder="0"/>
    <xf numFmtId="0" fontId="1" fillId="0" borderId="0"/>
    <xf numFmtId="0" fontId="1" fillId="0" borderId="0"/>
    <xf numFmtId="0" fontId="1" fillId="0" borderId="0" applyFill="0" applyBorder="0"/>
    <xf numFmtId="172" fontId="6" fillId="0" borderId="2" applyFill="0" applyBorder="0"/>
    <xf numFmtId="181" fontId="6" fillId="0" borderId="2" applyFill="0" applyBorder="0"/>
    <xf numFmtId="177" fontId="6" fillId="0" borderId="2" applyFill="0" applyBorder="0"/>
    <xf numFmtId="172" fontId="7" fillId="3" borderId="3"/>
    <xf numFmtId="177" fontId="7" fillId="3" borderId="3"/>
    <xf numFmtId="0" fontId="9" fillId="0" borderId="1"/>
    <xf numFmtId="0" fontId="11" fillId="4" borderId="0"/>
    <xf numFmtId="0" fontId="10" fillId="0" borderId="4"/>
    <xf numFmtId="0" fontId="10" fillId="0" borderId="1"/>
  </cellStyleXfs>
  <cellXfs count="1349">
    <xf numFmtId="0" fontId="0" fillId="0" borderId="0" xfId="0"/>
    <xf numFmtId="0" fontId="2" fillId="0" borderId="0" xfId="0" applyNumberFormat="1" applyFont="1" applyAlignment="1" applyProtection="1">
      <protection hidden="1"/>
    </xf>
    <xf numFmtId="0" fontId="0" fillId="0" borderId="0" xfId="0" applyAlignment="1" applyProtection="1">
      <protection hidden="1"/>
    </xf>
    <xf numFmtId="0" fontId="0" fillId="0" borderId="0" xfId="0" applyAlignment="1" applyProtection="1">
      <alignment horizontal="left"/>
      <protection hidden="1"/>
    </xf>
    <xf numFmtId="0" fontId="2" fillId="0" borderId="0" xfId="0" applyFont="1" applyBorder="1" applyAlignment="1" applyProtection="1">
      <protection hidden="1"/>
    </xf>
    <xf numFmtId="0" fontId="0" fillId="0" borderId="0" xfId="0" applyBorder="1" applyAlignment="1" applyProtection="1">
      <protection hidden="1"/>
    </xf>
    <xf numFmtId="0" fontId="3" fillId="0" borderId="5" xfId="0" applyNumberFormat="1" applyFont="1" applyBorder="1" applyAlignment="1" applyProtection="1">
      <alignment vertical="center"/>
      <protection hidden="1"/>
    </xf>
    <xf numFmtId="0" fontId="3" fillId="0" borderId="5" xfId="0" applyFont="1" applyBorder="1" applyAlignment="1" applyProtection="1">
      <alignment vertical="center"/>
      <protection hidden="1"/>
    </xf>
    <xf numFmtId="0" fontId="13" fillId="0" borderId="5" xfId="0" applyNumberFormat="1" applyFont="1" applyBorder="1" applyAlignment="1" applyProtection="1">
      <alignment vertical="center"/>
      <protection hidden="1"/>
    </xf>
    <xf numFmtId="0" fontId="8" fillId="0" borderId="5" xfId="0" applyFont="1" applyBorder="1" applyAlignment="1" applyProtection="1">
      <alignment vertical="center"/>
      <protection hidden="1"/>
    </xf>
    <xf numFmtId="180" fontId="3" fillId="0" borderId="6" xfId="0" applyNumberFormat="1" applyFont="1" applyBorder="1" applyAlignment="1" applyProtection="1">
      <alignment horizontal="right" vertical="center"/>
      <protection hidden="1"/>
    </xf>
    <xf numFmtId="0" fontId="3"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7" fillId="0" borderId="0" xfId="0" applyNumberFormat="1" applyFont="1" applyBorder="1" applyAlignment="1" applyProtection="1">
      <alignment horizontal="left"/>
      <protection hidden="1"/>
    </xf>
    <xf numFmtId="37" fontId="0" fillId="0" borderId="0" xfId="0" applyNumberFormat="1" applyAlignment="1" applyProtection="1">
      <protection hidden="1"/>
    </xf>
    <xf numFmtId="2" fontId="4" fillId="0" borderId="0" xfId="0" applyNumberFormat="1" applyFont="1" applyAlignment="1" applyProtection="1">
      <protection hidden="1"/>
    </xf>
    <xf numFmtId="37" fontId="4" fillId="0" borderId="0" xfId="0" applyNumberFormat="1" applyFont="1" applyAlignment="1" applyProtection="1">
      <protection hidden="1"/>
    </xf>
    <xf numFmtId="37" fontId="2" fillId="0" borderId="0" xfId="0" applyNumberFormat="1" applyFont="1" applyBorder="1" applyAlignment="1" applyProtection="1">
      <alignment horizontal="left"/>
      <protection hidden="1"/>
    </xf>
    <xf numFmtId="37" fontId="2" fillId="0" borderId="0" xfId="0" applyNumberFormat="1" applyFont="1" applyBorder="1" applyAlignment="1" applyProtection="1">
      <alignment horizontal="center"/>
      <protection hidden="1"/>
    </xf>
    <xf numFmtId="0" fontId="2" fillId="0" borderId="0" xfId="15" applyFont="1" applyBorder="1" applyAlignment="1" applyProtection="1">
      <alignment horizontal="left"/>
      <protection hidden="1"/>
    </xf>
    <xf numFmtId="0" fontId="5" fillId="0" borderId="0" xfId="0" applyNumberFormat="1" applyFont="1" applyBorder="1" applyAlignment="1" applyProtection="1">
      <alignment vertical="center"/>
      <protection hidden="1"/>
    </xf>
    <xf numFmtId="37" fontId="5" fillId="3" borderId="3" xfId="0" applyNumberFormat="1" applyFont="1" applyFill="1" applyBorder="1" applyAlignment="1" applyProtection="1">
      <alignment horizontal="left" vertical="center"/>
      <protection hidden="1"/>
    </xf>
    <xf numFmtId="37" fontId="5" fillId="3" borderId="7" xfId="0" applyNumberFormat="1" applyFont="1" applyFill="1" applyBorder="1" applyAlignment="1" applyProtection="1">
      <alignment horizontal="right" vertical="center"/>
      <protection hidden="1"/>
    </xf>
    <xf numFmtId="37" fontId="5" fillId="0" borderId="0" xfId="0" applyNumberFormat="1" applyFont="1" applyBorder="1" applyAlignment="1" applyProtection="1">
      <alignment vertical="center"/>
      <protection hidden="1"/>
    </xf>
    <xf numFmtId="37" fontId="5" fillId="3" borderId="3" xfId="0" applyNumberFormat="1" applyFont="1" applyFill="1" applyBorder="1" applyAlignment="1" applyProtection="1">
      <alignment horizontal="right" vertical="center"/>
      <protection hidden="1"/>
    </xf>
    <xf numFmtId="0" fontId="7" fillId="0" borderId="0" xfId="0" applyNumberFormat="1" applyFont="1" applyBorder="1" applyAlignment="1" applyProtection="1">
      <protection hidden="1"/>
    </xf>
    <xf numFmtId="37" fontId="7" fillId="0" borderId="0" xfId="0" applyNumberFormat="1" applyFont="1" applyBorder="1" applyAlignment="1" applyProtection="1">
      <protection hidden="1"/>
    </xf>
    <xf numFmtId="0" fontId="7" fillId="0" borderId="0" xfId="0" applyFont="1" applyBorder="1" applyAlignment="1" applyProtection="1">
      <alignment horizontal="left" vertical="top"/>
      <protection hidden="1"/>
    </xf>
    <xf numFmtId="0" fontId="7" fillId="0" borderId="0" xfId="0" applyFont="1" applyBorder="1" applyAlignment="1" applyProtection="1">
      <alignment horizontal="right" vertical="top"/>
      <protection hidden="1"/>
    </xf>
    <xf numFmtId="0" fontId="7" fillId="0" borderId="0" xfId="0" applyFont="1" applyBorder="1" applyAlignment="1" applyProtection="1">
      <alignment horizontal="right"/>
      <protection hidden="1"/>
    </xf>
    <xf numFmtId="0" fontId="7" fillId="3" borderId="8" xfId="0" applyNumberFormat="1" applyFont="1" applyFill="1" applyBorder="1" applyAlignment="1" applyProtection="1">
      <alignment horizontal="left"/>
      <protection hidden="1"/>
    </xf>
    <xf numFmtId="0" fontId="7" fillId="3" borderId="9" xfId="0" applyNumberFormat="1" applyFont="1" applyFill="1" applyBorder="1" applyAlignment="1" applyProtection="1">
      <alignment horizontal="left"/>
      <protection hidden="1"/>
    </xf>
    <xf numFmtId="37" fontId="7" fillId="0" borderId="0" xfId="0" applyNumberFormat="1" applyFont="1" applyBorder="1" applyAlignment="1" applyProtection="1">
      <alignment horizontal="left"/>
      <protection hidden="1"/>
    </xf>
    <xf numFmtId="0" fontId="7" fillId="3" borderId="10" xfId="0" applyNumberFormat="1" applyFont="1" applyFill="1" applyBorder="1" applyAlignment="1" applyProtection="1">
      <alignment horizontal="left"/>
      <protection hidden="1"/>
    </xf>
    <xf numFmtId="0" fontId="7" fillId="3" borderId="11" xfId="0" applyNumberFormat="1" applyFont="1" applyFill="1" applyBorder="1" applyAlignment="1" applyProtection="1">
      <alignment horizontal="left"/>
      <protection hidden="1"/>
    </xf>
    <xf numFmtId="37" fontId="6" fillId="0" borderId="12" xfId="0" applyNumberFormat="1" applyFont="1" applyFill="1" applyBorder="1" applyAlignment="1" applyProtection="1">
      <protection hidden="1"/>
    </xf>
    <xf numFmtId="0" fontId="7" fillId="3" borderId="3" xfId="0" applyNumberFormat="1" applyFont="1" applyFill="1" applyBorder="1" applyAlignment="1" applyProtection="1">
      <alignment horizontal="left"/>
      <protection hidden="1"/>
    </xf>
    <xf numFmtId="37" fontId="7" fillId="3" borderId="5" xfId="0" applyNumberFormat="1" applyFont="1" applyFill="1" applyBorder="1" applyAlignment="1" applyProtection="1">
      <protection hidden="1"/>
    </xf>
    <xf numFmtId="178" fontId="6" fillId="3" borderId="5" xfId="18" applyNumberFormat="1" applyFont="1" applyFill="1" applyBorder="1" applyAlignment="1" applyProtection="1">
      <alignment horizontal="left"/>
      <protection hidden="1"/>
    </xf>
    <xf numFmtId="178" fontId="6" fillId="3" borderId="5" xfId="20" applyNumberFormat="1" applyFont="1" applyFill="1" applyBorder="1" applyAlignment="1" applyProtection="1">
      <protection hidden="1"/>
    </xf>
    <xf numFmtId="0" fontId="7" fillId="0" borderId="0" xfId="0" applyNumberFormat="1" applyFont="1" applyAlignment="1" applyProtection="1">
      <protection hidden="1"/>
    </xf>
    <xf numFmtId="0" fontId="6" fillId="0" borderId="0" xfId="0" applyFont="1" applyAlignment="1" applyProtection="1">
      <protection hidden="1"/>
    </xf>
    <xf numFmtId="0" fontId="6" fillId="0" borderId="0" xfId="0" applyFont="1" applyAlignment="1" applyProtection="1">
      <alignment horizontal="left"/>
      <protection hidden="1"/>
    </xf>
    <xf numFmtId="0" fontId="7" fillId="0" borderId="0" xfId="0" applyFont="1" applyBorder="1" applyAlignment="1" applyProtection="1">
      <alignment horizontal="left"/>
      <protection hidden="1"/>
    </xf>
    <xf numFmtId="0" fontId="7" fillId="0" borderId="0" xfId="0" applyFont="1" applyBorder="1" applyAlignment="1" applyProtection="1">
      <protection hidden="1"/>
    </xf>
    <xf numFmtId="178" fontId="6" fillId="3" borderId="7" xfId="20" applyNumberFormat="1" applyFont="1" applyFill="1" applyBorder="1" applyAlignment="1" applyProtection="1">
      <protection hidden="1"/>
    </xf>
    <xf numFmtId="0" fontId="7" fillId="0" borderId="0" xfId="0" applyFont="1" applyAlignment="1" applyProtection="1">
      <protection hidden="1"/>
    </xf>
    <xf numFmtId="0" fontId="6" fillId="0" borderId="0" xfId="0" applyFont="1" applyAlignment="1" applyProtection="1">
      <alignment vertical="top"/>
      <protection hidden="1"/>
    </xf>
    <xf numFmtId="37" fontId="6" fillId="0" borderId="13" xfId="0" applyNumberFormat="1" applyFont="1" applyFill="1" applyBorder="1" applyAlignment="1" applyProtection="1">
      <protection locked="0" hidden="1"/>
    </xf>
    <xf numFmtId="0" fontId="6" fillId="0" borderId="13" xfId="0" applyFont="1" applyFill="1" applyBorder="1" applyAlignment="1" applyProtection="1">
      <protection locked="0" hidden="1"/>
    </xf>
    <xf numFmtId="0" fontId="7" fillId="3" borderId="14" xfId="0" applyNumberFormat="1" applyFont="1" applyFill="1" applyBorder="1" applyAlignment="1" applyProtection="1">
      <alignment horizontal="left"/>
      <protection hidden="1"/>
    </xf>
    <xf numFmtId="0" fontId="6" fillId="3" borderId="5" xfId="0" applyFont="1" applyFill="1" applyBorder="1" applyAlignment="1" applyProtection="1">
      <protection hidden="1"/>
    </xf>
    <xf numFmtId="0" fontId="2" fillId="0" borderId="0" xfId="0" applyNumberFormat="1" applyFont="1" applyBorder="1" applyAlignment="1" applyProtection="1">
      <protection hidden="1"/>
    </xf>
    <xf numFmtId="0" fontId="7" fillId="3" borderId="15" xfId="0" applyNumberFormat="1" applyFont="1" applyFill="1" applyBorder="1" applyAlignment="1" applyProtection="1">
      <alignment horizontal="left"/>
      <protection hidden="1"/>
    </xf>
    <xf numFmtId="37" fontId="6" fillId="0" borderId="6" xfId="0" applyNumberFormat="1" applyFont="1" applyFill="1" applyBorder="1" applyAlignment="1" applyProtection="1">
      <protection locked="0" hidden="1"/>
    </xf>
    <xf numFmtId="0" fontId="6" fillId="0" borderId="6" xfId="0" applyFont="1" applyFill="1" applyBorder="1" applyAlignment="1" applyProtection="1">
      <protection locked="0" hidden="1"/>
    </xf>
    <xf numFmtId="164" fontId="6" fillId="0" borderId="0" xfId="0" applyNumberFormat="1" applyFont="1" applyBorder="1" applyAlignment="1" applyProtection="1">
      <alignment horizontal="center"/>
      <protection hidden="1"/>
    </xf>
    <xf numFmtId="172" fontId="6" fillId="0" borderId="0" xfId="18" applyFont="1" applyBorder="1" applyAlignment="1" applyProtection="1">
      <protection hidden="1"/>
    </xf>
    <xf numFmtId="37" fontId="7" fillId="3" borderId="16" xfId="0" applyNumberFormat="1" applyFont="1" applyFill="1" applyBorder="1" applyAlignment="1" applyProtection="1">
      <protection hidden="1"/>
    </xf>
    <xf numFmtId="0" fontId="7" fillId="3" borderId="5" xfId="0" applyFont="1" applyFill="1" applyBorder="1" applyAlignment="1" applyProtection="1">
      <protection hidden="1"/>
    </xf>
    <xf numFmtId="0" fontId="7" fillId="3" borderId="7" xfId="0" applyFont="1" applyFill="1" applyBorder="1" applyAlignment="1" applyProtection="1">
      <protection hidden="1"/>
    </xf>
    <xf numFmtId="37" fontId="5" fillId="0" borderId="0" xfId="0" applyNumberFormat="1" applyFont="1" applyFill="1" applyBorder="1" applyAlignment="1" applyProtection="1">
      <alignment horizontal="right" vertical="center"/>
      <protection hidden="1"/>
    </xf>
    <xf numFmtId="179" fontId="5" fillId="0" borderId="0" xfId="0" applyNumberFormat="1" applyFont="1" applyFill="1" applyBorder="1" applyAlignment="1" applyProtection="1">
      <alignment horizontal="right" vertical="center"/>
      <protection hidden="1"/>
    </xf>
    <xf numFmtId="0" fontId="5" fillId="0" borderId="0" xfId="0" applyNumberFormat="1" applyFont="1" applyBorder="1" applyAlignment="1" applyProtection="1">
      <protection hidden="1"/>
    </xf>
    <xf numFmtId="37" fontId="5" fillId="0" borderId="0" xfId="0" applyNumberFormat="1" applyFont="1" applyBorder="1" applyAlignment="1" applyProtection="1">
      <protection hidden="1"/>
    </xf>
    <xf numFmtId="0" fontId="2" fillId="0" borderId="0" xfId="0" applyFont="1" applyBorder="1" applyAlignment="1" applyProtection="1">
      <alignment horizontal="right" vertical="top"/>
      <protection hidden="1"/>
    </xf>
    <xf numFmtId="0" fontId="2" fillId="0" borderId="0" xfId="0" applyFont="1" applyBorder="1" applyAlignment="1" applyProtection="1">
      <alignment horizontal="right"/>
      <protection hidden="1"/>
    </xf>
    <xf numFmtId="37" fontId="5" fillId="0" borderId="0" xfId="0" applyNumberFormat="1" applyFont="1" applyFill="1" applyBorder="1" applyAlignment="1" applyProtection="1">
      <protection hidden="1"/>
    </xf>
    <xf numFmtId="0" fontId="2" fillId="0" borderId="0" xfId="0" applyFont="1" applyFill="1" applyBorder="1" applyAlignment="1" applyProtection="1">
      <alignment horizontal="right" vertical="top"/>
      <protection hidden="1"/>
    </xf>
    <xf numFmtId="0" fontId="2" fillId="0" borderId="0" xfId="0" applyFont="1" applyFill="1" applyBorder="1" applyAlignment="1" applyProtection="1">
      <alignment horizontal="right"/>
      <protection hidden="1"/>
    </xf>
    <xf numFmtId="0" fontId="7" fillId="0" borderId="0" xfId="0" applyNumberFormat="1" applyFont="1" applyFill="1" applyBorder="1" applyAlignment="1" applyProtection="1">
      <alignment horizontal="left"/>
      <protection hidden="1"/>
    </xf>
    <xf numFmtId="0" fontId="7" fillId="0" borderId="0" xfId="0" applyFont="1" applyFill="1" applyBorder="1" applyAlignment="1" applyProtection="1">
      <alignment vertical="top"/>
      <protection hidden="1"/>
    </xf>
    <xf numFmtId="0" fontId="6" fillId="0" borderId="0" xfId="0" applyFont="1" applyFill="1" applyBorder="1" applyAlignment="1" applyProtection="1">
      <alignment vertical="top"/>
      <protection hidden="1"/>
    </xf>
    <xf numFmtId="0" fontId="12" fillId="0" borderId="17" xfId="0" applyNumberFormat="1" applyFont="1" applyFill="1" applyBorder="1" applyAlignment="1" applyProtection="1">
      <alignment horizontal="right"/>
      <protection hidden="1"/>
    </xf>
    <xf numFmtId="0" fontId="2" fillId="0" borderId="0" xfId="0" applyNumberFormat="1" applyFont="1" applyFill="1" applyBorder="1" applyAlignment="1" applyProtection="1">
      <protection hidden="1"/>
    </xf>
    <xf numFmtId="0" fontId="0" fillId="0" borderId="0" xfId="0" applyFill="1" applyBorder="1" applyAlignment="1" applyProtection="1">
      <protection hidden="1"/>
    </xf>
    <xf numFmtId="0" fontId="7" fillId="0" borderId="17" xfId="0" applyFont="1" applyFill="1" applyBorder="1" applyAlignment="1" applyProtection="1">
      <alignment horizontal="right"/>
      <protection hidden="1"/>
    </xf>
    <xf numFmtId="0" fontId="6" fillId="0" borderId="18" xfId="0" applyFont="1" applyFill="1" applyBorder="1" applyAlignment="1" applyProtection="1">
      <protection hidden="1"/>
    </xf>
    <xf numFmtId="172" fontId="6" fillId="0" borderId="19" xfId="18" applyFont="1" applyFill="1" applyBorder="1" applyAlignment="1" applyProtection="1">
      <protection hidden="1"/>
    </xf>
    <xf numFmtId="172" fontId="6" fillId="3" borderId="7" xfId="18" applyFont="1" applyFill="1" applyBorder="1" applyAlignment="1" applyProtection="1">
      <protection hidden="1"/>
    </xf>
    <xf numFmtId="0" fontId="7" fillId="3" borderId="2" xfId="0" applyNumberFormat="1" applyFont="1" applyFill="1" applyBorder="1" applyAlignment="1" applyProtection="1">
      <alignment horizontal="left"/>
      <protection hidden="1"/>
    </xf>
    <xf numFmtId="0" fontId="7" fillId="0" borderId="20" xfId="0" applyFont="1" applyFill="1" applyBorder="1" applyAlignment="1" applyProtection="1">
      <alignment horizontal="right"/>
      <protection hidden="1"/>
    </xf>
    <xf numFmtId="0" fontId="7" fillId="0" borderId="0" xfId="0" applyNumberFormat="1" applyFont="1" applyFill="1" applyBorder="1" applyAlignment="1" applyProtection="1">
      <protection hidden="1"/>
    </xf>
    <xf numFmtId="0" fontId="6" fillId="0" borderId="0" xfId="0" applyFont="1" applyFill="1" applyBorder="1" applyAlignment="1" applyProtection="1">
      <protection hidden="1"/>
    </xf>
    <xf numFmtId="0" fontId="2" fillId="0" borderId="0" xfId="0" applyFont="1" applyFill="1" applyBorder="1" applyAlignment="1" applyProtection="1">
      <protection hidden="1"/>
    </xf>
    <xf numFmtId="0" fontId="2" fillId="0" borderId="0" xfId="0" applyNumberFormat="1" applyFont="1" applyFill="1" applyAlignment="1" applyProtection="1">
      <protection hidden="1"/>
    </xf>
    <xf numFmtId="0" fontId="0" fillId="0" borderId="0" xfId="0" applyFill="1" applyAlignment="1" applyProtection="1">
      <protection hidden="1"/>
    </xf>
    <xf numFmtId="0" fontId="12" fillId="0" borderId="13" xfId="0" applyFont="1" applyFill="1" applyBorder="1" applyAlignment="1" applyProtection="1">
      <alignment horizontal="right"/>
      <protection hidden="1"/>
    </xf>
    <xf numFmtId="172" fontId="6" fillId="3" borderId="5" xfId="18" applyFont="1" applyFill="1" applyBorder="1" applyAlignment="1" applyProtection="1">
      <protection hidden="1"/>
    </xf>
    <xf numFmtId="0" fontId="6" fillId="0" borderId="0" xfId="0" applyFont="1" applyBorder="1" applyAlignment="1" applyProtection="1">
      <protection hidden="1"/>
    </xf>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4" fillId="0" borderId="0" xfId="0" applyFont="1" applyAlignment="1" applyProtection="1">
      <protection hidden="1"/>
    </xf>
    <xf numFmtId="37" fontId="7" fillId="0" borderId="0" xfId="0" applyNumberFormat="1" applyFont="1" applyAlignment="1" applyProtection="1">
      <protection hidden="1"/>
    </xf>
    <xf numFmtId="37" fontId="6" fillId="0" borderId="0" xfId="0" applyNumberFormat="1" applyFont="1" applyAlignment="1" applyProtection="1">
      <protection hidden="1"/>
    </xf>
    <xf numFmtId="0" fontId="4" fillId="0" borderId="0" xfId="0" applyFont="1" applyBorder="1" applyAlignment="1" applyProtection="1">
      <protection hidden="1"/>
    </xf>
    <xf numFmtId="2" fontId="4" fillId="0" borderId="0" xfId="0" applyNumberFormat="1" applyFont="1" applyAlignment="1" applyProtection="1">
      <alignment horizontal="left"/>
      <protection hidden="1"/>
    </xf>
    <xf numFmtId="0" fontId="2" fillId="0" borderId="0" xfId="0" applyNumberFormat="1" applyFont="1" applyBorder="1" applyAlignment="1" applyProtection="1">
      <alignment horizontal="left"/>
      <protection hidden="1"/>
    </xf>
    <xf numFmtId="0" fontId="5" fillId="0" borderId="0" xfId="0" applyFont="1" applyFill="1" applyBorder="1" applyAlignment="1" applyProtection="1">
      <alignment horizontal="left"/>
      <protection hidden="1"/>
    </xf>
    <xf numFmtId="168" fontId="5" fillId="0" borderId="0" xfId="0" applyNumberFormat="1" applyFont="1" applyFill="1" applyBorder="1" applyAlignment="1" applyProtection="1">
      <alignment horizontal="left"/>
      <protection hidden="1"/>
    </xf>
    <xf numFmtId="0" fontId="5" fillId="0" borderId="0" xfId="0" applyNumberFormat="1" applyFont="1" applyFill="1" applyBorder="1" applyAlignment="1" applyProtection="1">
      <alignment horizontal="right"/>
      <protection hidden="1"/>
    </xf>
    <xf numFmtId="37" fontId="5"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0" fontId="5" fillId="0" borderId="0" xfId="0" applyFont="1" applyFill="1" applyAlignment="1" applyProtection="1">
      <protection hidden="1"/>
    </xf>
    <xf numFmtId="37" fontId="5" fillId="3" borderId="21" xfId="0" applyNumberFormat="1" applyFont="1" applyFill="1" applyBorder="1" applyAlignment="1" applyProtection="1">
      <alignment horizontal="right" vertical="center"/>
      <protection hidden="1"/>
    </xf>
    <xf numFmtId="183" fontId="5" fillId="3" borderId="14" xfId="0" applyNumberFormat="1" applyFont="1" applyFill="1" applyBorder="1" applyAlignment="1" applyProtection="1">
      <alignment horizontal="right" vertical="center"/>
      <protection hidden="1"/>
    </xf>
    <xf numFmtId="0" fontId="5" fillId="3" borderId="22" xfId="0" applyFont="1" applyFill="1" applyBorder="1" applyAlignment="1" applyProtection="1">
      <alignment horizontal="right" vertical="center"/>
      <protection hidden="1"/>
    </xf>
    <xf numFmtId="0" fontId="5" fillId="3" borderId="3" xfId="0" applyFont="1" applyFill="1" applyBorder="1" applyAlignment="1" applyProtection="1">
      <alignment horizontal="right" vertical="center"/>
      <protection hidden="1"/>
    </xf>
    <xf numFmtId="0" fontId="5" fillId="3" borderId="14" xfId="0" applyFont="1" applyFill="1" applyBorder="1" applyAlignment="1" applyProtection="1">
      <alignment horizontal="right" vertical="center"/>
      <protection hidden="1"/>
    </xf>
    <xf numFmtId="168" fontId="7" fillId="0" borderId="0" xfId="0" applyNumberFormat="1" applyFont="1" applyFill="1" applyBorder="1" applyAlignment="1" applyProtection="1">
      <alignment horizontal="left"/>
      <protection hidden="1"/>
    </xf>
    <xf numFmtId="0" fontId="7" fillId="0" borderId="0" xfId="0" applyNumberFormat="1" applyFont="1" applyFill="1" applyBorder="1" applyAlignment="1" applyProtection="1">
      <alignment horizontal="right"/>
      <protection hidden="1"/>
    </xf>
    <xf numFmtId="37" fontId="7" fillId="0" borderId="0" xfId="0" applyNumberFormat="1" applyFont="1" applyFill="1" applyBorder="1" applyAlignment="1" applyProtection="1">
      <alignment horizontal="center"/>
      <protection hidden="1"/>
    </xf>
    <xf numFmtId="0" fontId="7" fillId="0" borderId="0" xfId="0" applyFont="1" applyFill="1" applyBorder="1" applyAlignment="1" applyProtection="1">
      <alignment horizontal="right"/>
      <protection hidden="1"/>
    </xf>
    <xf numFmtId="0" fontId="3" fillId="0" borderId="0" xfId="0" applyNumberFormat="1" applyFont="1" applyBorder="1" applyAlignment="1" applyProtection="1">
      <alignment horizontal="left"/>
      <protection hidden="1"/>
    </xf>
    <xf numFmtId="0" fontId="5" fillId="0" borderId="0" xfId="0" applyFont="1" applyBorder="1" applyAlignment="1" applyProtection="1">
      <alignment horizontal="left"/>
      <protection hidden="1"/>
    </xf>
    <xf numFmtId="0" fontId="3" fillId="0" borderId="0" xfId="0" applyFont="1" applyFill="1" applyAlignment="1" applyProtection="1">
      <protection hidden="1"/>
    </xf>
    <xf numFmtId="0" fontId="3" fillId="0" borderId="0" xfId="0" applyFont="1" applyFill="1" applyBorder="1" applyAlignment="1" applyProtection="1">
      <protection hidden="1"/>
    </xf>
    <xf numFmtId="0" fontId="3" fillId="0" borderId="0" xfId="0" applyFont="1" applyAlignment="1" applyProtection="1">
      <protection hidden="1"/>
    </xf>
    <xf numFmtId="37" fontId="7" fillId="0" borderId="0" xfId="0" applyNumberFormat="1" applyFont="1" applyFill="1" applyBorder="1" applyAlignment="1" applyProtection="1">
      <alignment horizontal="right"/>
      <protection hidden="1"/>
    </xf>
    <xf numFmtId="0" fontId="12" fillId="0" borderId="0" xfId="0" applyFont="1" applyBorder="1" applyAlignment="1" applyProtection="1">
      <alignment horizontal="right"/>
      <protection hidden="1"/>
    </xf>
    <xf numFmtId="0" fontId="6" fillId="0" borderId="17" xfId="0" applyFont="1" applyFill="1" applyBorder="1" applyAlignment="1" applyProtection="1">
      <protection hidden="1"/>
    </xf>
    <xf numFmtId="168" fontId="0" fillId="0" borderId="0" xfId="0" applyNumberFormat="1" applyAlignment="1" applyProtection="1">
      <alignment horizontal="left"/>
      <protection hidden="1"/>
    </xf>
    <xf numFmtId="37" fontId="7" fillId="0" borderId="0" xfId="0" applyNumberFormat="1" applyFont="1" applyFill="1" applyBorder="1" applyAlignment="1" applyProtection="1">
      <alignment horizontal="right" vertical="center"/>
      <protection hidden="1"/>
    </xf>
    <xf numFmtId="0" fontId="7" fillId="0" borderId="0" xfId="15" applyFont="1" applyAlignment="1" applyProtection="1">
      <alignment horizontal="left"/>
      <protection hidden="1"/>
    </xf>
    <xf numFmtId="0" fontId="7" fillId="3" borderId="8" xfId="15" applyFont="1" applyFill="1" applyBorder="1" applyAlignment="1" applyProtection="1">
      <alignment horizontal="left"/>
      <protection hidden="1"/>
    </xf>
    <xf numFmtId="0" fontId="7" fillId="3" borderId="10" xfId="15" applyFont="1" applyFill="1" applyBorder="1" applyAlignment="1" applyProtection="1">
      <alignment horizontal="left"/>
      <protection hidden="1"/>
    </xf>
    <xf numFmtId="0" fontId="6" fillId="0" borderId="0" xfId="15" applyFont="1" applyBorder="1" applyAlignment="1" applyProtection="1">
      <alignment horizontal="center"/>
      <protection hidden="1"/>
    </xf>
    <xf numFmtId="0" fontId="7" fillId="3" borderId="15" xfId="15" applyFont="1" applyFill="1" applyBorder="1" applyAlignment="1" applyProtection="1">
      <alignment horizontal="left"/>
      <protection hidden="1"/>
    </xf>
    <xf numFmtId="0" fontId="7" fillId="3" borderId="3" xfId="15" applyFont="1" applyFill="1" applyBorder="1" applyAlignment="1" applyProtection="1">
      <alignment horizontal="left"/>
      <protection hidden="1"/>
    </xf>
    <xf numFmtId="0" fontId="7" fillId="3" borderId="3" xfId="0" applyFont="1" applyFill="1" applyBorder="1" applyAlignment="1" applyProtection="1">
      <alignment horizontal="left"/>
      <protection hidden="1"/>
    </xf>
    <xf numFmtId="0" fontId="6" fillId="0" borderId="0" xfId="15" applyFont="1" applyAlignment="1" applyProtection="1">
      <alignment horizontal="left"/>
      <protection hidden="1"/>
    </xf>
    <xf numFmtId="37" fontId="7" fillId="0" borderId="0" xfId="0" applyNumberFormat="1" applyFont="1" applyFill="1" applyBorder="1" applyAlignment="1" applyProtection="1">
      <protection hidden="1"/>
    </xf>
    <xf numFmtId="0" fontId="7" fillId="3" borderId="8" xfId="0" applyFont="1" applyFill="1" applyBorder="1" applyAlignment="1" applyProtection="1">
      <alignment horizontal="left"/>
      <protection hidden="1"/>
    </xf>
    <xf numFmtId="0" fontId="6" fillId="0" borderId="13" xfId="0" applyFont="1" applyFill="1" applyBorder="1" applyAlignment="1" applyProtection="1">
      <protection hidden="1"/>
    </xf>
    <xf numFmtId="0" fontId="7" fillId="3" borderId="10" xfId="0" applyFont="1" applyFill="1" applyBorder="1" applyAlignment="1" applyProtection="1">
      <alignment horizontal="left"/>
      <protection hidden="1"/>
    </xf>
    <xf numFmtId="176" fontId="6" fillId="0" borderId="23" xfId="0" applyNumberFormat="1" applyFont="1" applyFill="1" applyBorder="1" applyAlignment="1" applyProtection="1">
      <alignment horizontal="left"/>
      <protection locked="0" hidden="1"/>
    </xf>
    <xf numFmtId="2" fontId="0" fillId="0" borderId="0" xfId="0" applyNumberFormat="1" applyAlignment="1" applyProtection="1">
      <protection hidden="1"/>
    </xf>
    <xf numFmtId="37" fontId="0" fillId="0" borderId="0" xfId="0" applyNumberFormat="1" applyAlignment="1" applyProtection="1">
      <alignment horizontal="center"/>
      <protection hidden="1"/>
    </xf>
    <xf numFmtId="37" fontId="0" fillId="0" borderId="0" xfId="0" applyNumberFormat="1" applyBorder="1" applyAlignment="1" applyProtection="1">
      <protection hidden="1"/>
    </xf>
    <xf numFmtId="37" fontId="0" fillId="0" borderId="0" xfId="0" applyNumberFormat="1" applyBorder="1" applyAlignment="1" applyProtection="1">
      <alignment horizontal="center"/>
      <protection hidden="1"/>
    </xf>
    <xf numFmtId="182" fontId="6" fillId="0" borderId="23" xfId="0" applyNumberFormat="1" applyFont="1" applyFill="1" applyBorder="1" applyAlignment="1" applyProtection="1">
      <alignment horizontal="left"/>
      <protection hidden="1"/>
    </xf>
    <xf numFmtId="0" fontId="6" fillId="0" borderId="23" xfId="0" applyNumberFormat="1" applyFont="1" applyFill="1" applyBorder="1" applyAlignment="1" applyProtection="1">
      <alignment horizontal="left"/>
      <protection hidden="1"/>
    </xf>
    <xf numFmtId="0" fontId="6" fillId="5" borderId="24" xfId="0" applyNumberFormat="1" applyFont="1" applyFill="1" applyBorder="1" applyAlignment="1" applyProtection="1">
      <alignment horizontal="left"/>
      <protection hidden="1"/>
    </xf>
    <xf numFmtId="182" fontId="6" fillId="5" borderId="24" xfId="0" applyNumberFormat="1" applyFont="1" applyFill="1" applyBorder="1" applyAlignment="1" applyProtection="1">
      <alignment horizontal="left"/>
      <protection hidden="1"/>
    </xf>
    <xf numFmtId="0" fontId="6" fillId="3" borderId="5" xfId="0" applyNumberFormat="1" applyFont="1" applyFill="1" applyBorder="1" applyAlignment="1" applyProtection="1">
      <alignment horizontal="left"/>
      <protection hidden="1"/>
    </xf>
    <xf numFmtId="172" fontId="6" fillId="0" borderId="0" xfId="0" applyNumberFormat="1" applyFont="1" applyBorder="1" applyAlignment="1" applyProtection="1">
      <protection hidden="1"/>
    </xf>
    <xf numFmtId="49" fontId="6" fillId="0" borderId="0" xfId="0" applyNumberFormat="1" applyFont="1" applyBorder="1" applyAlignment="1" applyProtection="1">
      <alignment horizontal="center"/>
      <protection hidden="1"/>
    </xf>
    <xf numFmtId="177" fontId="6" fillId="6" borderId="23" xfId="20" applyFont="1" applyFill="1" applyBorder="1" applyAlignment="1" applyProtection="1">
      <alignment horizontal="right"/>
      <protection hidden="1"/>
    </xf>
    <xf numFmtId="49" fontId="7" fillId="6" borderId="25" xfId="0" applyNumberFormat="1" applyFont="1" applyFill="1" applyBorder="1" applyAlignment="1" applyProtection="1">
      <alignment horizontal="left"/>
      <protection hidden="1"/>
    </xf>
    <xf numFmtId="177" fontId="6" fillId="0" borderId="0" xfId="20" applyFont="1" applyFill="1" applyBorder="1" applyAlignment="1" applyProtection="1">
      <alignment horizontal="right"/>
      <protection hidden="1"/>
    </xf>
    <xf numFmtId="49" fontId="7" fillId="0" borderId="0" xfId="0" applyNumberFormat="1" applyFont="1" applyFill="1" applyBorder="1" applyAlignment="1" applyProtection="1">
      <alignment horizontal="left"/>
      <protection hidden="1"/>
    </xf>
    <xf numFmtId="49" fontId="7" fillId="0" borderId="13" xfId="0" applyNumberFormat="1" applyFont="1" applyFill="1" applyBorder="1" applyAlignment="1" applyProtection="1">
      <alignment horizontal="left"/>
      <protection hidden="1"/>
    </xf>
    <xf numFmtId="49" fontId="7" fillId="0" borderId="6" xfId="0" applyNumberFormat="1" applyFont="1" applyFill="1" applyBorder="1" applyAlignment="1" applyProtection="1">
      <alignment horizontal="left"/>
      <protection hidden="1"/>
    </xf>
    <xf numFmtId="49" fontId="7" fillId="3" borderId="5" xfId="0" applyNumberFormat="1" applyFont="1" applyFill="1" applyBorder="1" applyAlignment="1" applyProtection="1">
      <alignment horizontal="left"/>
      <protection hidden="1"/>
    </xf>
    <xf numFmtId="49" fontId="4" fillId="0" borderId="0" xfId="0" applyNumberFormat="1" applyFont="1" applyBorder="1" applyAlignment="1" applyProtection="1">
      <alignment horizontal="center"/>
      <protection hidden="1"/>
    </xf>
    <xf numFmtId="49" fontId="7" fillId="0" borderId="0" xfId="0" applyNumberFormat="1" applyFont="1" applyFill="1" applyBorder="1" applyAlignment="1" applyProtection="1">
      <alignment horizontal="right"/>
      <protection hidden="1"/>
    </xf>
    <xf numFmtId="49" fontId="6" fillId="0" borderId="0" xfId="0" applyNumberFormat="1" applyFont="1" applyAlignment="1" applyProtection="1">
      <protection hidden="1"/>
    </xf>
    <xf numFmtId="49" fontId="6" fillId="0" borderId="13" xfId="0" applyNumberFormat="1" applyFont="1" applyFill="1" applyBorder="1" applyAlignment="1" applyProtection="1">
      <alignment horizontal="left"/>
      <protection hidden="1"/>
    </xf>
    <xf numFmtId="0" fontId="7" fillId="0" borderId="6" xfId="0" applyNumberFormat="1" applyFont="1" applyBorder="1" applyAlignment="1" applyProtection="1">
      <alignment horizontal="left"/>
      <protection hidden="1"/>
    </xf>
    <xf numFmtId="37" fontId="7" fillId="0" borderId="0" xfId="0" applyNumberFormat="1" applyFont="1" applyBorder="1" applyAlignment="1" applyProtection="1">
      <alignment horizontal="right"/>
      <protection hidden="1"/>
    </xf>
    <xf numFmtId="37" fontId="7" fillId="0" borderId="0" xfId="0" applyNumberFormat="1" applyFont="1" applyBorder="1" applyAlignment="1" applyProtection="1">
      <alignment horizontal="right" vertical="top"/>
      <protection hidden="1"/>
    </xf>
    <xf numFmtId="0" fontId="3" fillId="0" borderId="0" xfId="0" applyNumberFormat="1" applyFont="1" applyBorder="1" applyAlignment="1" applyProtection="1">
      <protection hidden="1"/>
    </xf>
    <xf numFmtId="37" fontId="6" fillId="0" borderId="0" xfId="0" applyNumberFormat="1" applyFont="1" applyBorder="1" applyAlignment="1" applyProtection="1">
      <protection hidden="1"/>
    </xf>
    <xf numFmtId="37" fontId="6" fillId="0" borderId="0" xfId="0" applyNumberFormat="1" applyFont="1" applyBorder="1" applyAlignment="1" applyProtection="1">
      <alignment horizontal="left"/>
      <protection hidden="1"/>
    </xf>
    <xf numFmtId="37" fontId="6" fillId="0" borderId="0" xfId="0" applyNumberFormat="1" applyFont="1" applyBorder="1" applyAlignment="1" applyProtection="1">
      <alignment horizontal="center"/>
      <protection hidden="1"/>
    </xf>
    <xf numFmtId="0" fontId="6" fillId="0" borderId="0" xfId="0" applyNumberFormat="1" applyFont="1" applyBorder="1" applyAlignment="1" applyProtection="1">
      <protection hidden="1"/>
    </xf>
    <xf numFmtId="3" fontId="6" fillId="0" borderId="0" xfId="0" applyNumberFormat="1" applyFont="1" applyAlignment="1" applyProtection="1">
      <alignment horizontal="left"/>
      <protection hidden="1"/>
    </xf>
    <xf numFmtId="3" fontId="6" fillId="0" borderId="0" xfId="0" applyNumberFormat="1" applyFont="1" applyAlignment="1" applyProtection="1">
      <protection hidden="1"/>
    </xf>
    <xf numFmtId="0" fontId="7" fillId="0" borderId="0" xfId="0" applyNumberFormat="1" applyFont="1" applyAlignment="1" applyProtection="1">
      <alignment vertical="center"/>
      <protection hidden="1"/>
    </xf>
    <xf numFmtId="0" fontId="6" fillId="3" borderId="26" xfId="0"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0" fontId="6" fillId="3" borderId="0" xfId="0" applyFont="1" applyFill="1" applyBorder="1" applyAlignment="1" applyProtection="1">
      <protection hidden="1"/>
    </xf>
    <xf numFmtId="0" fontId="7" fillId="3" borderId="5" xfId="0" applyFont="1" applyFill="1" applyBorder="1" applyAlignment="1" applyProtection="1">
      <alignment horizontal="left"/>
      <protection hidden="1"/>
    </xf>
    <xf numFmtId="0" fontId="5" fillId="0" borderId="0" xfId="0" applyNumberFormat="1" applyFont="1" applyFill="1" applyBorder="1" applyAlignment="1" applyProtection="1">
      <alignment horizontal="left"/>
      <protection hidden="1"/>
    </xf>
    <xf numFmtId="0" fontId="7" fillId="0" borderId="0" xfId="0" applyFont="1" applyBorder="1" applyAlignment="1" applyProtection="1">
      <alignment horizontal="center"/>
      <protection hidden="1"/>
    </xf>
    <xf numFmtId="0" fontId="6" fillId="0" borderId="27" xfId="0" applyFont="1" applyFill="1" applyBorder="1" applyAlignment="1" applyProtection="1">
      <alignment horizontal="left"/>
      <protection hidden="1"/>
    </xf>
    <xf numFmtId="0" fontId="6" fillId="0" borderId="28" xfId="0" applyFont="1" applyFill="1" applyBorder="1" applyAlignment="1" applyProtection="1">
      <protection hidden="1"/>
    </xf>
    <xf numFmtId="0" fontId="6" fillId="0" borderId="0" xfId="0" applyFont="1" applyFill="1" applyAlignment="1" applyProtection="1">
      <alignment vertical="center"/>
      <protection hidden="1"/>
    </xf>
    <xf numFmtId="37" fontId="6" fillId="0" borderId="0" xfId="0" applyNumberFormat="1" applyFont="1" applyFill="1" applyAlignment="1" applyProtection="1">
      <alignment vertical="center"/>
      <protection hidden="1"/>
    </xf>
    <xf numFmtId="3" fontId="6" fillId="0" borderId="29" xfId="0" applyNumberFormat="1" applyFont="1" applyFill="1" applyBorder="1" applyAlignment="1" applyProtection="1">
      <alignment horizontal="left"/>
      <protection hidden="1"/>
    </xf>
    <xf numFmtId="0" fontId="6" fillId="0" borderId="29" xfId="0" applyFont="1" applyFill="1" applyBorder="1" applyAlignment="1" applyProtection="1">
      <alignment horizontal="left"/>
      <protection hidden="1"/>
    </xf>
    <xf numFmtId="3" fontId="6" fillId="0" borderId="30" xfId="0" applyNumberFormat="1" applyFont="1" applyFill="1" applyBorder="1" applyAlignment="1" applyProtection="1">
      <alignment horizontal="left"/>
      <protection hidden="1"/>
    </xf>
    <xf numFmtId="0" fontId="6" fillId="0" borderId="19" xfId="0" applyFont="1" applyFill="1" applyBorder="1" applyAlignment="1" applyProtection="1">
      <protection hidden="1"/>
    </xf>
    <xf numFmtId="0" fontId="0" fillId="0" borderId="0" xfId="0" applyFill="1" applyBorder="1" applyAlignment="1" applyProtection="1">
      <alignment vertical="center"/>
      <protection hidden="1"/>
    </xf>
    <xf numFmtId="0" fontId="6" fillId="0" borderId="0" xfId="0" applyFont="1" applyAlignment="1" applyProtection="1">
      <alignment horizontal="center"/>
      <protection hidden="1"/>
    </xf>
    <xf numFmtId="0" fontId="6" fillId="3" borderId="16" xfId="0" applyNumberFormat="1" applyFont="1" applyFill="1" applyBorder="1" applyAlignment="1" applyProtection="1">
      <alignment horizontal="left"/>
      <protection hidden="1"/>
    </xf>
    <xf numFmtId="0" fontId="6" fillId="0" borderId="31" xfId="0" applyNumberFormat="1" applyFont="1" applyFill="1" applyBorder="1" applyAlignment="1" applyProtection="1">
      <alignment horizontal="center"/>
      <protection hidden="1"/>
    </xf>
    <xf numFmtId="0" fontId="6" fillId="3" borderId="3" xfId="0" applyNumberFormat="1" applyFont="1" applyFill="1" applyBorder="1" applyAlignment="1" applyProtection="1">
      <alignment horizontal="left"/>
      <protection hidden="1"/>
    </xf>
    <xf numFmtId="0" fontId="6" fillId="0" borderId="13" xfId="0" applyNumberFormat="1" applyFont="1" applyFill="1" applyBorder="1" applyAlignment="1" applyProtection="1">
      <alignment horizontal="left"/>
      <protection hidden="1"/>
    </xf>
    <xf numFmtId="0" fontId="0" fillId="0" borderId="17" xfId="0" applyBorder="1" applyAlignment="1" applyProtection="1">
      <protection hidden="1"/>
    </xf>
    <xf numFmtId="0" fontId="6" fillId="0" borderId="32" xfId="0" applyFont="1" applyFill="1" applyBorder="1" applyAlignment="1" applyProtection="1">
      <protection hidden="1"/>
    </xf>
    <xf numFmtId="0" fontId="0" fillId="0" borderId="12" xfId="0" applyBorder="1" applyAlignment="1" applyProtection="1">
      <protection hidden="1"/>
    </xf>
    <xf numFmtId="0" fontId="7" fillId="0" borderId="5" xfId="0" applyFont="1" applyFill="1" applyBorder="1" applyAlignment="1" applyProtection="1">
      <protection hidden="1"/>
    </xf>
    <xf numFmtId="0" fontId="0" fillId="0" borderId="7" xfId="0" applyFill="1" applyBorder="1" applyAlignment="1" applyProtection="1">
      <protection hidden="1"/>
    </xf>
    <xf numFmtId="172" fontId="7" fillId="3" borderId="3" xfId="21" applyAlignment="1"/>
    <xf numFmtId="0" fontId="7" fillId="0" borderId="33" xfId="0" applyFont="1" applyFill="1" applyBorder="1" applyAlignment="1" applyProtection="1">
      <alignment horizontal="right" vertical="top"/>
      <protection hidden="1"/>
    </xf>
    <xf numFmtId="0" fontId="5" fillId="0" borderId="0" xfId="0" applyNumberFormat="1" applyFont="1" applyFill="1" applyBorder="1" applyAlignment="1" applyProtection="1">
      <alignment vertical="center"/>
      <protection hidden="1"/>
    </xf>
    <xf numFmtId="0" fontId="5" fillId="3" borderId="21" xfId="0" applyFont="1" applyFill="1" applyBorder="1" applyAlignment="1" applyProtection="1">
      <alignment horizontal="right" vertical="center"/>
      <protection hidden="1"/>
    </xf>
    <xf numFmtId="37" fontId="5" fillId="0" borderId="34" xfId="0" applyNumberFormat="1" applyFont="1" applyFill="1" applyBorder="1" applyAlignment="1" applyProtection="1">
      <alignment vertical="center"/>
      <protection hidden="1"/>
    </xf>
    <xf numFmtId="0" fontId="5" fillId="0" borderId="0" xfId="0" applyFont="1" applyBorder="1" applyAlignment="1" applyProtection="1">
      <alignment horizontal="left" vertical="center"/>
      <protection hidden="1"/>
    </xf>
    <xf numFmtId="0" fontId="5" fillId="0" borderId="0" xfId="0" applyNumberFormat="1" applyFont="1" applyBorder="1" applyAlignment="1" applyProtection="1">
      <alignment horizontal="center" vertical="center"/>
      <protection hidden="1"/>
    </xf>
    <xf numFmtId="0" fontId="5" fillId="3" borderId="21" xfId="0" applyNumberFormat="1" applyFont="1" applyFill="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37" fontId="5" fillId="0" borderId="0" xfId="0" applyNumberFormat="1" applyFont="1" applyBorder="1" applyAlignment="1" applyProtection="1">
      <alignment horizontal="center" vertical="center"/>
      <protection hidden="1"/>
    </xf>
    <xf numFmtId="37" fontId="5" fillId="3" borderId="14" xfId="0" applyNumberFormat="1" applyFont="1" applyFill="1" applyBorder="1" applyAlignment="1" applyProtection="1">
      <alignment horizontal="right" vertical="center"/>
      <protection hidden="1"/>
    </xf>
    <xf numFmtId="49" fontId="5" fillId="3" borderId="3" xfId="0" applyNumberFormat="1" applyFont="1" applyFill="1" applyBorder="1" applyAlignment="1" applyProtection="1">
      <alignment horizontal="center" vertical="center"/>
      <protection hidden="1"/>
    </xf>
    <xf numFmtId="0" fontId="5" fillId="3" borderId="3" xfId="0" applyFont="1" applyFill="1" applyBorder="1" applyAlignment="1" applyProtection="1">
      <alignment horizontal="right"/>
      <protection hidden="1"/>
    </xf>
    <xf numFmtId="37" fontId="5" fillId="0" borderId="34" xfId="0" applyNumberFormat="1" applyFont="1" applyBorder="1" applyAlignment="1" applyProtection="1">
      <alignment vertical="center"/>
      <protection hidden="1"/>
    </xf>
    <xf numFmtId="37" fontId="5" fillId="3" borderId="16" xfId="0" applyNumberFormat="1" applyFont="1" applyFill="1" applyBorder="1" applyAlignment="1" applyProtection="1">
      <alignment horizontal="center" vertical="center"/>
      <protection hidden="1"/>
    </xf>
    <xf numFmtId="37" fontId="5" fillId="3" borderId="2" xfId="0" applyNumberFormat="1" applyFont="1" applyFill="1" applyBorder="1" applyAlignment="1" applyProtection="1">
      <alignment horizontal="right" vertical="center"/>
      <protection hidden="1"/>
    </xf>
    <xf numFmtId="0" fontId="5" fillId="0" borderId="0" xfId="0" applyNumberFormat="1" applyFont="1" applyBorder="1" applyAlignment="1" applyProtection="1">
      <alignment horizontal="left" vertical="center"/>
      <protection hidden="1"/>
    </xf>
    <xf numFmtId="37" fontId="5" fillId="3" borderId="3" xfId="0" applyNumberFormat="1" applyFont="1" applyFill="1" applyBorder="1" applyAlignment="1" applyProtection="1">
      <alignment horizontal="center" vertical="center"/>
      <protection hidden="1"/>
    </xf>
    <xf numFmtId="0" fontId="5" fillId="0" borderId="34" xfId="0" applyNumberFormat="1" applyFont="1" applyBorder="1" applyAlignment="1" applyProtection="1">
      <alignment horizontal="left" vertical="center"/>
      <protection hidden="1"/>
    </xf>
    <xf numFmtId="3" fontId="5" fillId="3" borderId="21" xfId="0" applyNumberFormat="1" applyFont="1" applyFill="1" applyBorder="1" applyAlignment="1" applyProtection="1">
      <alignment horizontal="left" vertical="center"/>
      <protection hidden="1"/>
    </xf>
    <xf numFmtId="3" fontId="5" fillId="3" borderId="21" xfId="0" applyNumberFormat="1" applyFont="1" applyFill="1" applyBorder="1" applyAlignment="1" applyProtection="1">
      <alignment horizontal="right" vertical="center"/>
      <protection hidden="1"/>
    </xf>
    <xf numFmtId="0" fontId="5" fillId="0" borderId="34" xfId="0" applyNumberFormat="1" applyFont="1" applyBorder="1" applyAlignment="1" applyProtection="1">
      <alignment horizontal="center" vertical="center"/>
      <protection hidden="1"/>
    </xf>
    <xf numFmtId="3" fontId="5" fillId="3" borderId="14" xfId="0" applyNumberFormat="1" applyFont="1" applyFill="1" applyBorder="1" applyAlignment="1" applyProtection="1">
      <alignment horizontal="center" vertical="center"/>
      <protection hidden="1"/>
    </xf>
    <xf numFmtId="2" fontId="5" fillId="3" borderId="14" xfId="0" applyNumberFormat="1" applyFont="1" applyFill="1" applyBorder="1" applyAlignment="1" applyProtection="1">
      <alignment horizontal="right" vertical="center"/>
      <protection hidden="1"/>
    </xf>
    <xf numFmtId="3" fontId="5" fillId="3" borderId="6" xfId="0" applyNumberFormat="1" applyFont="1" applyFill="1" applyBorder="1" applyAlignment="1" applyProtection="1">
      <alignment horizontal="right" vertical="center"/>
      <protection hidden="1"/>
    </xf>
    <xf numFmtId="3" fontId="5" fillId="3" borderId="3" xfId="0" applyNumberFormat="1" applyFont="1" applyFill="1" applyBorder="1" applyAlignment="1" applyProtection="1">
      <alignment horizontal="center" vertical="center"/>
      <protection hidden="1"/>
    </xf>
    <xf numFmtId="37" fontId="5" fillId="3" borderId="3" xfId="0" applyNumberFormat="1" applyFont="1" applyFill="1" applyBorder="1" applyAlignment="1" applyProtection="1">
      <alignment horizontal="right"/>
      <protection hidden="1"/>
    </xf>
    <xf numFmtId="0" fontId="3" fillId="0" borderId="0" xfId="0" applyFont="1" applyBorder="1" applyAlignment="1" applyProtection="1">
      <alignment horizontal="center" vertical="center"/>
      <protection hidden="1"/>
    </xf>
    <xf numFmtId="14" fontId="5" fillId="3" borderId="3" xfId="0" applyNumberFormat="1" applyFont="1" applyFill="1" applyBorder="1" applyAlignment="1" applyProtection="1">
      <alignment horizontal="right" vertical="center"/>
      <protection hidden="1"/>
    </xf>
    <xf numFmtId="49" fontId="6" fillId="0" borderId="18" xfId="0" applyNumberFormat="1" applyFont="1" applyFill="1" applyBorder="1" applyAlignment="1" applyProtection="1">
      <alignment horizontal="left"/>
      <protection hidden="1"/>
    </xf>
    <xf numFmtId="0" fontId="7" fillId="0" borderId="0" xfId="0" applyFont="1" applyFill="1" applyBorder="1" applyAlignment="1" applyProtection="1">
      <protection hidden="1"/>
    </xf>
    <xf numFmtId="37" fontId="16" fillId="0" borderId="13" xfId="0" applyNumberFormat="1" applyFont="1" applyFill="1" applyBorder="1" applyAlignment="1" applyProtection="1">
      <protection locked="0" hidden="1"/>
    </xf>
    <xf numFmtId="0" fontId="3" fillId="0" borderId="0" xfId="0" applyFont="1" applyAlignment="1" applyProtection="1">
      <alignment horizontal="left"/>
      <protection hidden="1"/>
    </xf>
    <xf numFmtId="49" fontId="6" fillId="0" borderId="0" xfId="0" applyNumberFormat="1" applyFont="1" applyFill="1" applyBorder="1" applyAlignment="1" applyProtection="1">
      <alignment horizontal="left"/>
      <protection hidden="1"/>
    </xf>
    <xf numFmtId="9" fontId="7" fillId="3" borderId="5" xfId="21" applyNumberFormat="1" applyFont="1" applyFill="1" applyBorder="1" applyAlignment="1" applyProtection="1">
      <alignment horizontal="right"/>
      <protection hidden="1"/>
    </xf>
    <xf numFmtId="0" fontId="12" fillId="0" borderId="0" xfId="15" applyFont="1" applyBorder="1" applyAlignment="1" applyProtection="1">
      <alignment horizontal="right"/>
      <protection hidden="1"/>
    </xf>
    <xf numFmtId="0" fontId="14" fillId="0" borderId="0" xfId="0" applyNumberFormat="1" applyFont="1" applyBorder="1" applyAlignment="1" applyProtection="1">
      <alignment horizontal="left"/>
      <protection hidden="1"/>
    </xf>
    <xf numFmtId="37" fontId="3" fillId="0" borderId="0" xfId="0" applyNumberFormat="1" applyFont="1" applyBorder="1" applyAlignment="1" applyProtection="1">
      <alignment vertical="center"/>
      <protection hidden="1"/>
    </xf>
    <xf numFmtId="0" fontId="5" fillId="3" borderId="3" xfId="0" applyNumberFormat="1"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0" xfId="0" applyFont="1" applyAlignment="1" applyProtection="1">
      <alignment horizontal="right"/>
      <protection hidden="1"/>
    </xf>
    <xf numFmtId="37" fontId="6" fillId="0" borderId="32" xfId="0" applyNumberFormat="1" applyFont="1" applyFill="1" applyBorder="1" applyAlignment="1" applyProtection="1">
      <protection hidden="1"/>
    </xf>
    <xf numFmtId="0" fontId="6" fillId="0" borderId="33" xfId="0" applyFont="1" applyBorder="1" applyAlignment="1" applyProtection="1">
      <alignment horizontal="left"/>
      <protection hidden="1"/>
    </xf>
    <xf numFmtId="177" fontId="6" fillId="0" borderId="25" xfId="20" applyBorder="1" applyAlignment="1" applyProtection="1">
      <protection hidden="1"/>
    </xf>
    <xf numFmtId="49" fontId="6" fillId="0" borderId="35" xfId="0" applyNumberFormat="1" applyFont="1" applyFill="1" applyBorder="1" applyAlignment="1" applyProtection="1">
      <alignment horizontal="left"/>
      <protection hidden="1"/>
    </xf>
    <xf numFmtId="0" fontId="5" fillId="0" borderId="0" xfId="0" applyNumberFormat="1" applyFont="1" applyFill="1" applyBorder="1" applyAlignment="1" applyProtection="1">
      <alignment horizontal="right" vertical="center"/>
      <protection hidden="1"/>
    </xf>
    <xf numFmtId="49" fontId="5" fillId="0" borderId="0" xfId="0" applyNumberFormat="1" applyFont="1" applyFill="1" applyBorder="1" applyAlignment="1" applyProtection="1">
      <alignment horizontal="right" vertical="center"/>
      <protection hidden="1"/>
    </xf>
    <xf numFmtId="0" fontId="5" fillId="0" borderId="0" xfId="0" applyFont="1" applyFill="1" applyBorder="1" applyAlignment="1" applyProtection="1">
      <alignment horizontal="right" vertical="center"/>
      <protection hidden="1"/>
    </xf>
    <xf numFmtId="172" fontId="6" fillId="0" borderId="36" xfId="18" applyBorder="1" applyAlignment="1" applyProtection="1">
      <protection hidden="1"/>
    </xf>
    <xf numFmtId="0" fontId="5" fillId="3" borderId="21" xfId="0" applyFont="1" applyFill="1" applyBorder="1" applyAlignment="1" applyProtection="1">
      <alignment horizontal="right"/>
      <protection hidden="1"/>
    </xf>
    <xf numFmtId="0" fontId="5" fillId="3" borderId="7" xfId="0" applyFont="1" applyFill="1" applyBorder="1" applyAlignment="1" applyProtection="1">
      <alignment horizontal="right"/>
      <protection hidden="1"/>
    </xf>
    <xf numFmtId="0" fontId="5" fillId="3" borderId="14" xfId="0" applyFont="1" applyFill="1" applyBorder="1" applyAlignment="1" applyProtection="1">
      <alignment horizontal="right"/>
      <protection hidden="1"/>
    </xf>
    <xf numFmtId="49" fontId="6" fillId="0" borderId="19" xfId="0" applyNumberFormat="1" applyFont="1" applyFill="1" applyBorder="1" applyAlignment="1" applyProtection="1">
      <alignment horizontal="left"/>
      <protection locked="0" hidden="1"/>
    </xf>
    <xf numFmtId="49" fontId="6" fillId="0" borderId="32" xfId="0" applyNumberFormat="1" applyFont="1" applyFill="1" applyBorder="1" applyAlignment="1" applyProtection="1">
      <alignment horizontal="left"/>
      <protection locked="0" hidden="1"/>
    </xf>
    <xf numFmtId="49" fontId="6" fillId="0" borderId="0" xfId="0" applyNumberFormat="1" applyFont="1" applyFill="1" applyBorder="1" applyAlignment="1" applyProtection="1">
      <alignment horizontal="left"/>
      <protection locked="0" hidden="1"/>
    </xf>
    <xf numFmtId="0" fontId="5" fillId="3" borderId="37" xfId="0" applyFont="1" applyFill="1" applyBorder="1" applyAlignment="1" applyProtection="1">
      <alignment horizontal="right"/>
      <protection hidden="1"/>
    </xf>
    <xf numFmtId="0" fontId="6" fillId="0" borderId="38" xfId="0" applyNumberFormat="1" applyFont="1" applyFill="1" applyBorder="1" applyAlignment="1" applyProtection="1">
      <alignment horizontal="left"/>
      <protection hidden="1"/>
    </xf>
    <xf numFmtId="0" fontId="6" fillId="0" borderId="32" xfId="0" applyNumberFormat="1" applyFont="1" applyFill="1" applyBorder="1" applyAlignment="1" applyProtection="1">
      <alignment horizontal="left"/>
      <protection hidden="1"/>
    </xf>
    <xf numFmtId="182" fontId="6" fillId="0" borderId="39" xfId="0" applyNumberFormat="1" applyFont="1" applyFill="1" applyBorder="1" applyAlignment="1" applyProtection="1">
      <alignment horizontal="left"/>
      <protection hidden="1"/>
    </xf>
    <xf numFmtId="0" fontId="6" fillId="0" borderId="12" xfId="0" applyFont="1" applyFill="1" applyBorder="1" applyAlignment="1" applyProtection="1">
      <protection hidden="1"/>
    </xf>
    <xf numFmtId="0" fontId="16" fillId="0" borderId="29" xfId="0" applyFont="1" applyFill="1" applyBorder="1" applyAlignment="1" applyProtection="1">
      <alignment horizontal="left"/>
      <protection hidden="1"/>
    </xf>
    <xf numFmtId="3" fontId="16" fillId="0" borderId="29" xfId="0" applyNumberFormat="1" applyFont="1" applyFill="1" applyBorder="1" applyAlignment="1" applyProtection="1">
      <alignment horizontal="left"/>
      <protection hidden="1"/>
    </xf>
    <xf numFmtId="3" fontId="16" fillId="0" borderId="35" xfId="0" applyNumberFormat="1" applyFont="1" applyFill="1" applyBorder="1" applyAlignment="1" applyProtection="1">
      <alignment horizontal="left"/>
      <protection hidden="1"/>
    </xf>
    <xf numFmtId="3" fontId="16" fillId="0" borderId="30" xfId="0" applyNumberFormat="1" applyFont="1" applyFill="1" applyBorder="1" applyAlignment="1" applyProtection="1">
      <alignment horizontal="left"/>
      <protection hidden="1"/>
    </xf>
    <xf numFmtId="0" fontId="3" fillId="0" borderId="0" xfId="0" applyNumberFormat="1" applyFont="1" applyBorder="1" applyAlignment="1" applyProtection="1">
      <alignment vertical="center"/>
      <protection hidden="1"/>
    </xf>
    <xf numFmtId="0" fontId="3" fillId="0" borderId="0" xfId="0" applyNumberFormat="1" applyFont="1" applyAlignment="1" applyProtection="1">
      <protection hidden="1"/>
    </xf>
    <xf numFmtId="0" fontId="5" fillId="3" borderId="8" xfId="0" applyNumberFormat="1" applyFont="1" applyFill="1" applyBorder="1" applyAlignment="1" applyProtection="1">
      <alignment horizontal="left"/>
      <protection hidden="1"/>
    </xf>
    <xf numFmtId="172" fontId="7" fillId="3" borderId="3" xfId="21" applyFont="1" applyFill="1" applyBorder="1" applyAlignment="1" applyProtection="1">
      <protection hidden="1"/>
    </xf>
    <xf numFmtId="184" fontId="6" fillId="0" borderId="13" xfId="0" applyNumberFormat="1" applyFont="1" applyFill="1" applyBorder="1" applyAlignment="1" applyProtection="1">
      <protection locked="0" hidden="1"/>
    </xf>
    <xf numFmtId="184" fontId="6" fillId="0" borderId="40" xfId="0" applyNumberFormat="1" applyFont="1" applyFill="1" applyBorder="1" applyAlignment="1" applyProtection="1">
      <alignment horizontal="left"/>
      <protection locked="0" hidden="1"/>
    </xf>
    <xf numFmtId="184" fontId="6" fillId="0" borderId="23" xfId="0" applyNumberFormat="1" applyFont="1" applyFill="1" applyBorder="1" applyAlignment="1" applyProtection="1">
      <alignment horizontal="center"/>
      <protection locked="0" hidden="1"/>
    </xf>
    <xf numFmtId="172" fontId="6" fillId="0" borderId="23" xfId="18" applyFill="1" applyBorder="1" applyAlignment="1" applyProtection="1">
      <protection locked="0" hidden="1"/>
    </xf>
    <xf numFmtId="181" fontId="6" fillId="0" borderId="23" xfId="19" applyFill="1" applyBorder="1" applyAlignment="1" applyProtection="1">
      <protection locked="0" hidden="1"/>
    </xf>
    <xf numFmtId="181" fontId="6" fillId="0" borderId="23" xfId="19" applyFill="1" applyBorder="1" applyAlignment="1" applyProtection="1">
      <protection hidden="1"/>
    </xf>
    <xf numFmtId="172" fontId="6" fillId="0" borderId="23" xfId="18" applyFont="1" applyFill="1" applyBorder="1" applyAlignment="1" applyProtection="1">
      <protection locked="0" hidden="1"/>
    </xf>
    <xf numFmtId="0" fontId="6" fillId="0" borderId="5" xfId="0" applyFont="1" applyFill="1" applyBorder="1" applyAlignment="1" applyProtection="1">
      <protection hidden="1"/>
    </xf>
    <xf numFmtId="0" fontId="5" fillId="3" borderId="16" xfId="0" applyFont="1" applyFill="1" applyBorder="1" applyAlignment="1" applyProtection="1">
      <alignment horizontal="center"/>
      <protection hidden="1"/>
    </xf>
    <xf numFmtId="0" fontId="0" fillId="0" borderId="7" xfId="0" applyBorder="1" applyAlignment="1">
      <alignment horizontal="center"/>
    </xf>
    <xf numFmtId="0" fontId="3" fillId="0" borderId="0" xfId="0" applyNumberFormat="1" applyFont="1" applyAlignment="1" applyProtection="1">
      <alignment horizontal="justify"/>
      <protection hidden="1"/>
    </xf>
    <xf numFmtId="0" fontId="3" fillId="0" borderId="0" xfId="0" applyFont="1" applyAlignment="1">
      <alignment horizontal="justify"/>
    </xf>
    <xf numFmtId="49" fontId="5" fillId="3" borderId="16" xfId="0" applyNumberFormat="1" applyFont="1" applyFill="1" applyBorder="1" applyAlignment="1" applyProtection="1">
      <alignment horizontal="center" vertical="center"/>
      <protection hidden="1"/>
    </xf>
    <xf numFmtId="49" fontId="5" fillId="3" borderId="5" xfId="0" applyNumberFormat="1" applyFont="1" applyFill="1" applyBorder="1" applyAlignment="1" applyProtection="1">
      <alignment horizontal="center" vertical="center"/>
      <protection hidden="1"/>
    </xf>
    <xf numFmtId="49" fontId="5" fillId="3" borderId="16" xfId="0" applyNumberFormat="1" applyFont="1" applyFill="1" applyBorder="1" applyAlignment="1" applyProtection="1">
      <alignment horizontal="right" vertical="center"/>
      <protection hidden="1"/>
    </xf>
    <xf numFmtId="49" fontId="5" fillId="3" borderId="7" xfId="0" applyNumberFormat="1" applyFont="1" applyFill="1" applyBorder="1" applyAlignment="1" applyProtection="1">
      <alignment horizontal="right" vertical="center"/>
      <protection hidden="1"/>
    </xf>
    <xf numFmtId="172" fontId="6" fillId="0" borderId="41" xfId="18" applyFill="1" applyBorder="1" applyAlignment="1" applyProtection="1">
      <protection locked="0" hidden="1"/>
    </xf>
    <xf numFmtId="172" fontId="6" fillId="0" borderId="20" xfId="18" applyFill="1" applyBorder="1" applyAlignment="1" applyProtection="1">
      <protection locked="0" hidden="1"/>
    </xf>
    <xf numFmtId="172" fontId="7" fillId="0" borderId="0" xfId="18" applyFont="1" applyFill="1" applyBorder="1" applyAlignment="1" applyProtection="1">
      <alignment horizontal="right"/>
      <protection hidden="1"/>
    </xf>
    <xf numFmtId="172" fontId="14" fillId="0" borderId="0" xfId="18" applyFont="1" applyFill="1" applyBorder="1" applyAlignment="1" applyProtection="1">
      <alignment horizontal="right"/>
      <protection hidden="1"/>
    </xf>
    <xf numFmtId="0" fontId="6" fillId="0" borderId="0" xfId="15" applyFont="1" applyFill="1" applyBorder="1" applyAlignment="1" applyProtection="1">
      <alignment horizontal="left"/>
      <protection hidden="1"/>
    </xf>
    <xf numFmtId="37" fontId="6" fillId="0" borderId="0" xfId="0" applyNumberFormat="1" applyFont="1" applyFill="1" applyBorder="1" applyAlignment="1" applyProtection="1">
      <alignment horizontal="left"/>
      <protection hidden="1"/>
    </xf>
    <xf numFmtId="0" fontId="7"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7" fillId="3" borderId="26" xfId="0" applyNumberFormat="1" applyFont="1" applyFill="1" applyBorder="1" applyAlignment="1" applyProtection="1">
      <alignment horizontal="left"/>
      <protection hidden="1"/>
    </xf>
    <xf numFmtId="0" fontId="7" fillId="3" borderId="5" xfId="0" applyNumberFormat="1" applyFont="1" applyFill="1" applyBorder="1" applyAlignment="1" applyProtection="1">
      <alignment horizontal="left"/>
      <protection hidden="1"/>
    </xf>
    <xf numFmtId="0" fontId="7" fillId="3" borderId="0" xfId="0" applyNumberFormat="1" applyFont="1" applyFill="1" applyBorder="1" applyAlignment="1" applyProtection="1">
      <alignment horizontal="left"/>
      <protection hidden="1"/>
    </xf>
    <xf numFmtId="172" fontId="6" fillId="3" borderId="23" xfId="18" applyFill="1" applyBorder="1" applyAlignment="1" applyProtection="1">
      <protection hidden="1"/>
    </xf>
    <xf numFmtId="172" fontId="7" fillId="3" borderId="3" xfId="21" applyAlignment="1" applyProtection="1">
      <protection hidden="1"/>
    </xf>
    <xf numFmtId="0" fontId="4" fillId="0" borderId="0" xfId="0" applyFont="1" applyFill="1" applyAlignment="1" applyProtection="1">
      <protection hidden="1"/>
    </xf>
    <xf numFmtId="0" fontId="4" fillId="0" borderId="0" xfId="0" applyFont="1" applyFill="1" applyBorder="1" applyAlignment="1" applyProtection="1">
      <protection hidden="1"/>
    </xf>
    <xf numFmtId="172" fontId="6" fillId="0" borderId="24" xfId="18" applyFill="1" applyBorder="1" applyAlignment="1" applyProtection="1">
      <protection locked="0" hidden="1"/>
    </xf>
    <xf numFmtId="37" fontId="6" fillId="0" borderId="6" xfId="0" applyNumberFormat="1" applyFont="1" applyFill="1" applyBorder="1" applyAlignment="1" applyProtection="1">
      <protection hidden="1"/>
    </xf>
    <xf numFmtId="37" fontId="6" fillId="0" borderId="42" xfId="0" applyNumberFormat="1" applyFont="1" applyFill="1" applyBorder="1" applyAlignment="1" applyProtection="1">
      <protection hidden="1"/>
    </xf>
    <xf numFmtId="172" fontId="6" fillId="0" borderId="43" xfId="18" applyFill="1" applyBorder="1" applyAlignment="1" applyProtection="1">
      <protection hidden="1"/>
    </xf>
    <xf numFmtId="37" fontId="5" fillId="3" borderId="7" xfId="0" applyNumberFormat="1" applyFont="1" applyFill="1" applyBorder="1" applyAlignment="1" applyProtection="1">
      <alignment horizontal="center" vertical="center"/>
      <protection hidden="1"/>
    </xf>
    <xf numFmtId="0" fontId="5" fillId="3" borderId="16"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177" fontId="6" fillId="0" borderId="23" xfId="20" applyFill="1" applyBorder="1" applyAlignment="1" applyProtection="1">
      <protection locked="0" hidden="1"/>
    </xf>
    <xf numFmtId="172" fontId="6" fillId="0" borderId="23" xfId="18" applyFill="1" applyBorder="1" applyAlignment="1" applyProtection="1">
      <protection hidden="1"/>
    </xf>
    <xf numFmtId="177" fontId="6" fillId="0" borderId="36" xfId="20" applyFill="1" applyBorder="1" applyAlignment="1" applyProtection="1">
      <protection locked="0" hidden="1"/>
    </xf>
    <xf numFmtId="172" fontId="7" fillId="3" borderId="3" xfId="21" applyFill="1" applyAlignment="1" applyProtection="1">
      <protection hidden="1"/>
    </xf>
    <xf numFmtId="177" fontId="7" fillId="3" borderId="3" xfId="22" applyAlignment="1" applyProtection="1">
      <protection hidden="1"/>
    </xf>
    <xf numFmtId="172" fontId="6" fillId="0" borderId="0" xfId="18" applyFont="1" applyFill="1" applyBorder="1" applyAlignment="1" applyProtection="1">
      <protection hidden="1"/>
    </xf>
    <xf numFmtId="172" fontId="7" fillId="0" borderId="5" xfId="21" applyFill="1" applyBorder="1" applyAlignment="1" applyProtection="1">
      <protection hidden="1"/>
    </xf>
    <xf numFmtId="172" fontId="7" fillId="3" borderId="5" xfId="18" applyFont="1" applyFill="1" applyBorder="1" applyAlignment="1" applyProtection="1">
      <protection hidden="1"/>
    </xf>
    <xf numFmtId="0" fontId="5" fillId="0" borderId="0" xfId="0" applyNumberFormat="1" applyFont="1" applyBorder="1" applyAlignment="1" applyProtection="1">
      <alignment horizontal="left"/>
      <protection hidden="1"/>
    </xf>
    <xf numFmtId="37" fontId="6" fillId="0" borderId="0" xfId="15" applyNumberFormat="1" applyFont="1" applyAlignment="1" applyProtection="1">
      <protection hidden="1"/>
    </xf>
    <xf numFmtId="0" fontId="6" fillId="0" borderId="0" xfId="15" applyFont="1" applyAlignment="1" applyProtection="1">
      <protection hidden="1"/>
    </xf>
    <xf numFmtId="0" fontId="7" fillId="0" borderId="0" xfId="15" applyFont="1" applyAlignment="1" applyProtection="1">
      <protection hidden="1"/>
    </xf>
    <xf numFmtId="0" fontId="6" fillId="0" borderId="27" xfId="15" applyFont="1" applyFill="1" applyBorder="1" applyAlignment="1" applyProtection="1">
      <protection hidden="1"/>
    </xf>
    <xf numFmtId="172" fontId="6" fillId="0" borderId="25" xfId="18" applyFill="1" applyBorder="1" applyAlignment="1" applyProtection="1">
      <protection locked="0" hidden="1"/>
    </xf>
    <xf numFmtId="0" fontId="6" fillId="0" borderId="0" xfId="15" applyFont="1" applyBorder="1" applyAlignment="1" applyProtection="1">
      <protection hidden="1"/>
    </xf>
    <xf numFmtId="177" fontId="6" fillId="0" borderId="38" xfId="20" applyFill="1" applyBorder="1" applyAlignment="1" applyProtection="1">
      <protection locked="0" hidden="1"/>
    </xf>
    <xf numFmtId="0" fontId="6" fillId="0" borderId="28" xfId="15" applyFont="1" applyFill="1" applyBorder="1" applyAlignment="1" applyProtection="1">
      <protection hidden="1"/>
    </xf>
    <xf numFmtId="172" fontId="6" fillId="5" borderId="36" xfId="18" applyFill="1" applyBorder="1" applyAlignment="1" applyProtection="1">
      <protection hidden="1"/>
    </xf>
    <xf numFmtId="172" fontId="6" fillId="0" borderId="44" xfId="18" applyFill="1" applyBorder="1" applyAlignment="1" applyProtection="1">
      <protection hidden="1"/>
    </xf>
    <xf numFmtId="0" fontId="7" fillId="3" borderId="3" xfId="15" applyFont="1" applyFill="1" applyBorder="1" applyAlignment="1" applyProtection="1">
      <protection hidden="1"/>
    </xf>
    <xf numFmtId="0" fontId="6" fillId="0" borderId="0" xfId="15" applyFont="1" applyFill="1" applyBorder="1" applyAlignment="1" applyProtection="1">
      <protection hidden="1"/>
    </xf>
    <xf numFmtId="37" fontId="6" fillId="0" borderId="0" xfId="0" applyNumberFormat="1" applyFont="1" applyFill="1" applyBorder="1" applyAlignment="1" applyProtection="1">
      <protection hidden="1"/>
    </xf>
    <xf numFmtId="172" fontId="6" fillId="0" borderId="0" xfId="18" applyFill="1" applyBorder="1" applyAlignment="1" applyProtection="1">
      <protection hidden="1"/>
    </xf>
    <xf numFmtId="0" fontId="7" fillId="0" borderId="0" xfId="15" applyFont="1" applyFill="1" applyBorder="1" applyAlignment="1" applyProtection="1">
      <protection hidden="1"/>
    </xf>
    <xf numFmtId="172" fontId="7" fillId="0" borderId="0" xfId="21" applyFill="1" applyBorder="1" applyAlignment="1" applyProtection="1">
      <protection hidden="1"/>
    </xf>
    <xf numFmtId="177" fontId="7" fillId="3" borderId="3" xfId="22" applyAlignment="1"/>
    <xf numFmtId="0" fontId="16" fillId="0" borderId="0" xfId="0" applyFont="1" applyFill="1" applyBorder="1" applyAlignment="1" applyProtection="1">
      <protection hidden="1"/>
    </xf>
    <xf numFmtId="177" fontId="6" fillId="0" borderId="0" xfId="20" applyFill="1" applyBorder="1" applyAlignment="1"/>
    <xf numFmtId="172" fontId="6" fillId="0" borderId="17" xfId="18" applyFill="1" applyBorder="1" applyAlignment="1" applyProtection="1">
      <protection locked="0" hidden="1"/>
    </xf>
    <xf numFmtId="49" fontId="6" fillId="0" borderId="0" xfId="0" applyNumberFormat="1" applyFont="1" applyBorder="1" applyAlignment="1" applyProtection="1">
      <protection hidden="1"/>
    </xf>
    <xf numFmtId="0" fontId="6" fillId="0" borderId="27" xfId="0" applyFont="1" applyFill="1" applyBorder="1" applyAlignment="1" applyProtection="1">
      <protection hidden="1"/>
    </xf>
    <xf numFmtId="172" fontId="6" fillId="0" borderId="25" xfId="18" applyBorder="1" applyAlignment="1" applyProtection="1">
      <protection hidden="1"/>
    </xf>
    <xf numFmtId="172" fontId="6" fillId="0" borderId="23" xfId="18" applyBorder="1" applyAlignment="1" applyProtection="1">
      <protection hidden="1"/>
    </xf>
    <xf numFmtId="0" fontId="7" fillId="3" borderId="3" xfId="0" applyFont="1" applyFill="1" applyBorder="1" applyAlignment="1" applyProtection="1">
      <protection hidden="1"/>
    </xf>
    <xf numFmtId="172" fontId="6" fillId="5" borderId="12" xfId="18" applyFill="1" applyBorder="1" applyAlignment="1" applyProtection="1">
      <protection hidden="1"/>
    </xf>
    <xf numFmtId="0" fontId="6" fillId="0" borderId="45" xfId="0" applyFont="1" applyFill="1" applyBorder="1" applyAlignment="1" applyProtection="1">
      <protection hidden="1"/>
    </xf>
    <xf numFmtId="177" fontId="6" fillId="0" borderId="12" xfId="20" applyFill="1" applyBorder="1" applyAlignment="1" applyProtection="1">
      <protection locked="0" hidden="1"/>
    </xf>
    <xf numFmtId="177" fontId="6" fillId="0" borderId="23" xfId="20" applyBorder="1" applyAlignment="1" applyProtection="1">
      <protection hidden="1"/>
    </xf>
    <xf numFmtId="0" fontId="6" fillId="0" borderId="46" xfId="0" applyFont="1" applyFill="1" applyBorder="1" applyAlignment="1" applyProtection="1">
      <protection hidden="1"/>
    </xf>
    <xf numFmtId="172" fontId="6" fillId="0" borderId="47" xfId="18" applyFill="1" applyBorder="1" applyAlignment="1" applyProtection="1">
      <protection locked="0" hidden="1"/>
    </xf>
    <xf numFmtId="172" fontId="7" fillId="3" borderId="7" xfId="21" applyFont="1" applyBorder="1" applyAlignment="1" applyProtection="1">
      <protection hidden="1"/>
    </xf>
    <xf numFmtId="172" fontId="7" fillId="0" borderId="0" xfId="21" applyFont="1" applyFill="1" applyBorder="1" applyAlignment="1" applyProtection="1">
      <protection hidden="1"/>
    </xf>
    <xf numFmtId="172" fontId="6" fillId="0" borderId="31" xfId="18" applyFont="1" applyFill="1" applyBorder="1" applyAlignment="1" applyProtection="1">
      <protection hidden="1"/>
    </xf>
    <xf numFmtId="172" fontId="7" fillId="3" borderId="5" xfId="21" applyFont="1" applyBorder="1" applyAlignment="1" applyProtection="1">
      <protection hidden="1"/>
    </xf>
    <xf numFmtId="172" fontId="7" fillId="3" borderId="3" xfId="21" applyBorder="1" applyAlignment="1" applyProtection="1">
      <protection hidden="1"/>
    </xf>
    <xf numFmtId="172" fontId="6" fillId="0" borderId="13" xfId="21" applyFont="1" applyFill="1" applyBorder="1" applyAlignment="1" applyProtection="1">
      <protection hidden="1"/>
    </xf>
    <xf numFmtId="172" fontId="6" fillId="0" borderId="17" xfId="21" applyFont="1" applyFill="1" applyBorder="1" applyAlignment="1" applyProtection="1">
      <protection hidden="1"/>
    </xf>
    <xf numFmtId="0" fontId="6" fillId="0" borderId="13" xfId="0" applyFont="1" applyBorder="1" applyAlignment="1" applyProtection="1">
      <protection hidden="1"/>
    </xf>
    <xf numFmtId="177" fontId="6" fillId="0" borderId="13" xfId="20" applyBorder="1" applyAlignment="1" applyProtection="1">
      <protection hidden="1"/>
    </xf>
    <xf numFmtId="177" fontId="6" fillId="6" borderId="17" xfId="20" applyFont="1" applyFill="1" applyBorder="1" applyAlignment="1" applyProtection="1">
      <protection hidden="1"/>
    </xf>
    <xf numFmtId="177" fontId="6" fillId="0" borderId="23" xfId="20" applyFont="1" applyBorder="1" applyAlignment="1" applyProtection="1">
      <protection hidden="1"/>
    </xf>
    <xf numFmtId="177" fontId="6" fillId="0" borderId="0" xfId="20" applyFont="1" applyFill="1" applyBorder="1" applyAlignment="1" applyProtection="1">
      <protection hidden="1"/>
    </xf>
    <xf numFmtId="0" fontId="6" fillId="0" borderId="0" xfId="0" applyFont="1" applyFill="1" applyAlignment="1" applyProtection="1">
      <protection hidden="1"/>
    </xf>
    <xf numFmtId="0" fontId="6" fillId="0" borderId="29" xfId="0" applyFont="1" applyFill="1" applyBorder="1" applyAlignment="1" applyProtection="1">
      <protection hidden="1"/>
    </xf>
    <xf numFmtId="177" fontId="6" fillId="0" borderId="13" xfId="20" applyFont="1" applyFill="1" applyBorder="1" applyAlignment="1" applyProtection="1">
      <protection hidden="1"/>
    </xf>
    <xf numFmtId="177" fontId="6" fillId="0" borderId="17" xfId="20" applyFont="1" applyFill="1" applyBorder="1" applyAlignment="1" applyProtection="1">
      <protection hidden="1"/>
    </xf>
    <xf numFmtId="177" fontId="6" fillId="0" borderId="6" xfId="20" applyFont="1" applyFill="1" applyBorder="1" applyAlignment="1" applyProtection="1">
      <protection hidden="1"/>
    </xf>
    <xf numFmtId="177" fontId="6" fillId="0" borderId="42" xfId="20" applyFont="1" applyFill="1" applyBorder="1" applyAlignment="1" applyProtection="1">
      <protection hidden="1"/>
    </xf>
    <xf numFmtId="0" fontId="7" fillId="3" borderId="16" xfId="0" applyFont="1" applyFill="1" applyBorder="1" applyAlignment="1" applyProtection="1">
      <protection hidden="1"/>
    </xf>
    <xf numFmtId="177" fontId="7" fillId="3" borderId="5" xfId="20" applyFont="1" applyFill="1" applyBorder="1" applyAlignment="1" applyProtection="1">
      <protection hidden="1"/>
    </xf>
    <xf numFmtId="177" fontId="7" fillId="3" borderId="7" xfId="20" applyFont="1" applyFill="1" applyBorder="1" applyAlignment="1" applyProtection="1">
      <protection hidden="1"/>
    </xf>
    <xf numFmtId="172" fontId="7" fillId="3" borderId="3" xfId="21" applyFont="1" applyFill="1" applyAlignment="1" applyProtection="1">
      <protection hidden="1"/>
    </xf>
    <xf numFmtId="37" fontId="3" fillId="0" borderId="0" xfId="0" applyNumberFormat="1" applyFont="1" applyBorder="1" applyAlignment="1" applyProtection="1">
      <protection hidden="1"/>
    </xf>
    <xf numFmtId="172" fontId="6" fillId="0" borderId="23" xfId="18" applyFont="1" applyBorder="1" applyAlignment="1" applyProtection="1">
      <protection hidden="1"/>
    </xf>
    <xf numFmtId="0" fontId="6" fillId="0" borderId="35" xfId="0" applyFont="1" applyFill="1" applyBorder="1" applyAlignment="1" applyProtection="1">
      <protection hidden="1"/>
    </xf>
    <xf numFmtId="172" fontId="6" fillId="0" borderId="0" xfId="18" applyBorder="1" applyAlignment="1" applyProtection="1">
      <protection hidden="1"/>
    </xf>
    <xf numFmtId="0" fontId="6" fillId="0" borderId="30" xfId="0" applyFont="1" applyFill="1" applyBorder="1" applyAlignment="1" applyProtection="1">
      <protection hidden="1"/>
    </xf>
    <xf numFmtId="0" fontId="6" fillId="0" borderId="18" xfId="0" applyFont="1" applyBorder="1" applyAlignment="1" applyProtection="1">
      <protection hidden="1"/>
    </xf>
    <xf numFmtId="172" fontId="6" fillId="0" borderId="19" xfId="18" applyBorder="1" applyAlignment="1" applyProtection="1">
      <protection hidden="1"/>
    </xf>
    <xf numFmtId="172" fontId="7" fillId="3" borderId="5" xfId="21" applyFont="1" applyFill="1" applyBorder="1" applyAlignment="1" applyProtection="1">
      <protection hidden="1"/>
    </xf>
    <xf numFmtId="177" fontId="7" fillId="3" borderId="7" xfId="22" applyFont="1" applyBorder="1" applyAlignment="1" applyProtection="1">
      <protection hidden="1"/>
    </xf>
    <xf numFmtId="167" fontId="6" fillId="0" borderId="13" xfId="0" applyNumberFormat="1" applyFont="1" applyFill="1" applyBorder="1" applyAlignment="1" applyProtection="1">
      <protection hidden="1"/>
    </xf>
    <xf numFmtId="0" fontId="6" fillId="0" borderId="48" xfId="0" applyFont="1" applyFill="1" applyBorder="1" applyAlignment="1" applyProtection="1">
      <protection hidden="1"/>
    </xf>
    <xf numFmtId="172" fontId="6" fillId="0" borderId="48" xfId="18" applyFont="1" applyFill="1" applyBorder="1" applyAlignment="1" applyProtection="1">
      <protection hidden="1"/>
    </xf>
    <xf numFmtId="172" fontId="6" fillId="0" borderId="39" xfId="18" applyFont="1" applyFill="1" applyBorder="1" applyAlignment="1" applyProtection="1">
      <protection hidden="1"/>
    </xf>
    <xf numFmtId="172" fontId="6" fillId="0" borderId="18" xfId="18" applyFont="1" applyFill="1" applyBorder="1" applyAlignment="1" applyProtection="1">
      <protection locked="0" hidden="1"/>
    </xf>
    <xf numFmtId="172" fontId="6" fillId="0" borderId="19" xfId="18" applyFont="1" applyFill="1" applyBorder="1" applyAlignment="1" applyProtection="1">
      <protection locked="0" hidden="1"/>
    </xf>
    <xf numFmtId="0" fontId="16" fillId="0" borderId="29" xfId="0" applyFont="1" applyFill="1" applyBorder="1" applyAlignment="1" applyProtection="1">
      <protection hidden="1"/>
    </xf>
    <xf numFmtId="0" fontId="16" fillId="0" borderId="35" xfId="0" applyFont="1" applyFill="1" applyBorder="1" applyAlignment="1" applyProtection="1">
      <protection hidden="1"/>
    </xf>
    <xf numFmtId="0" fontId="6" fillId="0" borderId="49" xfId="0" applyFont="1" applyBorder="1" applyAlignment="1" applyProtection="1">
      <protection hidden="1"/>
    </xf>
    <xf numFmtId="185" fontId="6" fillId="0" borderId="23" xfId="18" applyNumberFormat="1" applyBorder="1" applyAlignment="1" applyProtection="1">
      <protection hidden="1"/>
    </xf>
    <xf numFmtId="0" fontId="14" fillId="3" borderId="16" xfId="0" applyFont="1" applyFill="1" applyBorder="1" applyAlignment="1" applyProtection="1">
      <protection hidden="1"/>
    </xf>
    <xf numFmtId="177" fontId="7" fillId="3" borderId="5" xfId="22" applyFont="1" applyBorder="1" applyAlignment="1" applyProtection="1">
      <protection hidden="1"/>
    </xf>
    <xf numFmtId="2" fontId="6" fillId="0" borderId="0" xfId="0" applyNumberFormat="1" applyFont="1" applyAlignment="1" applyProtection="1">
      <protection hidden="1"/>
    </xf>
    <xf numFmtId="37" fontId="6" fillId="0" borderId="27" xfId="0" applyNumberFormat="1" applyFont="1" applyFill="1" applyBorder="1" applyAlignment="1" applyProtection="1">
      <protection hidden="1"/>
    </xf>
    <xf numFmtId="172" fontId="6" fillId="0" borderId="17" xfId="18" applyFont="1" applyFill="1" applyBorder="1" applyAlignment="1" applyProtection="1">
      <protection locked="0" hidden="1"/>
    </xf>
    <xf numFmtId="177" fontId="6" fillId="0" borderId="23" xfId="20" applyFont="1" applyFill="1" applyBorder="1" applyAlignment="1" applyProtection="1">
      <protection locked="0" hidden="1"/>
    </xf>
    <xf numFmtId="177" fontId="15" fillId="6" borderId="25" xfId="20" applyFont="1" applyFill="1" applyBorder="1" applyAlignment="1" applyProtection="1">
      <protection hidden="1"/>
    </xf>
    <xf numFmtId="177" fontId="6" fillId="0" borderId="25" xfId="20" applyFont="1" applyFill="1" applyBorder="1" applyAlignment="1" applyProtection="1">
      <protection locked="0" hidden="1"/>
    </xf>
    <xf numFmtId="37" fontId="6" fillId="0" borderId="28" xfId="0" applyNumberFormat="1" applyFont="1" applyFill="1" applyBorder="1" applyAlignment="1" applyProtection="1">
      <protection hidden="1"/>
    </xf>
    <xf numFmtId="172" fontId="7" fillId="3" borderId="16" xfId="18" applyFont="1" applyFill="1" applyBorder="1" applyAlignment="1" applyProtection="1">
      <protection hidden="1"/>
    </xf>
    <xf numFmtId="177" fontId="7" fillId="3" borderId="16" xfId="22" applyBorder="1" applyAlignment="1" applyProtection="1">
      <alignment horizontal="right"/>
      <protection hidden="1"/>
    </xf>
    <xf numFmtId="177" fontId="7" fillId="3" borderId="5" xfId="22" applyBorder="1" applyAlignment="1" applyProtection="1">
      <alignment horizontal="right"/>
      <protection hidden="1"/>
    </xf>
    <xf numFmtId="177" fontId="6" fillId="5" borderId="23" xfId="20" applyFont="1" applyFill="1" applyBorder="1" applyAlignment="1" applyProtection="1">
      <protection hidden="1"/>
    </xf>
    <xf numFmtId="177" fontId="6" fillId="5" borderId="36" xfId="20" applyFont="1" applyFill="1" applyBorder="1" applyAlignment="1" applyProtection="1">
      <protection hidden="1"/>
    </xf>
    <xf numFmtId="172" fontId="7" fillId="3" borderId="5" xfId="21" applyBorder="1" applyAlignment="1" applyProtection="1">
      <protection hidden="1"/>
    </xf>
    <xf numFmtId="177" fontId="7" fillId="3" borderId="5" xfId="22" applyBorder="1" applyAlignment="1" applyProtection="1">
      <protection hidden="1"/>
    </xf>
    <xf numFmtId="172" fontId="7" fillId="3" borderId="7" xfId="21" applyBorder="1" applyAlignment="1" applyProtection="1">
      <protection hidden="1"/>
    </xf>
    <xf numFmtId="172" fontId="6" fillId="0" borderId="3" xfId="18" applyFont="1" applyFill="1" applyBorder="1" applyAlignment="1" applyProtection="1">
      <protection locked="0" hidden="1"/>
    </xf>
    <xf numFmtId="172" fontId="6" fillId="5" borderId="23" xfId="18" applyFont="1" applyFill="1" applyBorder="1" applyAlignment="1" applyProtection="1">
      <protection hidden="1"/>
    </xf>
    <xf numFmtId="37" fontId="5" fillId="3" borderId="50" xfId="0" applyNumberFormat="1" applyFont="1" applyFill="1" applyBorder="1" applyAlignment="1" applyProtection="1">
      <alignment horizontal="right" vertical="center"/>
      <protection hidden="1"/>
    </xf>
    <xf numFmtId="0" fontId="3" fillId="0" borderId="37" xfId="0" applyFont="1" applyBorder="1" applyAlignment="1">
      <alignment horizontal="right" vertical="center"/>
    </xf>
    <xf numFmtId="0" fontId="5" fillId="3" borderId="51" xfId="0" applyFont="1" applyFill="1" applyBorder="1" applyAlignment="1" applyProtection="1">
      <alignment horizontal="right" vertical="center"/>
      <protection hidden="1"/>
    </xf>
    <xf numFmtId="0" fontId="3" fillId="0" borderId="22" xfId="0" applyFont="1" applyBorder="1" applyAlignment="1">
      <alignment horizontal="right" vertical="center"/>
    </xf>
    <xf numFmtId="37" fontId="6" fillId="0" borderId="26" xfId="0" applyNumberFormat="1" applyFont="1" applyFill="1" applyBorder="1" applyAlignment="1" applyProtection="1">
      <protection hidden="1"/>
    </xf>
    <xf numFmtId="177" fontId="6" fillId="0" borderId="49" xfId="20" applyFont="1" applyFill="1" applyBorder="1" applyAlignment="1" applyProtection="1">
      <protection locked="0" hidden="1"/>
    </xf>
    <xf numFmtId="172" fontId="6" fillId="0" borderId="17" xfId="18" applyFont="1" applyFill="1" applyBorder="1" applyAlignment="1" applyProtection="1">
      <protection hidden="1"/>
    </xf>
    <xf numFmtId="3" fontId="5" fillId="3" borderId="16" xfId="0" applyNumberFormat="1" applyFont="1" applyFill="1" applyBorder="1" applyAlignment="1" applyProtection="1">
      <alignment horizontal="center" vertical="center"/>
      <protection hidden="1"/>
    </xf>
    <xf numFmtId="3" fontId="5" fillId="3" borderId="5" xfId="0" applyNumberFormat="1" applyFont="1" applyFill="1" applyBorder="1" applyAlignment="1" applyProtection="1">
      <alignment horizontal="center" vertical="center"/>
      <protection hidden="1"/>
    </xf>
    <xf numFmtId="3" fontId="5" fillId="3" borderId="7" xfId="0" applyNumberFormat="1" applyFont="1" applyFill="1" applyBorder="1" applyAlignment="1" applyProtection="1">
      <alignment horizontal="center" vertical="center"/>
      <protection hidden="1"/>
    </xf>
    <xf numFmtId="184" fontId="6" fillId="0" borderId="23" xfId="0" applyNumberFormat="1" applyFont="1" applyFill="1" applyBorder="1" applyAlignment="1" applyProtection="1">
      <protection locked="0" hidden="1"/>
    </xf>
    <xf numFmtId="2" fontId="6" fillId="0" borderId="23" xfId="0" applyNumberFormat="1" applyFont="1" applyFill="1" applyBorder="1" applyAlignment="1" applyProtection="1">
      <protection locked="0" hidden="1"/>
    </xf>
    <xf numFmtId="175" fontId="7" fillId="3" borderId="16" xfId="18" applyNumberFormat="1" applyFont="1" applyFill="1" applyBorder="1" applyAlignment="1" applyProtection="1">
      <protection hidden="1"/>
    </xf>
    <xf numFmtId="175" fontId="7" fillId="3" borderId="5" xfId="18" applyNumberFormat="1" applyFont="1" applyFill="1" applyBorder="1" applyAlignment="1" applyProtection="1">
      <protection hidden="1"/>
    </xf>
    <xf numFmtId="3" fontId="7" fillId="0" borderId="0" xfId="0" applyNumberFormat="1" applyFont="1" applyAlignment="1" applyProtection="1">
      <protection hidden="1"/>
    </xf>
    <xf numFmtId="177" fontId="6" fillId="0" borderId="36" xfId="20" applyFont="1" applyFill="1" applyBorder="1" applyAlignment="1" applyProtection="1">
      <protection locked="0" hidden="1"/>
    </xf>
    <xf numFmtId="177" fontId="6" fillId="0" borderId="36" xfId="20" applyFont="1" applyFill="1" applyBorder="1" applyAlignment="1" applyProtection="1">
      <protection hidden="1"/>
    </xf>
    <xf numFmtId="37" fontId="14" fillId="3" borderId="5" xfId="0" applyNumberFormat="1" applyFont="1" applyFill="1" applyBorder="1" applyAlignment="1" applyProtection="1">
      <protection hidden="1"/>
    </xf>
    <xf numFmtId="0" fontId="5" fillId="3" borderId="3" xfId="0" applyFont="1" applyFill="1" applyBorder="1" applyAlignment="1" applyProtection="1">
      <protection hidden="1"/>
    </xf>
    <xf numFmtId="172" fontId="6" fillId="0" borderId="0" xfId="18" applyFont="1" applyFill="1" applyBorder="1" applyAlignment="1" applyProtection="1">
      <protection locked="0" hidden="1"/>
    </xf>
    <xf numFmtId="172" fontId="6" fillId="0" borderId="13" xfId="18" applyFont="1" applyFill="1" applyBorder="1" applyAlignment="1" applyProtection="1">
      <protection locked="0" hidden="1"/>
    </xf>
    <xf numFmtId="172" fontId="6" fillId="0" borderId="26" xfId="18" applyFont="1" applyFill="1" applyBorder="1" applyAlignment="1" applyProtection="1">
      <protection locked="0" hidden="1"/>
    </xf>
    <xf numFmtId="172" fontId="6" fillId="0" borderId="52" xfId="18" applyFont="1" applyFill="1" applyBorder="1" applyAlignment="1" applyProtection="1">
      <protection hidden="1"/>
    </xf>
    <xf numFmtId="172" fontId="7" fillId="3" borderId="21" xfId="21" applyFont="1" applyFill="1" applyBorder="1" applyAlignment="1" applyProtection="1">
      <protection hidden="1"/>
    </xf>
    <xf numFmtId="172" fontId="6" fillId="3" borderId="14" xfId="18" applyFont="1" applyFill="1" applyBorder="1" applyAlignment="1" applyProtection="1">
      <protection locked="0" hidden="1"/>
    </xf>
    <xf numFmtId="172" fontId="6" fillId="0" borderId="32" xfId="18" applyFont="1" applyFill="1" applyBorder="1" applyAlignment="1" applyProtection="1">
      <protection hidden="1"/>
    </xf>
    <xf numFmtId="172" fontId="6" fillId="0" borderId="25" xfId="18" applyFont="1" applyFill="1" applyBorder="1" applyAlignment="1" applyProtection="1">
      <protection locked="0" hidden="1"/>
    </xf>
    <xf numFmtId="172" fontId="6" fillId="0" borderId="38" xfId="18" applyFont="1" applyBorder="1" applyAlignment="1" applyProtection="1">
      <protection hidden="1"/>
    </xf>
    <xf numFmtId="0" fontId="6" fillId="0" borderId="0" xfId="0" applyFont="1" applyBorder="1" applyProtection="1">
      <protection hidden="1"/>
    </xf>
    <xf numFmtId="0" fontId="0" fillId="0" borderId="0" xfId="0" applyProtection="1">
      <protection hidden="1"/>
    </xf>
    <xf numFmtId="0" fontId="5" fillId="0" borderId="0" xfId="0" applyFont="1" applyBorder="1" applyProtection="1">
      <protection hidden="1"/>
    </xf>
    <xf numFmtId="0" fontId="0" fillId="0" borderId="0" xfId="0" applyBorder="1" applyProtection="1">
      <protection hidden="1"/>
    </xf>
    <xf numFmtId="0" fontId="19" fillId="0" borderId="0" xfId="0" applyFont="1" applyBorder="1" applyProtection="1">
      <protection hidden="1"/>
    </xf>
    <xf numFmtId="0" fontId="19" fillId="0" borderId="0" xfId="0" applyFont="1" applyBorder="1" applyAlignment="1" applyProtection="1">
      <protection hidden="1"/>
    </xf>
    <xf numFmtId="0" fontId="20" fillId="0" borderId="0" xfId="0" applyFont="1" applyBorder="1" applyAlignment="1" applyProtection="1">
      <protection hidden="1"/>
    </xf>
    <xf numFmtId="0" fontId="20" fillId="0" borderId="0" xfId="0" applyFont="1" applyBorder="1" applyAlignment="1" applyProtection="1">
      <alignment vertical="center"/>
      <protection hidden="1"/>
    </xf>
    <xf numFmtId="37" fontId="20" fillId="0" borderId="0" xfId="0" applyNumberFormat="1" applyFont="1" applyBorder="1" applyProtection="1">
      <protection hidden="1"/>
    </xf>
    <xf numFmtId="0" fontId="20" fillId="0" borderId="0" xfId="0" applyFont="1" applyBorder="1" applyProtection="1">
      <protection hidden="1"/>
    </xf>
    <xf numFmtId="0" fontId="21" fillId="0" borderId="0" xfId="0" applyFont="1" applyBorder="1" applyAlignment="1" applyProtection="1">
      <protection hidden="1"/>
    </xf>
    <xf numFmtId="0" fontId="22" fillId="0" borderId="0" xfId="0" applyFont="1" applyBorder="1" applyAlignment="1" applyProtection="1">
      <protection hidden="1"/>
    </xf>
    <xf numFmtId="0" fontId="21" fillId="0" borderId="0" xfId="0" applyFont="1" applyBorder="1" applyProtection="1">
      <protection hidden="1"/>
    </xf>
    <xf numFmtId="0" fontId="21" fillId="0" borderId="0" xfId="0" applyFont="1" applyAlignment="1" applyProtection="1">
      <protection hidden="1"/>
    </xf>
    <xf numFmtId="0" fontId="21" fillId="0" borderId="0" xfId="0" applyFont="1" applyProtection="1">
      <protection hidden="1"/>
    </xf>
    <xf numFmtId="0" fontId="20" fillId="0" borderId="0" xfId="0" applyFont="1" applyBorder="1" applyAlignment="1" applyProtection="1">
      <alignment horizontal="left"/>
      <protection hidden="1"/>
    </xf>
    <xf numFmtId="0" fontId="21" fillId="0" borderId="0" xfId="0" applyFont="1" applyFill="1" applyProtection="1">
      <protection hidden="1"/>
    </xf>
    <xf numFmtId="0" fontId="21" fillId="0" borderId="0" xfId="0" applyFont="1" applyFill="1" applyBorder="1" applyProtection="1">
      <protection hidden="1"/>
    </xf>
    <xf numFmtId="0" fontId="21" fillId="0" borderId="0" xfId="0" applyFont="1" applyFill="1" applyAlignment="1" applyProtection="1">
      <protection hidden="1"/>
    </xf>
    <xf numFmtId="0" fontId="23" fillId="0" borderId="0" xfId="0" applyFont="1" applyBorder="1" applyAlignment="1" applyProtection="1">
      <alignment vertical="center"/>
      <protection hidden="1"/>
    </xf>
    <xf numFmtId="0" fontId="24" fillId="0" borderId="0" xfId="0" applyFont="1" applyBorder="1" applyAlignment="1" applyProtection="1">
      <protection hidden="1"/>
    </xf>
    <xf numFmtId="0" fontId="24" fillId="0" borderId="0" xfId="0" applyFont="1" applyAlignment="1" applyProtection="1">
      <protection hidden="1"/>
    </xf>
    <xf numFmtId="0" fontId="24" fillId="0" borderId="0" xfId="0" applyFont="1" applyBorder="1" applyAlignment="1" applyProtection="1">
      <alignment horizontal="center" wrapText="1"/>
      <protection hidden="1"/>
    </xf>
    <xf numFmtId="0" fontId="18" fillId="0" borderId="0" xfId="0" applyFont="1" applyAlignment="1" applyProtection="1">
      <protection hidden="1"/>
    </xf>
    <xf numFmtId="37" fontId="24" fillId="0" borderId="53" xfId="0" applyNumberFormat="1" applyFont="1" applyFill="1" applyBorder="1" applyAlignment="1" applyProtection="1">
      <alignment vertical="center"/>
      <protection hidden="1"/>
    </xf>
    <xf numFmtId="37" fontId="24" fillId="0" borderId="12" xfId="0" applyNumberFormat="1" applyFont="1" applyFill="1" applyBorder="1" applyAlignment="1" applyProtection="1">
      <alignment vertical="center"/>
      <protection hidden="1"/>
    </xf>
    <xf numFmtId="0" fontId="24" fillId="0" borderId="23" xfId="0" applyFont="1" applyBorder="1" applyAlignment="1" applyProtection="1">
      <alignment horizontal="left"/>
      <protection hidden="1"/>
    </xf>
    <xf numFmtId="0" fontId="24" fillId="0" borderId="25" xfId="0" applyFont="1" applyBorder="1" applyAlignment="1" applyProtection="1">
      <alignment vertical="center"/>
      <protection hidden="1"/>
    </xf>
    <xf numFmtId="0" fontId="24" fillId="0" borderId="29" xfId="0" applyFont="1" applyBorder="1" applyAlignment="1" applyProtection="1">
      <alignment vertical="center"/>
      <protection hidden="1"/>
    </xf>
    <xf numFmtId="0" fontId="24" fillId="0" borderId="1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4" fillId="0" borderId="10" xfId="0" applyFont="1" applyBorder="1" applyAlignment="1" applyProtection="1">
      <alignment vertical="center"/>
      <protection hidden="1"/>
    </xf>
    <xf numFmtId="0" fontId="24" fillId="0" borderId="17" xfId="0" applyFont="1" applyBorder="1" applyAlignment="1" applyProtection="1">
      <alignment vertical="center"/>
      <protection hidden="1"/>
    </xf>
    <xf numFmtId="0" fontId="24" fillId="0" borderId="0" xfId="0" applyFont="1" applyBorder="1" applyAlignment="1" applyProtection="1">
      <alignment horizontal="right"/>
      <protection hidden="1"/>
    </xf>
    <xf numFmtId="0" fontId="23" fillId="0" borderId="0" xfId="0" applyFont="1" applyBorder="1" applyAlignment="1" applyProtection="1">
      <protection hidden="1"/>
    </xf>
    <xf numFmtId="0" fontId="24" fillId="0" borderId="0" xfId="0" applyFont="1" applyBorder="1" applyProtection="1">
      <protection hidden="1"/>
    </xf>
    <xf numFmtId="0" fontId="18" fillId="0" borderId="0" xfId="0" applyFont="1" applyBorder="1" applyProtection="1">
      <protection hidden="1"/>
    </xf>
    <xf numFmtId="0" fontId="24" fillId="0" borderId="0" xfId="0" quotePrefix="1" applyFont="1" applyBorder="1" applyAlignment="1" applyProtection="1">
      <alignment horizontal="center" wrapText="1"/>
      <protection hidden="1"/>
    </xf>
    <xf numFmtId="0" fontId="24" fillId="0" borderId="0" xfId="0" applyFont="1" applyAlignment="1" applyProtection="1">
      <alignment horizontal="justify" wrapText="1"/>
      <protection hidden="1"/>
    </xf>
    <xf numFmtId="0" fontId="24" fillId="0" borderId="55" xfId="0" applyFont="1" applyBorder="1" applyAlignment="1" applyProtection="1">
      <alignment horizontal="justify" wrapText="1"/>
      <protection hidden="1"/>
    </xf>
    <xf numFmtId="0" fontId="24" fillId="0" borderId="0" xfId="0" applyFont="1" applyProtection="1">
      <protection hidden="1"/>
    </xf>
    <xf numFmtId="0" fontId="24" fillId="0" borderId="56" xfId="0" applyFont="1" applyBorder="1" applyAlignment="1" applyProtection="1">
      <protection hidden="1"/>
    </xf>
    <xf numFmtId="0" fontId="23" fillId="0" borderId="57" xfId="0" applyFont="1" applyBorder="1" applyProtection="1">
      <protection hidden="1"/>
    </xf>
    <xf numFmtId="0" fontId="24" fillId="0" borderId="57" xfId="0" applyFont="1" applyBorder="1" applyProtection="1">
      <protection hidden="1"/>
    </xf>
    <xf numFmtId="0" fontId="24" fillId="0" borderId="57" xfId="0" applyFont="1" applyBorder="1" applyAlignment="1" applyProtection="1">
      <protection hidden="1"/>
    </xf>
    <xf numFmtId="0" fontId="24" fillId="0" borderId="58" xfId="0" applyFont="1" applyBorder="1" applyProtection="1">
      <protection hidden="1"/>
    </xf>
    <xf numFmtId="0" fontId="18" fillId="0" borderId="0" xfId="0" applyFont="1" applyProtection="1">
      <protection hidden="1"/>
    </xf>
    <xf numFmtId="0" fontId="24" fillId="0" borderId="59" xfId="0" applyFont="1" applyBorder="1" applyAlignment="1" applyProtection="1">
      <protection hidden="1"/>
    </xf>
    <xf numFmtId="0" fontId="24" fillId="0" borderId="60" xfId="0" applyFont="1" applyBorder="1" applyProtection="1">
      <protection hidden="1"/>
    </xf>
    <xf numFmtId="0" fontId="24" fillId="0" borderId="7" xfId="0" applyFont="1" applyBorder="1" applyAlignment="1" applyProtection="1">
      <alignment vertical="top" wrapText="1"/>
      <protection hidden="1"/>
    </xf>
    <xf numFmtId="0" fontId="24" fillId="0" borderId="0" xfId="0" applyFont="1" applyBorder="1" applyAlignment="1" applyProtection="1">
      <alignment vertical="top" wrapText="1"/>
      <protection hidden="1"/>
    </xf>
    <xf numFmtId="0" fontId="24" fillId="0" borderId="60" xfId="0" applyFont="1" applyBorder="1" applyAlignment="1" applyProtection="1">
      <protection hidden="1"/>
    </xf>
    <xf numFmtId="0" fontId="24" fillId="0" borderId="0" xfId="0" applyFont="1" applyFill="1" applyProtection="1">
      <protection hidden="1"/>
    </xf>
    <xf numFmtId="0" fontId="24" fillId="0" borderId="61" xfId="0" applyFont="1" applyFill="1" applyBorder="1" applyAlignment="1" applyProtection="1">
      <protection hidden="1"/>
    </xf>
    <xf numFmtId="0" fontId="24" fillId="0" borderId="55" xfId="0" applyFont="1" applyFill="1" applyBorder="1" applyProtection="1">
      <protection hidden="1"/>
    </xf>
    <xf numFmtId="0" fontId="24" fillId="0" borderId="55" xfId="0" applyFont="1" applyFill="1" applyBorder="1" applyAlignment="1" applyProtection="1">
      <alignment vertical="top" wrapText="1"/>
      <protection hidden="1"/>
    </xf>
    <xf numFmtId="0" fontId="25" fillId="0" borderId="55" xfId="0" applyFont="1" applyBorder="1" applyAlignment="1" applyProtection="1">
      <alignment vertical="top" wrapText="1"/>
      <protection hidden="1"/>
    </xf>
    <xf numFmtId="0" fontId="24" fillId="0" borderId="55" xfId="0" applyFont="1" applyFill="1" applyBorder="1" applyAlignment="1" applyProtection="1">
      <alignment vertical="top"/>
      <protection hidden="1"/>
    </xf>
    <xf numFmtId="0" fontId="24" fillId="0" borderId="62" xfId="0" applyFont="1" applyFill="1" applyBorder="1" applyAlignment="1" applyProtection="1">
      <protection hidden="1"/>
    </xf>
    <xf numFmtId="0" fontId="18" fillId="0" borderId="0" xfId="0" applyFont="1" applyFill="1" applyProtection="1">
      <protection hidden="1"/>
    </xf>
    <xf numFmtId="0" fontId="26" fillId="0" borderId="0" xfId="0" applyFont="1" applyBorder="1" applyAlignment="1" applyProtection="1">
      <protection hidden="1"/>
    </xf>
    <xf numFmtId="0" fontId="23" fillId="0" borderId="0" xfId="0" applyFont="1" applyBorder="1" applyProtection="1">
      <protection hidden="1"/>
    </xf>
    <xf numFmtId="0" fontId="24" fillId="0" borderId="0" xfId="0" applyFont="1" applyBorder="1" applyAlignment="1" applyProtection="1">
      <alignment vertical="center"/>
      <protection hidden="1"/>
    </xf>
    <xf numFmtId="0" fontId="23" fillId="0" borderId="49" xfId="0" applyFont="1" applyBorder="1" applyAlignment="1" applyProtection="1">
      <alignment vertical="center"/>
      <protection hidden="1"/>
    </xf>
    <xf numFmtId="0" fontId="23" fillId="0" borderId="32" xfId="0" applyFont="1" applyBorder="1" applyAlignment="1" applyProtection="1">
      <alignment vertical="center"/>
      <protection hidden="1"/>
    </xf>
    <xf numFmtId="0" fontId="24" fillId="0" borderId="32" xfId="0" applyFont="1" applyBorder="1" applyAlignment="1" applyProtection="1">
      <alignment vertical="center"/>
      <protection hidden="1"/>
    </xf>
    <xf numFmtId="0" fontId="24" fillId="0" borderId="0" xfId="0" applyFont="1" applyAlignment="1" applyProtection="1">
      <alignment vertical="center"/>
      <protection hidden="1"/>
    </xf>
    <xf numFmtId="0" fontId="23" fillId="0" borderId="52"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3" fillId="0" borderId="25" xfId="0" applyFont="1" applyBorder="1" applyAlignment="1" applyProtection="1">
      <alignment vertical="center"/>
      <protection hidden="1"/>
    </xf>
    <xf numFmtId="37" fontId="24" fillId="0" borderId="17" xfId="0" applyNumberFormat="1"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37" fontId="24" fillId="0" borderId="0" xfId="0" applyNumberFormat="1" applyFont="1" applyBorder="1" applyAlignment="1" applyProtection="1">
      <alignment vertical="center"/>
      <protection hidden="1"/>
    </xf>
    <xf numFmtId="37" fontId="24" fillId="0" borderId="63" xfId="0" applyNumberFormat="1" applyFont="1" applyFill="1" applyBorder="1" applyAlignment="1" applyProtection="1">
      <alignment vertical="center"/>
      <protection locked="0"/>
    </xf>
    <xf numFmtId="0" fontId="23" fillId="0" borderId="0" xfId="0" applyNumberFormat="1" applyFont="1" applyAlignment="1" applyProtection="1"/>
    <xf numFmtId="168" fontId="24" fillId="0" borderId="0" xfId="0" applyNumberFormat="1" applyFont="1" applyAlignment="1" applyProtection="1"/>
    <xf numFmtId="0" fontId="24" fillId="0" borderId="0" xfId="0" applyFont="1" applyAlignment="1" applyProtection="1"/>
    <xf numFmtId="49" fontId="24" fillId="0" borderId="0" xfId="0" applyNumberFormat="1" applyFont="1" applyAlignment="1" applyProtection="1">
      <alignment horizontal="right"/>
    </xf>
    <xf numFmtId="49" fontId="23" fillId="0" borderId="0" xfId="0" applyNumberFormat="1" applyFont="1" applyAlignment="1" applyProtection="1">
      <alignment horizontal="right"/>
    </xf>
    <xf numFmtId="0" fontId="23" fillId="0" borderId="0" xfId="0" applyFont="1" applyAlignment="1" applyProtection="1"/>
    <xf numFmtId="0" fontId="23" fillId="0" borderId="0" xfId="0" applyNumberFormat="1" applyFont="1" applyBorder="1" applyAlignment="1" applyProtection="1">
      <alignment horizontal="left"/>
    </xf>
    <xf numFmtId="0" fontId="24" fillId="0" borderId="0" xfId="0" applyFont="1" applyBorder="1" applyAlignment="1" applyProtection="1">
      <alignment horizontal="justify"/>
    </xf>
    <xf numFmtId="0" fontId="24" fillId="0" borderId="0" xfId="0" applyFont="1" applyAlignment="1" applyProtection="1">
      <alignment horizontal="justify"/>
    </xf>
    <xf numFmtId="0" fontId="24" fillId="0" borderId="0" xfId="0" applyNumberFormat="1" applyFont="1" applyAlignment="1" applyProtection="1"/>
    <xf numFmtId="37" fontId="24" fillId="0" borderId="0" xfId="0" applyNumberFormat="1" applyFont="1" applyAlignment="1" applyProtection="1">
      <alignment horizontal="justify"/>
    </xf>
    <xf numFmtId="37" fontId="23" fillId="0" borderId="0" xfId="0" applyNumberFormat="1" applyFont="1" applyAlignment="1" applyProtection="1"/>
    <xf numFmtId="0" fontId="24" fillId="0" borderId="0" xfId="0" applyFont="1" applyAlignment="1" applyProtection="1">
      <alignment horizontal="justify" wrapText="1"/>
    </xf>
    <xf numFmtId="0" fontId="24" fillId="0" borderId="0" xfId="0" applyFont="1" applyAlignment="1" applyProtection="1">
      <alignment wrapText="1"/>
    </xf>
    <xf numFmtId="0" fontId="24" fillId="0" borderId="0" xfId="17" applyFont="1" applyBorder="1" applyProtection="1"/>
    <xf numFmtId="0" fontId="24" fillId="0" borderId="0" xfId="17" applyFont="1" applyProtection="1"/>
    <xf numFmtId="0" fontId="24" fillId="0" borderId="0" xfId="0" applyFont="1" applyBorder="1" applyProtection="1"/>
    <xf numFmtId="0" fontId="24" fillId="0" borderId="0" xfId="0" applyFont="1" applyProtection="1"/>
    <xf numFmtId="172" fontId="24" fillId="0" borderId="23" xfId="18" applyFont="1" applyFill="1" applyBorder="1" applyProtection="1">
      <protection locked="0"/>
    </xf>
    <xf numFmtId="172" fontId="24" fillId="0" borderId="23" xfId="18" applyFont="1" applyBorder="1" applyProtection="1"/>
    <xf numFmtId="0" fontId="23" fillId="0" borderId="0" xfId="0" applyFont="1" applyProtection="1"/>
    <xf numFmtId="172" fontId="24" fillId="0" borderId="17" xfId="18" applyFont="1" applyBorder="1" applyProtection="1"/>
    <xf numFmtId="177" fontId="24" fillId="0" borderId="24" xfId="20" applyFont="1" applyFill="1" applyBorder="1" applyProtection="1">
      <protection locked="0"/>
    </xf>
    <xf numFmtId="177" fontId="24" fillId="0" borderId="24" xfId="20" applyNumberFormat="1" applyFont="1" applyFill="1" applyBorder="1" applyProtection="1"/>
    <xf numFmtId="177" fontId="24" fillId="0" borderId="24" xfId="20" applyNumberFormat="1" applyFont="1" applyFill="1" applyBorder="1" applyProtection="1">
      <protection locked="0"/>
    </xf>
    <xf numFmtId="172" fontId="23" fillId="3" borderId="23" xfId="21" applyFont="1" applyBorder="1" applyProtection="1"/>
    <xf numFmtId="37" fontId="24" fillId="0" borderId="0" xfId="0" applyNumberFormat="1" applyFont="1" applyProtection="1"/>
    <xf numFmtId="37" fontId="24" fillId="0" borderId="0" xfId="0" applyNumberFormat="1" applyFont="1" applyFill="1" applyAlignment="1" applyProtection="1">
      <alignment vertical="center"/>
    </xf>
    <xf numFmtId="0" fontId="24" fillId="0" borderId="0" xfId="0" applyFont="1" applyFill="1" applyAlignment="1" applyProtection="1">
      <alignment vertical="center"/>
    </xf>
    <xf numFmtId="0" fontId="24" fillId="0" borderId="13" xfId="0" applyFont="1" applyFill="1" applyBorder="1" applyAlignment="1" applyProtection="1"/>
    <xf numFmtId="0" fontId="24" fillId="0" borderId="17" xfId="0" applyFont="1" applyFill="1" applyBorder="1" applyAlignment="1" applyProtection="1"/>
    <xf numFmtId="0" fontId="24" fillId="0" borderId="32" xfId="0" applyFont="1" applyFill="1" applyBorder="1" applyAlignment="1" applyProtection="1"/>
    <xf numFmtId="0" fontId="24" fillId="0" borderId="12" xfId="0" applyFont="1" applyFill="1" applyBorder="1" applyAlignment="1" applyProtection="1"/>
    <xf numFmtId="172" fontId="24" fillId="0" borderId="24" xfId="18" applyFont="1" applyFill="1" applyBorder="1" applyProtection="1">
      <protection locked="0"/>
    </xf>
    <xf numFmtId="0" fontId="23" fillId="3" borderId="13" xfId="0" applyFont="1" applyFill="1" applyBorder="1" applyAlignment="1" applyProtection="1"/>
    <xf numFmtId="0" fontId="23" fillId="3" borderId="17" xfId="0" applyFont="1" applyFill="1" applyBorder="1" applyAlignment="1" applyProtection="1"/>
    <xf numFmtId="172" fontId="23" fillId="3" borderId="23" xfId="21" applyFont="1" applyFill="1" applyBorder="1" applyAlignment="1" applyProtection="1"/>
    <xf numFmtId="0" fontId="24" fillId="0" borderId="0" xfId="0" applyFont="1" applyAlignment="1" applyProtection="1">
      <alignment vertical="center"/>
    </xf>
    <xf numFmtId="49" fontId="24" fillId="0" borderId="17" xfId="0" applyNumberFormat="1" applyFont="1" applyFill="1" applyBorder="1" applyAlignment="1" applyProtection="1">
      <alignment horizontal="left"/>
      <protection locked="0"/>
    </xf>
    <xf numFmtId="14" fontId="24" fillId="0" borderId="23" xfId="0" applyNumberFormat="1" applyFont="1" applyFill="1" applyBorder="1" applyAlignment="1" applyProtection="1">
      <alignment horizontal="left"/>
      <protection locked="0"/>
    </xf>
    <xf numFmtId="166" fontId="24" fillId="0" borderId="23" xfId="0" applyNumberFormat="1" applyFont="1" applyFill="1" applyBorder="1" applyProtection="1">
      <protection locked="0"/>
    </xf>
    <xf numFmtId="49" fontId="24" fillId="0" borderId="23" xfId="18" applyNumberFormat="1" applyFont="1" applyFill="1" applyBorder="1" applyAlignment="1" applyProtection="1">
      <alignment horizontal="center"/>
      <protection locked="0"/>
    </xf>
    <xf numFmtId="3" fontId="24" fillId="0" borderId="23" xfId="18" applyNumberFormat="1" applyFont="1" applyFill="1" applyBorder="1" applyProtection="1">
      <protection locked="0"/>
    </xf>
    <xf numFmtId="0" fontId="24" fillId="0" borderId="23" xfId="0" applyNumberFormat="1" applyFont="1" applyFill="1" applyBorder="1" applyAlignment="1" applyProtection="1">
      <alignment horizontal="center"/>
      <protection locked="0"/>
    </xf>
    <xf numFmtId="169" fontId="24" fillId="0" borderId="23" xfId="18" applyNumberFormat="1" applyFont="1" applyFill="1" applyBorder="1" applyProtection="1"/>
    <xf numFmtId="169" fontId="24" fillId="0" borderId="0" xfId="0" applyNumberFormat="1" applyFont="1" applyBorder="1" applyProtection="1"/>
    <xf numFmtId="169" fontId="24" fillId="0" borderId="0" xfId="0" applyNumberFormat="1" applyFont="1" applyProtection="1"/>
    <xf numFmtId="166" fontId="24" fillId="0" borderId="23" xfId="18" applyNumberFormat="1" applyFont="1" applyFill="1" applyBorder="1" applyProtection="1">
      <protection locked="0"/>
    </xf>
    <xf numFmtId="49" fontId="24" fillId="0" borderId="12" xfId="0" applyNumberFormat="1" applyFont="1" applyFill="1" applyBorder="1" applyAlignment="1" applyProtection="1">
      <alignment horizontal="left"/>
      <protection locked="0"/>
    </xf>
    <xf numFmtId="14" fontId="24" fillId="0" borderId="24" xfId="0" applyNumberFormat="1" applyFont="1" applyFill="1" applyBorder="1" applyAlignment="1" applyProtection="1">
      <alignment horizontal="left"/>
      <protection locked="0"/>
    </xf>
    <xf numFmtId="166" fontId="24" fillId="0" borderId="24" xfId="0" applyNumberFormat="1" applyFont="1" applyFill="1" applyBorder="1" applyProtection="1">
      <protection locked="0"/>
    </xf>
    <xf numFmtId="166" fontId="24" fillId="0" borderId="24" xfId="18" applyNumberFormat="1" applyFont="1" applyFill="1" applyBorder="1" applyProtection="1">
      <protection locked="0"/>
    </xf>
    <xf numFmtId="49" fontId="24" fillId="0" borderId="24" xfId="18" applyNumberFormat="1" applyFont="1" applyFill="1" applyBorder="1" applyAlignment="1" applyProtection="1">
      <alignment horizontal="center"/>
      <protection locked="0"/>
    </xf>
    <xf numFmtId="173" fontId="23" fillId="3" borderId="24" xfId="21" applyNumberFormat="1" applyFont="1" applyBorder="1" applyProtection="1"/>
    <xf numFmtId="173" fontId="23" fillId="3" borderId="24" xfId="18" applyNumberFormat="1" applyFont="1" applyFill="1" applyBorder="1" applyProtection="1"/>
    <xf numFmtId="175" fontId="23" fillId="0" borderId="49" xfId="18" applyNumberFormat="1" applyFont="1" applyFill="1" applyBorder="1" applyProtection="1"/>
    <xf numFmtId="175" fontId="23" fillId="0" borderId="32" xfId="18" applyNumberFormat="1" applyFont="1" applyFill="1" applyBorder="1" applyProtection="1"/>
    <xf numFmtId="175" fontId="23" fillId="0" borderId="12" xfId="18" applyNumberFormat="1" applyFont="1" applyFill="1" applyBorder="1" applyProtection="1"/>
    <xf numFmtId="169" fontId="23" fillId="3" borderId="23" xfId="21" applyNumberFormat="1" applyFont="1" applyBorder="1" applyProtection="1"/>
    <xf numFmtId="169" fontId="23" fillId="0" borderId="0" xfId="21" applyNumberFormat="1" applyFont="1" applyFill="1" applyBorder="1" applyProtection="1"/>
    <xf numFmtId="0" fontId="24" fillId="3" borderId="13" xfId="0" applyFont="1" applyFill="1" applyBorder="1" applyAlignment="1" applyProtection="1">
      <alignment horizontal="left"/>
    </xf>
    <xf numFmtId="0" fontId="24" fillId="3" borderId="17" xfId="0" applyFont="1" applyFill="1" applyBorder="1" applyAlignment="1" applyProtection="1">
      <alignment horizontal="left"/>
    </xf>
    <xf numFmtId="169" fontId="24" fillId="3" borderId="23" xfId="0" applyNumberFormat="1" applyFont="1" applyFill="1" applyBorder="1" applyAlignment="1" applyProtection="1">
      <alignment horizontal="left"/>
    </xf>
    <xf numFmtId="169" fontId="24" fillId="0" borderId="23" xfId="20" applyNumberFormat="1" applyFont="1" applyFill="1" applyBorder="1" applyProtection="1">
      <protection locked="0"/>
    </xf>
    <xf numFmtId="0" fontId="24" fillId="3" borderId="13" xfId="0" applyFont="1" applyFill="1" applyBorder="1" applyAlignment="1" applyProtection="1"/>
    <xf numFmtId="0" fontId="24" fillId="3" borderId="17" xfId="0" applyFont="1" applyFill="1" applyBorder="1" applyAlignment="1" applyProtection="1"/>
    <xf numFmtId="169" fontId="24" fillId="3" borderId="23" xfId="0" applyNumberFormat="1" applyFont="1" applyFill="1" applyBorder="1" applyAlignment="1" applyProtection="1"/>
    <xf numFmtId="0" fontId="23" fillId="3" borderId="13" xfId="0" applyFont="1" applyFill="1" applyBorder="1" applyAlignment="1" applyProtection="1">
      <alignment horizontal="left"/>
    </xf>
    <xf numFmtId="0" fontId="23" fillId="3" borderId="17" xfId="0" applyFont="1" applyFill="1" applyBorder="1" applyAlignment="1" applyProtection="1">
      <alignment horizontal="left"/>
    </xf>
    <xf numFmtId="169" fontId="23" fillId="3" borderId="23" xfId="0" applyNumberFormat="1" applyFont="1" applyFill="1" applyBorder="1" applyAlignment="1" applyProtection="1">
      <alignment horizontal="left"/>
    </xf>
    <xf numFmtId="169" fontId="23" fillId="0" borderId="0" xfId="0" applyNumberFormat="1" applyFont="1" applyProtection="1"/>
    <xf numFmtId="0" fontId="24" fillId="0" borderId="0" xfId="0" applyFont="1" applyBorder="1" applyAlignment="1" applyProtection="1">
      <alignment horizontal="left"/>
    </xf>
    <xf numFmtId="3" fontId="24" fillId="0" borderId="0" xfId="0" applyNumberFormat="1" applyFont="1" applyBorder="1" applyAlignment="1" applyProtection="1">
      <alignment horizontal="center"/>
    </xf>
    <xf numFmtId="37" fontId="23" fillId="0" borderId="0" xfId="0" applyNumberFormat="1" applyFont="1" applyBorder="1" applyAlignment="1" applyProtection="1">
      <alignment horizontal="right"/>
    </xf>
    <xf numFmtId="0" fontId="23" fillId="0" borderId="0" xfId="0" applyNumberFormat="1" applyFont="1" applyProtection="1"/>
    <xf numFmtId="0" fontId="24" fillId="0" borderId="0" xfId="0" applyFont="1" applyBorder="1" applyAlignment="1" applyProtection="1">
      <alignment vertical="center"/>
    </xf>
    <xf numFmtId="172" fontId="24" fillId="0" borderId="17" xfId="18" applyFont="1" applyFill="1" applyBorder="1" applyProtection="1">
      <protection locked="0"/>
    </xf>
    <xf numFmtId="177" fontId="24" fillId="0" borderId="25" xfId="20" applyFont="1" applyFill="1" applyBorder="1" applyProtection="1">
      <protection locked="0"/>
    </xf>
    <xf numFmtId="172" fontId="24" fillId="0" borderId="25" xfId="18" applyFont="1" applyBorder="1" applyAlignment="1" applyProtection="1"/>
    <xf numFmtId="177" fontId="24" fillId="0" borderId="23" xfId="20" applyFont="1" applyFill="1" applyBorder="1" applyProtection="1">
      <protection locked="0"/>
    </xf>
    <xf numFmtId="172" fontId="24" fillId="0" borderId="12" xfId="18" applyFont="1" applyFill="1" applyBorder="1" applyProtection="1">
      <protection locked="0"/>
    </xf>
    <xf numFmtId="172" fontId="24" fillId="0" borderId="49" xfId="18" applyFont="1" applyBorder="1" applyAlignment="1" applyProtection="1"/>
    <xf numFmtId="172" fontId="24" fillId="0" borderId="24" xfId="18" applyFont="1" applyBorder="1" applyProtection="1"/>
    <xf numFmtId="172" fontId="23" fillId="3" borderId="23" xfId="18" applyFont="1" applyFill="1" applyBorder="1" applyProtection="1"/>
    <xf numFmtId="177" fontId="23" fillId="3" borderId="23" xfId="21" applyNumberFormat="1" applyFont="1" applyFill="1" applyBorder="1" applyAlignment="1" applyProtection="1"/>
    <xf numFmtId="164" fontId="23" fillId="3" borderId="23" xfId="0" applyNumberFormat="1" applyFont="1" applyFill="1" applyBorder="1" applyAlignment="1" applyProtection="1">
      <alignment horizontal="center"/>
    </xf>
    <xf numFmtId="172" fontId="23" fillId="3" borderId="23" xfId="21" applyFont="1" applyFill="1" applyBorder="1" applyProtection="1"/>
    <xf numFmtId="172" fontId="24" fillId="0" borderId="24" xfId="18" applyFont="1" applyFill="1" applyBorder="1" applyAlignment="1" applyProtection="1"/>
    <xf numFmtId="0" fontId="23" fillId="0" borderId="0" xfId="0" applyFont="1" applyBorder="1" applyProtection="1"/>
    <xf numFmtId="169" fontId="29" fillId="0" borderId="64" xfId="21" applyNumberFormat="1" applyFont="1" applyFill="1" applyBorder="1" applyAlignment="1" applyProtection="1"/>
    <xf numFmtId="164" fontId="24" fillId="0" borderId="23" xfId="0" applyNumberFormat="1" applyFont="1" applyBorder="1" applyAlignment="1" applyProtection="1">
      <alignment horizontal="center"/>
    </xf>
    <xf numFmtId="0" fontId="24" fillId="0" borderId="0" xfId="0" applyFont="1" applyBorder="1" applyAlignment="1" applyProtection="1"/>
    <xf numFmtId="0" fontId="23" fillId="0" borderId="0" xfId="0" applyNumberFormat="1" applyFont="1" applyBorder="1" applyProtection="1"/>
    <xf numFmtId="172" fontId="24" fillId="0" borderId="25" xfId="18" applyFont="1" applyBorder="1" applyProtection="1"/>
    <xf numFmtId="177" fontId="24" fillId="0" borderId="23" xfId="20" applyFont="1" applyFill="1" applyBorder="1" applyProtection="1"/>
    <xf numFmtId="177" fontId="23" fillId="3" borderId="23" xfId="22" applyFont="1" applyBorder="1" applyProtection="1"/>
    <xf numFmtId="172" fontId="24" fillId="7" borderId="0" xfId="18" applyFont="1" applyFill="1" applyBorder="1" applyAlignment="1" applyProtection="1"/>
    <xf numFmtId="0" fontId="24" fillId="0" borderId="0" xfId="0" applyFont="1" applyFill="1" applyAlignment="1" applyProtection="1"/>
    <xf numFmtId="0" fontId="24" fillId="0" borderId="0" xfId="0" applyFont="1" applyFill="1" applyProtection="1"/>
    <xf numFmtId="0" fontId="24" fillId="0" borderId="24" xfId="18" applyNumberFormat="1" applyFont="1" applyBorder="1" applyProtection="1"/>
    <xf numFmtId="172" fontId="23" fillId="3" borderId="38" xfId="21" applyFont="1" applyBorder="1" applyProtection="1"/>
    <xf numFmtId="172" fontId="23" fillId="7" borderId="38" xfId="21" applyFont="1" applyFill="1" applyBorder="1" applyProtection="1"/>
    <xf numFmtId="0" fontId="24" fillId="0" borderId="25" xfId="0" applyFont="1" applyBorder="1" applyProtection="1"/>
    <xf numFmtId="172" fontId="24" fillId="3" borderId="23" xfId="0" applyNumberFormat="1" applyFont="1" applyFill="1" applyBorder="1" applyProtection="1"/>
    <xf numFmtId="165" fontId="24" fillId="0" borderId="0" xfId="0" applyNumberFormat="1" applyFont="1" applyFill="1" applyBorder="1" applyAlignment="1" applyProtection="1">
      <alignment horizontal="center"/>
    </xf>
    <xf numFmtId="3" fontId="24" fillId="0" borderId="24" xfId="18" applyNumberFormat="1" applyFont="1" applyFill="1" applyBorder="1" applyProtection="1">
      <protection locked="0"/>
    </xf>
    <xf numFmtId="3" fontId="23" fillId="3" borderId="23" xfId="21" applyNumberFormat="1" applyFont="1" applyBorder="1" applyAlignment="1" applyProtection="1"/>
    <xf numFmtId="0" fontId="25" fillId="0" borderId="0" xfId="0" applyFont="1" applyProtection="1"/>
    <xf numFmtId="172" fontId="24" fillId="3" borderId="23" xfId="0" applyNumberFormat="1" applyFont="1" applyFill="1" applyBorder="1" applyAlignment="1" applyProtection="1"/>
    <xf numFmtId="3" fontId="24" fillId="0" borderId="17" xfId="0" applyNumberFormat="1" applyFont="1" applyBorder="1" applyProtection="1"/>
    <xf numFmtId="37" fontId="23" fillId="0" borderId="0" xfId="0" applyNumberFormat="1" applyFont="1" applyBorder="1" applyAlignment="1" applyProtection="1">
      <alignment horizontal="right" vertical="top"/>
    </xf>
    <xf numFmtId="3" fontId="23" fillId="3" borderId="17" xfId="0" applyNumberFormat="1" applyFont="1" applyFill="1" applyBorder="1" applyProtection="1"/>
    <xf numFmtId="3" fontId="23" fillId="3" borderId="23" xfId="0" applyNumberFormat="1" applyFont="1" applyFill="1" applyBorder="1" applyProtection="1"/>
    <xf numFmtId="0" fontId="23" fillId="0" borderId="0" xfId="0" applyNumberFormat="1" applyFont="1" applyBorder="1" applyAlignment="1" applyProtection="1"/>
    <xf numFmtId="37" fontId="24" fillId="0" borderId="0" xfId="0" applyNumberFormat="1" applyFont="1" applyAlignment="1" applyProtection="1"/>
    <xf numFmtId="37" fontId="24" fillId="0" borderId="0" xfId="0" applyNumberFormat="1" applyFont="1" applyBorder="1" applyAlignment="1" applyProtection="1"/>
    <xf numFmtId="0" fontId="24" fillId="0" borderId="0" xfId="0" applyFont="1" applyFill="1" applyBorder="1" applyProtection="1"/>
    <xf numFmtId="0" fontId="23" fillId="0" borderId="0" xfId="0" applyFont="1" applyFill="1" applyBorder="1" applyProtection="1"/>
    <xf numFmtId="37" fontId="23" fillId="3" borderId="3" xfId="0" applyNumberFormat="1" applyFont="1" applyFill="1" applyBorder="1" applyAlignment="1" applyProtection="1">
      <alignment horizontal="right"/>
    </xf>
    <xf numFmtId="37" fontId="24" fillId="0" borderId="0" xfId="0" applyNumberFormat="1" applyFont="1" applyAlignment="1" applyProtection="1">
      <alignment horizontal="left"/>
    </xf>
    <xf numFmtId="0" fontId="24" fillId="0" borderId="17" xfId="0" applyFont="1" applyBorder="1" applyAlignment="1" applyProtection="1"/>
    <xf numFmtId="172" fontId="24" fillId="0" borderId="23" xfId="18" applyFont="1" applyFill="1" applyBorder="1" applyProtection="1"/>
    <xf numFmtId="172" fontId="24" fillId="0" borderId="24" xfId="18" applyFont="1" applyFill="1" applyBorder="1" applyProtection="1"/>
    <xf numFmtId="37" fontId="24" fillId="0" borderId="0" xfId="0" applyNumberFormat="1" applyFont="1" applyBorder="1" applyProtection="1"/>
    <xf numFmtId="172" fontId="24" fillId="7" borderId="23" xfId="21" applyFont="1" applyFill="1" applyBorder="1" applyProtection="1"/>
    <xf numFmtId="173" fontId="24" fillId="0" borderId="23" xfId="18" applyNumberFormat="1" applyFont="1" applyFill="1" applyBorder="1" applyProtection="1"/>
    <xf numFmtId="174" fontId="24" fillId="0" borderId="23" xfId="20" applyNumberFormat="1" applyFont="1" applyFill="1" applyBorder="1" applyProtection="1">
      <protection locked="0"/>
    </xf>
    <xf numFmtId="49" fontId="24" fillId="0" borderId="0" xfId="0" applyNumberFormat="1" applyFont="1" applyBorder="1" applyAlignment="1" applyProtection="1">
      <alignment horizontal="center"/>
    </xf>
    <xf numFmtId="3" fontId="24" fillId="0" borderId="23" xfId="0" applyNumberFormat="1" applyFont="1" applyBorder="1" applyProtection="1"/>
    <xf numFmtId="1" fontId="24" fillId="0" borderId="49" xfId="0" applyNumberFormat="1" applyFont="1" applyBorder="1" applyProtection="1"/>
    <xf numFmtId="172" fontId="24" fillId="0" borderId="25" xfId="18" applyFont="1" applyFill="1" applyBorder="1" applyProtection="1">
      <protection locked="0"/>
    </xf>
    <xf numFmtId="0" fontId="23" fillId="3" borderId="23" xfId="0" applyNumberFormat="1" applyFont="1" applyFill="1" applyBorder="1" applyAlignment="1" applyProtection="1">
      <alignment horizontal="left"/>
    </xf>
    <xf numFmtId="0" fontId="23" fillId="0" borderId="0" xfId="0" applyNumberFormat="1" applyFont="1" applyBorder="1" applyAlignment="1" applyProtection="1">
      <alignment vertical="center"/>
    </xf>
    <xf numFmtId="0" fontId="24" fillId="0" borderId="0" xfId="0" applyFont="1" applyAlignment="1" applyProtection="1">
      <alignment horizontal="left"/>
    </xf>
    <xf numFmtId="0" fontId="23" fillId="0" borderId="0" xfId="0" applyFont="1" applyBorder="1" applyAlignment="1" applyProtection="1"/>
    <xf numFmtId="0" fontId="23" fillId="0" borderId="0" xfId="15" applyFont="1" applyBorder="1" applyAlignment="1" applyProtection="1">
      <alignment horizontal="left"/>
    </xf>
    <xf numFmtId="0" fontId="23" fillId="0" borderId="0" xfId="0" applyFont="1" applyBorder="1" applyAlignment="1" applyProtection="1">
      <alignment horizontal="right"/>
    </xf>
    <xf numFmtId="0" fontId="23" fillId="0" borderId="0" xfId="0" applyFont="1" applyBorder="1" applyAlignment="1" applyProtection="1">
      <alignment horizontal="right" vertical="top"/>
    </xf>
    <xf numFmtId="37" fontId="23" fillId="0" borderId="0" xfId="0" applyNumberFormat="1" applyFont="1" applyBorder="1" applyAlignment="1" applyProtection="1"/>
    <xf numFmtId="37" fontId="23" fillId="0" borderId="0" xfId="0" applyNumberFormat="1" applyFont="1" applyBorder="1" applyAlignment="1" applyProtection="1">
      <alignment horizontal="left"/>
    </xf>
    <xf numFmtId="0" fontId="23" fillId="0" borderId="0" xfId="0" applyFont="1" applyBorder="1" applyAlignment="1" applyProtection="1">
      <alignment horizontal="left"/>
    </xf>
    <xf numFmtId="172" fontId="23" fillId="0" borderId="0" xfId="19" applyNumberFormat="1" applyFont="1" applyFill="1" applyBorder="1" applyAlignment="1" applyProtection="1">
      <alignment horizontal="left"/>
    </xf>
    <xf numFmtId="178" fontId="24" fillId="0" borderId="0" xfId="20" applyNumberFormat="1" applyFont="1" applyFill="1" applyBorder="1" applyAlignment="1" applyProtection="1"/>
    <xf numFmtId="0" fontId="28" fillId="0" borderId="0" xfId="0" applyNumberFormat="1" applyFont="1" applyBorder="1" applyAlignment="1" applyProtection="1">
      <alignment vertical="center"/>
    </xf>
    <xf numFmtId="0" fontId="23" fillId="0" borderId="0" xfId="0" applyNumberFormat="1" applyFont="1" applyBorder="1" applyAlignment="1" applyProtection="1">
      <alignment horizontal="justify"/>
    </xf>
    <xf numFmtId="0" fontId="24" fillId="0" borderId="0" xfId="0" applyNumberFormat="1" applyFont="1" applyFill="1" applyBorder="1" applyAlignment="1" applyProtection="1">
      <alignment vertical="center"/>
    </xf>
    <xf numFmtId="0" fontId="24" fillId="0" borderId="0" xfId="0" applyFont="1" applyFill="1" applyBorder="1" applyAlignment="1" applyProtection="1">
      <alignment vertical="center"/>
    </xf>
    <xf numFmtId="0" fontId="28" fillId="0" borderId="0" xfId="0" applyNumberFormat="1" applyFont="1" applyFill="1" applyBorder="1" applyAlignment="1" applyProtection="1">
      <alignment vertical="center"/>
    </xf>
    <xf numFmtId="180" fontId="24" fillId="0" borderId="0" xfId="0" applyNumberFormat="1" applyFont="1" applyFill="1" applyBorder="1" applyAlignment="1" applyProtection="1">
      <alignment horizontal="right" vertical="center"/>
    </xf>
    <xf numFmtId="0" fontId="23" fillId="0" borderId="0" xfId="0" applyNumberFormat="1" applyFont="1" applyAlignment="1" applyProtection="1">
      <alignment horizontal="justify"/>
    </xf>
    <xf numFmtId="0" fontId="24" fillId="0" borderId="0" xfId="0" applyNumberFormat="1" applyFont="1" applyBorder="1" applyAlignment="1" applyProtection="1">
      <alignment vertical="center"/>
    </xf>
    <xf numFmtId="0" fontId="24" fillId="0" borderId="0" xfId="0" applyFont="1" applyBorder="1" applyAlignment="1" applyProtection="1">
      <alignment horizontal="left" vertical="center"/>
    </xf>
    <xf numFmtId="180" fontId="24" fillId="0" borderId="0" xfId="0" applyNumberFormat="1" applyFont="1" applyBorder="1" applyAlignment="1" applyProtection="1">
      <alignment horizontal="right" vertical="center"/>
    </xf>
    <xf numFmtId="0" fontId="23" fillId="0" borderId="0" xfId="0" applyFont="1" applyBorder="1" applyAlignment="1" applyProtection="1">
      <alignment horizontal="justify"/>
    </xf>
    <xf numFmtId="168" fontId="24" fillId="0" borderId="0" xfId="0" applyNumberFormat="1" applyFont="1" applyAlignment="1" applyProtection="1">
      <alignment horizontal="justify"/>
    </xf>
    <xf numFmtId="0" fontId="24" fillId="0" borderId="0" xfId="17" applyFont="1" applyAlignment="1" applyProtection="1">
      <alignment vertical="center"/>
    </xf>
    <xf numFmtId="0" fontId="24" fillId="0" borderId="0" xfId="0" applyFont="1" applyAlignment="1" applyProtection="1">
      <alignment horizontal="right" vertical="center"/>
    </xf>
    <xf numFmtId="0" fontId="24" fillId="0" borderId="0" xfId="0" applyFont="1" applyAlignment="1" applyProtection="1">
      <alignment horizontal="center" vertical="center"/>
    </xf>
    <xf numFmtId="0" fontId="24" fillId="0" borderId="0" xfId="0" applyNumberFormat="1" applyFont="1" applyBorder="1" applyProtection="1"/>
    <xf numFmtId="0" fontId="24" fillId="0" borderId="0" xfId="0" applyNumberFormat="1" applyFont="1" applyProtection="1"/>
    <xf numFmtId="169" fontId="24" fillId="0" borderId="17" xfId="18" applyNumberFormat="1" applyFont="1" applyFill="1" applyBorder="1" applyAlignment="1" applyProtection="1">
      <alignment horizontal="right"/>
    </xf>
    <xf numFmtId="172" fontId="24" fillId="0" borderId="0" xfId="0" applyNumberFormat="1" applyFont="1" applyBorder="1" applyProtection="1"/>
    <xf numFmtId="169" fontId="24" fillId="0" borderId="12" xfId="18" applyNumberFormat="1" applyFont="1" applyFill="1" applyBorder="1" applyAlignment="1" applyProtection="1">
      <alignment horizontal="right"/>
    </xf>
    <xf numFmtId="172" fontId="24" fillId="3" borderId="13" xfId="18" applyFont="1" applyFill="1" applyBorder="1" applyAlignment="1" applyProtection="1">
      <alignment horizontal="right"/>
    </xf>
    <xf numFmtId="172" fontId="24" fillId="3" borderId="17" xfId="18" applyFont="1" applyFill="1" applyBorder="1" applyAlignment="1" applyProtection="1">
      <alignment horizontal="right"/>
    </xf>
    <xf numFmtId="186" fontId="24" fillId="0" borderId="65" xfId="0" applyNumberFormat="1" applyFont="1" applyFill="1" applyBorder="1" applyAlignment="1" applyProtection="1">
      <alignment horizontal="right"/>
      <protection locked="0"/>
    </xf>
    <xf numFmtId="187" fontId="24" fillId="0" borderId="65" xfId="0" applyNumberFormat="1" applyFont="1" applyFill="1" applyBorder="1" applyAlignment="1" applyProtection="1">
      <alignment horizontal="right"/>
      <protection locked="0"/>
    </xf>
    <xf numFmtId="186" fontId="24" fillId="0" borderId="23" xfId="0" applyNumberFormat="1" applyFont="1" applyFill="1" applyBorder="1" applyAlignment="1" applyProtection="1">
      <alignment horizontal="right"/>
      <protection locked="0"/>
    </xf>
    <xf numFmtId="187" fontId="24" fillId="0" borderId="23" xfId="0" applyNumberFormat="1" applyFont="1" applyFill="1" applyBorder="1" applyAlignment="1" applyProtection="1">
      <alignment horizontal="right"/>
      <protection locked="0"/>
    </xf>
    <xf numFmtId="3" fontId="27" fillId="0" borderId="39" xfId="18" applyNumberFormat="1" applyFont="1" applyFill="1" applyBorder="1" applyAlignment="1" applyProtection="1">
      <alignment horizontal="right"/>
      <protection locked="0"/>
    </xf>
    <xf numFmtId="3" fontId="27" fillId="0" borderId="17" xfId="18" applyNumberFormat="1" applyFont="1" applyFill="1" applyBorder="1" applyAlignment="1" applyProtection="1">
      <alignment horizontal="right"/>
      <protection locked="0"/>
    </xf>
    <xf numFmtId="3" fontId="19" fillId="3" borderId="23" xfId="21" applyNumberFormat="1" applyFont="1" applyBorder="1" applyAlignment="1" applyProtection="1">
      <alignment horizontal="right"/>
    </xf>
    <xf numFmtId="3" fontId="19" fillId="3" borderId="17" xfId="18" applyNumberFormat="1" applyFont="1" applyFill="1" applyBorder="1" applyAlignment="1" applyProtection="1">
      <alignment horizontal="right"/>
    </xf>
    <xf numFmtId="3" fontId="19" fillId="3" borderId="23" xfId="0" applyNumberFormat="1" applyFont="1" applyFill="1" applyBorder="1" applyAlignment="1" applyProtection="1">
      <alignment horizontal="right"/>
    </xf>
    <xf numFmtId="3" fontId="27" fillId="0" borderId="23" xfId="18" applyNumberFormat="1" applyFont="1" applyFill="1" applyBorder="1" applyAlignment="1" applyProtection="1">
      <alignment horizontal="right"/>
      <protection locked="0"/>
    </xf>
    <xf numFmtId="3" fontId="17" fillId="0" borderId="17" xfId="0" applyNumberFormat="1" applyFont="1" applyBorder="1" applyAlignment="1" applyProtection="1">
      <alignment horizontal="right"/>
    </xf>
    <xf numFmtId="172" fontId="23" fillId="3" borderId="25" xfId="18" applyFont="1" applyFill="1" applyBorder="1" applyAlignment="1" applyProtection="1">
      <alignment horizontal="left"/>
    </xf>
    <xf numFmtId="0" fontId="24" fillId="0" borderId="0" xfId="0" applyFont="1" applyAlignment="1" applyProtection="1">
      <alignment vertical="top"/>
    </xf>
    <xf numFmtId="0" fontId="24" fillId="0" borderId="0" xfId="0" applyFont="1" applyBorder="1" applyAlignment="1" applyProtection="1">
      <alignment vertical="top"/>
    </xf>
    <xf numFmtId="168" fontId="23" fillId="0" borderId="0" xfId="0" applyNumberFormat="1" applyFont="1" applyAlignment="1" applyProtection="1"/>
    <xf numFmtId="0" fontId="24" fillId="0" borderId="0" xfId="0" applyNumberFormat="1" applyFont="1" applyAlignment="1" applyProtection="1">
      <alignment horizontal="right"/>
    </xf>
    <xf numFmtId="0" fontId="24" fillId="0" borderId="0" xfId="0" applyNumberFormat="1" applyFont="1" applyAlignment="1" applyProtection="1">
      <alignment horizontal="right" wrapText="1"/>
    </xf>
    <xf numFmtId="0" fontId="23" fillId="0" borderId="0" xfId="0" applyFont="1" applyAlignment="1" applyProtection="1">
      <alignment vertical="center"/>
    </xf>
    <xf numFmtId="49" fontId="24" fillId="0" borderId="0" xfId="0" applyNumberFormat="1" applyFont="1" applyAlignment="1" applyProtection="1">
      <alignment horizontal="justify"/>
    </xf>
    <xf numFmtId="0" fontId="23" fillId="0" borderId="0" xfId="0" applyFont="1" applyAlignment="1" applyProtection="1">
      <alignment vertical="top"/>
    </xf>
    <xf numFmtId="49" fontId="24" fillId="0" borderId="0" xfId="0" applyNumberFormat="1" applyFont="1" applyAlignment="1" applyProtection="1"/>
    <xf numFmtId="49" fontId="24" fillId="0" borderId="0" xfId="0" applyNumberFormat="1" applyFont="1" applyAlignment="1" applyProtection="1">
      <alignment horizontal="justify" wrapText="1"/>
    </xf>
    <xf numFmtId="49" fontId="24" fillId="0" borderId="0" xfId="0" applyNumberFormat="1" applyFont="1" applyAlignment="1" applyProtection="1">
      <alignment wrapText="1"/>
    </xf>
    <xf numFmtId="0" fontId="23" fillId="0" borderId="0" xfId="17" applyNumberFormat="1" applyFont="1" applyAlignment="1" applyProtection="1"/>
    <xf numFmtId="0" fontId="24" fillId="0" borderId="0" xfId="17" applyFont="1" applyAlignment="1" applyProtection="1">
      <alignment horizontal="left"/>
    </xf>
    <xf numFmtId="0" fontId="24" fillId="0" borderId="0" xfId="17" applyFont="1" applyBorder="1" applyAlignment="1" applyProtection="1">
      <alignment horizontal="left"/>
    </xf>
    <xf numFmtId="0" fontId="24" fillId="0" borderId="0" xfId="17" applyFont="1" applyAlignment="1" applyProtection="1"/>
    <xf numFmtId="0" fontId="23" fillId="0" borderId="0" xfId="17" applyFont="1" applyBorder="1" applyAlignment="1" applyProtection="1"/>
    <xf numFmtId="0" fontId="24" fillId="0" borderId="0" xfId="17" applyFont="1" applyBorder="1" applyAlignment="1" applyProtection="1">
      <alignment horizontal="left" vertical="center"/>
    </xf>
    <xf numFmtId="37" fontId="25" fillId="0" borderId="0" xfId="17" applyNumberFormat="1" applyFont="1" applyBorder="1" applyAlignment="1" applyProtection="1">
      <alignment horizontal="left" vertical="center"/>
    </xf>
    <xf numFmtId="0" fontId="23" fillId="0" borderId="0" xfId="17" applyNumberFormat="1" applyFont="1" applyBorder="1" applyAlignment="1" applyProtection="1">
      <alignment vertical="center"/>
    </xf>
    <xf numFmtId="0" fontId="28" fillId="0" borderId="0" xfId="17" applyNumberFormat="1" applyFont="1" applyBorder="1" applyAlignment="1" applyProtection="1">
      <alignment vertical="center"/>
    </xf>
    <xf numFmtId="180" fontId="24" fillId="0" borderId="0" xfId="17" applyNumberFormat="1" applyFont="1" applyBorder="1" applyAlignment="1" applyProtection="1">
      <alignment horizontal="right" vertical="center"/>
    </xf>
    <xf numFmtId="0" fontId="23" fillId="0" borderId="0" xfId="17" applyNumberFormat="1" applyFont="1" applyBorder="1" applyAlignment="1" applyProtection="1"/>
    <xf numFmtId="0" fontId="24" fillId="0" borderId="0" xfId="17" applyFont="1" applyBorder="1" applyAlignment="1" applyProtection="1"/>
    <xf numFmtId="0" fontId="23" fillId="0" borderId="0" xfId="17" applyFont="1" applyProtection="1"/>
    <xf numFmtId="0" fontId="24" fillId="3" borderId="3" xfId="17" applyFont="1" applyFill="1" applyBorder="1" applyAlignment="1" applyProtection="1">
      <alignment horizontal="center"/>
    </xf>
    <xf numFmtId="0" fontId="24" fillId="0" borderId="66" xfId="17" applyFont="1" applyBorder="1" applyProtection="1"/>
    <xf numFmtId="0" fontId="24" fillId="0" borderId="0" xfId="17" quotePrefix="1" applyNumberFormat="1" applyFont="1" applyBorder="1" applyAlignment="1" applyProtection="1">
      <alignment vertical="center"/>
    </xf>
    <xf numFmtId="0" fontId="24" fillId="0" borderId="0" xfId="17" applyFont="1" applyBorder="1" applyAlignment="1" applyProtection="1">
      <alignment horizontal="center"/>
    </xf>
    <xf numFmtId="37" fontId="28" fillId="0" borderId="0" xfId="0" applyNumberFormat="1" applyFont="1" applyBorder="1" applyAlignment="1" applyProtection="1">
      <alignment vertical="center"/>
    </xf>
    <xf numFmtId="0" fontId="24" fillId="0" borderId="0" xfId="0" applyFont="1" applyBorder="1" applyAlignment="1" applyProtection="1">
      <alignment horizontal="center" vertical="center"/>
    </xf>
    <xf numFmtId="14" fontId="23" fillId="3" borderId="3" xfId="0" applyNumberFormat="1" applyFont="1" applyFill="1" applyBorder="1" applyAlignment="1" applyProtection="1">
      <alignment horizontal="right" vertical="center"/>
    </xf>
    <xf numFmtId="3" fontId="23" fillId="0" borderId="0" xfId="0" applyNumberFormat="1" applyFont="1" applyProtection="1"/>
    <xf numFmtId="3" fontId="24" fillId="0" borderId="0" xfId="0" applyNumberFormat="1" applyFont="1" applyAlignment="1" applyProtection="1"/>
    <xf numFmtId="0" fontId="24" fillId="0" borderId="17" xfId="0" applyFont="1" applyFill="1" applyBorder="1" applyAlignment="1" applyProtection="1">
      <alignment horizontal="left"/>
    </xf>
    <xf numFmtId="0" fontId="24" fillId="0" borderId="13" xfId="0" applyFont="1" applyFill="1" applyBorder="1" applyAlignment="1" applyProtection="1">
      <alignment horizontal="left"/>
    </xf>
    <xf numFmtId="37" fontId="23" fillId="3" borderId="25" xfId="0" applyNumberFormat="1" applyFont="1" applyFill="1" applyBorder="1" applyProtection="1"/>
    <xf numFmtId="37" fontId="23" fillId="0" borderId="0" xfId="0" applyNumberFormat="1" applyFont="1" applyProtection="1"/>
    <xf numFmtId="3" fontId="24" fillId="0" borderId="13" xfId="0" quotePrefix="1" applyNumberFormat="1" applyFont="1" applyFill="1" applyBorder="1" applyAlignment="1" applyProtection="1">
      <alignment horizontal="left"/>
    </xf>
    <xf numFmtId="3" fontId="24" fillId="0" borderId="32" xfId="0" applyNumberFormat="1" applyFont="1" applyFill="1" applyBorder="1" applyAlignment="1" applyProtection="1">
      <alignment horizontal="left"/>
    </xf>
    <xf numFmtId="0" fontId="25" fillId="0" borderId="0" xfId="0" applyFont="1" applyBorder="1" applyAlignment="1" applyProtection="1">
      <alignment vertical="center"/>
    </xf>
    <xf numFmtId="3" fontId="24" fillId="0" borderId="0" xfId="0" applyNumberFormat="1" applyFont="1" applyBorder="1" applyProtection="1"/>
    <xf numFmtId="3" fontId="24" fillId="0" borderId="0" xfId="0" applyNumberFormat="1" applyFont="1" applyBorder="1" applyAlignment="1" applyProtection="1">
      <alignment horizontal="left"/>
    </xf>
    <xf numFmtId="3" fontId="24" fillId="0" borderId="0" xfId="0" applyNumberFormat="1" applyFont="1" applyBorder="1" applyAlignment="1" applyProtection="1"/>
    <xf numFmtId="0" fontId="23" fillId="0" borderId="34" xfId="0" applyNumberFormat="1" applyFont="1" applyBorder="1" applyAlignment="1" applyProtection="1">
      <alignment horizontal="left" vertical="center"/>
    </xf>
    <xf numFmtId="3" fontId="23" fillId="3" borderId="50" xfId="0" applyNumberFormat="1" applyFont="1" applyFill="1" applyBorder="1" applyAlignment="1" applyProtection="1">
      <alignment horizontal="center" vertical="center"/>
    </xf>
    <xf numFmtId="3" fontId="23" fillId="3" borderId="21" xfId="0" applyNumberFormat="1" applyFont="1" applyFill="1" applyBorder="1" applyAlignment="1" applyProtection="1">
      <alignment horizontal="center" vertical="center"/>
    </xf>
    <xf numFmtId="0" fontId="23" fillId="3" borderId="21" xfId="0" applyFont="1" applyFill="1" applyBorder="1" applyAlignment="1" applyProtection="1">
      <alignment horizontal="center" vertical="center"/>
    </xf>
    <xf numFmtId="0" fontId="23" fillId="0" borderId="34" xfId="0" applyNumberFormat="1" applyFont="1" applyBorder="1" applyAlignment="1" applyProtection="1">
      <alignment horizontal="center" vertical="center"/>
    </xf>
    <xf numFmtId="3" fontId="23" fillId="3" borderId="51" xfId="0" applyNumberFormat="1" applyFont="1" applyFill="1" applyBorder="1" applyAlignment="1" applyProtection="1">
      <alignment horizontal="center" vertical="center"/>
    </xf>
    <xf numFmtId="3" fontId="23" fillId="3" borderId="14" xfId="0" applyNumberFormat="1" applyFont="1" applyFill="1" applyBorder="1" applyAlignment="1" applyProtection="1">
      <alignment horizontal="center" vertical="center"/>
    </xf>
    <xf numFmtId="2" fontId="23" fillId="3" borderId="14" xfId="0" applyNumberFormat="1" applyFont="1" applyFill="1" applyBorder="1" applyAlignment="1" applyProtection="1">
      <alignment horizontal="center" vertical="center"/>
    </xf>
    <xf numFmtId="3" fontId="23" fillId="3" borderId="6" xfId="0" applyNumberFormat="1" applyFont="1" applyFill="1" applyBorder="1" applyAlignment="1" applyProtection="1">
      <alignment horizontal="center" vertical="center"/>
    </xf>
    <xf numFmtId="3" fontId="23" fillId="3" borderId="3" xfId="0" applyNumberFormat="1" applyFont="1" applyFill="1" applyBorder="1" applyAlignment="1" applyProtection="1">
      <alignment horizontal="center" vertical="center"/>
    </xf>
    <xf numFmtId="0" fontId="23" fillId="3" borderId="14" xfId="0" applyFont="1" applyFill="1" applyBorder="1" applyAlignment="1" applyProtection="1">
      <alignment horizontal="center" vertical="center"/>
    </xf>
    <xf numFmtId="3" fontId="24" fillId="0" borderId="0" xfId="0" applyNumberFormat="1" applyFont="1" applyAlignment="1" applyProtection="1">
      <alignment horizontal="left"/>
    </xf>
    <xf numFmtId="3" fontId="24" fillId="0" borderId="0" xfId="0" applyNumberFormat="1" applyFont="1" applyProtection="1"/>
    <xf numFmtId="37" fontId="23" fillId="3" borderId="24" xfId="0" applyNumberFormat="1" applyFont="1" applyFill="1" applyBorder="1" applyProtection="1"/>
    <xf numFmtId="0" fontId="23" fillId="3" borderId="49" xfId="0" applyFont="1" applyFill="1" applyBorder="1" applyAlignment="1" applyProtection="1"/>
    <xf numFmtId="172" fontId="23" fillId="3" borderId="13" xfId="21" applyFont="1" applyBorder="1" applyProtection="1"/>
    <xf numFmtId="172" fontId="23" fillId="3" borderId="17" xfId="21" applyFont="1" applyBorder="1" applyProtection="1"/>
    <xf numFmtId="0" fontId="24" fillId="3" borderId="25" xfId="0" applyFont="1" applyFill="1" applyBorder="1" applyAlignment="1" applyProtection="1">
      <alignment horizontal="left"/>
    </xf>
    <xf numFmtId="0" fontId="24" fillId="3" borderId="25" xfId="0" applyFont="1" applyFill="1" applyBorder="1" applyAlignment="1" applyProtection="1"/>
    <xf numFmtId="37" fontId="23" fillId="3" borderId="13" xfId="0" applyNumberFormat="1" applyFont="1" applyFill="1" applyBorder="1" applyProtection="1"/>
    <xf numFmtId="0" fontId="23" fillId="3" borderId="16" xfId="0" applyFont="1" applyFill="1" applyBorder="1" applyAlignment="1" applyProtection="1">
      <alignment horizontal="left" vertical="center"/>
    </xf>
    <xf numFmtId="0" fontId="23" fillId="3" borderId="5" xfId="0" applyFont="1" applyFill="1" applyBorder="1" applyAlignment="1" applyProtection="1">
      <alignment horizontal="left" vertical="center"/>
    </xf>
    <xf numFmtId="0" fontId="24" fillId="3" borderId="5" xfId="0" applyFont="1" applyFill="1" applyBorder="1" applyAlignment="1" applyProtection="1">
      <alignment horizontal="left"/>
    </xf>
    <xf numFmtId="0" fontId="24" fillId="3" borderId="5" xfId="0" applyFont="1" applyFill="1" applyBorder="1" applyProtection="1"/>
    <xf numFmtId="172" fontId="24" fillId="3" borderId="5" xfId="0" applyNumberFormat="1" applyFont="1" applyFill="1" applyBorder="1" applyProtection="1"/>
    <xf numFmtId="3" fontId="24" fillId="3" borderId="5" xfId="0" applyNumberFormat="1" applyFont="1" applyFill="1" applyBorder="1" applyAlignment="1" applyProtection="1">
      <alignment horizontal="center"/>
    </xf>
    <xf numFmtId="3" fontId="24" fillId="3" borderId="7" xfId="0" applyNumberFormat="1" applyFont="1" applyFill="1" applyBorder="1" applyAlignment="1" applyProtection="1">
      <alignment horizontal="center"/>
    </xf>
    <xf numFmtId="0" fontId="23" fillId="3" borderId="3" xfId="0" applyFont="1" applyFill="1" applyBorder="1" applyAlignment="1" applyProtection="1">
      <alignment horizontal="right" vertical="center"/>
    </xf>
    <xf numFmtId="0" fontId="23" fillId="3" borderId="21" xfId="0" applyFont="1" applyFill="1" applyBorder="1" applyAlignment="1" applyProtection="1">
      <alignment horizontal="right" vertical="center"/>
    </xf>
    <xf numFmtId="0" fontId="23" fillId="0" borderId="0" xfId="0" applyFont="1" applyFill="1" applyBorder="1" applyAlignment="1" applyProtection="1">
      <alignment horizontal="right" vertical="center"/>
    </xf>
    <xf numFmtId="0" fontId="23" fillId="3" borderId="14" xfId="0" applyFont="1" applyFill="1" applyBorder="1" applyAlignment="1" applyProtection="1">
      <alignment horizontal="right" vertical="center"/>
    </xf>
    <xf numFmtId="0" fontId="23" fillId="0" borderId="0" xfId="0" applyNumberFormat="1" applyFont="1" applyFill="1" applyBorder="1" applyAlignment="1" applyProtection="1">
      <alignment horizontal="left"/>
    </xf>
    <xf numFmtId="3" fontId="23" fillId="0" borderId="0" xfId="0" applyNumberFormat="1" applyFont="1" applyBorder="1" applyAlignment="1" applyProtection="1"/>
    <xf numFmtId="0" fontId="24" fillId="0" borderId="0" xfId="0" applyFont="1" applyBorder="1" applyAlignment="1" applyProtection="1">
      <alignment horizontal="center"/>
    </xf>
    <xf numFmtId="37" fontId="23" fillId="0" borderId="34" xfId="0" applyNumberFormat="1" applyFont="1" applyBorder="1" applyAlignment="1" applyProtection="1">
      <alignment vertical="center"/>
    </xf>
    <xf numFmtId="37" fontId="23" fillId="3" borderId="21" xfId="0" applyNumberFormat="1" applyFont="1" applyFill="1" applyBorder="1" applyAlignment="1" applyProtection="1">
      <alignment horizontal="right" vertical="center"/>
    </xf>
    <xf numFmtId="37" fontId="23" fillId="3" borderId="21" xfId="0" applyNumberFormat="1" applyFont="1" applyFill="1" applyBorder="1" applyAlignment="1" applyProtection="1">
      <alignment horizontal="center" vertical="center" wrapText="1"/>
    </xf>
    <xf numFmtId="37" fontId="23" fillId="3" borderId="16" xfId="0" applyNumberFormat="1" applyFont="1" applyFill="1" applyBorder="1" applyAlignment="1" applyProtection="1">
      <alignment horizontal="center" vertical="center"/>
    </xf>
    <xf numFmtId="37" fontId="23" fillId="0" borderId="0" xfId="0" applyNumberFormat="1" applyFont="1" applyBorder="1" applyProtection="1"/>
    <xf numFmtId="37" fontId="23" fillId="0" borderId="0" xfId="0" applyNumberFormat="1" applyFont="1" applyBorder="1" applyAlignment="1" applyProtection="1">
      <alignment horizontal="center" vertical="top"/>
    </xf>
    <xf numFmtId="2" fontId="24" fillId="0" borderId="0" xfId="0" applyNumberFormat="1" applyFont="1" applyProtection="1"/>
    <xf numFmtId="37" fontId="24" fillId="0" borderId="0" xfId="0" applyNumberFormat="1" applyFont="1" applyAlignment="1" applyProtection="1">
      <alignment horizontal="center"/>
    </xf>
    <xf numFmtId="37" fontId="24" fillId="0" borderId="17" xfId="0" applyNumberFormat="1" applyFont="1" applyFill="1" applyBorder="1" applyProtection="1"/>
    <xf numFmtId="171" fontId="24" fillId="0" borderId="25" xfId="18" applyNumberFormat="1" applyFont="1" applyBorder="1" applyAlignment="1" applyProtection="1">
      <alignment horizontal="center"/>
    </xf>
    <xf numFmtId="168" fontId="24" fillId="0" borderId="25" xfId="18" applyNumberFormat="1" applyFont="1" applyBorder="1" applyAlignment="1" applyProtection="1">
      <alignment horizontal="center"/>
    </xf>
    <xf numFmtId="37" fontId="24" fillId="0" borderId="12" xfId="0" applyNumberFormat="1" applyFont="1" applyFill="1" applyBorder="1" applyProtection="1"/>
    <xf numFmtId="172" fontId="24" fillId="0" borderId="12" xfId="18" applyFont="1" applyFill="1" applyBorder="1" applyProtection="1"/>
    <xf numFmtId="171" fontId="24" fillId="0" borderId="49" xfId="18" applyNumberFormat="1" applyFont="1" applyBorder="1" applyAlignment="1" applyProtection="1">
      <alignment horizontal="center"/>
    </xf>
    <xf numFmtId="37" fontId="23" fillId="3" borderId="23" xfId="0" applyNumberFormat="1" applyFont="1" applyFill="1" applyBorder="1" applyProtection="1"/>
    <xf numFmtId="37" fontId="24" fillId="0" borderId="23" xfId="0" applyNumberFormat="1" applyFont="1" applyFill="1" applyBorder="1" applyProtection="1"/>
    <xf numFmtId="172" fontId="23" fillId="3" borderId="23" xfId="0" applyNumberFormat="1" applyFont="1" applyFill="1" applyBorder="1" applyProtection="1"/>
    <xf numFmtId="0" fontId="24" fillId="0" borderId="6" xfId="0" applyFont="1" applyBorder="1" applyProtection="1"/>
    <xf numFmtId="37" fontId="23" fillId="3" borderId="21" xfId="0" applyNumberFormat="1" applyFont="1" applyFill="1" applyBorder="1" applyAlignment="1" applyProtection="1">
      <alignment horizontal="center" vertical="center"/>
    </xf>
    <xf numFmtId="37" fontId="23" fillId="3" borderId="2" xfId="0" applyNumberFormat="1" applyFont="1" applyFill="1" applyBorder="1" applyAlignment="1" applyProtection="1">
      <alignment horizontal="center" vertical="center"/>
    </xf>
    <xf numFmtId="0" fontId="23" fillId="3" borderId="3" xfId="0" applyFont="1" applyFill="1" applyBorder="1" applyAlignment="1" applyProtection="1">
      <alignment horizontal="center" vertical="center"/>
    </xf>
    <xf numFmtId="171" fontId="24" fillId="0" borderId="25" xfId="18" applyNumberFormat="1" applyFont="1" applyFill="1" applyBorder="1" applyAlignment="1" applyProtection="1">
      <alignment horizontal="center"/>
    </xf>
    <xf numFmtId="4" fontId="24" fillId="0" borderId="25" xfId="18" applyNumberFormat="1" applyFont="1" applyFill="1" applyBorder="1" applyAlignment="1" applyProtection="1">
      <alignment horizontal="center"/>
    </xf>
    <xf numFmtId="0" fontId="23" fillId="3" borderId="51" xfId="0" applyFont="1" applyFill="1" applyBorder="1" applyAlignment="1" applyProtection="1">
      <alignment horizontal="center" vertical="center"/>
    </xf>
    <xf numFmtId="37" fontId="23" fillId="3" borderId="5" xfId="0" applyNumberFormat="1" applyFont="1" applyFill="1" applyBorder="1" applyAlignment="1" applyProtection="1">
      <alignment horizontal="center" vertical="center"/>
    </xf>
    <xf numFmtId="171" fontId="24" fillId="0" borderId="23" xfId="18" applyNumberFormat="1" applyFont="1" applyFill="1" applyBorder="1" applyAlignment="1" applyProtection="1">
      <alignment horizontal="center"/>
    </xf>
    <xf numFmtId="0" fontId="23" fillId="7" borderId="0" xfId="0" applyNumberFormat="1" applyFont="1" applyFill="1" applyBorder="1" applyAlignment="1" applyProtection="1">
      <alignment horizontal="left"/>
    </xf>
    <xf numFmtId="37" fontId="23" fillId="7" borderId="0" xfId="0" applyNumberFormat="1" applyFont="1" applyFill="1" applyBorder="1" applyAlignment="1" applyProtection="1">
      <alignment horizontal="right"/>
    </xf>
    <xf numFmtId="0" fontId="24" fillId="7" borderId="0" xfId="0" applyFont="1" applyFill="1" applyBorder="1" applyProtection="1"/>
    <xf numFmtId="0" fontId="23" fillId="0" borderId="0" xfId="0" applyNumberFormat="1" applyFont="1" applyBorder="1" applyAlignment="1" applyProtection="1">
      <alignment horizontal="left" vertical="center"/>
    </xf>
    <xf numFmtId="37" fontId="23" fillId="3" borderId="14" xfId="0" applyNumberFormat="1" applyFont="1" applyFill="1" applyBorder="1" applyAlignment="1" applyProtection="1">
      <alignment horizontal="center" vertical="center"/>
    </xf>
    <xf numFmtId="0" fontId="24" fillId="0" borderId="13" xfId="0" applyNumberFormat="1" applyFont="1" applyFill="1" applyBorder="1" applyAlignment="1" applyProtection="1">
      <alignment horizontal="left"/>
    </xf>
    <xf numFmtId="1" fontId="24" fillId="0" borderId="23" xfId="0" applyNumberFormat="1" applyFont="1" applyBorder="1" applyAlignment="1" applyProtection="1">
      <alignment horizontal="center"/>
    </xf>
    <xf numFmtId="165" fontId="24" fillId="0" borderId="23" xfId="0" applyNumberFormat="1" applyFont="1" applyFill="1" applyBorder="1" applyAlignment="1" applyProtection="1">
      <alignment horizontal="center"/>
    </xf>
    <xf numFmtId="1" fontId="24" fillId="0" borderId="24" xfId="0" applyNumberFormat="1" applyFont="1" applyBorder="1" applyAlignment="1" applyProtection="1">
      <alignment horizontal="center"/>
    </xf>
    <xf numFmtId="165" fontId="24" fillId="0" borderId="24" xfId="0" applyNumberFormat="1" applyFont="1" applyFill="1" applyBorder="1" applyAlignment="1" applyProtection="1">
      <alignment horizontal="center"/>
    </xf>
    <xf numFmtId="37" fontId="23" fillId="3" borderId="38" xfId="0" applyNumberFormat="1" applyFont="1" applyFill="1" applyBorder="1" applyProtection="1"/>
    <xf numFmtId="0" fontId="24" fillId="0" borderId="0" xfId="0" applyNumberFormat="1" applyFont="1" applyBorder="1" applyAlignment="1" applyProtection="1"/>
    <xf numFmtId="0" fontId="23" fillId="0" borderId="0" xfId="0" applyFont="1" applyBorder="1" applyAlignment="1" applyProtection="1">
      <alignment vertical="center"/>
    </xf>
    <xf numFmtId="0" fontId="23" fillId="3" borderId="23" xfId="0" applyNumberFormat="1" applyFont="1" applyFill="1" applyBorder="1" applyAlignment="1" applyProtection="1">
      <alignment horizontal="left" wrapText="1"/>
    </xf>
    <xf numFmtId="0" fontId="24" fillId="0" borderId="25" xfId="0" applyFont="1" applyFill="1" applyBorder="1" applyAlignment="1" applyProtection="1"/>
    <xf numFmtId="0" fontId="24" fillId="0" borderId="13" xfId="0" applyFont="1" applyFill="1" applyBorder="1" applyAlignment="1" applyProtection="1">
      <alignment wrapText="1"/>
    </xf>
    <xf numFmtId="0" fontId="24" fillId="0" borderId="13" xfId="0" applyFont="1" applyBorder="1" applyAlignment="1" applyProtection="1"/>
    <xf numFmtId="0" fontId="24" fillId="0" borderId="32" xfId="0" applyFont="1" applyFill="1" applyBorder="1" applyAlignment="1" applyProtection="1">
      <alignment wrapText="1"/>
    </xf>
    <xf numFmtId="0" fontId="24" fillId="0" borderId="32" xfId="0" applyFont="1" applyBorder="1" applyAlignment="1" applyProtection="1"/>
    <xf numFmtId="0" fontId="24" fillId="0" borderId="12" xfId="0" applyFont="1" applyBorder="1" applyAlignment="1" applyProtection="1"/>
    <xf numFmtId="0" fontId="23" fillId="3" borderId="25" xfId="0" applyFont="1" applyFill="1" applyBorder="1" applyAlignment="1" applyProtection="1"/>
    <xf numFmtId="0" fontId="23" fillId="3" borderId="13" xfId="0" applyFont="1" applyFill="1" applyBorder="1" applyAlignment="1" applyProtection="1">
      <alignment wrapText="1"/>
    </xf>
    <xf numFmtId="2" fontId="23" fillId="3" borderId="16" xfId="0" applyNumberFormat="1" applyFont="1" applyFill="1" applyBorder="1" applyAlignment="1" applyProtection="1">
      <alignment horizontal="center"/>
    </xf>
    <xf numFmtId="1" fontId="23" fillId="3" borderId="3" xfId="0" applyNumberFormat="1" applyFont="1" applyFill="1" applyBorder="1" applyAlignment="1" applyProtection="1">
      <alignment horizontal="center"/>
    </xf>
    <xf numFmtId="1" fontId="23" fillId="3" borderId="5" xfId="0" applyNumberFormat="1" applyFont="1" applyFill="1" applyBorder="1" applyAlignment="1" applyProtection="1">
      <alignment horizontal="center"/>
    </xf>
    <xf numFmtId="0" fontId="23" fillId="3" borderId="23" xfId="0" applyFont="1" applyFill="1" applyBorder="1" applyAlignment="1" applyProtection="1">
      <alignment horizontal="left"/>
    </xf>
    <xf numFmtId="0" fontId="24" fillId="0" borderId="23" xfId="0" applyFont="1" applyBorder="1" applyProtection="1"/>
    <xf numFmtId="3" fontId="24" fillId="7" borderId="38" xfId="0" applyNumberFormat="1" applyFont="1" applyFill="1" applyBorder="1" applyAlignment="1" applyProtection="1">
      <alignment horizontal="right"/>
    </xf>
    <xf numFmtId="0" fontId="23" fillId="0" borderId="23" xfId="0" applyNumberFormat="1" applyFont="1" applyBorder="1" applyAlignment="1" applyProtection="1">
      <alignment vertical="center"/>
    </xf>
    <xf numFmtId="3" fontId="24" fillId="7" borderId="23" xfId="0" applyNumberFormat="1" applyFont="1" applyFill="1" applyBorder="1" applyAlignment="1" applyProtection="1">
      <alignment horizontal="right"/>
    </xf>
    <xf numFmtId="0" fontId="23" fillId="3" borderId="23" xfId="0" applyFont="1" applyFill="1" applyBorder="1" applyProtection="1"/>
    <xf numFmtId="3" fontId="23" fillId="3" borderId="23" xfId="0" applyNumberFormat="1" applyFont="1" applyFill="1" applyBorder="1" applyAlignment="1" applyProtection="1">
      <alignment horizontal="right"/>
    </xf>
    <xf numFmtId="0" fontId="24" fillId="0" borderId="0" xfId="0" applyFont="1" applyAlignment="1" applyProtection="1">
      <alignment horizontal="center"/>
    </xf>
    <xf numFmtId="37" fontId="23" fillId="3" borderId="67" xfId="0" applyNumberFormat="1" applyFont="1" applyFill="1" applyBorder="1" applyAlignment="1" applyProtection="1">
      <alignment horizontal="center" vertical="top"/>
    </xf>
    <xf numFmtId="37" fontId="23" fillId="3" borderId="44" xfId="0" applyNumberFormat="1" applyFont="1" applyFill="1" applyBorder="1" applyAlignment="1" applyProtection="1">
      <alignment horizontal="center"/>
    </xf>
    <xf numFmtId="37" fontId="23" fillId="3" borderId="68" xfId="0" applyNumberFormat="1" applyFont="1" applyFill="1" applyBorder="1" applyAlignment="1" applyProtection="1">
      <alignment horizontal="center"/>
    </xf>
    <xf numFmtId="0" fontId="23" fillId="3" borderId="23" xfId="0" applyFont="1" applyFill="1" applyBorder="1" applyAlignment="1" applyProtection="1">
      <alignment horizontal="center"/>
    </xf>
    <xf numFmtId="37" fontId="24" fillId="0" borderId="23" xfId="0" applyNumberFormat="1" applyFont="1" applyBorder="1" applyProtection="1"/>
    <xf numFmtId="164" fontId="24" fillId="0" borderId="23" xfId="0" applyNumberFormat="1" applyFont="1" applyBorder="1" applyProtection="1"/>
    <xf numFmtId="164" fontId="23" fillId="3" borderId="23" xfId="0" applyNumberFormat="1" applyFont="1" applyFill="1" applyBorder="1" applyProtection="1"/>
    <xf numFmtId="164" fontId="24" fillId="0" borderId="0" xfId="0" applyNumberFormat="1" applyFont="1" applyBorder="1" applyProtection="1"/>
    <xf numFmtId="37" fontId="24" fillId="0" borderId="0" xfId="0" applyNumberFormat="1" applyFont="1" applyBorder="1" applyAlignment="1" applyProtection="1">
      <alignment horizontal="center"/>
    </xf>
    <xf numFmtId="0" fontId="25" fillId="0" borderId="0" xfId="0" applyFont="1" applyAlignment="1" applyProtection="1"/>
    <xf numFmtId="172" fontId="23" fillId="0" borderId="0" xfId="18" applyFont="1" applyFill="1" applyBorder="1" applyAlignment="1" applyProtection="1">
      <alignment horizontal="left"/>
    </xf>
    <xf numFmtId="0" fontId="24" fillId="0" borderId="25" xfId="0" applyFont="1" applyFill="1" applyBorder="1" applyProtection="1"/>
    <xf numFmtId="172" fontId="23" fillId="0" borderId="13" xfId="18" applyFont="1" applyFill="1" applyBorder="1" applyAlignment="1" applyProtection="1">
      <alignment horizontal="right"/>
    </xf>
    <xf numFmtId="0" fontId="24" fillId="0" borderId="13" xfId="0" applyFont="1" applyFill="1" applyBorder="1" applyProtection="1"/>
    <xf numFmtId="0" fontId="24" fillId="0" borderId="17" xfId="0" applyFont="1" applyFill="1" applyBorder="1" applyProtection="1"/>
    <xf numFmtId="172" fontId="24" fillId="0" borderId="32" xfId="18" applyFont="1" applyFill="1" applyBorder="1" applyProtection="1"/>
    <xf numFmtId="0" fontId="23" fillId="3" borderId="23" xfId="15" applyFont="1" applyFill="1" applyBorder="1" applyProtection="1"/>
    <xf numFmtId="37" fontId="23" fillId="3" borderId="17" xfId="0" applyNumberFormat="1" applyFont="1" applyFill="1" applyBorder="1" applyProtection="1"/>
    <xf numFmtId="0" fontId="24" fillId="0" borderId="32" xfId="0" applyFont="1" applyFill="1" applyBorder="1" applyProtection="1"/>
    <xf numFmtId="0" fontId="24" fillId="0" borderId="12" xfId="0" applyFont="1" applyFill="1" applyBorder="1" applyProtection="1"/>
    <xf numFmtId="0" fontId="23" fillId="3" borderId="25" xfId="15" applyFont="1" applyFill="1" applyBorder="1" applyProtection="1"/>
    <xf numFmtId="0" fontId="23" fillId="3" borderId="25" xfId="0" applyFont="1" applyFill="1" applyBorder="1" applyProtection="1"/>
    <xf numFmtId="37" fontId="23" fillId="0" borderId="0" xfId="0" applyNumberFormat="1" applyFont="1" applyFill="1" applyBorder="1" applyProtection="1"/>
    <xf numFmtId="0" fontId="24" fillId="3" borderId="25" xfId="0" applyFont="1" applyFill="1" applyBorder="1" applyProtection="1"/>
    <xf numFmtId="0" fontId="24" fillId="0" borderId="13" xfId="0" applyFont="1" applyBorder="1" applyProtection="1"/>
    <xf numFmtId="0" fontId="24" fillId="0" borderId="17" xfId="0" applyFont="1" applyBorder="1" applyProtection="1"/>
    <xf numFmtId="172" fontId="23" fillId="0" borderId="17" xfId="18" applyFont="1" applyFill="1" applyBorder="1" applyAlignment="1" applyProtection="1">
      <alignment horizontal="right"/>
    </xf>
    <xf numFmtId="2" fontId="24" fillId="0" borderId="0" xfId="0" applyNumberFormat="1" applyFont="1" applyAlignment="1" applyProtection="1"/>
    <xf numFmtId="0" fontId="23" fillId="3" borderId="50" xfId="0" applyFont="1" applyFill="1" applyBorder="1" applyProtection="1"/>
    <xf numFmtId="0" fontId="23" fillId="3" borderId="21" xfId="0" applyFont="1" applyFill="1" applyBorder="1" applyProtection="1"/>
    <xf numFmtId="0" fontId="23" fillId="3" borderId="37" xfId="0" applyNumberFormat="1" applyFont="1" applyFill="1" applyBorder="1" applyProtection="1"/>
    <xf numFmtId="0" fontId="23" fillId="3" borderId="51" xfId="0" applyFont="1" applyFill="1" applyBorder="1" applyProtection="1"/>
    <xf numFmtId="0" fontId="23" fillId="3" borderId="14" xfId="0" applyFont="1" applyFill="1" applyBorder="1" applyProtection="1"/>
    <xf numFmtId="0" fontId="23" fillId="3" borderId="22" xfId="0" applyNumberFormat="1" applyFont="1" applyFill="1" applyBorder="1" applyProtection="1"/>
    <xf numFmtId="0" fontId="23" fillId="0" borderId="0" xfId="0" applyNumberFormat="1" applyFont="1" applyFill="1" applyBorder="1" applyProtection="1"/>
    <xf numFmtId="0" fontId="24" fillId="0" borderId="23" xfId="0" applyFont="1" applyBorder="1" applyAlignment="1" applyProtection="1">
      <alignment horizontal="left"/>
    </xf>
    <xf numFmtId="3" fontId="24" fillId="7" borderId="0" xfId="0" applyNumberFormat="1" applyFont="1" applyFill="1" applyBorder="1" applyProtection="1"/>
    <xf numFmtId="0" fontId="24" fillId="3" borderId="13" xfId="0" applyFont="1" applyFill="1" applyBorder="1" applyProtection="1"/>
    <xf numFmtId="0" fontId="24" fillId="0" borderId="64" xfId="0" applyFont="1" applyFill="1" applyBorder="1" applyProtection="1"/>
    <xf numFmtId="0" fontId="24" fillId="0" borderId="12" xfId="0" applyFont="1" applyBorder="1" applyProtection="1"/>
    <xf numFmtId="0" fontId="23" fillId="0" borderId="23" xfId="0" applyFont="1" applyFill="1" applyBorder="1" applyProtection="1"/>
    <xf numFmtId="0" fontId="24" fillId="0" borderId="26" xfId="0" applyFont="1" applyBorder="1" applyProtection="1"/>
    <xf numFmtId="0" fontId="24" fillId="0" borderId="64" xfId="0" applyFont="1" applyBorder="1" applyProtection="1"/>
    <xf numFmtId="3" fontId="24" fillId="0" borderId="64" xfId="0" applyNumberFormat="1" applyFont="1" applyBorder="1" applyProtection="1"/>
    <xf numFmtId="3" fontId="23" fillId="3" borderId="13" xfId="0" applyNumberFormat="1" applyFont="1" applyFill="1" applyBorder="1" applyProtection="1"/>
    <xf numFmtId="3" fontId="23" fillId="3" borderId="3" xfId="0" applyNumberFormat="1" applyFont="1" applyFill="1" applyBorder="1" applyProtection="1"/>
    <xf numFmtId="0" fontId="23" fillId="0" borderId="0" xfId="0" applyFont="1" applyFill="1" applyBorder="1" applyAlignment="1" applyProtection="1">
      <alignment horizontal="left"/>
    </xf>
    <xf numFmtId="0" fontId="23" fillId="7" borderId="0" xfId="0" applyFont="1" applyFill="1" applyBorder="1" applyAlignment="1" applyProtection="1">
      <alignment horizontal="left"/>
    </xf>
    <xf numFmtId="1" fontId="23" fillId="0" borderId="0" xfId="0" applyNumberFormat="1" applyFont="1" applyFill="1" applyBorder="1" applyProtection="1"/>
    <xf numFmtId="3" fontId="24" fillId="0" borderId="0" xfId="0" applyNumberFormat="1" applyFont="1" applyFill="1" applyBorder="1" applyProtection="1"/>
    <xf numFmtId="0" fontId="23" fillId="0" borderId="0" xfId="0" applyNumberFormat="1" applyFont="1" applyAlignment="1" applyProtection="1">
      <alignment horizontal="left"/>
    </xf>
    <xf numFmtId="0" fontId="6" fillId="0" borderId="0" xfId="0" applyFont="1" applyProtection="1"/>
    <xf numFmtId="0" fontId="24" fillId="0" borderId="0" xfId="0" applyNumberFormat="1" applyFont="1" applyBorder="1" applyAlignment="1" applyProtection="1">
      <alignment horizontal="left" vertical="center"/>
    </xf>
    <xf numFmtId="0" fontId="6" fillId="0" borderId="0" xfId="0" applyFont="1" applyBorder="1" applyAlignment="1" applyProtection="1">
      <alignment vertical="center"/>
    </xf>
    <xf numFmtId="0" fontId="6" fillId="0" borderId="0" xfId="0" applyFont="1" applyAlignment="1" applyProtection="1">
      <alignment vertical="center"/>
    </xf>
    <xf numFmtId="0" fontId="23" fillId="0" borderId="0" xfId="0" applyNumberFormat="1" applyFont="1" applyBorder="1" applyAlignment="1" applyProtection="1">
      <alignment horizontal="center" vertical="center"/>
    </xf>
    <xf numFmtId="0" fontId="23" fillId="0" borderId="0" xfId="0" applyFont="1" applyBorder="1" applyAlignment="1" applyProtection="1">
      <alignment wrapText="1"/>
    </xf>
    <xf numFmtId="0" fontId="23" fillId="0" borderId="0" xfId="0" applyNumberFormat="1"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3" fillId="3" borderId="21" xfId="0" applyFont="1" applyFill="1" applyBorder="1" applyAlignment="1" applyProtection="1">
      <alignment vertical="center"/>
    </xf>
    <xf numFmtId="0" fontId="24" fillId="0" borderId="0" xfId="0" applyFont="1" applyFill="1" applyAlignment="1" applyProtection="1">
      <alignment horizontal="center" vertical="center"/>
    </xf>
    <xf numFmtId="0" fontId="23" fillId="0" borderId="0" xfId="0" applyNumberFormat="1" applyFont="1" applyFill="1" applyBorder="1" applyAlignment="1" applyProtection="1">
      <alignment horizontal="center" vertical="center"/>
    </xf>
    <xf numFmtId="0" fontId="6" fillId="0" borderId="0" xfId="0" applyFont="1" applyFill="1" applyAlignment="1" applyProtection="1">
      <alignment horizontal="center" vertical="center"/>
    </xf>
    <xf numFmtId="0" fontId="23" fillId="0" borderId="0" xfId="0" applyFont="1" applyFill="1" applyBorder="1" applyAlignment="1" applyProtection="1">
      <alignment horizontal="center" vertical="center"/>
    </xf>
    <xf numFmtId="183" fontId="23" fillId="3" borderId="14" xfId="0" applyNumberFormat="1" applyFont="1" applyFill="1" applyBorder="1" applyAlignment="1" applyProtection="1">
      <alignment vertical="center"/>
    </xf>
    <xf numFmtId="183" fontId="23" fillId="3" borderId="14" xfId="0" applyNumberFormat="1" applyFont="1" applyFill="1" applyBorder="1" applyAlignment="1" applyProtection="1">
      <alignment horizontal="center" vertical="center"/>
    </xf>
    <xf numFmtId="37" fontId="23" fillId="3" borderId="25" xfId="0" applyNumberFormat="1" applyFont="1" applyFill="1" applyBorder="1" applyAlignment="1" applyProtection="1">
      <alignment horizontal="left"/>
    </xf>
    <xf numFmtId="37" fontId="23" fillId="3" borderId="17" xfId="0" applyNumberFormat="1" applyFont="1" applyFill="1" applyBorder="1" applyAlignment="1" applyProtection="1">
      <alignment horizontal="left"/>
    </xf>
    <xf numFmtId="0" fontId="23" fillId="0" borderId="0" xfId="0" applyFont="1" applyAlignment="1" applyProtection="1">
      <alignment horizontal="left"/>
    </xf>
    <xf numFmtId="0" fontId="6" fillId="0" borderId="0" xfId="0" applyFont="1" applyAlignment="1" applyProtection="1"/>
    <xf numFmtId="0" fontId="19" fillId="3" borderId="21" xfId="0" applyFont="1" applyFill="1" applyBorder="1" applyAlignment="1" applyProtection="1">
      <alignment horizontal="center" vertical="center"/>
    </xf>
    <xf numFmtId="0" fontId="6" fillId="0" borderId="0" xfId="0" applyFont="1" applyAlignment="1" applyProtection="1">
      <alignment horizontal="center"/>
    </xf>
    <xf numFmtId="0" fontId="19" fillId="3" borderId="2"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24" fillId="0" borderId="0" xfId="0" applyFont="1" applyFill="1" applyAlignment="1" applyProtection="1">
      <alignment horizontal="left"/>
    </xf>
    <xf numFmtId="0" fontId="24" fillId="0" borderId="26" xfId="0" applyFont="1" applyFill="1" applyBorder="1" applyProtection="1"/>
    <xf numFmtId="0" fontId="7" fillId="0" borderId="26" xfId="0" applyNumberFormat="1" applyFont="1" applyBorder="1" applyProtection="1"/>
    <xf numFmtId="0" fontId="24" fillId="0" borderId="48" xfId="0" applyFont="1" applyFill="1" applyBorder="1" applyAlignment="1" applyProtection="1">
      <alignment wrapText="1"/>
    </xf>
    <xf numFmtId="0" fontId="6" fillId="0" borderId="48" xfId="0" applyFont="1" applyBorder="1" applyAlignment="1" applyProtection="1"/>
    <xf numFmtId="0" fontId="23" fillId="3" borderId="25" xfId="0" applyNumberFormat="1" applyFont="1" applyFill="1" applyBorder="1" applyAlignment="1" applyProtection="1">
      <alignment horizontal="left"/>
    </xf>
    <xf numFmtId="0" fontId="21" fillId="0" borderId="0" xfId="0" applyFont="1" applyProtection="1"/>
    <xf numFmtId="0" fontId="7" fillId="0" borderId="0" xfId="0" applyNumberFormat="1" applyFont="1" applyAlignment="1" applyProtection="1">
      <alignment horizontal="left"/>
    </xf>
    <xf numFmtId="0" fontId="7" fillId="0" borderId="0" xfId="0" applyNumberFormat="1" applyFont="1" applyProtection="1"/>
    <xf numFmtId="2" fontId="24" fillId="0" borderId="0" xfId="0" applyNumberFormat="1" applyFont="1" applyAlignment="1" applyProtection="1">
      <alignment horizontal="left"/>
    </xf>
    <xf numFmtId="37" fontId="23" fillId="0" borderId="0" xfId="0" applyNumberFormat="1" applyFont="1" applyBorder="1" applyAlignment="1" applyProtection="1">
      <alignment horizontal="center"/>
    </xf>
    <xf numFmtId="0" fontId="23" fillId="3" borderId="33" xfId="0" applyFont="1" applyFill="1" applyBorder="1" applyAlignment="1" applyProtection="1">
      <alignment horizontal="center"/>
    </xf>
    <xf numFmtId="0" fontId="23" fillId="3" borderId="21" xfId="0" applyFont="1" applyFill="1" applyBorder="1" applyAlignment="1" applyProtection="1">
      <alignment horizontal="center"/>
    </xf>
    <xf numFmtId="0" fontId="23" fillId="3" borderId="2" xfId="0" applyFont="1" applyFill="1" applyBorder="1" applyProtection="1"/>
    <xf numFmtId="0" fontId="23" fillId="3" borderId="0" xfId="0" applyFont="1" applyFill="1" applyBorder="1" applyAlignment="1" applyProtection="1">
      <alignment horizontal="center"/>
    </xf>
    <xf numFmtId="0" fontId="23" fillId="3" borderId="2" xfId="0" applyFont="1" applyFill="1" applyBorder="1" applyAlignment="1" applyProtection="1">
      <alignment horizontal="center"/>
    </xf>
    <xf numFmtId="0" fontId="24" fillId="3" borderId="14" xfId="0" applyFont="1" applyFill="1" applyBorder="1" applyProtection="1"/>
    <xf numFmtId="0" fontId="23" fillId="3" borderId="6" xfId="0" applyFont="1" applyFill="1" applyBorder="1" applyAlignment="1" applyProtection="1">
      <alignment horizontal="center"/>
    </xf>
    <xf numFmtId="0" fontId="23" fillId="3" borderId="14" xfId="0" applyFont="1" applyFill="1" applyBorder="1" applyAlignment="1" applyProtection="1">
      <alignment horizontal="center"/>
    </xf>
    <xf numFmtId="170" fontId="24" fillId="0" borderId="23" xfId="0" applyNumberFormat="1" applyFont="1" applyFill="1" applyBorder="1" applyProtection="1"/>
    <xf numFmtId="9" fontId="24" fillId="0" borderId="23" xfId="0" applyNumberFormat="1" applyFont="1" applyFill="1" applyBorder="1" applyProtection="1"/>
    <xf numFmtId="9" fontId="24" fillId="0" borderId="23" xfId="12" applyFont="1" applyFill="1" applyBorder="1" applyProtection="1"/>
    <xf numFmtId="3" fontId="23" fillId="3" borderId="25" xfId="0" applyNumberFormat="1" applyFont="1" applyFill="1" applyBorder="1" applyProtection="1"/>
    <xf numFmtId="0" fontId="30" fillId="0" borderId="0" xfId="15" applyFont="1" applyBorder="1" applyAlignment="1" applyProtection="1">
      <alignment horizontal="left"/>
    </xf>
    <xf numFmtId="37" fontId="23" fillId="3" borderId="16" xfId="0" applyNumberFormat="1" applyFont="1" applyFill="1" applyBorder="1" applyAlignment="1" applyProtection="1">
      <alignment vertical="center"/>
    </xf>
    <xf numFmtId="37" fontId="23" fillId="0" borderId="0" xfId="0" applyNumberFormat="1" applyFont="1" applyBorder="1" applyAlignment="1" applyProtection="1">
      <alignment vertical="center"/>
    </xf>
    <xf numFmtId="37" fontId="23" fillId="3" borderId="13" xfId="0" applyNumberFormat="1" applyFont="1" applyFill="1" applyBorder="1" applyAlignment="1" applyProtection="1">
      <alignment horizontal="left"/>
    </xf>
    <xf numFmtId="37" fontId="23" fillId="0" borderId="0" xfId="0" applyNumberFormat="1" applyFont="1" applyFill="1" applyBorder="1" applyAlignment="1" applyProtection="1">
      <alignment horizontal="left"/>
    </xf>
    <xf numFmtId="37" fontId="24" fillId="0" borderId="17" xfId="0" applyNumberFormat="1" applyFont="1" applyFill="1" applyBorder="1" applyAlignment="1" applyProtection="1">
      <alignment horizontal="left"/>
    </xf>
    <xf numFmtId="180" fontId="24" fillId="0" borderId="0" xfId="0" applyNumberFormat="1" applyFont="1" applyBorder="1" applyAlignment="1" applyProtection="1">
      <alignment horizontal="right" vertical="top"/>
    </xf>
    <xf numFmtId="0" fontId="24" fillId="0" borderId="0" xfId="0" applyFont="1" applyAlignment="1" applyProtection="1">
      <alignment horizontal="left" vertical="top" wrapText="1"/>
    </xf>
    <xf numFmtId="37" fontId="25" fillId="0" borderId="0" xfId="0" applyNumberFormat="1" applyFont="1" applyAlignment="1" applyProtection="1"/>
    <xf numFmtId="0" fontId="24" fillId="0" borderId="0" xfId="0" applyFont="1" applyFill="1" applyAlignment="1" applyProtection="1">
      <alignment horizontal="justify" vertical="top" wrapText="1"/>
    </xf>
    <xf numFmtId="0" fontId="23" fillId="0" borderId="0" xfId="0" applyFont="1" applyAlignment="1" applyProtection="1">
      <alignment horizontal="left" vertical="center"/>
    </xf>
    <xf numFmtId="0" fontId="24" fillId="0" borderId="0" xfId="0" applyFont="1" applyAlignment="1" applyProtection="1">
      <alignment horizontal="left" vertical="center" wrapText="1"/>
    </xf>
    <xf numFmtId="0" fontId="23" fillId="0" borderId="0" xfId="0" applyNumberFormat="1" applyFont="1" applyFill="1" applyAlignment="1" applyProtection="1"/>
    <xf numFmtId="0" fontId="24" fillId="0" borderId="0" xfId="0" applyFont="1" applyFill="1" applyAlignment="1" applyProtection="1">
      <alignment horizontal="justify"/>
    </xf>
    <xf numFmtId="0" fontId="24" fillId="0" borderId="0" xfId="0" applyFont="1" applyFill="1" applyAlignment="1" applyProtection="1">
      <alignment wrapText="1"/>
    </xf>
    <xf numFmtId="172" fontId="23" fillId="0" borderId="23" xfId="0" applyNumberFormat="1" applyFont="1" applyBorder="1" applyProtection="1">
      <protection locked="0"/>
    </xf>
    <xf numFmtId="37" fontId="24" fillId="0" borderId="32" xfId="0" applyNumberFormat="1" applyFont="1" applyBorder="1" applyProtection="1"/>
    <xf numFmtId="164" fontId="24" fillId="0" borderId="32" xfId="0" applyNumberFormat="1" applyFont="1" applyBorder="1" applyProtection="1"/>
    <xf numFmtId="3" fontId="24" fillId="0" borderId="32" xfId="0" applyNumberFormat="1" applyFont="1" applyBorder="1" applyAlignment="1" applyProtection="1">
      <alignment horizontal="center"/>
    </xf>
    <xf numFmtId="0" fontId="23" fillId="0" borderId="16" xfId="0" applyFont="1" applyBorder="1" applyAlignment="1" applyProtection="1">
      <alignment vertical="top"/>
      <protection hidden="1"/>
    </xf>
    <xf numFmtId="37" fontId="24" fillId="0" borderId="52" xfId="0" applyNumberFormat="1" applyFont="1" applyFill="1" applyBorder="1" applyAlignment="1" applyProtection="1">
      <alignment vertical="center"/>
      <protection locked="0"/>
    </xf>
    <xf numFmtId="37" fontId="24" fillId="0" borderId="0" xfId="0" applyNumberFormat="1" applyFont="1" applyFill="1" applyBorder="1" applyAlignment="1" applyProtection="1">
      <alignment vertical="center"/>
      <protection locked="0"/>
    </xf>
    <xf numFmtId="37" fontId="24" fillId="0" borderId="31" xfId="0" applyNumberFormat="1" applyFont="1" applyFill="1" applyBorder="1" applyAlignment="1" applyProtection="1">
      <alignment vertical="center"/>
      <protection locked="0"/>
    </xf>
    <xf numFmtId="37" fontId="23" fillId="0" borderId="0" xfId="0" applyNumberFormat="1" applyFont="1" applyFill="1" applyAlignment="1" applyProtection="1"/>
    <xf numFmtId="37" fontId="24" fillId="0" borderId="25" xfId="0" applyNumberFormat="1" applyFont="1" applyFill="1" applyBorder="1" applyAlignment="1" applyProtection="1">
      <alignment horizontal="left"/>
    </xf>
    <xf numFmtId="0" fontId="24" fillId="0" borderId="25" xfId="0" applyFont="1" applyBorder="1" applyAlignment="1" applyProtection="1">
      <alignment horizontal="left"/>
    </xf>
    <xf numFmtId="0" fontId="24" fillId="0" borderId="17" xfId="0" applyFont="1" applyBorder="1" applyAlignment="1" applyProtection="1">
      <alignment horizontal="left"/>
    </xf>
    <xf numFmtId="0" fontId="19" fillId="3" borderId="21" xfId="0" applyFont="1" applyFill="1" applyBorder="1" applyAlignment="1" applyProtection="1">
      <alignment horizontal="center" vertical="center" wrapText="1"/>
    </xf>
    <xf numFmtId="0" fontId="19" fillId="3" borderId="2"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23" fillId="3" borderId="21" xfId="0" applyFont="1" applyFill="1" applyBorder="1" applyAlignment="1" applyProtection="1">
      <alignment horizontal="center" vertical="top" wrapText="1" shrinkToFit="1"/>
    </xf>
    <xf numFmtId="0" fontId="23" fillId="3" borderId="2" xfId="0" applyFont="1" applyFill="1" applyBorder="1" applyAlignment="1" applyProtection="1">
      <alignment horizontal="center" vertical="top" wrapText="1" shrinkToFit="1"/>
    </xf>
    <xf numFmtId="0" fontId="23" fillId="3" borderId="14" xfId="0" applyFont="1" applyFill="1" applyBorder="1" applyAlignment="1" applyProtection="1">
      <alignment horizontal="center" vertical="top" wrapText="1" shrinkToFit="1"/>
    </xf>
    <xf numFmtId="0" fontId="19" fillId="3" borderId="21" xfId="0" applyFont="1" applyFill="1" applyBorder="1" applyAlignment="1" applyProtection="1">
      <alignment horizontal="center" vertical="top" wrapText="1"/>
    </xf>
    <xf numFmtId="0" fontId="19" fillId="3" borderId="2" xfId="0" applyFont="1" applyFill="1" applyBorder="1" applyAlignment="1" applyProtection="1">
      <alignment horizontal="center" vertical="top" wrapText="1"/>
    </xf>
    <xf numFmtId="0" fontId="19" fillId="3" borderId="14" xfId="0" applyFont="1" applyFill="1" applyBorder="1" applyAlignment="1" applyProtection="1">
      <alignment horizontal="center" vertical="top" wrapText="1"/>
    </xf>
    <xf numFmtId="0" fontId="24" fillId="0" borderId="13" xfId="0" applyFont="1" applyBorder="1" applyAlignment="1" applyProtection="1">
      <alignment horizontal="left"/>
    </xf>
    <xf numFmtId="0" fontId="24" fillId="0" borderId="0" xfId="0" applyNumberFormat="1" applyFont="1" applyAlignment="1" applyProtection="1">
      <alignment vertical="center" wrapText="1"/>
    </xf>
    <xf numFmtId="0" fontId="24" fillId="0" borderId="0" xfId="0" applyFont="1" applyAlignment="1" applyProtection="1">
      <alignment vertical="center" wrapText="1"/>
    </xf>
    <xf numFmtId="0" fontId="19" fillId="3" borderId="66" xfId="0" applyFont="1" applyFill="1" applyBorder="1" applyAlignment="1" applyProtection="1">
      <alignment horizontal="center" vertical="top" wrapText="1" shrinkToFit="1"/>
    </xf>
    <xf numFmtId="0" fontId="19" fillId="3" borderId="34" xfId="0" applyFont="1" applyFill="1" applyBorder="1" applyAlignment="1" applyProtection="1">
      <alignment horizontal="center" vertical="top" wrapText="1" shrinkToFit="1"/>
    </xf>
    <xf numFmtId="0" fontId="19" fillId="0" borderId="0" xfId="0" applyFont="1" applyFill="1" applyBorder="1" applyAlignment="1" applyProtection="1">
      <alignment vertical="center"/>
      <protection hidden="1"/>
    </xf>
    <xf numFmtId="0" fontId="26" fillId="0" borderId="55" xfId="0" applyFont="1" applyFill="1" applyBorder="1" applyAlignment="1" applyProtection="1">
      <alignment vertical="top" wrapText="1"/>
      <protection locked="0" hidden="1"/>
    </xf>
    <xf numFmtId="37" fontId="24" fillId="0" borderId="49" xfId="0" applyNumberFormat="1" applyFont="1" applyFill="1" applyBorder="1" applyAlignment="1" applyProtection="1">
      <alignment vertical="center"/>
      <protection locked="0"/>
    </xf>
    <xf numFmtId="37" fontId="24" fillId="0" borderId="32" xfId="0" applyNumberFormat="1" applyFont="1" applyFill="1" applyBorder="1" applyAlignment="1" applyProtection="1">
      <alignment vertical="center"/>
      <protection locked="0"/>
    </xf>
    <xf numFmtId="37" fontId="24" fillId="0" borderId="26" xfId="0" applyNumberFormat="1" applyFont="1" applyFill="1" applyBorder="1" applyAlignment="1" applyProtection="1">
      <alignment vertical="center"/>
      <protection hidden="1"/>
    </xf>
    <xf numFmtId="37" fontId="24" fillId="0" borderId="47" xfId="0" applyNumberFormat="1" applyFont="1" applyFill="1" applyBorder="1" applyAlignment="1" applyProtection="1">
      <alignment horizontal="right" vertical="center"/>
      <protection hidden="1"/>
    </xf>
    <xf numFmtId="37" fontId="24" fillId="0" borderId="12" xfId="0" applyNumberFormat="1" applyFont="1" applyFill="1" applyBorder="1" applyAlignment="1" applyProtection="1">
      <alignment vertical="center"/>
      <protection locked="0"/>
    </xf>
    <xf numFmtId="0" fontId="24" fillId="0" borderId="0" xfId="0" applyFont="1" applyAlignment="1" applyProtection="1">
      <alignment horizontal="right" vertical="top"/>
    </xf>
    <xf numFmtId="0" fontId="23" fillId="0" borderId="0" xfId="0" applyNumberFormat="1" applyFont="1" applyBorder="1" applyAlignment="1" applyProtection="1">
      <alignment horizontal="right" vertical="top"/>
    </xf>
    <xf numFmtId="2" fontId="24" fillId="0" borderId="0" xfId="0" applyNumberFormat="1" applyFont="1" applyAlignment="1" applyProtection="1">
      <alignment horizontal="right" vertical="top"/>
    </xf>
    <xf numFmtId="37" fontId="24" fillId="0" borderId="0" xfId="0" applyNumberFormat="1" applyFont="1" applyAlignment="1" applyProtection="1">
      <alignment vertical="top"/>
    </xf>
    <xf numFmtId="37" fontId="23" fillId="3" borderId="7" xfId="0" applyNumberFormat="1" applyFont="1" applyFill="1" applyBorder="1" applyAlignment="1" applyProtection="1">
      <alignment horizontal="right" vertical="top"/>
    </xf>
    <xf numFmtId="0" fontId="24" fillId="0" borderId="0" xfId="0" applyNumberFormat="1" applyFont="1" applyAlignment="1" applyProtection="1">
      <alignment horizontal="right" vertical="top"/>
    </xf>
    <xf numFmtId="0" fontId="23" fillId="0" borderId="0" xfId="15" applyFont="1" applyBorder="1" applyAlignment="1" applyProtection="1">
      <alignment horizontal="left" vertical="top"/>
    </xf>
    <xf numFmtId="37" fontId="23" fillId="0" borderId="26" xfId="0" applyNumberFormat="1" applyFont="1" applyBorder="1" applyAlignment="1" applyProtection="1">
      <alignment horizontal="left"/>
    </xf>
    <xf numFmtId="0" fontId="23" fillId="3" borderId="24" xfId="0" applyFont="1" applyFill="1" applyBorder="1" applyAlignment="1" applyProtection="1">
      <alignment horizontal="left" vertical="top" wrapText="1"/>
      <protection hidden="1"/>
    </xf>
    <xf numFmtId="0" fontId="24" fillId="0" borderId="49" xfId="0" applyFont="1" applyBorder="1" applyAlignment="1" applyProtection="1"/>
    <xf numFmtId="3" fontId="24" fillId="0" borderId="24" xfId="18" applyNumberFormat="1" applyFont="1" applyFill="1" applyBorder="1" applyAlignment="1" applyProtection="1">
      <alignment vertical="top"/>
      <protection locked="0"/>
    </xf>
    <xf numFmtId="0" fontId="23" fillId="3" borderId="23" xfId="0" applyNumberFormat="1" applyFont="1" applyFill="1" applyBorder="1" applyAlignment="1" applyProtection="1">
      <protection hidden="1"/>
    </xf>
    <xf numFmtId="3" fontId="24" fillId="0" borderId="23" xfId="18" applyNumberFormat="1" applyFont="1" applyFill="1" applyBorder="1" applyAlignment="1" applyProtection="1">
      <alignment vertical="top"/>
      <protection locked="0"/>
    </xf>
    <xf numFmtId="0" fontId="23" fillId="3" borderId="23" xfId="0" applyNumberFormat="1" applyFont="1" applyFill="1" applyBorder="1" applyAlignment="1" applyProtection="1">
      <alignment horizontal="left"/>
      <protection hidden="1"/>
    </xf>
    <xf numFmtId="3" fontId="24" fillId="0" borderId="23" xfId="18" applyNumberFormat="1" applyFont="1" applyFill="1" applyBorder="1" applyAlignment="1" applyProtection="1">
      <alignment horizontal="right" vertical="top"/>
      <protection locked="0"/>
    </xf>
    <xf numFmtId="0" fontId="23" fillId="3" borderId="24" xfId="0" applyNumberFormat="1" applyFont="1" applyFill="1" applyBorder="1" applyAlignment="1" applyProtection="1">
      <alignment horizontal="left"/>
      <protection hidden="1"/>
    </xf>
    <xf numFmtId="0" fontId="24" fillId="0" borderId="49" xfId="0" applyFont="1" applyBorder="1" applyAlignment="1" applyProtection="1">
      <alignment horizontal="left"/>
    </xf>
    <xf numFmtId="3" fontId="23" fillId="3" borderId="23" xfId="21" applyNumberFormat="1" applyFont="1" applyFill="1" applyBorder="1" applyAlignment="1" applyProtection="1">
      <alignment vertical="top"/>
    </xf>
    <xf numFmtId="172" fontId="23" fillId="3" borderId="25" xfId="19" applyNumberFormat="1" applyFont="1" applyFill="1" applyBorder="1" applyAlignment="1" applyProtection="1">
      <alignment horizontal="left"/>
    </xf>
    <xf numFmtId="172" fontId="23" fillId="3" borderId="17" xfId="19" applyNumberFormat="1" applyFont="1" applyFill="1" applyBorder="1" applyAlignment="1" applyProtection="1">
      <alignment horizontal="left"/>
    </xf>
    <xf numFmtId="3" fontId="23" fillId="3" borderId="23" xfId="18" applyNumberFormat="1" applyFont="1" applyFill="1" applyBorder="1" applyAlignment="1" applyProtection="1">
      <alignment vertical="top"/>
    </xf>
    <xf numFmtId="3" fontId="23" fillId="0" borderId="0" xfId="20" applyNumberFormat="1" applyFont="1" applyFill="1" applyBorder="1" applyAlignment="1" applyProtection="1">
      <alignment horizontal="right" vertical="top"/>
    </xf>
    <xf numFmtId="3" fontId="24" fillId="0" borderId="0" xfId="0" applyNumberFormat="1" applyFont="1" applyAlignment="1" applyProtection="1">
      <alignment vertical="top"/>
    </xf>
    <xf numFmtId="0" fontId="23" fillId="3" borderId="24" xfId="0" applyFont="1" applyFill="1" applyBorder="1" applyAlignment="1" applyProtection="1">
      <alignment vertical="top" wrapText="1"/>
      <protection hidden="1"/>
    </xf>
    <xf numFmtId="0" fontId="24" fillId="0" borderId="49" xfId="0" applyFont="1" applyBorder="1" applyAlignment="1" applyProtection="1">
      <alignment wrapText="1"/>
    </xf>
    <xf numFmtId="0" fontId="0" fillId="0" borderId="12" xfId="0" applyBorder="1" applyAlignment="1" applyProtection="1">
      <alignment wrapText="1"/>
    </xf>
    <xf numFmtId="3" fontId="24" fillId="0" borderId="24" xfId="18" applyNumberFormat="1" applyFont="1" applyFill="1" applyBorder="1" applyAlignment="1" applyProtection="1">
      <alignment horizontal="right" vertical="top"/>
      <protection locked="0"/>
    </xf>
    <xf numFmtId="0" fontId="24" fillId="0" borderId="12" xfId="0" applyFont="1" applyBorder="1" applyAlignment="1" applyProtection="1">
      <alignment wrapText="1"/>
    </xf>
    <xf numFmtId="3" fontId="23" fillId="3" borderId="17" xfId="20" applyNumberFormat="1" applyFont="1" applyFill="1" applyBorder="1" applyAlignment="1" applyProtection="1">
      <alignment horizontal="right" vertical="top"/>
    </xf>
    <xf numFmtId="3" fontId="6" fillId="0" borderId="0" xfId="0" applyNumberFormat="1" applyFont="1" applyAlignment="1" applyProtection="1">
      <alignment vertical="top"/>
    </xf>
    <xf numFmtId="0" fontId="23" fillId="0" borderId="0" xfId="0" applyNumberFormat="1" applyFont="1" applyFill="1" applyBorder="1" applyAlignment="1" applyProtection="1"/>
    <xf numFmtId="3" fontId="24" fillId="0" borderId="0" xfId="18" applyNumberFormat="1" applyFont="1" applyFill="1" applyBorder="1" applyAlignment="1" applyProtection="1">
      <alignment vertical="top"/>
    </xf>
    <xf numFmtId="3" fontId="24" fillId="0" borderId="0" xfId="0" applyNumberFormat="1" applyFont="1" applyAlignment="1" applyProtection="1">
      <alignment horizontal="right" vertical="top"/>
    </xf>
    <xf numFmtId="3" fontId="23" fillId="0" borderId="0" xfId="0" applyNumberFormat="1" applyFont="1" applyBorder="1" applyAlignment="1" applyProtection="1">
      <alignment horizontal="right" vertical="top"/>
    </xf>
    <xf numFmtId="3" fontId="24" fillId="0" borderId="23" xfId="19" applyNumberFormat="1" applyFont="1" applyFill="1" applyBorder="1" applyAlignment="1" applyProtection="1">
      <alignment horizontal="right" vertical="top"/>
      <protection locked="0"/>
    </xf>
    <xf numFmtId="0" fontId="7" fillId="0" borderId="0" xfId="0" applyFont="1" applyBorder="1" applyAlignment="1" applyProtection="1"/>
    <xf numFmtId="0" fontId="27" fillId="0" borderId="32" xfId="0" applyNumberFormat="1" applyFont="1" applyBorder="1" applyAlignment="1" applyProtection="1">
      <alignment horizontal="left" vertical="top" wrapText="1"/>
      <protection hidden="1"/>
    </xf>
    <xf numFmtId="3" fontId="23" fillId="3" borderId="23" xfId="18" applyNumberFormat="1" applyFont="1" applyFill="1" applyBorder="1" applyAlignment="1" applyProtection="1">
      <alignment horizontal="right" vertical="top"/>
    </xf>
    <xf numFmtId="172" fontId="24" fillId="0" borderId="0" xfId="18" applyFont="1" applyFill="1" applyBorder="1" applyAlignment="1" applyProtection="1">
      <alignment vertical="top"/>
    </xf>
    <xf numFmtId="172" fontId="24" fillId="0" borderId="25" xfId="18" applyFont="1" applyFill="1" applyBorder="1" applyAlignment="1" applyProtection="1">
      <alignment horizontal="left"/>
      <protection locked="0"/>
    </xf>
    <xf numFmtId="172" fontId="24" fillId="0" borderId="13" xfId="18" applyFont="1" applyFill="1" applyBorder="1" applyAlignment="1" applyProtection="1">
      <alignment horizontal="left"/>
      <protection locked="0"/>
    </xf>
    <xf numFmtId="172" fontId="24" fillId="0" borderId="17" xfId="18" applyFont="1" applyFill="1" applyBorder="1" applyAlignment="1" applyProtection="1">
      <alignment horizontal="left"/>
      <protection locked="0"/>
    </xf>
    <xf numFmtId="0" fontId="19" fillId="3" borderId="51" xfId="0" applyFont="1" applyFill="1" applyBorder="1" applyAlignment="1" applyProtection="1">
      <alignment vertical="top" wrapText="1" shrinkToFit="1"/>
    </xf>
    <xf numFmtId="0" fontId="19" fillId="3" borderId="22" xfId="0" applyFont="1" applyFill="1" applyBorder="1" applyAlignment="1" applyProtection="1">
      <alignment vertical="top" wrapText="1" shrinkToFit="1"/>
    </xf>
    <xf numFmtId="0" fontId="24" fillId="0" borderId="0" xfId="0" applyFont="1" applyAlignment="1" applyProtection="1">
      <alignment vertical="top" wrapText="1"/>
    </xf>
    <xf numFmtId="0" fontId="0" fillId="0" borderId="0" xfId="0" applyAlignment="1"/>
    <xf numFmtId="3" fontId="24" fillId="0" borderId="24" xfId="18" applyNumberFormat="1" applyFont="1" applyFill="1" applyBorder="1" applyAlignment="1" applyProtection="1">
      <alignment horizontal="center"/>
      <protection locked="0"/>
    </xf>
    <xf numFmtId="0" fontId="31" fillId="0" borderId="0" xfId="0" applyNumberFormat="1" applyFont="1" applyBorder="1" applyAlignment="1" applyProtection="1">
      <alignment horizontal="left"/>
    </xf>
    <xf numFmtId="0" fontId="23" fillId="0" borderId="0" xfId="0" applyFont="1" applyFill="1" applyBorder="1" applyAlignment="1" applyProtection="1">
      <alignment horizontal="left" vertical="center" wrapText="1"/>
    </xf>
    <xf numFmtId="37" fontId="23" fillId="0" borderId="0" xfId="0" applyNumberFormat="1" applyFont="1" applyFill="1" applyBorder="1" applyAlignment="1" applyProtection="1">
      <alignment horizontal="center" vertical="center"/>
    </xf>
    <xf numFmtId="183" fontId="23" fillId="0" borderId="0" xfId="0" applyNumberFormat="1" applyFont="1" applyFill="1" applyBorder="1" applyAlignment="1" applyProtection="1">
      <alignment horizontal="center" vertical="center"/>
    </xf>
    <xf numFmtId="3" fontId="19" fillId="0" borderId="0" xfId="21" applyNumberFormat="1" applyFont="1" applyFill="1" applyBorder="1" applyAlignment="1" applyProtection="1">
      <alignment horizontal="right"/>
    </xf>
    <xf numFmtId="49" fontId="23" fillId="0" borderId="0" xfId="0" applyNumberFormat="1" applyFont="1" applyFill="1" applyBorder="1" applyAlignment="1" applyProtection="1">
      <alignment horizontal="left" wrapText="1"/>
    </xf>
    <xf numFmtId="3" fontId="24" fillId="0" borderId="0" xfId="0" applyNumberFormat="1" applyFont="1" applyFill="1" applyBorder="1" applyAlignment="1" applyProtection="1">
      <alignment horizontal="right"/>
    </xf>
    <xf numFmtId="3" fontId="27" fillId="0" borderId="0" xfId="18" applyNumberFormat="1" applyFont="1" applyFill="1" applyBorder="1" applyAlignment="1" applyProtection="1">
      <alignment horizontal="right"/>
    </xf>
    <xf numFmtId="0" fontId="24" fillId="0" borderId="0" xfId="0" applyFont="1" applyBorder="1" applyProtection="1">
      <protection locked="0" hidden="1"/>
    </xf>
    <xf numFmtId="0" fontId="23" fillId="0" borderId="16" xfId="0" applyFont="1" applyBorder="1" applyAlignment="1" applyProtection="1">
      <alignment vertical="top"/>
      <protection locked="0" hidden="1"/>
    </xf>
    <xf numFmtId="0" fontId="24" fillId="0" borderId="55" xfId="0" applyFont="1" applyFill="1" applyBorder="1" applyProtection="1">
      <protection locked="0" hidden="1"/>
    </xf>
    <xf numFmtId="172" fontId="23" fillId="3" borderId="23" xfId="0" applyNumberFormat="1" applyFont="1" applyFill="1" applyBorder="1" applyAlignment="1" applyProtection="1">
      <alignment horizontal="left"/>
    </xf>
    <xf numFmtId="49" fontId="24" fillId="0" borderId="17" xfId="0" applyNumberFormat="1" applyFont="1" applyFill="1" applyBorder="1" applyAlignment="1" applyProtection="1">
      <alignment vertical="center"/>
      <protection hidden="1"/>
    </xf>
    <xf numFmtId="37" fontId="24" fillId="0" borderId="23" xfId="0" applyNumberFormat="1" applyFont="1" applyFill="1" applyBorder="1" applyAlignment="1" applyProtection="1">
      <alignment vertical="center"/>
      <protection locked="0"/>
    </xf>
    <xf numFmtId="0" fontId="24" fillId="0" borderId="0" xfId="0" applyFont="1" applyBorder="1" applyAlignment="1" applyProtection="1">
      <protection locked="0" hidden="1"/>
    </xf>
    <xf numFmtId="0" fontId="24" fillId="0" borderId="0" xfId="0" applyFont="1" applyProtection="1">
      <protection locked="0"/>
    </xf>
    <xf numFmtId="0" fontId="23" fillId="0" borderId="7" xfId="0" applyFont="1" applyBorder="1" applyAlignment="1" applyProtection="1">
      <alignment vertical="top"/>
      <protection locked="0" hidden="1"/>
    </xf>
    <xf numFmtId="2" fontId="24" fillId="0" borderId="69" xfId="0" applyNumberFormat="1" applyFont="1" applyBorder="1" applyProtection="1">
      <protection locked="0"/>
    </xf>
    <xf numFmtId="0" fontId="28" fillId="0" borderId="0" xfId="0" applyFont="1" applyFill="1" applyBorder="1" applyAlignment="1" applyProtection="1">
      <alignment vertical="top"/>
      <protection locked="0" hidden="1"/>
    </xf>
    <xf numFmtId="0" fontId="24" fillId="0" borderId="57" xfId="0" applyFont="1" applyBorder="1" applyProtection="1"/>
    <xf numFmtId="0" fontId="24" fillId="0" borderId="0" xfId="0" applyFont="1" applyBorder="1" applyAlignment="1" applyProtection="1">
      <alignment vertical="top" wrapText="1"/>
      <protection locked="0" hidden="1"/>
    </xf>
    <xf numFmtId="0" fontId="24" fillId="0" borderId="55" xfId="0" applyFont="1" applyFill="1" applyBorder="1" applyAlignment="1" applyProtection="1">
      <alignment vertical="top" wrapText="1"/>
      <protection locked="0" hidden="1"/>
    </xf>
    <xf numFmtId="0" fontId="25" fillId="0" borderId="0" xfId="0" applyFont="1" applyProtection="1">
      <protection locked="0" hidden="1"/>
    </xf>
    <xf numFmtId="37" fontId="24" fillId="0" borderId="25" xfId="0" applyNumberFormat="1" applyFont="1" applyBorder="1" applyAlignment="1" applyProtection="1">
      <alignment horizontal="left" vertical="top" wrapText="1"/>
      <protection hidden="1"/>
    </xf>
    <xf numFmtId="172" fontId="24" fillId="0" borderId="23" xfId="18" applyFont="1" applyFill="1" applyBorder="1" applyAlignment="1" applyProtection="1">
      <alignment horizontal="right"/>
    </xf>
    <xf numFmtId="0" fontId="24" fillId="0" borderId="0" xfId="0" applyFont="1" applyBorder="1" applyAlignment="1" applyProtection="1">
      <alignment horizontal="left" wrapText="1"/>
    </xf>
    <xf numFmtId="172" fontId="24" fillId="0" borderId="24" xfId="18" quotePrefix="1" applyFont="1" applyFill="1" applyBorder="1" applyProtection="1"/>
    <xf numFmtId="0" fontId="23" fillId="0" borderId="0" xfId="0" applyFont="1" applyFill="1" applyProtection="1"/>
    <xf numFmtId="172" fontId="23" fillId="0" borderId="0" xfId="19" applyNumberFormat="1" applyFont="1" applyFill="1" applyBorder="1" applyAlignment="1" applyProtection="1">
      <alignment horizontal="left"/>
      <protection hidden="1"/>
    </xf>
    <xf numFmtId="0" fontId="6" fillId="0" borderId="26" xfId="0" applyFont="1" applyBorder="1" applyProtection="1">
      <protection hidden="1"/>
    </xf>
    <xf numFmtId="37" fontId="24" fillId="0" borderId="25" xfId="0" applyNumberFormat="1" applyFont="1" applyFill="1" applyBorder="1" applyAlignment="1" applyProtection="1">
      <alignment horizontal="left"/>
      <protection hidden="1"/>
    </xf>
    <xf numFmtId="37" fontId="24" fillId="0" borderId="13" xfId="0" applyNumberFormat="1" applyFont="1" applyFill="1" applyBorder="1" applyAlignment="1" applyProtection="1">
      <alignment horizontal="left"/>
      <protection hidden="1"/>
    </xf>
    <xf numFmtId="37" fontId="24" fillId="0" borderId="17" xfId="0" applyNumberFormat="1" applyFont="1" applyFill="1" applyBorder="1" applyAlignment="1" applyProtection="1">
      <alignment horizontal="left"/>
      <protection hidden="1"/>
    </xf>
    <xf numFmtId="0" fontId="27" fillId="0" borderId="0" xfId="0" applyNumberFormat="1" applyFont="1" applyBorder="1" applyAlignment="1" applyProtection="1">
      <alignment vertical="top" wrapText="1"/>
      <protection hidden="1"/>
    </xf>
    <xf numFmtId="0" fontId="32" fillId="0" borderId="0" xfId="0" applyNumberFormat="1" applyFont="1" applyAlignment="1" applyProtection="1">
      <protection hidden="1"/>
    </xf>
    <xf numFmtId="0" fontId="21" fillId="0" borderId="0" xfId="0" applyFont="1" applyAlignment="1" applyProtection="1">
      <alignment horizontal="left"/>
      <protection hidden="1"/>
    </xf>
    <xf numFmtId="0" fontId="32" fillId="0" borderId="0" xfId="0" applyFont="1" applyBorder="1" applyAlignment="1" applyProtection="1">
      <alignment horizontal="left"/>
      <protection hidden="1"/>
    </xf>
    <xf numFmtId="0" fontId="21" fillId="0" borderId="0" xfId="0" applyFont="1" applyAlignment="1" applyProtection="1">
      <alignment horizontal="right"/>
      <protection hidden="1"/>
    </xf>
    <xf numFmtId="0" fontId="4" fillId="0" borderId="0" xfId="0" applyFont="1" applyProtection="1">
      <protection hidden="1"/>
    </xf>
    <xf numFmtId="0" fontId="24" fillId="0" borderId="0" xfId="0" applyNumberFormat="1" applyFont="1" applyBorder="1" applyAlignment="1" applyProtection="1">
      <alignment vertical="center"/>
      <protection hidden="1"/>
    </xf>
    <xf numFmtId="0" fontId="27"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180" fontId="27" fillId="0" borderId="0" xfId="0" applyNumberFormat="1" applyFont="1" applyBorder="1" applyAlignment="1" applyProtection="1">
      <alignment horizontal="right" vertical="center"/>
      <protection hidden="1"/>
    </xf>
    <xf numFmtId="0" fontId="27" fillId="0" borderId="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2" fillId="0" borderId="0" xfId="0" applyNumberFormat="1" applyFont="1" applyAlignment="1" applyProtection="1">
      <alignment horizontal="justify"/>
      <protection hidden="1"/>
    </xf>
    <xf numFmtId="0" fontId="21" fillId="0" borderId="0" xfId="0" applyFont="1" applyAlignment="1" applyProtection="1">
      <alignment horizontal="justify"/>
      <protection hidden="1"/>
    </xf>
    <xf numFmtId="0" fontId="4" fillId="0" borderId="0" xfId="0" applyFont="1" applyAlignment="1" applyProtection="1">
      <alignment horizontal="justify"/>
      <protection hidden="1"/>
    </xf>
    <xf numFmtId="0" fontId="23" fillId="0" borderId="0" xfId="0" applyNumberFormat="1" applyFont="1" applyAlignment="1" applyProtection="1">
      <protection hidden="1"/>
    </xf>
    <xf numFmtId="168" fontId="24" fillId="0" borderId="0" xfId="0" applyNumberFormat="1" applyFont="1" applyAlignment="1" applyProtection="1">
      <protection hidden="1"/>
    </xf>
    <xf numFmtId="49" fontId="24" fillId="0" borderId="0" xfId="0" applyNumberFormat="1" applyFont="1" applyAlignment="1" applyProtection="1">
      <alignment horizontal="left"/>
      <protection hidden="1"/>
    </xf>
    <xf numFmtId="49" fontId="24" fillId="0" borderId="0" xfId="0" applyNumberFormat="1" applyFont="1" applyAlignment="1" applyProtection="1">
      <alignment horizontal="right"/>
      <protection hidden="1"/>
    </xf>
    <xf numFmtId="0" fontId="24" fillId="8" borderId="3" xfId="0" applyNumberFormat="1" applyFont="1" applyFill="1" applyBorder="1" applyAlignment="1" applyProtection="1">
      <protection hidden="1"/>
    </xf>
    <xf numFmtId="0" fontId="23" fillId="8" borderId="3" xfId="0" applyNumberFormat="1" applyFont="1" applyFill="1" applyBorder="1" applyAlignment="1" applyProtection="1">
      <protection hidden="1"/>
    </xf>
    <xf numFmtId="0" fontId="23" fillId="8" borderId="3" xfId="0" applyNumberFormat="1" applyFont="1" applyFill="1" applyBorder="1" applyAlignment="1" applyProtection="1">
      <alignment horizontal="left"/>
      <protection hidden="1"/>
    </xf>
    <xf numFmtId="49" fontId="23" fillId="8" borderId="3" xfId="0" applyNumberFormat="1" applyFont="1" applyFill="1" applyBorder="1" applyAlignment="1" applyProtection="1">
      <alignment horizontal="right"/>
      <protection hidden="1"/>
    </xf>
    <xf numFmtId="0" fontId="23" fillId="0" borderId="66" xfId="0" applyNumberFormat="1" applyFont="1" applyBorder="1" applyAlignment="1" applyProtection="1">
      <alignment horizontal="left" vertical="top"/>
      <protection hidden="1"/>
    </xf>
    <xf numFmtId="168" fontId="24" fillId="0" borderId="2" xfId="0" applyNumberFormat="1" applyFont="1" applyBorder="1" applyAlignment="1" applyProtection="1">
      <alignment vertical="top" wrapText="1"/>
      <protection hidden="1"/>
    </xf>
    <xf numFmtId="14" fontId="24" fillId="0" borderId="34" xfId="0" applyNumberFormat="1" applyFont="1" applyBorder="1" applyAlignment="1" applyProtection="1">
      <alignment horizontal="left" vertical="top" wrapText="1"/>
      <protection hidden="1"/>
    </xf>
    <xf numFmtId="0" fontId="24" fillId="0" borderId="2" xfId="0" applyNumberFormat="1" applyFont="1" applyBorder="1" applyAlignment="1" applyProtection="1">
      <alignment horizontal="right" vertical="top" wrapText="1"/>
      <protection hidden="1"/>
    </xf>
    <xf numFmtId="0" fontId="23" fillId="0" borderId="51" xfId="0" applyNumberFormat="1" applyFont="1" applyBorder="1" applyAlignment="1" applyProtection="1">
      <alignment horizontal="left" vertical="top"/>
      <protection hidden="1"/>
    </xf>
    <xf numFmtId="168" fontId="24" fillId="0" borderId="14" xfId="0" applyNumberFormat="1" applyFont="1" applyBorder="1" applyAlignment="1" applyProtection="1">
      <alignment vertical="top" wrapText="1"/>
      <protection hidden="1"/>
    </xf>
    <xf numFmtId="14" fontId="24" fillId="0" borderId="22" xfId="0" applyNumberFormat="1" applyFont="1" applyBorder="1" applyAlignment="1" applyProtection="1">
      <alignment horizontal="left" vertical="top" wrapText="1"/>
      <protection hidden="1"/>
    </xf>
    <xf numFmtId="0" fontId="24" fillId="0" borderId="14" xfId="0" applyFont="1" applyBorder="1" applyAlignment="1" applyProtection="1">
      <alignment horizontal="right" vertical="top" wrapText="1"/>
      <protection hidden="1"/>
    </xf>
    <xf numFmtId="0" fontId="23" fillId="0" borderId="0" xfId="0" applyNumberFormat="1" applyFont="1" applyBorder="1" applyAlignment="1" applyProtection="1">
      <alignment horizontal="left"/>
      <protection hidden="1"/>
    </xf>
    <xf numFmtId="0" fontId="24" fillId="0" borderId="0" xfId="0" applyNumberFormat="1" applyFont="1" applyAlignment="1" applyProtection="1">
      <alignment horizontal="left"/>
      <protection hidden="1"/>
    </xf>
    <xf numFmtId="0" fontId="24" fillId="0" borderId="0" xfId="0" applyNumberFormat="1" applyFont="1" applyAlignment="1" applyProtection="1">
      <alignment horizontal="right" wrapText="1"/>
      <protection hidden="1"/>
    </xf>
    <xf numFmtId="0" fontId="24" fillId="0" borderId="0" xfId="0" applyFont="1" applyAlignment="1" applyProtection="1">
      <alignment horizontal="right"/>
      <protection hidden="1"/>
    </xf>
    <xf numFmtId="0" fontId="24" fillId="0" borderId="0" xfId="0" applyNumberFormat="1" applyFont="1" applyAlignment="1" applyProtection="1">
      <alignment horizontal="right"/>
      <protection hidden="1"/>
    </xf>
    <xf numFmtId="0" fontId="24" fillId="0" borderId="0" xfId="0" applyFont="1" applyBorder="1" applyAlignment="1" applyProtection="1">
      <alignment horizontal="justify"/>
      <protection hidden="1"/>
    </xf>
    <xf numFmtId="0" fontId="24" fillId="0" borderId="0" xfId="0" applyFont="1" applyAlignment="1" applyProtection="1">
      <alignment horizontal="justify"/>
      <protection hidden="1"/>
    </xf>
    <xf numFmtId="0" fontId="6" fillId="0" borderId="0" xfId="0" applyFont="1" applyAlignment="1" applyProtection="1">
      <alignment horizontal="justify"/>
      <protection hidden="1"/>
    </xf>
    <xf numFmtId="14" fontId="24" fillId="0" borderId="0" xfId="0" applyNumberFormat="1" applyFont="1" applyBorder="1" applyAlignment="1" applyProtection="1">
      <alignment horizontal="left"/>
      <protection hidden="1"/>
    </xf>
    <xf numFmtId="0" fontId="24" fillId="0" borderId="0" xfId="0" applyNumberFormat="1" applyFont="1" applyBorder="1" applyAlignment="1" applyProtection="1">
      <alignment horizontal="left"/>
      <protection hidden="1"/>
    </xf>
    <xf numFmtId="168" fontId="24" fillId="0" borderId="0" xfId="0" applyNumberFormat="1" applyFont="1" applyBorder="1" applyAlignment="1" applyProtection="1">
      <protection hidden="1"/>
    </xf>
    <xf numFmtId="0" fontId="6" fillId="0" borderId="0" xfId="0" applyFont="1" applyBorder="1" applyAlignment="1" applyProtection="1">
      <alignment horizontal="justify"/>
      <protection hidden="1"/>
    </xf>
    <xf numFmtId="0" fontId="24" fillId="0" borderId="0" xfId="0" applyNumberFormat="1" applyFont="1" applyBorder="1" applyAlignment="1" applyProtection="1">
      <protection hidden="1"/>
    </xf>
    <xf numFmtId="37" fontId="24" fillId="0" borderId="0" xfId="0" applyNumberFormat="1" applyFont="1" applyBorder="1" applyAlignment="1" applyProtection="1">
      <protection hidden="1"/>
    </xf>
    <xf numFmtId="0" fontId="21" fillId="0" borderId="0" xfId="0" applyFont="1" applyFill="1" applyBorder="1" applyAlignment="1" applyProtection="1">
      <alignment horizontal="justify"/>
      <protection hidden="1"/>
    </xf>
    <xf numFmtId="0" fontId="24" fillId="0" borderId="0" xfId="0" applyFont="1" applyFill="1" applyBorder="1" applyAlignment="1" applyProtection="1">
      <alignment horizontal="justify"/>
      <protection hidden="1"/>
    </xf>
    <xf numFmtId="0" fontId="23" fillId="0" borderId="0" xfId="0" applyFont="1" applyFill="1" applyBorder="1" applyAlignment="1" applyProtection="1">
      <protection hidden="1"/>
    </xf>
    <xf numFmtId="14" fontId="24" fillId="0" borderId="0" xfId="0" applyNumberFormat="1" applyFont="1" applyFill="1" applyBorder="1" applyAlignment="1" applyProtection="1">
      <alignment horizontal="left"/>
      <protection hidden="1"/>
    </xf>
    <xf numFmtId="0" fontId="24" fillId="0" borderId="0" xfId="0" applyFont="1" applyFill="1" applyBorder="1" applyAlignment="1" applyProtection="1">
      <protection hidden="1"/>
    </xf>
    <xf numFmtId="49" fontId="24" fillId="0" borderId="0" xfId="0" applyNumberFormat="1" applyFont="1" applyBorder="1" applyAlignment="1" applyProtection="1">
      <alignment horizontal="right"/>
      <protection hidden="1"/>
    </xf>
    <xf numFmtId="49" fontId="24" fillId="0" borderId="0" xfId="0" applyNumberFormat="1" applyFont="1" applyFill="1" applyBorder="1" applyAlignment="1" applyProtection="1">
      <alignment horizontal="right"/>
      <protection hidden="1"/>
    </xf>
    <xf numFmtId="14" fontId="24" fillId="0" borderId="0" xfId="0" applyNumberFormat="1" applyFont="1" applyFill="1" applyBorder="1" applyAlignment="1" applyProtection="1">
      <alignment horizontal="right"/>
      <protection hidden="1"/>
    </xf>
    <xf numFmtId="0" fontId="24" fillId="0" borderId="0" xfId="0" applyFont="1" applyFill="1" applyBorder="1" applyAlignment="1" applyProtection="1">
      <alignment horizontal="right"/>
      <protection hidden="1"/>
    </xf>
    <xf numFmtId="0" fontId="21" fillId="0" borderId="0" xfId="0" applyFont="1" applyFill="1" applyBorder="1" applyAlignment="1" applyProtection="1">
      <alignment wrapText="1"/>
      <protection hidden="1"/>
    </xf>
    <xf numFmtId="0" fontId="24" fillId="0" borderId="0" xfId="0" applyNumberFormat="1" applyFont="1" applyFill="1" applyBorder="1" applyAlignment="1" applyProtection="1">
      <protection hidden="1"/>
    </xf>
    <xf numFmtId="168" fontId="24" fillId="0" borderId="0" xfId="0" applyNumberFormat="1" applyFont="1" applyFill="1" applyBorder="1" applyAlignment="1" applyProtection="1">
      <alignment vertical="top"/>
      <protection hidden="1"/>
    </xf>
    <xf numFmtId="168" fontId="24" fillId="0" borderId="0" xfId="0" applyNumberFormat="1" applyFont="1" applyFill="1" applyBorder="1" applyAlignment="1" applyProtection="1">
      <protection hidden="1"/>
    </xf>
    <xf numFmtId="0" fontId="23" fillId="0" borderId="0" xfId="0" applyNumberFormat="1" applyFont="1" applyBorder="1" applyAlignment="1" applyProtection="1">
      <protection hidden="1"/>
    </xf>
    <xf numFmtId="168" fontId="6" fillId="0" borderId="0" xfId="0" applyNumberFormat="1" applyFont="1" applyFill="1" applyBorder="1" applyAlignment="1" applyProtection="1">
      <alignment wrapText="1"/>
      <protection hidden="1"/>
    </xf>
    <xf numFmtId="168" fontId="6" fillId="0" borderId="0" xfId="0" applyNumberFormat="1" applyFont="1" applyFill="1" applyBorder="1" applyAlignment="1" applyProtection="1">
      <protection hidden="1"/>
    </xf>
    <xf numFmtId="168" fontId="6" fillId="0" borderId="0" xfId="0" applyNumberFormat="1" applyFont="1" applyBorder="1" applyAlignment="1" applyProtection="1">
      <protection hidden="1"/>
    </xf>
    <xf numFmtId="0" fontId="4" fillId="0" borderId="0" xfId="0" applyFont="1" applyBorder="1" applyAlignment="1" applyProtection="1">
      <alignment horizontal="right"/>
      <protection hidden="1"/>
    </xf>
    <xf numFmtId="168" fontId="6" fillId="0" borderId="0" xfId="0" applyNumberFormat="1" applyFont="1" applyAlignment="1" applyProtection="1">
      <protection hidden="1"/>
    </xf>
    <xf numFmtId="0" fontId="4" fillId="0" borderId="0" xfId="0" applyFont="1" applyAlignment="1" applyProtection="1">
      <alignment horizontal="right"/>
      <protection hidden="1"/>
    </xf>
    <xf numFmtId="168" fontId="4" fillId="0" borderId="0" xfId="0" applyNumberFormat="1" applyFont="1" applyAlignment="1" applyProtection="1">
      <protection hidden="1"/>
    </xf>
    <xf numFmtId="0" fontId="4" fillId="0" borderId="0" xfId="0" applyFont="1" applyAlignment="1" applyProtection="1">
      <alignment horizontal="left"/>
      <protection hidden="1"/>
    </xf>
    <xf numFmtId="0" fontId="2" fillId="0" borderId="0" xfId="0" applyNumberFormat="1" applyFont="1" applyAlignment="1" applyProtection="1">
      <alignment horizontal="justify"/>
      <protection hidden="1"/>
    </xf>
    <xf numFmtId="168" fontId="4" fillId="0" borderId="0" xfId="0" applyNumberFormat="1" applyFont="1" applyAlignment="1" applyProtection="1">
      <alignment horizontal="justify"/>
      <protection hidden="1"/>
    </xf>
    <xf numFmtId="172" fontId="23" fillId="3" borderId="25" xfId="19" applyNumberFormat="1" applyFont="1" applyFill="1" applyBorder="1" applyAlignment="1" applyProtection="1">
      <alignment horizontal="left"/>
      <protection hidden="1"/>
    </xf>
    <xf numFmtId="172" fontId="23" fillId="3" borderId="17" xfId="19" applyNumberFormat="1" applyFont="1" applyFill="1" applyBorder="1" applyAlignment="1" applyProtection="1">
      <alignment horizontal="left"/>
      <protection hidden="1"/>
    </xf>
    <xf numFmtId="14" fontId="24" fillId="0" borderId="0" xfId="0" applyNumberFormat="1" applyFont="1" applyAlignment="1" applyProtection="1">
      <protection hidden="1"/>
    </xf>
    <xf numFmtId="0" fontId="23" fillId="0" borderId="0" xfId="0" applyNumberFormat="1" applyFont="1" applyFill="1" applyBorder="1" applyAlignment="1" applyProtection="1">
      <protection hidden="1"/>
    </xf>
    <xf numFmtId="0" fontId="23" fillId="0" borderId="0" xfId="0" applyFont="1" applyFill="1" applyProtection="1">
      <protection hidden="1"/>
    </xf>
    <xf numFmtId="0" fontId="6" fillId="0" borderId="0" xfId="0" applyFont="1" applyFill="1" applyProtection="1">
      <protection hidden="1"/>
    </xf>
    <xf numFmtId="0" fontId="23" fillId="0" borderId="0" xfId="0" applyFont="1" applyProtection="1">
      <protection hidden="1"/>
    </xf>
    <xf numFmtId="0" fontId="6" fillId="0" borderId="0" xfId="0" applyFont="1" applyProtection="1">
      <protection hidden="1"/>
    </xf>
    <xf numFmtId="0" fontId="23" fillId="0" borderId="0" xfId="0" applyFont="1" applyFill="1" applyBorder="1" applyAlignment="1" applyProtection="1">
      <alignment horizontal="left"/>
      <protection hidden="1"/>
    </xf>
    <xf numFmtId="0" fontId="23" fillId="0" borderId="0" xfId="15" applyFont="1" applyFill="1" applyBorder="1" applyProtection="1">
      <protection hidden="1"/>
    </xf>
    <xf numFmtId="3" fontId="24" fillId="0" borderId="0" xfId="15" applyNumberFormat="1" applyFont="1" applyFill="1" applyBorder="1" applyProtection="1">
      <protection hidden="1"/>
    </xf>
    <xf numFmtId="0" fontId="23" fillId="0" borderId="0" xfId="0" applyNumberFormat="1" applyFont="1" applyProtection="1">
      <protection hidden="1"/>
    </xf>
    <xf numFmtId="0" fontId="23" fillId="3" borderId="16" xfId="0" applyFont="1" applyFill="1" applyBorder="1" applyProtection="1">
      <protection hidden="1"/>
    </xf>
    <xf numFmtId="0" fontId="23" fillId="3" borderId="5" xfId="0" applyFont="1" applyFill="1" applyBorder="1" applyAlignment="1" applyProtection="1">
      <alignment horizontal="center"/>
      <protection hidden="1"/>
    </xf>
    <xf numFmtId="0" fontId="23" fillId="3" borderId="7" xfId="0" quotePrefix="1" applyFont="1" applyFill="1" applyBorder="1" applyAlignment="1" applyProtection="1">
      <alignment horizontal="center"/>
      <protection hidden="1"/>
    </xf>
    <xf numFmtId="0" fontId="23" fillId="3" borderId="23" xfId="0" applyFont="1" applyFill="1" applyBorder="1" applyAlignment="1" applyProtection="1">
      <alignment horizontal="left"/>
      <protection hidden="1"/>
    </xf>
    <xf numFmtId="0" fontId="24" fillId="0" borderId="13" xfId="0" applyFont="1" applyFill="1" applyBorder="1" applyProtection="1">
      <protection hidden="1"/>
    </xf>
    <xf numFmtId="172" fontId="23" fillId="0" borderId="13" xfId="18" applyFont="1" applyFill="1" applyBorder="1" applyAlignment="1" applyProtection="1">
      <alignment horizontal="right"/>
      <protection hidden="1"/>
    </xf>
    <xf numFmtId="172" fontId="23" fillId="0" borderId="17" xfId="18" applyFont="1" applyFill="1" applyBorder="1" applyAlignment="1" applyProtection="1">
      <alignment horizontal="right"/>
      <protection hidden="1"/>
    </xf>
    <xf numFmtId="0" fontId="24" fillId="0" borderId="25" xfId="0" applyFont="1" applyBorder="1" applyProtection="1">
      <protection hidden="1"/>
    </xf>
    <xf numFmtId="49" fontId="24" fillId="0" borderId="13" xfId="0" applyNumberFormat="1" applyFont="1" applyBorder="1" applyAlignment="1" applyProtection="1">
      <alignment horizontal="center"/>
      <protection hidden="1"/>
    </xf>
    <xf numFmtId="0" fontId="24" fillId="0" borderId="17" xfId="0" applyFont="1" applyBorder="1" applyAlignment="1" applyProtection="1">
      <protection hidden="1"/>
    </xf>
    <xf numFmtId="10" fontId="24" fillId="0" borderId="23" xfId="0" applyNumberFormat="1" applyFont="1" applyFill="1" applyBorder="1" applyAlignment="1" applyProtection="1">
      <alignment horizontal="center"/>
    </xf>
    <xf numFmtId="0" fontId="23" fillId="0" borderId="21" xfId="0" applyNumberFormat="1" applyFont="1" applyBorder="1" applyAlignment="1" applyProtection="1">
      <alignment horizontal="left"/>
      <protection hidden="1"/>
    </xf>
    <xf numFmtId="168" fontId="24" fillId="0" borderId="21" xfId="0" applyNumberFormat="1" applyFont="1" applyBorder="1" applyAlignment="1" applyProtection="1">
      <protection hidden="1"/>
    </xf>
    <xf numFmtId="14" fontId="24" fillId="0" borderId="21" xfId="0" applyNumberFormat="1" applyFont="1" applyBorder="1" applyAlignment="1" applyProtection="1">
      <alignment horizontal="left" vertical="top" wrapText="1"/>
      <protection hidden="1"/>
    </xf>
    <xf numFmtId="14" fontId="24" fillId="0" borderId="21" xfId="0" applyNumberFormat="1" applyFont="1" applyBorder="1" applyAlignment="1" applyProtection="1">
      <alignment horizontal="right" vertical="top" wrapText="1"/>
      <protection hidden="1"/>
    </xf>
    <xf numFmtId="0" fontId="23" fillId="0" borderId="3" xfId="14" applyNumberFormat="1" applyFont="1" applyBorder="1" applyAlignment="1" applyProtection="1">
      <alignment horizontal="left" vertical="top"/>
      <protection hidden="1"/>
    </xf>
    <xf numFmtId="168" fontId="24" fillId="0" borderId="3" xfId="14" applyNumberFormat="1" applyFont="1" applyBorder="1" applyAlignment="1" applyProtection="1">
      <alignment wrapText="1"/>
      <protection hidden="1"/>
    </xf>
    <xf numFmtId="14" fontId="24" fillId="0" borderId="7" xfId="14" applyNumberFormat="1" applyFont="1" applyBorder="1" applyAlignment="1" applyProtection="1">
      <alignment vertical="top" wrapText="1"/>
      <protection hidden="1"/>
    </xf>
    <xf numFmtId="14" fontId="24" fillId="0" borderId="3" xfId="14" applyNumberFormat="1" applyFont="1" applyBorder="1" applyAlignment="1" applyProtection="1">
      <alignment horizontal="right" vertical="top" wrapText="1"/>
      <protection hidden="1"/>
    </xf>
    <xf numFmtId="0" fontId="24" fillId="9" borderId="0" xfId="0" applyFont="1" applyFill="1" applyProtection="1"/>
    <xf numFmtId="2" fontId="24" fillId="9" borderId="0" xfId="0" applyNumberFormat="1" applyFont="1" applyFill="1" applyProtection="1"/>
    <xf numFmtId="0" fontId="20" fillId="0" borderId="0" xfId="0" applyFont="1" applyBorder="1" applyAlignment="1" applyProtection="1"/>
    <xf numFmtId="0" fontId="24" fillId="0" borderId="0" xfId="0" quotePrefix="1" applyFont="1" applyAlignment="1" applyProtection="1">
      <alignment vertical="center"/>
      <protection hidden="1"/>
    </xf>
    <xf numFmtId="0" fontId="24" fillId="0" borderId="0" xfId="0" quotePrefix="1" applyFont="1" applyAlignment="1" applyProtection="1">
      <protection hidden="1"/>
    </xf>
    <xf numFmtId="0" fontId="27" fillId="0" borderId="0" xfId="0" applyFont="1" applyBorder="1" applyAlignment="1" applyProtection="1">
      <alignment horizontal="left" wrapText="1"/>
    </xf>
    <xf numFmtId="1" fontId="24" fillId="0" borderId="25" xfId="0" applyNumberFormat="1" applyFont="1" applyFill="1" applyBorder="1" applyAlignment="1" applyProtection="1">
      <alignment vertical="center"/>
      <protection locked="0"/>
    </xf>
    <xf numFmtId="1" fontId="24" fillId="0" borderId="17" xfId="0" applyNumberFormat="1" applyFont="1" applyFill="1" applyBorder="1" applyAlignment="1" applyProtection="1">
      <alignment vertical="center"/>
      <protection locked="0"/>
    </xf>
    <xf numFmtId="0" fontId="24" fillId="0" borderId="0" xfId="0" applyFont="1" applyBorder="1" applyAlignment="1" applyProtection="1">
      <alignment horizontal="justify" vertical="top" wrapText="1"/>
      <protection hidden="1"/>
    </xf>
    <xf numFmtId="0" fontId="24" fillId="0" borderId="0" xfId="0" applyFont="1" applyBorder="1" applyAlignment="1" applyProtection="1">
      <alignment horizontal="justify" wrapText="1"/>
      <protection hidden="1"/>
    </xf>
    <xf numFmtId="172" fontId="23" fillId="0" borderId="70" xfId="21" applyFont="1" applyFill="1" applyBorder="1" applyAlignment="1" applyProtection="1">
      <alignment horizontal="right" vertical="center"/>
    </xf>
    <xf numFmtId="172" fontId="23" fillId="0" borderId="71" xfId="21" applyFont="1" applyFill="1" applyBorder="1" applyAlignment="1" applyProtection="1">
      <alignment horizontal="right" vertical="center"/>
    </xf>
    <xf numFmtId="172" fontId="23" fillId="0" borderId="72" xfId="21" applyFont="1" applyFill="1" applyBorder="1" applyAlignment="1" applyProtection="1">
      <alignment horizontal="right" vertical="center"/>
    </xf>
    <xf numFmtId="0" fontId="24" fillId="0" borderId="25" xfId="0" applyFont="1" applyBorder="1" applyAlignment="1" applyProtection="1">
      <alignment horizontal="left" vertical="center"/>
      <protection hidden="1"/>
    </xf>
    <xf numFmtId="0" fontId="24" fillId="0" borderId="13" xfId="0" applyFont="1" applyBorder="1" applyAlignment="1" applyProtection="1">
      <alignment horizontal="left" vertical="center"/>
      <protection hidden="1"/>
    </xf>
    <xf numFmtId="0" fontId="24" fillId="0" borderId="17" xfId="0" applyFont="1" applyBorder="1" applyAlignment="1" applyProtection="1">
      <alignment horizontal="left" vertical="center"/>
      <protection hidden="1"/>
    </xf>
    <xf numFmtId="37" fontId="24" fillId="0" borderId="25" xfId="0" applyNumberFormat="1" applyFont="1" applyFill="1" applyBorder="1" applyAlignment="1" applyProtection="1">
      <alignment horizontal="left" vertical="center"/>
      <protection locked="0"/>
    </xf>
    <xf numFmtId="37" fontId="24" fillId="0" borderId="13" xfId="0" applyNumberFormat="1" applyFont="1" applyFill="1" applyBorder="1" applyAlignment="1" applyProtection="1">
      <alignment horizontal="left" vertical="center"/>
      <protection locked="0"/>
    </xf>
    <xf numFmtId="37" fontId="24" fillId="0" borderId="17" xfId="0" applyNumberFormat="1" applyFont="1" applyFill="1" applyBorder="1" applyAlignment="1" applyProtection="1">
      <alignment horizontal="left" vertical="center"/>
      <protection locked="0"/>
    </xf>
    <xf numFmtId="37" fontId="24" fillId="0" borderId="23" xfId="0" applyNumberFormat="1" applyFont="1" applyFill="1" applyBorder="1" applyAlignment="1" applyProtection="1">
      <alignment horizontal="left" vertical="center"/>
      <protection locked="0"/>
    </xf>
    <xf numFmtId="0" fontId="24" fillId="0" borderId="23" xfId="0" applyFont="1" applyBorder="1" applyAlignment="1" applyProtection="1">
      <alignment horizontal="left" vertical="center"/>
      <protection hidden="1"/>
    </xf>
    <xf numFmtId="186" fontId="24" fillId="0" borderId="23" xfId="0" applyNumberFormat="1" applyFont="1" applyFill="1" applyBorder="1" applyAlignment="1" applyProtection="1">
      <alignment horizontal="left" vertical="center"/>
      <protection locked="0"/>
    </xf>
    <xf numFmtId="37" fontId="24" fillId="0" borderId="25" xfId="0" applyNumberFormat="1" applyFont="1" applyFill="1" applyBorder="1" applyAlignment="1" applyProtection="1">
      <alignment horizontal="center" vertical="center"/>
      <protection locked="0"/>
    </xf>
    <xf numFmtId="37" fontId="24" fillId="0" borderId="13" xfId="0" applyNumberFormat="1" applyFont="1" applyFill="1" applyBorder="1" applyAlignment="1" applyProtection="1">
      <alignment horizontal="center" vertical="center"/>
      <protection locked="0"/>
    </xf>
    <xf numFmtId="37" fontId="24" fillId="0" borderId="17" xfId="0" applyNumberFormat="1" applyFont="1" applyFill="1" applyBorder="1" applyAlignment="1" applyProtection="1">
      <alignment horizontal="center" vertical="center"/>
      <protection locked="0"/>
    </xf>
    <xf numFmtId="0" fontId="34" fillId="3" borderId="26" xfId="16" applyFont="1" applyFill="1" applyBorder="1" applyAlignment="1" applyProtection="1">
      <alignment horizontal="left" vertical="center"/>
      <protection hidden="1"/>
    </xf>
    <xf numFmtId="0" fontId="35" fillId="0" borderId="26" xfId="0" applyFont="1" applyBorder="1" applyAlignment="1" applyProtection="1">
      <alignment vertical="center"/>
      <protection hidden="1"/>
    </xf>
    <xf numFmtId="0" fontId="35" fillId="0" borderId="47" xfId="0" applyFont="1" applyBorder="1" applyAlignment="1" applyProtection="1">
      <alignment vertical="center"/>
      <protection hidden="1"/>
    </xf>
    <xf numFmtId="15" fontId="24" fillId="0" borderId="25" xfId="0" quotePrefix="1" applyNumberFormat="1" applyFont="1" applyFill="1" applyBorder="1" applyAlignment="1" applyProtection="1">
      <alignment horizontal="right" vertical="center"/>
      <protection locked="0"/>
    </xf>
    <xf numFmtId="15" fontId="24" fillId="0" borderId="13" xfId="0" quotePrefix="1" applyNumberFormat="1" applyFont="1" applyFill="1" applyBorder="1" applyAlignment="1" applyProtection="1">
      <alignment horizontal="right" vertical="center"/>
      <protection locked="0"/>
    </xf>
    <xf numFmtId="0" fontId="23" fillId="0" borderId="23" xfId="0" applyFont="1" applyBorder="1" applyAlignment="1" applyProtection="1">
      <alignment horizontal="left" vertical="center"/>
      <protection hidden="1"/>
    </xf>
    <xf numFmtId="37" fontId="24" fillId="0" borderId="25" xfId="0" applyNumberFormat="1" applyFont="1" applyFill="1" applyBorder="1" applyAlignment="1" applyProtection="1">
      <alignment horizontal="right" vertical="center"/>
      <protection locked="0"/>
    </xf>
    <xf numFmtId="37" fontId="24" fillId="0" borderId="13" xfId="0" applyNumberFormat="1" applyFont="1" applyFill="1" applyBorder="1" applyAlignment="1" applyProtection="1">
      <alignment horizontal="right" vertical="center"/>
      <protection locked="0"/>
    </xf>
    <xf numFmtId="0" fontId="23" fillId="0" borderId="25" xfId="0" applyFont="1" applyBorder="1" applyAlignment="1" applyProtection="1">
      <alignment horizontal="center" wrapText="1"/>
      <protection hidden="1"/>
    </xf>
    <xf numFmtId="0" fontId="0" fillId="0" borderId="13" xfId="0" applyBorder="1" applyAlignment="1">
      <alignment horizontal="center" wrapText="1"/>
    </xf>
    <xf numFmtId="0" fontId="0" fillId="0" borderId="17" xfId="0" applyBorder="1" applyAlignment="1">
      <alignment horizontal="center" wrapText="1"/>
    </xf>
    <xf numFmtId="0" fontId="23" fillId="0" borderId="26" xfId="0" applyFont="1" applyBorder="1" applyAlignment="1">
      <alignment horizontal="center"/>
    </xf>
    <xf numFmtId="14" fontId="23" fillId="0" borderId="25" xfId="0" quotePrefix="1" applyNumberFormat="1" applyFont="1" applyBorder="1" applyAlignment="1" applyProtection="1">
      <alignment horizontal="center" wrapText="1"/>
      <protection hidden="1"/>
    </xf>
    <xf numFmtId="0" fontId="24" fillId="0" borderId="0" xfId="0" applyFont="1" applyBorder="1" applyAlignment="1" applyProtection="1">
      <alignment horizontal="left" vertical="top" wrapText="1"/>
      <protection hidden="1"/>
    </xf>
    <xf numFmtId="0" fontId="23" fillId="0" borderId="53" xfId="0" applyFont="1" applyBorder="1" applyAlignment="1" applyProtection="1">
      <alignment horizontal="left" vertical="center"/>
      <protection hidden="1"/>
    </xf>
    <xf numFmtId="0" fontId="23" fillId="0" borderId="26" xfId="0" applyFont="1" applyBorder="1" applyAlignment="1" applyProtection="1">
      <alignment horizontal="left" vertical="center"/>
      <protection hidden="1"/>
    </xf>
    <xf numFmtId="0" fontId="23" fillId="0" borderId="47" xfId="0" applyFont="1" applyBorder="1" applyAlignment="1" applyProtection="1">
      <alignment horizontal="left" vertical="center"/>
      <protection hidden="1"/>
    </xf>
    <xf numFmtId="37" fontId="24" fillId="0" borderId="49" xfId="0" applyNumberFormat="1" applyFont="1" applyFill="1" applyBorder="1" applyAlignment="1" applyProtection="1">
      <alignment horizontal="left" vertical="center"/>
      <protection locked="0"/>
    </xf>
    <xf numFmtId="37" fontId="24" fillId="0" borderId="32" xfId="0" applyNumberFormat="1" applyFont="1" applyFill="1" applyBorder="1" applyAlignment="1" applyProtection="1">
      <alignment horizontal="left" vertical="center"/>
      <protection locked="0"/>
    </xf>
    <xf numFmtId="37" fontId="24" fillId="0" borderId="12" xfId="0" applyNumberFormat="1" applyFont="1" applyFill="1" applyBorder="1" applyAlignment="1" applyProtection="1">
      <alignment horizontal="left" vertical="center"/>
      <protection locked="0"/>
    </xf>
    <xf numFmtId="37" fontId="24" fillId="0" borderId="53" xfId="0" applyNumberFormat="1" applyFont="1" applyFill="1" applyBorder="1" applyAlignment="1" applyProtection="1">
      <alignment horizontal="left" vertical="center"/>
      <protection locked="0"/>
    </xf>
    <xf numFmtId="37" fontId="24" fillId="0" borderId="26" xfId="0" applyNumberFormat="1" applyFont="1" applyFill="1" applyBorder="1" applyAlignment="1" applyProtection="1">
      <alignment horizontal="left" vertical="center"/>
      <protection locked="0"/>
    </xf>
    <xf numFmtId="37" fontId="24" fillId="0" borderId="47" xfId="0" applyNumberFormat="1" applyFont="1" applyFill="1" applyBorder="1" applyAlignment="1" applyProtection="1">
      <alignment horizontal="left" vertical="center"/>
      <protection locked="0"/>
    </xf>
    <xf numFmtId="0" fontId="24" fillId="0" borderId="25" xfId="0" applyFont="1" applyBorder="1" applyAlignment="1" applyProtection="1">
      <alignment horizontal="center" vertical="center"/>
    </xf>
    <xf numFmtId="0" fontId="24" fillId="0" borderId="13" xfId="0" applyFont="1" applyBorder="1" applyAlignment="1" applyProtection="1">
      <alignment horizontal="center" vertical="center"/>
    </xf>
    <xf numFmtId="172" fontId="23" fillId="0" borderId="25" xfId="21" applyFont="1" applyFill="1" applyBorder="1" applyAlignment="1" applyProtection="1">
      <alignment horizontal="right" vertical="center"/>
    </xf>
    <xf numFmtId="172" fontId="23" fillId="0" borderId="13" xfId="21" applyFont="1" applyFill="1" applyBorder="1" applyAlignment="1" applyProtection="1">
      <alignment horizontal="right" vertical="center"/>
    </xf>
    <xf numFmtId="172" fontId="23" fillId="0" borderId="17" xfId="21" applyFont="1" applyFill="1" applyBorder="1" applyAlignment="1" applyProtection="1">
      <alignment horizontal="right" vertical="center"/>
    </xf>
    <xf numFmtId="0" fontId="24" fillId="0" borderId="0" xfId="0" applyFont="1" applyAlignment="1" applyProtection="1">
      <alignment vertical="top" wrapText="1"/>
    </xf>
    <xf numFmtId="0" fontId="24" fillId="0" borderId="0" xfId="0" applyNumberFormat="1" applyFont="1" applyAlignment="1" applyProtection="1">
      <alignment horizontal="left" vertical="top" wrapText="1"/>
    </xf>
    <xf numFmtId="0" fontId="21" fillId="0" borderId="0" xfId="0" applyFont="1" applyAlignment="1" applyProtection="1">
      <alignment horizontal="left" wrapText="1"/>
    </xf>
    <xf numFmtId="0" fontId="23" fillId="0" borderId="0" xfId="0" applyFont="1" applyAlignment="1" applyProtection="1">
      <alignment horizontal="justify" vertical="top" wrapText="1"/>
    </xf>
    <xf numFmtId="0" fontId="23" fillId="0" borderId="0" xfId="0" applyFont="1" applyFill="1" applyAlignment="1" applyProtection="1">
      <alignment horizontal="left" vertical="top" wrapText="1"/>
    </xf>
    <xf numFmtId="0" fontId="24" fillId="0" borderId="0" xfId="0" applyNumberFormat="1" applyFont="1" applyFill="1" applyAlignment="1" applyProtection="1">
      <alignment horizontal="left" vertical="top" wrapText="1"/>
    </xf>
    <xf numFmtId="0" fontId="23" fillId="0" borderId="0" xfId="0" applyNumberFormat="1" applyFont="1" applyFill="1" applyAlignment="1" applyProtection="1">
      <alignment horizontal="left" vertical="top" wrapText="1"/>
    </xf>
    <xf numFmtId="0" fontId="24" fillId="0" borderId="0" xfId="0" applyFont="1" applyFill="1" applyAlignment="1" applyProtection="1">
      <alignment horizontal="justify" vertical="top" wrapText="1"/>
    </xf>
    <xf numFmtId="0" fontId="24" fillId="0" borderId="0" xfId="0" applyFont="1" applyAlignment="1" applyProtection="1">
      <alignment horizontal="left" vertical="top" wrapText="1"/>
    </xf>
    <xf numFmtId="0" fontId="24" fillId="0" borderId="0" xfId="0" applyNumberFormat="1" applyFont="1" applyAlignment="1" applyProtection="1">
      <alignment horizontal="justify" vertical="top" wrapText="1"/>
    </xf>
    <xf numFmtId="0" fontId="24" fillId="0" borderId="0" xfId="0" applyFont="1" applyAlignment="1" applyProtection="1">
      <alignment horizontal="justify" vertical="top" wrapText="1"/>
    </xf>
    <xf numFmtId="37" fontId="24" fillId="0" borderId="25" xfId="0" applyNumberFormat="1" applyFont="1" applyFill="1" applyBorder="1" applyAlignment="1" applyProtection="1">
      <alignment horizontal="left"/>
      <protection hidden="1"/>
    </xf>
    <xf numFmtId="37" fontId="24" fillId="0" borderId="13" xfId="0" applyNumberFormat="1" applyFont="1" applyFill="1" applyBorder="1" applyAlignment="1" applyProtection="1">
      <alignment horizontal="left"/>
      <protection hidden="1"/>
    </xf>
    <xf numFmtId="37" fontId="24" fillId="0" borderId="17" xfId="0" applyNumberFormat="1" applyFont="1" applyFill="1" applyBorder="1" applyAlignment="1" applyProtection="1">
      <alignment horizontal="left"/>
      <protection hidden="1"/>
    </xf>
    <xf numFmtId="0" fontId="27" fillId="0" borderId="0" xfId="0" applyNumberFormat="1" applyFont="1" applyBorder="1" applyAlignment="1" applyProtection="1">
      <alignment vertical="top" wrapText="1"/>
      <protection hidden="1"/>
    </xf>
    <xf numFmtId="0" fontId="23" fillId="0" borderId="6" xfId="16" applyFont="1" applyFill="1" applyBorder="1" applyAlignment="1" applyProtection="1">
      <alignment horizontal="left" vertical="center"/>
      <protection hidden="1"/>
    </xf>
    <xf numFmtId="0" fontId="0" fillId="0" borderId="6" xfId="0" applyBorder="1" applyAlignment="1"/>
    <xf numFmtId="37" fontId="23" fillId="3" borderId="16" xfId="0" applyNumberFormat="1" applyFont="1" applyFill="1" applyBorder="1" applyAlignment="1" applyProtection="1">
      <alignment horizontal="left" vertical="center"/>
    </xf>
    <xf numFmtId="37" fontId="23" fillId="3" borderId="7" xfId="0" applyNumberFormat="1" applyFont="1" applyFill="1" applyBorder="1" applyAlignment="1" applyProtection="1">
      <alignment horizontal="left" vertical="center"/>
    </xf>
    <xf numFmtId="37" fontId="23" fillId="3" borderId="5" xfId="0" applyNumberFormat="1" applyFont="1" applyFill="1" applyBorder="1" applyAlignment="1" applyProtection="1">
      <alignment horizontal="left" vertical="center"/>
    </xf>
    <xf numFmtId="37" fontId="23" fillId="0" borderId="26" xfId="0" applyNumberFormat="1" applyFont="1" applyBorder="1" applyAlignment="1" applyProtection="1">
      <alignment horizontal="left"/>
    </xf>
    <xf numFmtId="0" fontId="33" fillId="0" borderId="32" xfId="0" applyNumberFormat="1" applyFont="1" applyBorder="1" applyAlignment="1" applyProtection="1">
      <alignment vertical="top" wrapText="1"/>
      <protection hidden="1"/>
    </xf>
    <xf numFmtId="0" fontId="33" fillId="0" borderId="0" xfId="0" applyNumberFormat="1" applyFont="1" applyBorder="1" applyAlignment="1" applyProtection="1">
      <alignment vertical="top" wrapText="1"/>
      <protection hidden="1"/>
    </xf>
    <xf numFmtId="172" fontId="23" fillId="3" borderId="25" xfId="19" applyNumberFormat="1" applyFont="1" applyFill="1" applyBorder="1" applyAlignment="1" applyProtection="1">
      <alignment horizontal="left"/>
      <protection hidden="1"/>
    </xf>
    <xf numFmtId="172" fontId="23" fillId="3" borderId="13" xfId="19" applyNumberFormat="1" applyFont="1" applyFill="1" applyBorder="1" applyAlignment="1" applyProtection="1">
      <alignment horizontal="left"/>
      <protection hidden="1"/>
    </xf>
    <xf numFmtId="172" fontId="23" fillId="3" borderId="17" xfId="19" applyNumberFormat="1" applyFont="1" applyFill="1" applyBorder="1" applyAlignment="1" applyProtection="1">
      <alignment horizontal="left"/>
      <protection hidden="1"/>
    </xf>
    <xf numFmtId="0" fontId="27" fillId="0" borderId="0" xfId="0" applyFont="1" applyAlignment="1" applyProtection="1">
      <alignment horizontal="left"/>
    </xf>
    <xf numFmtId="0" fontId="19" fillId="3" borderId="50" xfId="0" applyFont="1" applyFill="1" applyBorder="1" applyAlignment="1" applyProtection="1">
      <alignment horizontal="center" vertical="center" wrapText="1"/>
    </xf>
    <xf numFmtId="0" fontId="19" fillId="3" borderId="37" xfId="0" applyFont="1" applyFill="1" applyBorder="1" applyAlignment="1" applyProtection="1">
      <alignment horizontal="center" vertical="center" wrapText="1"/>
    </xf>
    <xf numFmtId="0" fontId="19" fillId="3" borderId="66" xfId="0" applyFont="1" applyFill="1" applyBorder="1" applyAlignment="1" applyProtection="1">
      <alignment horizontal="center" vertical="center" wrapText="1"/>
    </xf>
    <xf numFmtId="0" fontId="19" fillId="3" borderId="34" xfId="0" applyFont="1" applyFill="1" applyBorder="1" applyAlignment="1" applyProtection="1">
      <alignment horizontal="center" vertical="center" wrapText="1"/>
    </xf>
    <xf numFmtId="0" fontId="19" fillId="3" borderId="51" xfId="0" applyFont="1" applyFill="1" applyBorder="1" applyAlignment="1" applyProtection="1">
      <alignment horizontal="center" vertical="center" wrapText="1"/>
    </xf>
    <xf numFmtId="0" fontId="19" fillId="3" borderId="22" xfId="0" applyFont="1" applyFill="1" applyBorder="1" applyAlignment="1" applyProtection="1">
      <alignment horizontal="center" vertical="center" wrapText="1"/>
    </xf>
    <xf numFmtId="0" fontId="23" fillId="3" borderId="23" xfId="0" applyFont="1" applyFill="1" applyBorder="1" applyAlignment="1" applyProtection="1">
      <alignment horizontal="left"/>
    </xf>
    <xf numFmtId="0" fontId="0" fillId="0" borderId="23" xfId="0" applyBorder="1" applyAlignment="1" applyProtection="1"/>
    <xf numFmtId="3" fontId="27" fillId="0" borderId="25" xfId="18" applyNumberFormat="1" applyFont="1" applyFill="1" applyBorder="1" applyAlignment="1" applyProtection="1">
      <alignment horizontal="right"/>
      <protection locked="0"/>
    </xf>
    <xf numFmtId="3" fontId="27" fillId="0" borderId="17" xfId="18" applyNumberFormat="1" applyFont="1" applyFill="1" applyBorder="1" applyAlignment="1" applyProtection="1">
      <alignment horizontal="right"/>
      <protection locked="0"/>
    </xf>
    <xf numFmtId="0" fontId="19" fillId="3" borderId="66" xfId="0" applyFont="1" applyFill="1" applyBorder="1" applyAlignment="1" applyProtection="1">
      <alignment horizontal="center" vertical="top" wrapText="1" shrinkToFit="1"/>
    </xf>
    <xf numFmtId="0" fontId="19" fillId="3" borderId="34" xfId="0" applyFont="1" applyFill="1" applyBorder="1" applyAlignment="1" applyProtection="1">
      <alignment horizontal="center" vertical="top" wrapText="1" shrinkToFit="1"/>
    </xf>
    <xf numFmtId="0" fontId="24" fillId="0" borderId="53" xfId="0" applyFont="1" applyBorder="1" applyAlignment="1" applyProtection="1">
      <alignment horizontal="left"/>
    </xf>
    <xf numFmtId="0" fontId="24" fillId="0" borderId="47" xfId="0" applyFont="1" applyBorder="1" applyAlignment="1" applyProtection="1">
      <alignment horizontal="left"/>
    </xf>
    <xf numFmtId="37" fontId="23" fillId="3" borderId="25" xfId="0" applyNumberFormat="1" applyFont="1" applyFill="1" applyBorder="1" applyAlignment="1" applyProtection="1">
      <alignment horizontal="left"/>
    </xf>
    <xf numFmtId="37" fontId="23" fillId="3" borderId="17" xfId="0" applyNumberFormat="1" applyFont="1" applyFill="1" applyBorder="1" applyAlignment="1" applyProtection="1">
      <alignment horizontal="left"/>
    </xf>
    <xf numFmtId="0" fontId="19" fillId="3" borderId="50" xfId="0" applyFont="1" applyFill="1" applyBorder="1" applyAlignment="1" applyProtection="1">
      <alignment horizontal="center" vertical="top" wrapText="1" shrinkToFit="1"/>
    </xf>
    <xf numFmtId="0" fontId="19" fillId="3" borderId="37" xfId="0" applyFont="1" applyFill="1" applyBorder="1" applyAlignment="1" applyProtection="1">
      <alignment horizontal="center" vertical="top" wrapText="1" shrinkToFit="1"/>
    </xf>
    <xf numFmtId="0" fontId="27" fillId="0" borderId="0" xfId="0" applyFont="1" applyAlignment="1" applyProtection="1">
      <alignment vertical="top" wrapText="1"/>
    </xf>
    <xf numFmtId="0" fontId="24" fillId="0" borderId="25" xfId="0" applyFont="1" applyBorder="1" applyAlignment="1" applyProtection="1">
      <alignment horizontal="left" wrapText="1"/>
    </xf>
    <xf numFmtId="0" fontId="24" fillId="0" borderId="17" xfId="0" applyFont="1" applyBorder="1" applyAlignment="1" applyProtection="1">
      <alignment horizontal="left" wrapText="1"/>
    </xf>
    <xf numFmtId="3" fontId="19" fillId="3" borderId="25" xfId="0" applyNumberFormat="1" applyFont="1" applyFill="1" applyBorder="1" applyAlignment="1" applyProtection="1">
      <alignment horizontal="right"/>
    </xf>
    <xf numFmtId="3" fontId="19" fillId="3" borderId="17" xfId="0" applyNumberFormat="1" applyFont="1" applyFill="1" applyBorder="1" applyAlignment="1" applyProtection="1">
      <alignment horizontal="right"/>
    </xf>
    <xf numFmtId="0" fontId="24" fillId="0" borderId="25" xfId="0" applyFont="1" applyBorder="1" applyAlignment="1" applyProtection="1">
      <alignment horizontal="left"/>
    </xf>
    <xf numFmtId="0" fontId="24" fillId="0" borderId="17" xfId="0" applyFont="1" applyBorder="1" applyAlignment="1" applyProtection="1">
      <alignment horizontal="left"/>
    </xf>
    <xf numFmtId="0" fontId="24" fillId="0" borderId="23" xfId="0" applyFont="1" applyBorder="1" applyAlignment="1" applyProtection="1">
      <alignment horizontal="left"/>
    </xf>
    <xf numFmtId="0" fontId="24" fillId="0" borderId="23" xfId="0" applyFont="1" applyFill="1" applyBorder="1" applyAlignment="1" applyProtection="1">
      <alignment horizontal="left"/>
    </xf>
    <xf numFmtId="0" fontId="23" fillId="3" borderId="16" xfId="0" applyFont="1" applyFill="1" applyBorder="1" applyAlignment="1" applyProtection="1">
      <alignment horizontal="center" vertical="center" wrapText="1"/>
    </xf>
    <xf numFmtId="0" fontId="24" fillId="0" borderId="7" xfId="0" applyFont="1" applyBorder="1" applyAlignment="1" applyProtection="1">
      <alignment horizontal="center"/>
    </xf>
    <xf numFmtId="0" fontId="23" fillId="3" borderId="16" xfId="0" applyFont="1" applyFill="1" applyBorder="1" applyAlignment="1" applyProtection="1">
      <alignment horizontal="center" vertical="center"/>
    </xf>
    <xf numFmtId="0" fontId="23" fillId="3" borderId="7" xfId="0" applyFont="1" applyFill="1" applyBorder="1" applyAlignment="1" applyProtection="1">
      <alignment horizontal="center" vertical="center"/>
    </xf>
    <xf numFmtId="49" fontId="23" fillId="0" borderId="23" xfId="0" applyNumberFormat="1" applyFont="1" applyFill="1" applyBorder="1" applyAlignment="1" applyProtection="1">
      <alignment horizontal="right" wrapText="1"/>
      <protection locked="0"/>
    </xf>
    <xf numFmtId="0" fontId="23" fillId="0" borderId="23" xfId="0" applyFont="1" applyBorder="1" applyAlignment="1" applyProtection="1">
      <alignment horizontal="right" wrapText="1"/>
      <protection locked="0"/>
    </xf>
    <xf numFmtId="3" fontId="24" fillId="0" borderId="73" xfId="0" applyNumberFormat="1" applyFont="1" applyFill="1" applyBorder="1" applyAlignment="1" applyProtection="1">
      <alignment horizontal="right"/>
      <protection locked="0"/>
    </xf>
    <xf numFmtId="0" fontId="0" fillId="0" borderId="39" xfId="0" applyBorder="1"/>
    <xf numFmtId="49" fontId="23" fillId="0" borderId="25" xfId="0" applyNumberFormat="1" applyFont="1" applyFill="1" applyBorder="1" applyAlignment="1" applyProtection="1">
      <alignment horizontal="right" wrapText="1"/>
      <protection locked="0"/>
    </xf>
    <xf numFmtId="49" fontId="23" fillId="0" borderId="17" xfId="0" applyNumberFormat="1" applyFont="1" applyFill="1" applyBorder="1" applyAlignment="1" applyProtection="1">
      <alignment horizontal="right" wrapText="1"/>
      <protection locked="0"/>
    </xf>
    <xf numFmtId="49" fontId="23" fillId="0" borderId="73" xfId="0" applyNumberFormat="1" applyFont="1" applyFill="1" applyBorder="1" applyAlignment="1" applyProtection="1">
      <alignment horizontal="right" wrapText="1"/>
      <protection locked="0"/>
    </xf>
    <xf numFmtId="49" fontId="23" fillId="0" borderId="39" xfId="0" applyNumberFormat="1" applyFont="1" applyFill="1" applyBorder="1" applyAlignment="1" applyProtection="1">
      <alignment horizontal="right" wrapText="1"/>
      <protection locked="0"/>
    </xf>
    <xf numFmtId="3" fontId="24" fillId="0" borderId="25" xfId="0" applyNumberFormat="1" applyFont="1" applyFill="1" applyBorder="1" applyAlignment="1" applyProtection="1">
      <alignment horizontal="right"/>
      <protection locked="0"/>
    </xf>
    <xf numFmtId="3" fontId="24" fillId="0" borderId="17" xfId="0" applyNumberFormat="1" applyFont="1" applyFill="1" applyBorder="1" applyAlignment="1" applyProtection="1">
      <alignment horizontal="right"/>
      <protection locked="0"/>
    </xf>
    <xf numFmtId="0" fontId="23" fillId="0" borderId="0" xfId="16" applyFont="1" applyFill="1" applyBorder="1" applyAlignment="1" applyProtection="1">
      <alignment horizontal="left" vertical="center"/>
      <protection hidden="1"/>
    </xf>
    <xf numFmtId="0" fontId="0" fillId="0" borderId="0" xfId="0" applyBorder="1" applyAlignment="1"/>
    <xf numFmtId="0" fontId="0" fillId="0" borderId="0" xfId="0" applyAlignment="1"/>
    <xf numFmtId="0" fontId="23" fillId="3" borderId="16" xfId="0" applyFont="1" applyFill="1" applyBorder="1" applyAlignment="1" applyProtection="1">
      <alignment horizontal="left" vertical="center" wrapText="1"/>
    </xf>
    <xf numFmtId="0" fontId="23" fillId="3" borderId="5" xfId="0" applyFont="1" applyFill="1" applyBorder="1" applyAlignment="1" applyProtection="1">
      <alignment horizontal="left" vertical="center" wrapText="1"/>
    </xf>
    <xf numFmtId="0" fontId="23" fillId="3" borderId="7" xfId="0" applyFont="1" applyFill="1" applyBorder="1" applyAlignment="1" applyProtection="1">
      <alignment horizontal="left" vertical="center" wrapText="1"/>
    </xf>
    <xf numFmtId="49" fontId="23" fillId="0" borderId="48" xfId="0" applyNumberFormat="1" applyFont="1" applyFill="1" applyBorder="1" applyAlignment="1" applyProtection="1">
      <alignment horizontal="right" wrapText="1"/>
      <protection locked="0"/>
    </xf>
    <xf numFmtId="0" fontId="23" fillId="0" borderId="48" xfId="0" applyFont="1" applyBorder="1" applyAlignment="1" applyProtection="1">
      <alignment horizontal="right" wrapText="1"/>
      <protection locked="0"/>
    </xf>
    <xf numFmtId="3" fontId="24" fillId="0" borderId="39" xfId="0" applyNumberFormat="1" applyFont="1" applyFill="1" applyBorder="1" applyAlignment="1" applyProtection="1">
      <alignment horizontal="right"/>
      <protection locked="0"/>
    </xf>
    <xf numFmtId="49" fontId="23" fillId="0" borderId="25" xfId="0" applyNumberFormat="1" applyFont="1" applyFill="1" applyBorder="1" applyAlignment="1" applyProtection="1">
      <alignment horizontal="left" wrapText="1"/>
      <protection locked="0"/>
    </xf>
    <xf numFmtId="49" fontId="23" fillId="0" borderId="13" xfId="0" applyNumberFormat="1" applyFont="1" applyFill="1" applyBorder="1" applyAlignment="1" applyProtection="1">
      <alignment horizontal="left" wrapText="1"/>
      <protection locked="0"/>
    </xf>
    <xf numFmtId="49" fontId="23" fillId="0" borderId="17" xfId="0" applyNumberFormat="1" applyFont="1" applyFill="1" applyBorder="1" applyAlignment="1" applyProtection="1">
      <alignment horizontal="left" wrapText="1"/>
      <protection locked="0"/>
    </xf>
    <xf numFmtId="3" fontId="24" fillId="0" borderId="23" xfId="0" applyNumberFormat="1" applyFont="1" applyFill="1" applyBorder="1" applyAlignment="1" applyProtection="1">
      <alignment horizontal="right"/>
      <protection locked="0"/>
    </xf>
    <xf numFmtId="0" fontId="0" fillId="0" borderId="5" xfId="0" applyBorder="1"/>
    <xf numFmtId="0" fontId="0" fillId="0" borderId="7" xfId="0" applyBorder="1"/>
    <xf numFmtId="49" fontId="23" fillId="0" borderId="41" xfId="0" applyNumberFormat="1" applyFont="1" applyFill="1" applyBorder="1" applyAlignment="1" applyProtection="1">
      <alignment horizontal="left" wrapText="1"/>
      <protection locked="0"/>
    </xf>
    <xf numFmtId="0" fontId="0" fillId="0" borderId="20" xfId="0" applyBorder="1"/>
    <xf numFmtId="0" fontId="23" fillId="3" borderId="7" xfId="0" applyFont="1" applyFill="1" applyBorder="1" applyAlignment="1" applyProtection="1">
      <alignment horizontal="center" vertical="center" wrapText="1"/>
    </xf>
    <xf numFmtId="0" fontId="24" fillId="0" borderId="13" xfId="0" applyFont="1" applyBorder="1" applyAlignment="1" applyProtection="1">
      <alignment horizontal="left"/>
    </xf>
    <xf numFmtId="0" fontId="23" fillId="3" borderId="25" xfId="0" applyFont="1" applyFill="1" applyBorder="1" applyAlignment="1" applyProtection="1">
      <alignment horizontal="left"/>
    </xf>
    <xf numFmtId="0" fontId="23" fillId="3" borderId="13" xfId="0" applyFont="1" applyFill="1" applyBorder="1" applyAlignment="1" applyProtection="1">
      <alignment horizontal="left"/>
    </xf>
    <xf numFmtId="0" fontId="23" fillId="3" borderId="17" xfId="0" applyFont="1" applyFill="1" applyBorder="1" applyAlignment="1" applyProtection="1">
      <alignment horizontal="left"/>
    </xf>
    <xf numFmtId="0" fontId="24" fillId="0" borderId="50" xfId="17" applyFont="1" applyFill="1" applyBorder="1" applyAlignment="1" applyProtection="1">
      <alignment horizontal="center" vertical="center" wrapText="1"/>
    </xf>
    <xf numFmtId="0" fontId="24" fillId="0" borderId="66" xfId="17" applyFont="1" applyFill="1" applyBorder="1" applyAlignment="1" applyProtection="1">
      <alignment horizontal="center" vertical="center" wrapText="1"/>
    </xf>
    <xf numFmtId="0" fontId="24" fillId="0" borderId="51" xfId="17" applyFont="1" applyFill="1" applyBorder="1" applyAlignment="1" applyProtection="1">
      <alignment horizontal="center" vertical="center" wrapText="1"/>
    </xf>
    <xf numFmtId="0" fontId="24" fillId="0" borderId="16" xfId="17" applyFont="1" applyFill="1" applyBorder="1" applyAlignment="1" applyProtection="1">
      <alignment horizontal="center" vertical="center" wrapText="1"/>
    </xf>
    <xf numFmtId="0" fontId="23" fillId="3" borderId="24" xfId="17" applyFont="1" applyFill="1" applyBorder="1" applyAlignment="1" applyProtection="1">
      <alignment horizontal="center" vertical="center"/>
    </xf>
    <xf numFmtId="0" fontId="23" fillId="3" borderId="64" xfId="17" applyFont="1" applyFill="1" applyBorder="1" applyAlignment="1" applyProtection="1">
      <alignment horizontal="center" vertical="center"/>
    </xf>
    <xf numFmtId="0" fontId="23" fillId="3" borderId="38" xfId="17" applyFont="1" applyFill="1" applyBorder="1" applyAlignment="1" applyProtection="1">
      <alignment horizontal="center" vertical="center"/>
    </xf>
    <xf numFmtId="0" fontId="24" fillId="0" borderId="23" xfId="17" applyFont="1" applyBorder="1" applyAlignment="1" applyProtection="1">
      <alignment vertical="center" wrapText="1"/>
    </xf>
    <xf numFmtId="0" fontId="24" fillId="0" borderId="21" xfId="17" applyFont="1" applyFill="1" applyBorder="1" applyAlignment="1" applyProtection="1">
      <alignment horizontal="center" vertical="center" wrapText="1"/>
    </xf>
    <xf numFmtId="0" fontId="24" fillId="0" borderId="2" xfId="17" applyFont="1" applyFill="1" applyBorder="1" applyAlignment="1" applyProtection="1">
      <alignment horizontal="center" vertical="center" wrapText="1"/>
    </xf>
    <xf numFmtId="0" fontId="24" fillId="0" borderId="14" xfId="17" applyFont="1" applyFill="1" applyBorder="1" applyAlignment="1" applyProtection="1">
      <alignment horizontal="center" vertical="center" wrapText="1"/>
    </xf>
    <xf numFmtId="0" fontId="23" fillId="3" borderId="24" xfId="15" applyFont="1" applyFill="1" applyBorder="1" applyAlignment="1" applyProtection="1">
      <alignment horizontal="center" vertical="center"/>
    </xf>
    <xf numFmtId="0" fontId="23" fillId="3" borderId="64" xfId="15" applyFont="1" applyFill="1" applyBorder="1" applyAlignment="1" applyProtection="1">
      <alignment horizontal="center" vertical="center"/>
    </xf>
    <xf numFmtId="0" fontId="23" fillId="3" borderId="38" xfId="15" applyFont="1" applyFill="1" applyBorder="1" applyAlignment="1" applyProtection="1">
      <alignment horizontal="center" vertical="center"/>
    </xf>
    <xf numFmtId="0" fontId="24" fillId="0" borderId="74" xfId="17" applyFont="1" applyBorder="1" applyAlignment="1" applyProtection="1">
      <alignment horizontal="center"/>
    </xf>
    <xf numFmtId="0" fontId="24" fillId="9" borderId="23" xfId="17" applyFont="1" applyFill="1" applyBorder="1" applyAlignment="1" applyProtection="1">
      <alignment vertical="center" wrapText="1"/>
    </xf>
    <xf numFmtId="0" fontId="24" fillId="3" borderId="16" xfId="17" applyFont="1" applyFill="1" applyBorder="1" applyAlignment="1" applyProtection="1">
      <alignment horizontal="center"/>
    </xf>
    <xf numFmtId="0" fontId="24" fillId="3" borderId="5" xfId="17" applyFont="1" applyFill="1" applyBorder="1" applyAlignment="1" applyProtection="1">
      <alignment horizontal="center"/>
    </xf>
    <xf numFmtId="0" fontId="24" fillId="3" borderId="7" xfId="17" applyFont="1" applyFill="1" applyBorder="1" applyAlignment="1" applyProtection="1">
      <alignment horizontal="center"/>
    </xf>
    <xf numFmtId="0" fontId="24" fillId="0" borderId="0" xfId="17" applyFont="1" applyAlignment="1" applyProtection="1">
      <alignment horizontal="center"/>
    </xf>
    <xf numFmtId="0" fontId="24" fillId="0" borderId="2" xfId="0" applyFont="1" applyBorder="1" applyProtection="1"/>
    <xf numFmtId="0" fontId="24" fillId="0" borderId="14" xfId="0" applyFont="1" applyBorder="1" applyProtection="1"/>
    <xf numFmtId="0" fontId="24" fillId="0" borderId="0" xfId="0" applyFont="1" applyAlignment="1" applyProtection="1">
      <alignment horizontal="left" vertical="top" wrapText="1"/>
      <protection hidden="1"/>
    </xf>
    <xf numFmtId="0" fontId="24" fillId="9" borderId="0" xfId="0" applyFont="1" applyFill="1" applyAlignment="1" applyProtection="1">
      <alignment horizontal="justify" vertical="top" wrapText="1"/>
    </xf>
    <xf numFmtId="0" fontId="24" fillId="0" borderId="0" xfId="0" quotePrefix="1" applyFont="1" applyFill="1" applyAlignment="1" applyProtection="1">
      <alignment horizontal="justify" vertical="top" wrapText="1"/>
    </xf>
    <xf numFmtId="0" fontId="24" fillId="0" borderId="0" xfId="0" quotePrefix="1" applyFont="1" applyAlignment="1" applyProtection="1">
      <alignment horizontal="justify" vertical="top"/>
    </xf>
    <xf numFmtId="0" fontId="24" fillId="0" borderId="0" xfId="0" applyFont="1" applyAlignment="1" applyProtection="1">
      <alignment horizontal="justify" vertical="top"/>
    </xf>
    <xf numFmtId="0" fontId="24" fillId="0" borderId="0" xfId="0" applyNumberFormat="1"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4" fillId="0" borderId="0" xfId="0" applyNumberFormat="1" applyFont="1" applyFill="1" applyAlignment="1" applyProtection="1">
      <alignment horizontal="justify" vertical="top" wrapText="1"/>
    </xf>
    <xf numFmtId="0" fontId="24" fillId="9" borderId="0" xfId="0" applyFont="1" applyFill="1" applyAlignment="1" applyProtection="1">
      <alignment horizontal="left" vertical="top" wrapText="1"/>
    </xf>
    <xf numFmtId="0" fontId="27" fillId="0" borderId="0" xfId="0" applyNumberFormat="1" applyFont="1" applyAlignment="1" applyProtection="1">
      <alignment wrapText="1"/>
      <protection hidden="1"/>
    </xf>
    <xf numFmtId="37" fontId="23" fillId="8" borderId="52" xfId="0" applyNumberFormat="1" applyFont="1" applyFill="1" applyBorder="1" applyAlignment="1" applyProtection="1">
      <alignment horizontal="center"/>
    </xf>
    <xf numFmtId="37" fontId="23" fillId="8" borderId="0" xfId="0" applyNumberFormat="1" applyFont="1" applyFill="1" applyBorder="1" applyAlignment="1" applyProtection="1">
      <alignment horizontal="center"/>
    </xf>
    <xf numFmtId="37" fontId="23" fillId="8" borderId="31" xfId="0" applyNumberFormat="1" applyFont="1" applyFill="1" applyBorder="1" applyAlignment="1" applyProtection="1">
      <alignment horizontal="center"/>
    </xf>
    <xf numFmtId="37" fontId="23" fillId="8" borderId="53" xfId="0" applyNumberFormat="1" applyFont="1" applyFill="1" applyBorder="1" applyAlignment="1" applyProtection="1">
      <alignment horizontal="center"/>
    </xf>
    <xf numFmtId="37" fontId="23" fillId="8" borderId="26" xfId="0" applyNumberFormat="1" applyFont="1" applyFill="1" applyBorder="1" applyAlignment="1" applyProtection="1">
      <alignment horizontal="center"/>
    </xf>
    <xf numFmtId="37" fontId="23" fillId="8" borderId="47" xfId="0" applyNumberFormat="1" applyFont="1" applyFill="1" applyBorder="1" applyAlignment="1" applyProtection="1">
      <alignment horizontal="center"/>
    </xf>
    <xf numFmtId="37" fontId="23" fillId="3" borderId="50" xfId="0" applyNumberFormat="1" applyFont="1" applyFill="1" applyBorder="1" applyAlignment="1" applyProtection="1">
      <alignment horizontal="center" vertical="center" wrapText="1"/>
    </xf>
    <xf numFmtId="0" fontId="24" fillId="3" borderId="37" xfId="0" applyFont="1" applyFill="1" applyBorder="1" applyAlignment="1" applyProtection="1">
      <alignment horizontal="center" vertical="center" wrapText="1"/>
    </xf>
    <xf numFmtId="37" fontId="23" fillId="3" borderId="33" xfId="0" applyNumberFormat="1" applyFont="1" applyFill="1" applyBorder="1" applyAlignment="1" applyProtection="1">
      <alignment horizontal="center" vertical="center" wrapText="1"/>
    </xf>
    <xf numFmtId="37" fontId="23" fillId="3" borderId="50" xfId="0" applyNumberFormat="1" applyFont="1" applyFill="1" applyBorder="1" applyAlignment="1" applyProtection="1">
      <alignment horizontal="center" vertical="center"/>
    </xf>
    <xf numFmtId="37" fontId="23" fillId="3" borderId="33" xfId="0" applyNumberFormat="1" applyFont="1" applyFill="1" applyBorder="1" applyAlignment="1" applyProtection="1">
      <alignment horizontal="center" vertical="center"/>
    </xf>
    <xf numFmtId="37" fontId="23" fillId="3" borderId="37" xfId="0" applyNumberFormat="1" applyFont="1" applyFill="1" applyBorder="1" applyAlignment="1" applyProtection="1">
      <alignment horizontal="center" vertical="center"/>
    </xf>
    <xf numFmtId="37" fontId="23" fillId="3" borderId="51" xfId="0" applyNumberFormat="1" applyFont="1" applyFill="1" applyBorder="1" applyAlignment="1" applyProtection="1">
      <alignment horizontal="center" vertical="center"/>
    </xf>
    <xf numFmtId="37" fontId="23" fillId="3" borderId="6" xfId="0" applyNumberFormat="1" applyFont="1" applyFill="1" applyBorder="1" applyAlignment="1" applyProtection="1">
      <alignment horizontal="center" vertical="center"/>
    </xf>
    <xf numFmtId="37" fontId="23" fillId="3" borderId="22" xfId="0" applyNumberFormat="1" applyFont="1" applyFill="1" applyBorder="1" applyAlignment="1" applyProtection="1">
      <alignment horizontal="center" vertical="center"/>
    </xf>
    <xf numFmtId="0" fontId="24" fillId="0" borderId="25" xfId="0" applyNumberFormat="1" applyFont="1" applyFill="1" applyBorder="1" applyAlignment="1" applyProtection="1">
      <alignment horizontal="left"/>
    </xf>
    <xf numFmtId="0" fontId="24" fillId="0" borderId="13" xfId="0" applyNumberFormat="1" applyFont="1" applyFill="1" applyBorder="1" applyAlignment="1" applyProtection="1">
      <alignment horizontal="left"/>
    </xf>
    <xf numFmtId="0" fontId="24" fillId="0" borderId="12" xfId="0" applyNumberFormat="1" applyFont="1" applyFill="1" applyBorder="1" applyAlignment="1" applyProtection="1">
      <alignment horizontal="left"/>
    </xf>
    <xf numFmtId="0" fontId="27" fillId="0" borderId="0" xfId="0" applyFont="1" applyBorder="1" applyAlignment="1" applyProtection="1">
      <alignment wrapText="1"/>
    </xf>
    <xf numFmtId="172" fontId="24" fillId="0" borderId="23" xfId="18" applyFont="1" applyFill="1" applyBorder="1" applyAlignment="1" applyProtection="1">
      <alignment horizontal="right"/>
    </xf>
    <xf numFmtId="3" fontId="23" fillId="3" borderId="16" xfId="0" applyNumberFormat="1" applyFont="1" applyFill="1" applyBorder="1" applyAlignment="1" applyProtection="1">
      <alignment horizontal="center" vertical="center" wrapText="1"/>
    </xf>
    <xf numFmtId="3" fontId="23" fillId="3" borderId="5" xfId="0" applyNumberFormat="1" applyFont="1" applyFill="1" applyBorder="1" applyAlignment="1" applyProtection="1">
      <alignment horizontal="center" vertical="center" wrapText="1"/>
    </xf>
    <xf numFmtId="3" fontId="23" fillId="3" borderId="7" xfId="0" applyNumberFormat="1" applyFont="1" applyFill="1" applyBorder="1" applyAlignment="1" applyProtection="1">
      <alignment horizontal="center" vertical="center" wrapText="1"/>
    </xf>
    <xf numFmtId="0" fontId="24" fillId="3" borderId="5"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24" fillId="0" borderId="0" xfId="0" applyFont="1" applyBorder="1" applyAlignment="1" applyProtection="1">
      <alignment horizontal="center"/>
    </xf>
    <xf numFmtId="0" fontId="24" fillId="0" borderId="0" xfId="0" applyFont="1" applyBorder="1" applyAlignment="1" applyProtection="1"/>
    <xf numFmtId="172" fontId="24" fillId="0" borderId="23" xfId="18" applyFont="1" applyFill="1" applyBorder="1" applyAlignment="1" applyProtection="1"/>
    <xf numFmtId="0" fontId="24" fillId="0" borderId="23" xfId="0" applyFont="1" applyFill="1" applyBorder="1" applyProtection="1"/>
  </cellXfs>
  <cellStyles count="27">
    <cellStyle name="Custom - Opmaakprofiel8" xfId="1"/>
    <cellStyle name="Data   - Opmaakprofiel2" xfId="2"/>
    <cellStyle name="Labels - Opmaakprofiel3" xfId="3"/>
    <cellStyle name="Normal - Opmaakprofiel1" xfId="4"/>
    <cellStyle name="Normal - Opmaakprofiel2" xfId="5"/>
    <cellStyle name="Normal - Opmaakprofiel3" xfId="6"/>
    <cellStyle name="Normal - Opmaakprofiel4" xfId="7"/>
    <cellStyle name="Normal - Opmaakprofiel5" xfId="8"/>
    <cellStyle name="Normal - Opmaakprofiel6" xfId="9"/>
    <cellStyle name="Normal - Opmaakprofiel7" xfId="10"/>
    <cellStyle name="Normal - Opmaakprofiel8" xfId="11"/>
    <cellStyle name="Procent" xfId="12" builtinId="5"/>
    <cellStyle name="Reset  - Opmaakprofiel7" xfId="13"/>
    <cellStyle name="Standaard" xfId="0" builtinId="0"/>
    <cellStyle name="Standaard_010 Nacalculatie 2008" xfId="14"/>
    <cellStyle name="Standaard_APZ Nacalculatie1998" xfId="15"/>
    <cellStyle name="Standaard_Concept nac 2004 ent II" xfId="16"/>
    <cellStyle name="Standaard_Nacalculatieformulier 2002" xfId="17"/>
    <cellStyle name="Tabelstandaard" xfId="18"/>
    <cellStyle name="Tabelstandaard financieel" xfId="19"/>
    <cellStyle name="Tabelstandaard negatief" xfId="20"/>
    <cellStyle name="Tabelstandaard Totaal" xfId="21"/>
    <cellStyle name="Tabelstandaard Totaal Negatief" xfId="22"/>
    <cellStyle name="Table  - Opmaakprofiel6" xfId="23"/>
    <cellStyle name="Title  - Opmaakprofiel1" xfId="24"/>
    <cellStyle name="TotCol - Opmaakprofiel5" xfId="25"/>
    <cellStyle name="TotRow - Opmaakprofiel4" xfId="26"/>
  </cellStyles>
  <dxfs count="39">
    <dxf>
      <font>
        <condense val="0"/>
        <extend val="0"/>
        <color indexed="9"/>
      </font>
      <fill>
        <patternFill>
          <bgColor indexed="10"/>
        </patternFill>
      </fill>
    </dxf>
    <dxf>
      <fill>
        <patternFill>
          <bgColor indexed="47"/>
        </patternFill>
      </fill>
    </dxf>
    <dxf>
      <font>
        <condense val="0"/>
        <extend val="0"/>
        <color indexed="9"/>
      </font>
      <fill>
        <patternFill>
          <bgColor indexed="10"/>
        </patternFill>
      </fill>
    </dxf>
    <dxf>
      <fill>
        <patternFill>
          <bgColor indexed="47"/>
        </patternFill>
      </fill>
    </dxf>
    <dxf>
      <font>
        <condense val="0"/>
        <extend val="0"/>
        <color indexed="9"/>
      </font>
      <fill>
        <patternFill patternType="none">
          <bgColor indexed="65"/>
        </patternFill>
      </fill>
      <border>
        <left/>
        <right/>
        <top/>
        <bottom/>
      </border>
    </dxf>
    <dxf>
      <font>
        <condense val="0"/>
        <extend val="0"/>
        <color indexed="9"/>
      </font>
      <fill>
        <patternFill>
          <bgColor indexed="10"/>
        </patternFill>
      </fill>
    </dxf>
    <dxf>
      <font>
        <condense val="0"/>
        <extend val="0"/>
        <color auto="1"/>
      </font>
    </dxf>
    <dxf>
      <fill>
        <patternFill>
          <bgColor indexed="47"/>
        </patternFill>
      </fill>
    </dxf>
    <dxf>
      <font>
        <condense val="0"/>
        <extend val="0"/>
        <color indexed="9"/>
      </font>
      <fill>
        <patternFill>
          <bgColor indexed="10"/>
        </patternFill>
      </fill>
    </dxf>
    <dxf>
      <fill>
        <patternFill>
          <bgColor indexed="47"/>
        </patternFill>
      </fill>
    </dxf>
    <dxf>
      <fill>
        <patternFill>
          <bgColor indexed="26"/>
        </patternFill>
      </fill>
    </dxf>
    <dxf>
      <fill>
        <patternFill>
          <bgColor indexed="47"/>
        </patternFill>
      </fill>
    </dxf>
    <dxf>
      <fill>
        <patternFill>
          <bgColor indexed="47"/>
        </patternFill>
      </fill>
    </dxf>
    <dxf>
      <font>
        <condense val="0"/>
        <extend val="0"/>
        <color indexed="9"/>
      </font>
      <fill>
        <patternFill>
          <bgColor indexed="10"/>
        </patternFill>
      </fill>
    </dxf>
    <dxf>
      <fill>
        <patternFill>
          <bgColor indexed="47"/>
        </patternFill>
      </fill>
    </dxf>
    <dxf>
      <font>
        <condense val="0"/>
        <extend val="0"/>
        <color indexed="9"/>
      </font>
      <fill>
        <patternFill>
          <bgColor indexed="10"/>
        </patternFill>
      </fill>
    </dxf>
    <dxf>
      <fill>
        <patternFill>
          <bgColor indexed="47"/>
        </patternFill>
      </fill>
    </dxf>
    <dxf>
      <font>
        <b val="0"/>
        <i val="0"/>
        <condense val="0"/>
        <extend val="0"/>
        <color auto="1"/>
      </font>
      <fill>
        <patternFill>
          <bgColor indexed="9"/>
        </patternFill>
      </fill>
    </dxf>
    <dxf>
      <font>
        <condense val="0"/>
        <extend val="0"/>
        <color indexed="9"/>
      </font>
      <fill>
        <patternFill>
          <bgColor indexed="10"/>
        </patternFill>
      </fill>
    </dxf>
    <dxf>
      <fill>
        <patternFill>
          <bgColor indexed="47"/>
        </patternFill>
      </fill>
    </dxf>
    <dxf>
      <font>
        <condense val="0"/>
        <extend val="0"/>
        <color indexed="9"/>
      </font>
      <fill>
        <patternFill>
          <bgColor indexed="10"/>
        </patternFill>
      </fill>
    </dxf>
    <dxf>
      <fill>
        <patternFill>
          <bgColor indexed="47"/>
        </patternFill>
      </fill>
    </dxf>
    <dxf>
      <fill>
        <patternFill>
          <bgColor indexed="47"/>
        </patternFill>
      </fill>
    </dxf>
    <dxf>
      <font>
        <condense val="0"/>
        <extend val="0"/>
        <color indexed="9"/>
      </font>
      <fill>
        <patternFill>
          <bgColor indexed="10"/>
        </patternFill>
      </fill>
    </dxf>
    <dxf>
      <fill>
        <patternFill>
          <bgColor indexed="47"/>
        </patternFill>
      </fill>
    </dxf>
    <dxf>
      <fill>
        <patternFill>
          <bgColor indexed="47"/>
        </patternFill>
      </fill>
    </dxf>
    <dxf>
      <font>
        <condense val="0"/>
        <extend val="0"/>
        <color indexed="9"/>
      </font>
      <fill>
        <patternFill>
          <bgColor indexed="12"/>
        </patternFill>
      </fill>
    </dxf>
    <dxf>
      <fill>
        <patternFill>
          <bgColor indexed="47"/>
        </patternFill>
      </fill>
    </dxf>
    <dxf>
      <fill>
        <patternFill>
          <bgColor indexed="26"/>
        </patternFill>
      </fill>
    </dxf>
    <dxf>
      <fill>
        <patternFill>
          <bgColor indexed="26"/>
        </patternFill>
      </fill>
    </dxf>
    <dxf>
      <fill>
        <patternFill>
          <bgColor indexed="47"/>
        </patternFill>
      </fill>
    </dxf>
    <dxf>
      <fill>
        <patternFill>
          <bgColor indexed="26"/>
        </patternFill>
      </fill>
    </dxf>
    <dxf>
      <fill>
        <patternFill>
          <bgColor indexed="47"/>
        </patternFill>
      </fill>
    </dxf>
    <dxf>
      <fill>
        <patternFill>
          <bgColor indexed="26"/>
        </patternFill>
      </fill>
    </dxf>
    <dxf>
      <fill>
        <patternFill>
          <bgColor indexed="47"/>
        </patternFill>
      </fill>
    </dxf>
    <dxf>
      <fill>
        <patternFill>
          <bgColor indexed="26"/>
        </patternFill>
      </fill>
    </dxf>
    <dxf>
      <fill>
        <patternFill>
          <bgColor indexed="47"/>
        </patternFill>
      </fill>
    </dxf>
    <dxf>
      <fill>
        <patternFill>
          <bgColor indexed="26"/>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D$26"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CheckBox" checked="Checked" fmlaLink="$D$27" lockText="1" noThreeD="1"/>
</file>

<file path=xl/ctrlProps/ctrlProp114.xml><?xml version="1.0" encoding="utf-8"?>
<formControlPr xmlns="http://schemas.microsoft.com/office/spreadsheetml/2009/9/main" objectType="CheckBox" checked="Checked" fmlaLink="$D$27"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D$61:$E$63"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file:///X:\Algemeen\Clipart\Ctg\LogoKop.eps" TargetMode="External"/><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w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wmf"/></Relationships>
</file>

<file path=xl/drawings/_rels/drawing5.xml.rels><?xml version="1.0" encoding="UTF-8" standalone="yes"?>
<Relationships xmlns="http://schemas.openxmlformats.org/package/2006/relationships"><Relationship Id="rId2" Type="http://schemas.openxmlformats.org/officeDocument/2006/relationships/image" Target="file:///X:\Algemeen\Clipart\Ctg\LogoKop.eps" TargetMode="External"/><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6</xdr:col>
      <xdr:colOff>0</xdr:colOff>
      <xdr:row>38</xdr:row>
      <xdr:rowOff>0</xdr:rowOff>
    </xdr:from>
    <xdr:to>
      <xdr:col>6</xdr:col>
      <xdr:colOff>0</xdr:colOff>
      <xdr:row>38</xdr:row>
      <xdr:rowOff>0</xdr:rowOff>
    </xdr:to>
    <xdr:grpSp>
      <xdr:nvGrpSpPr>
        <xdr:cNvPr id="51101" name="Group 1"/>
        <xdr:cNvGrpSpPr>
          <a:grpSpLocks/>
        </xdr:cNvGrpSpPr>
      </xdr:nvGrpSpPr>
      <xdr:grpSpPr bwMode="auto">
        <a:xfrm>
          <a:off x="4905375" y="6229350"/>
          <a:ext cx="0" cy="0"/>
          <a:chOff x="790" y="4"/>
          <a:chExt cx="90" cy="54"/>
        </a:xfrm>
      </xdr:grpSpPr>
      <xdr:sp macro="" textlink="">
        <xdr:nvSpPr>
          <xdr:cNvPr id="51142" name="Rectangle 2"/>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143" name="Picture 3"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180" name="Text Box 4"/>
          <xdr:cNvSpPr txBox="1">
            <a:spLocks noChangeArrowheads="1"/>
          </xdr:cNvSpPr>
        </xdr:nvSpPr>
        <xdr:spPr bwMode="auto">
          <a:xfrm>
            <a:off x="4905375" y="6229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6</xdr:col>
      <xdr:colOff>0</xdr:colOff>
      <xdr:row>38</xdr:row>
      <xdr:rowOff>0</xdr:rowOff>
    </xdr:from>
    <xdr:to>
      <xdr:col>6</xdr:col>
      <xdr:colOff>0</xdr:colOff>
      <xdr:row>38</xdr:row>
      <xdr:rowOff>0</xdr:rowOff>
    </xdr:to>
    <xdr:grpSp>
      <xdr:nvGrpSpPr>
        <xdr:cNvPr id="51102" name="Group 5"/>
        <xdr:cNvGrpSpPr>
          <a:grpSpLocks/>
        </xdr:cNvGrpSpPr>
      </xdr:nvGrpSpPr>
      <xdr:grpSpPr bwMode="auto">
        <a:xfrm>
          <a:off x="4905375" y="6229350"/>
          <a:ext cx="0" cy="0"/>
          <a:chOff x="790" y="4"/>
          <a:chExt cx="90" cy="54"/>
        </a:xfrm>
      </xdr:grpSpPr>
      <xdr:sp macro="" textlink="">
        <xdr:nvSpPr>
          <xdr:cNvPr id="51139" name="Rectangle 6"/>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140" name="Picture 7"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184" name="Text Box 8"/>
          <xdr:cNvSpPr txBox="1">
            <a:spLocks noChangeArrowheads="1"/>
          </xdr:cNvSpPr>
        </xdr:nvSpPr>
        <xdr:spPr bwMode="auto">
          <a:xfrm>
            <a:off x="4905375" y="6229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11</xdr:col>
      <xdr:colOff>381000</xdr:colOff>
      <xdr:row>0</xdr:row>
      <xdr:rowOff>9525</xdr:rowOff>
    </xdr:from>
    <xdr:to>
      <xdr:col>13</xdr:col>
      <xdr:colOff>0</xdr:colOff>
      <xdr:row>2</xdr:row>
      <xdr:rowOff>0</xdr:rowOff>
    </xdr:to>
    <xdr:grpSp>
      <xdr:nvGrpSpPr>
        <xdr:cNvPr id="51103" name="Group 9"/>
        <xdr:cNvGrpSpPr>
          <a:grpSpLocks/>
        </xdr:cNvGrpSpPr>
      </xdr:nvGrpSpPr>
      <xdr:grpSpPr bwMode="auto">
        <a:xfrm>
          <a:off x="8086725" y="9525"/>
          <a:ext cx="180975" cy="390525"/>
          <a:chOff x="769" y="35"/>
          <a:chExt cx="110" cy="41"/>
        </a:xfrm>
      </xdr:grpSpPr>
      <xdr:sp macro="" textlink="">
        <xdr:nvSpPr>
          <xdr:cNvPr id="51135" name="Rectangle 10"/>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1136" name="Rectangle 11"/>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51137" name="Picture 12" descr="BriefVervol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138" name="Rectangle 13"/>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9</xdr:col>
      <xdr:colOff>0</xdr:colOff>
      <xdr:row>40</xdr:row>
      <xdr:rowOff>0</xdr:rowOff>
    </xdr:from>
    <xdr:to>
      <xdr:col>9</xdr:col>
      <xdr:colOff>0</xdr:colOff>
      <xdr:row>40</xdr:row>
      <xdr:rowOff>0</xdr:rowOff>
    </xdr:to>
    <xdr:grpSp>
      <xdr:nvGrpSpPr>
        <xdr:cNvPr id="51104" name="Group 14"/>
        <xdr:cNvGrpSpPr>
          <a:grpSpLocks/>
        </xdr:cNvGrpSpPr>
      </xdr:nvGrpSpPr>
      <xdr:grpSpPr bwMode="auto">
        <a:xfrm>
          <a:off x="7543800" y="6553200"/>
          <a:ext cx="0" cy="0"/>
          <a:chOff x="790" y="4"/>
          <a:chExt cx="90" cy="54"/>
        </a:xfrm>
      </xdr:grpSpPr>
      <xdr:sp macro="" textlink="">
        <xdr:nvSpPr>
          <xdr:cNvPr id="51132" name="Rectangle 15"/>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133" name="Picture 16"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193" name="Text Box 17"/>
          <xdr:cNvSpPr txBox="1">
            <a:spLocks noChangeArrowheads="1"/>
          </xdr:cNvSpPr>
        </xdr:nvSpPr>
        <xdr:spPr bwMode="auto">
          <a:xfrm>
            <a:off x="7543800" y="6553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9</xdr:col>
      <xdr:colOff>0</xdr:colOff>
      <xdr:row>40</xdr:row>
      <xdr:rowOff>0</xdr:rowOff>
    </xdr:from>
    <xdr:to>
      <xdr:col>9</xdr:col>
      <xdr:colOff>0</xdr:colOff>
      <xdr:row>40</xdr:row>
      <xdr:rowOff>0</xdr:rowOff>
    </xdr:to>
    <xdr:grpSp>
      <xdr:nvGrpSpPr>
        <xdr:cNvPr id="51105" name="Group 18"/>
        <xdr:cNvGrpSpPr>
          <a:grpSpLocks/>
        </xdr:cNvGrpSpPr>
      </xdr:nvGrpSpPr>
      <xdr:grpSpPr bwMode="auto">
        <a:xfrm>
          <a:off x="7543800" y="6553200"/>
          <a:ext cx="0" cy="0"/>
          <a:chOff x="790" y="4"/>
          <a:chExt cx="90" cy="54"/>
        </a:xfrm>
      </xdr:grpSpPr>
      <xdr:sp macro="" textlink="">
        <xdr:nvSpPr>
          <xdr:cNvPr id="51129" name="Rectangle 19"/>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130" name="Picture 20"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197" name="Text Box 21"/>
          <xdr:cNvSpPr txBox="1">
            <a:spLocks noChangeArrowheads="1"/>
          </xdr:cNvSpPr>
        </xdr:nvSpPr>
        <xdr:spPr bwMode="auto">
          <a:xfrm>
            <a:off x="7543800" y="6553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6</xdr:col>
      <xdr:colOff>0</xdr:colOff>
      <xdr:row>38</xdr:row>
      <xdr:rowOff>9525</xdr:rowOff>
    </xdr:from>
    <xdr:to>
      <xdr:col>6</xdr:col>
      <xdr:colOff>0</xdr:colOff>
      <xdr:row>39</xdr:row>
      <xdr:rowOff>0</xdr:rowOff>
    </xdr:to>
    <xdr:grpSp>
      <xdr:nvGrpSpPr>
        <xdr:cNvPr id="51106" name="Group 22"/>
        <xdr:cNvGrpSpPr>
          <a:grpSpLocks/>
        </xdr:cNvGrpSpPr>
      </xdr:nvGrpSpPr>
      <xdr:grpSpPr bwMode="auto">
        <a:xfrm>
          <a:off x="4905375" y="6238875"/>
          <a:ext cx="0" cy="152400"/>
          <a:chOff x="769" y="35"/>
          <a:chExt cx="110" cy="41"/>
        </a:xfrm>
      </xdr:grpSpPr>
      <xdr:sp macro="" textlink="">
        <xdr:nvSpPr>
          <xdr:cNvPr id="51125" name="Rectangle 23"/>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1126" name="Rectangle 24"/>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51127" name="Picture 25" descr="BriefVervol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128" name="Rectangle 26"/>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6</xdr:col>
      <xdr:colOff>0</xdr:colOff>
      <xdr:row>38</xdr:row>
      <xdr:rowOff>9525</xdr:rowOff>
    </xdr:from>
    <xdr:to>
      <xdr:col>6</xdr:col>
      <xdr:colOff>0</xdr:colOff>
      <xdr:row>39</xdr:row>
      <xdr:rowOff>0</xdr:rowOff>
    </xdr:to>
    <xdr:grpSp>
      <xdr:nvGrpSpPr>
        <xdr:cNvPr id="51107" name="Group 27"/>
        <xdr:cNvGrpSpPr>
          <a:grpSpLocks/>
        </xdr:cNvGrpSpPr>
      </xdr:nvGrpSpPr>
      <xdr:grpSpPr bwMode="auto">
        <a:xfrm>
          <a:off x="4905375" y="6238875"/>
          <a:ext cx="0" cy="152400"/>
          <a:chOff x="769" y="35"/>
          <a:chExt cx="110" cy="41"/>
        </a:xfrm>
      </xdr:grpSpPr>
      <xdr:sp macro="" textlink="">
        <xdr:nvSpPr>
          <xdr:cNvPr id="51121" name="Rectangle 28"/>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1122" name="Rectangle 29"/>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51123" name="Picture 30" descr="BriefVervol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124" name="Rectangle 31"/>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4</xdr:col>
      <xdr:colOff>0</xdr:colOff>
      <xdr:row>266</xdr:row>
      <xdr:rowOff>0</xdr:rowOff>
    </xdr:from>
    <xdr:to>
      <xdr:col>4</xdr:col>
      <xdr:colOff>9525</xdr:colOff>
      <xdr:row>266</xdr:row>
      <xdr:rowOff>0</xdr:rowOff>
    </xdr:to>
    <xdr:grpSp>
      <xdr:nvGrpSpPr>
        <xdr:cNvPr id="51108" name="Group 32"/>
        <xdr:cNvGrpSpPr>
          <a:grpSpLocks/>
        </xdr:cNvGrpSpPr>
      </xdr:nvGrpSpPr>
      <xdr:grpSpPr bwMode="auto">
        <a:xfrm>
          <a:off x="3114675" y="43148250"/>
          <a:ext cx="9525" cy="0"/>
          <a:chOff x="790" y="4"/>
          <a:chExt cx="90" cy="54"/>
        </a:xfrm>
      </xdr:grpSpPr>
      <xdr:sp macro="" textlink="">
        <xdr:nvSpPr>
          <xdr:cNvPr id="51118" name="Rectangle 33"/>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119" name="Picture 34"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211" name="Text Box 35"/>
          <xdr:cNvSpPr txBox="1">
            <a:spLocks noChangeArrowheads="1"/>
          </xdr:cNvSpPr>
        </xdr:nvSpPr>
        <xdr:spPr bwMode="auto">
          <a:xfrm>
            <a:off x="95655950693" y="43148250"/>
            <a:ext cx="9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51109" name="Group 36"/>
        <xdr:cNvGrpSpPr>
          <a:grpSpLocks/>
        </xdr:cNvGrpSpPr>
      </xdr:nvGrpSpPr>
      <xdr:grpSpPr bwMode="auto">
        <a:xfrm>
          <a:off x="3114675" y="43148250"/>
          <a:ext cx="9525" cy="0"/>
          <a:chOff x="790" y="4"/>
          <a:chExt cx="90" cy="54"/>
        </a:xfrm>
      </xdr:grpSpPr>
      <xdr:sp macro="" textlink="">
        <xdr:nvSpPr>
          <xdr:cNvPr id="51115" name="Rectangle 37"/>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116" name="Picture 38"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215" name="Text Box 39"/>
          <xdr:cNvSpPr txBox="1">
            <a:spLocks noChangeArrowheads="1"/>
          </xdr:cNvSpPr>
        </xdr:nvSpPr>
        <xdr:spPr bwMode="auto">
          <a:xfrm>
            <a:off x="95655950693" y="43148250"/>
            <a:ext cx="9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16</xdr:col>
      <xdr:colOff>657225</xdr:colOff>
      <xdr:row>350</xdr:row>
      <xdr:rowOff>0</xdr:rowOff>
    </xdr:from>
    <xdr:to>
      <xdr:col>18</xdr:col>
      <xdr:colOff>9525</xdr:colOff>
      <xdr:row>350</xdr:row>
      <xdr:rowOff>0</xdr:rowOff>
    </xdr:to>
    <xdr:grpSp>
      <xdr:nvGrpSpPr>
        <xdr:cNvPr id="51110" name="Group 40"/>
        <xdr:cNvGrpSpPr>
          <a:grpSpLocks/>
        </xdr:cNvGrpSpPr>
      </xdr:nvGrpSpPr>
      <xdr:grpSpPr bwMode="auto">
        <a:xfrm>
          <a:off x="10982325" y="56749950"/>
          <a:ext cx="590550" cy="0"/>
          <a:chOff x="769" y="35"/>
          <a:chExt cx="110" cy="41"/>
        </a:xfrm>
      </xdr:grpSpPr>
      <xdr:sp macro="" textlink="">
        <xdr:nvSpPr>
          <xdr:cNvPr id="51111" name="Rectangle 41"/>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1112" name="Rectangle 42"/>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51113" name="Picture 43" descr="BriefVervol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114" name="Rectangle 44"/>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542925</xdr:colOff>
      <xdr:row>1</xdr:row>
      <xdr:rowOff>95250</xdr:rowOff>
    </xdr:from>
    <xdr:to>
      <xdr:col>12</xdr:col>
      <xdr:colOff>523875</xdr:colOff>
      <xdr:row>7</xdr:row>
      <xdr:rowOff>95250</xdr:rowOff>
    </xdr:to>
    <xdr:pic>
      <xdr:nvPicPr>
        <xdr:cNvPr id="85019" name="Picture 2" descr="01 nza logo pms 100mm PMS 463 [basi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0" y="295275"/>
          <a:ext cx="1809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editAs="oneCell">
        <xdr:from>
          <xdr:col>2</xdr:col>
          <xdr:colOff>457200</xdr:colOff>
          <xdr:row>22</xdr:row>
          <xdr:rowOff>133350</xdr:rowOff>
        </xdr:from>
        <xdr:to>
          <xdr:col>3</xdr:col>
          <xdr:colOff>200025</xdr:colOff>
          <xdr:row>24</xdr:row>
          <xdr:rowOff>66675</xdr:rowOff>
        </xdr:to>
        <xdr:sp macro="" textlink="">
          <xdr:nvSpPr>
            <xdr:cNvPr id="84997" name="Check Box 5" hidden="1">
              <a:extLst>
                <a:ext uri="{63B3BB69-23CF-44E3-9099-C40C66FF867C}">
                  <a14:compatExt spid="_x0000_s849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22</xdr:row>
          <xdr:rowOff>133350</xdr:rowOff>
        </xdr:from>
        <xdr:to>
          <xdr:col>3</xdr:col>
          <xdr:colOff>200025</xdr:colOff>
          <xdr:row>24</xdr:row>
          <xdr:rowOff>66675</xdr:rowOff>
        </xdr:to>
        <xdr:sp macro="" textlink="">
          <xdr:nvSpPr>
            <xdr:cNvPr id="84998" name="Check Box 6" hidden="1">
              <a:extLst>
                <a:ext uri="{63B3BB69-23CF-44E3-9099-C40C66FF867C}">
                  <a14:compatExt spid="_x0000_s84998"/>
                </a:ext>
              </a:extLst>
            </xdr:cNvPr>
            <xdr:cNvSpPr/>
          </xdr:nvSpPr>
          <xdr:spPr>
            <a:xfrm>
              <a:off x="0" y="0"/>
              <a:ext cx="0" cy="0"/>
            </a:xfrm>
            <a:prstGeom prst="rect">
              <a:avLst/>
            </a:prstGeom>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4</xdr:col>
      <xdr:colOff>0</xdr:colOff>
      <xdr:row>31</xdr:row>
      <xdr:rowOff>0</xdr:rowOff>
    </xdr:from>
    <xdr:to>
      <xdr:col>4</xdr:col>
      <xdr:colOff>0</xdr:colOff>
      <xdr:row>31</xdr:row>
      <xdr:rowOff>0</xdr:rowOff>
    </xdr:to>
    <xdr:grpSp>
      <xdr:nvGrpSpPr>
        <xdr:cNvPr id="84303" name="Group 1"/>
        <xdr:cNvGrpSpPr>
          <a:grpSpLocks/>
        </xdr:cNvGrpSpPr>
      </xdr:nvGrpSpPr>
      <xdr:grpSpPr bwMode="auto">
        <a:xfrm>
          <a:off x="8763000" y="6115050"/>
          <a:ext cx="0" cy="0"/>
          <a:chOff x="769" y="35"/>
          <a:chExt cx="110" cy="41"/>
        </a:xfrm>
      </xdr:grpSpPr>
      <xdr:sp macro="" textlink="">
        <xdr:nvSpPr>
          <xdr:cNvPr id="84314" name="Rectangle 2"/>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315" name="Rectangle 3"/>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84316" name="Picture 4"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4317" name="Rectangle 5"/>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2</xdr:col>
      <xdr:colOff>1304925</xdr:colOff>
      <xdr:row>14</xdr:row>
      <xdr:rowOff>0</xdr:rowOff>
    </xdr:from>
    <xdr:to>
      <xdr:col>5</xdr:col>
      <xdr:colOff>19050</xdr:colOff>
      <xdr:row>26</xdr:row>
      <xdr:rowOff>0</xdr:rowOff>
    </xdr:to>
    <xdr:grpSp>
      <xdr:nvGrpSpPr>
        <xdr:cNvPr id="84304" name="Group 6"/>
        <xdr:cNvGrpSpPr>
          <a:grpSpLocks/>
        </xdr:cNvGrpSpPr>
      </xdr:nvGrpSpPr>
      <xdr:grpSpPr bwMode="auto">
        <a:xfrm>
          <a:off x="7791450" y="4076700"/>
          <a:ext cx="1371600" cy="0"/>
          <a:chOff x="769" y="1"/>
          <a:chExt cx="110" cy="41"/>
        </a:xfrm>
      </xdr:grpSpPr>
      <xdr:grpSp>
        <xdr:nvGrpSpPr>
          <xdr:cNvPr id="84305" name="Group 7"/>
          <xdr:cNvGrpSpPr>
            <a:grpSpLocks/>
          </xdr:cNvGrpSpPr>
        </xdr:nvGrpSpPr>
        <xdr:grpSpPr bwMode="auto">
          <a:xfrm>
            <a:off x="846" y="1"/>
            <a:ext cx="0" cy="41"/>
            <a:chOff x="769" y="35"/>
            <a:chExt cx="110" cy="41"/>
          </a:xfrm>
        </xdr:grpSpPr>
        <xdr:sp macro="" textlink="">
          <xdr:nvSpPr>
            <xdr:cNvPr id="84310" name="Rectangle 8"/>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311" name="Rectangle 9"/>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84312" name="Picture 10"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4313" name="Rectangle 11"/>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sp macro="" textlink="">
        <xdr:nvSpPr>
          <xdr:cNvPr id="84306" name="Rectangle 12"/>
          <xdr:cNvSpPr>
            <a:spLocks noChangeArrowheads="1"/>
          </xdr:cNvSpPr>
        </xdr:nvSpPr>
        <xdr:spPr bwMode="auto">
          <a:xfrm>
            <a:off x="790" y="21"/>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307" name="Rectangle 13"/>
          <xdr:cNvSpPr>
            <a:spLocks noChangeArrowheads="1"/>
          </xdr:cNvSpPr>
        </xdr:nvSpPr>
        <xdr:spPr bwMode="auto">
          <a:xfrm>
            <a:off x="769" y="13"/>
            <a:ext cx="93" cy="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84308" name="Picture 14"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1"/>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4309" name="Rectangle 15"/>
          <xdr:cNvSpPr>
            <a:spLocks noChangeArrowheads="1"/>
          </xdr:cNvSpPr>
        </xdr:nvSpPr>
        <xdr:spPr bwMode="auto">
          <a:xfrm>
            <a:off x="834" y="1"/>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2</xdr:col>
          <xdr:colOff>752475</xdr:colOff>
          <xdr:row>5</xdr:row>
          <xdr:rowOff>0</xdr:rowOff>
        </xdr:from>
        <xdr:to>
          <xdr:col>4</xdr:col>
          <xdr:colOff>9525</xdr:colOff>
          <xdr:row>5</xdr:row>
          <xdr:rowOff>0</xdr:rowOff>
        </xdr:to>
        <xdr:sp macro="" textlink="">
          <xdr:nvSpPr>
            <xdr:cNvPr id="83984" name="Object 16" hidden="1">
              <a:extLst>
                <a:ext uri="{63B3BB69-23CF-44E3-9099-C40C66FF867C}">
                  <a14:compatExt spid="_x0000_s83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762000</xdr:colOff>
          <xdr:row>1</xdr:row>
          <xdr:rowOff>47625</xdr:rowOff>
        </xdr:from>
        <xdr:to>
          <xdr:col>4</xdr:col>
          <xdr:colOff>19050</xdr:colOff>
          <xdr:row>1</xdr:row>
          <xdr:rowOff>190500</xdr:rowOff>
        </xdr:to>
        <xdr:sp macro="" textlink="">
          <xdr:nvSpPr>
            <xdr:cNvPr id="83985" name="Object 17" hidden="1">
              <a:extLst>
                <a:ext uri="{63B3BB69-23CF-44E3-9099-C40C66FF867C}">
                  <a14:compatExt spid="_x0000_s83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714375</xdr:colOff>
          <xdr:row>32</xdr:row>
          <xdr:rowOff>38100</xdr:rowOff>
        </xdr:from>
        <xdr:to>
          <xdr:col>3</xdr:col>
          <xdr:colOff>819150</xdr:colOff>
          <xdr:row>33</xdr:row>
          <xdr:rowOff>38100</xdr:rowOff>
        </xdr:to>
        <xdr:sp macro="" textlink="">
          <xdr:nvSpPr>
            <xdr:cNvPr id="83986" name="Object 18" hidden="1">
              <a:extLst>
                <a:ext uri="{63B3BB69-23CF-44E3-9099-C40C66FF867C}">
                  <a14:compatExt spid="_x0000_s83986"/>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1533525</xdr:colOff>
          <xdr:row>1</xdr:row>
          <xdr:rowOff>47625</xdr:rowOff>
        </xdr:from>
        <xdr:to>
          <xdr:col>4</xdr:col>
          <xdr:colOff>419100</xdr:colOff>
          <xdr:row>1</xdr:row>
          <xdr:rowOff>190500</xdr:rowOff>
        </xdr:to>
        <xdr:sp macro="" textlink="">
          <xdr:nvSpPr>
            <xdr:cNvPr id="25675" name="Object 75" hidden="1">
              <a:extLst>
                <a:ext uri="{63B3BB69-23CF-44E3-9099-C40C66FF867C}">
                  <a14:compatExt spid="_x0000_s25675"/>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276225</xdr:colOff>
          <xdr:row>1</xdr:row>
          <xdr:rowOff>28575</xdr:rowOff>
        </xdr:from>
        <xdr:to>
          <xdr:col>6</xdr:col>
          <xdr:colOff>628650</xdr:colOff>
          <xdr:row>1</xdr:row>
          <xdr:rowOff>171450</xdr:rowOff>
        </xdr:to>
        <xdr:sp macro="" textlink="">
          <xdr:nvSpPr>
            <xdr:cNvPr id="11359" name="Object 95" hidden="1">
              <a:extLst>
                <a:ext uri="{63B3BB69-23CF-44E3-9099-C40C66FF867C}">
                  <a14:compatExt spid="_x0000_s1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466725</xdr:colOff>
          <xdr:row>47</xdr:row>
          <xdr:rowOff>19050</xdr:rowOff>
        </xdr:from>
        <xdr:to>
          <xdr:col>6</xdr:col>
          <xdr:colOff>819150</xdr:colOff>
          <xdr:row>48</xdr:row>
          <xdr:rowOff>0</xdr:rowOff>
        </xdr:to>
        <xdr:sp macro="" textlink="">
          <xdr:nvSpPr>
            <xdr:cNvPr id="11361" name="Object 97" hidden="1">
              <a:extLst>
                <a:ext uri="{63B3BB69-23CF-44E3-9099-C40C66FF867C}">
                  <a14:compatExt spid="_x0000_s1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96</xdr:row>
          <xdr:rowOff>57150</xdr:rowOff>
        </xdr:from>
        <xdr:to>
          <xdr:col>6</xdr:col>
          <xdr:colOff>657225</xdr:colOff>
          <xdr:row>97</xdr:row>
          <xdr:rowOff>38100</xdr:rowOff>
        </xdr:to>
        <xdr:sp macro="" textlink="">
          <xdr:nvSpPr>
            <xdr:cNvPr id="11362" name="Object 98" hidden="1">
              <a:extLst>
                <a:ext uri="{63B3BB69-23CF-44E3-9099-C40C66FF867C}">
                  <a14:compatExt spid="_x0000_s11362"/>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381000</xdr:colOff>
          <xdr:row>1</xdr:row>
          <xdr:rowOff>28575</xdr:rowOff>
        </xdr:from>
        <xdr:to>
          <xdr:col>19</xdr:col>
          <xdr:colOff>161925</xdr:colOff>
          <xdr:row>1</xdr:row>
          <xdr:rowOff>171450</xdr:rowOff>
        </xdr:to>
        <xdr:sp macro="" textlink="">
          <xdr:nvSpPr>
            <xdr:cNvPr id="16440" name="Object 56" hidden="1">
              <a:extLst>
                <a:ext uri="{63B3BB69-23CF-44E3-9099-C40C66FF867C}">
                  <a14:compatExt spid="_x0000_s16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304800</xdr:colOff>
          <xdr:row>44</xdr:row>
          <xdr:rowOff>47625</xdr:rowOff>
        </xdr:from>
        <xdr:to>
          <xdr:col>19</xdr:col>
          <xdr:colOff>85725</xdr:colOff>
          <xdr:row>44</xdr:row>
          <xdr:rowOff>190500</xdr:rowOff>
        </xdr:to>
        <xdr:sp macro="" textlink="">
          <xdr:nvSpPr>
            <xdr:cNvPr id="16441" name="Object 57" hidden="1">
              <a:extLst>
                <a:ext uri="{63B3BB69-23CF-44E3-9099-C40C66FF867C}">
                  <a14:compatExt spid="_x0000_s16441"/>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1247775</xdr:colOff>
          <xdr:row>1</xdr:row>
          <xdr:rowOff>28575</xdr:rowOff>
        </xdr:from>
        <xdr:to>
          <xdr:col>4</xdr:col>
          <xdr:colOff>723900</xdr:colOff>
          <xdr:row>1</xdr:row>
          <xdr:rowOff>171450</xdr:rowOff>
        </xdr:to>
        <xdr:sp macro="" textlink="">
          <xdr:nvSpPr>
            <xdr:cNvPr id="5153" name="Object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371475</xdr:colOff>
          <xdr:row>1</xdr:row>
          <xdr:rowOff>38100</xdr:rowOff>
        </xdr:from>
        <xdr:to>
          <xdr:col>4</xdr:col>
          <xdr:colOff>276225</xdr:colOff>
          <xdr:row>1</xdr:row>
          <xdr:rowOff>180975</xdr:rowOff>
        </xdr:to>
        <xdr:sp macro="" textlink="">
          <xdr:nvSpPr>
            <xdr:cNvPr id="86017" name="Object 1" hidden="1">
              <a:extLst>
                <a:ext uri="{63B3BB69-23CF-44E3-9099-C40C66FF867C}">
                  <a14:compatExt spid="_x0000_s8601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23</xdr:row>
          <xdr:rowOff>9525</xdr:rowOff>
        </xdr:from>
        <xdr:to>
          <xdr:col>3</xdr:col>
          <xdr:colOff>190500</xdr:colOff>
          <xdr:row>24</xdr:row>
          <xdr:rowOff>76200</xdr:rowOff>
        </xdr:to>
        <xdr:sp macro="" textlink="">
          <xdr:nvSpPr>
            <xdr:cNvPr id="81922" name="Check Box 2" hidden="1">
              <a:extLst>
                <a:ext uri="{63B3BB69-23CF-44E3-9099-C40C66FF867C}">
                  <a14:compatExt spid="_x0000_s81922"/>
                </a:ext>
              </a:extLst>
            </xdr:cNvPr>
            <xdr:cNvSpPr/>
          </xdr:nvSpPr>
          <xdr:spPr>
            <a:xfrm>
              <a:off x="0" y="0"/>
              <a:ext cx="0" cy="0"/>
            </a:xfrm>
            <a:prstGeom prst="rect">
              <a:avLst/>
            </a:prstGeom>
          </xdr:spPr>
        </xdr:sp>
        <xdr:clientData fLocksWithSheet="0"/>
      </xdr:twoCellAnchor>
    </mc:Choice>
    <mc:Fallback/>
  </mc:AlternateContent>
  <xdr:twoCellAnchor>
    <xdr:from>
      <xdr:col>11</xdr:col>
      <xdr:colOff>247650</xdr:colOff>
      <xdr:row>2</xdr:row>
      <xdr:rowOff>0</xdr:rowOff>
    </xdr:from>
    <xdr:to>
      <xdr:col>14</xdr:col>
      <xdr:colOff>200025</xdr:colOff>
      <xdr:row>6</xdr:row>
      <xdr:rowOff>133350</xdr:rowOff>
    </xdr:to>
    <xdr:pic>
      <xdr:nvPicPr>
        <xdr:cNvPr id="81944" name="Picture 3" descr="01 nza logo pms 100mm PMS 463 [basi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9975" y="419100"/>
          <a:ext cx="1809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1266825</xdr:colOff>
          <xdr:row>1</xdr:row>
          <xdr:rowOff>57150</xdr:rowOff>
        </xdr:from>
        <xdr:to>
          <xdr:col>8</xdr:col>
          <xdr:colOff>0</xdr:colOff>
          <xdr:row>2</xdr:row>
          <xdr:rowOff>0</xdr:rowOff>
        </xdr:to>
        <xdr:sp macro="" textlink="">
          <xdr:nvSpPr>
            <xdr:cNvPr id="28694" name="Object 22" hidden="1">
              <a:extLst>
                <a:ext uri="{63B3BB69-23CF-44E3-9099-C40C66FF867C}">
                  <a14:compatExt spid="_x0000_s2869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0</xdr:colOff>
      <xdr:row>19</xdr:row>
      <xdr:rowOff>0</xdr:rowOff>
    </xdr:from>
    <xdr:to>
      <xdr:col>3</xdr:col>
      <xdr:colOff>0</xdr:colOff>
      <xdr:row>19</xdr:row>
      <xdr:rowOff>0</xdr:rowOff>
    </xdr:to>
    <xdr:grpSp>
      <xdr:nvGrpSpPr>
        <xdr:cNvPr id="26875" name="Group 61"/>
        <xdr:cNvGrpSpPr>
          <a:grpSpLocks/>
        </xdr:cNvGrpSpPr>
      </xdr:nvGrpSpPr>
      <xdr:grpSpPr bwMode="auto">
        <a:xfrm>
          <a:off x="7915275" y="7077075"/>
          <a:ext cx="0" cy="0"/>
          <a:chOff x="769" y="35"/>
          <a:chExt cx="110" cy="41"/>
        </a:xfrm>
      </xdr:grpSpPr>
      <xdr:sp macro="" textlink="">
        <xdr:nvSpPr>
          <xdr:cNvPr id="26876" name="Rectangle 62"/>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6877" name="Rectangle 63"/>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26878" name="Picture 64"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6879" name="Rectangle 65"/>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2</xdr:col>
          <xdr:colOff>752475</xdr:colOff>
          <xdr:row>19</xdr:row>
          <xdr:rowOff>0</xdr:rowOff>
        </xdr:from>
        <xdr:to>
          <xdr:col>4</xdr:col>
          <xdr:colOff>9525</xdr:colOff>
          <xdr:row>19</xdr:row>
          <xdr:rowOff>0</xdr:rowOff>
        </xdr:to>
        <xdr:sp macro="" textlink="">
          <xdr:nvSpPr>
            <xdr:cNvPr id="26771" name="Object 147" hidden="1">
              <a:extLst>
                <a:ext uri="{63B3BB69-23CF-44E3-9099-C40C66FF867C}">
                  <a14:compatExt spid="_x0000_s26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762000</xdr:colOff>
          <xdr:row>1</xdr:row>
          <xdr:rowOff>47625</xdr:rowOff>
        </xdr:from>
        <xdr:to>
          <xdr:col>4</xdr:col>
          <xdr:colOff>19050</xdr:colOff>
          <xdr:row>1</xdr:row>
          <xdr:rowOff>190500</xdr:rowOff>
        </xdr:to>
        <xdr:sp macro="" textlink="">
          <xdr:nvSpPr>
            <xdr:cNvPr id="26772" name="Object 148" hidden="1">
              <a:extLst>
                <a:ext uri="{63B3BB69-23CF-44E3-9099-C40C66FF867C}">
                  <a14:compatExt spid="_x0000_s26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714375</xdr:colOff>
          <xdr:row>19</xdr:row>
          <xdr:rowOff>0</xdr:rowOff>
        </xdr:from>
        <xdr:to>
          <xdr:col>2</xdr:col>
          <xdr:colOff>819150</xdr:colOff>
          <xdr:row>19</xdr:row>
          <xdr:rowOff>0</xdr:rowOff>
        </xdr:to>
        <xdr:sp macro="" textlink="">
          <xdr:nvSpPr>
            <xdr:cNvPr id="26773" name="Object 149" hidden="1">
              <a:extLst>
                <a:ext uri="{63B3BB69-23CF-44E3-9099-C40C66FF867C}">
                  <a14:compatExt spid="_x0000_s26773"/>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0</xdr:colOff>
      <xdr:row>33</xdr:row>
      <xdr:rowOff>0</xdr:rowOff>
    </xdr:from>
    <xdr:to>
      <xdr:col>7</xdr:col>
      <xdr:colOff>0</xdr:colOff>
      <xdr:row>33</xdr:row>
      <xdr:rowOff>0</xdr:rowOff>
    </xdr:to>
    <xdr:grpSp>
      <xdr:nvGrpSpPr>
        <xdr:cNvPr id="20957" name="Group 71"/>
        <xdr:cNvGrpSpPr>
          <a:grpSpLocks/>
        </xdr:cNvGrpSpPr>
      </xdr:nvGrpSpPr>
      <xdr:grpSpPr bwMode="auto">
        <a:xfrm>
          <a:off x="7010400" y="5381625"/>
          <a:ext cx="0" cy="0"/>
          <a:chOff x="790" y="4"/>
          <a:chExt cx="90" cy="54"/>
        </a:xfrm>
      </xdr:grpSpPr>
      <xdr:sp macro="" textlink="">
        <xdr:nvSpPr>
          <xdr:cNvPr id="20970" name="Rectangle 72"/>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20971" name="Picture 73"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554" name="Text Box 74"/>
          <xdr:cNvSpPr txBox="1">
            <a:spLocks noChangeArrowheads="1"/>
          </xdr:cNvSpPr>
        </xdr:nvSpPr>
        <xdr:spPr bwMode="auto">
          <a:xfrm>
            <a:off x="7010400" y="538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7</xdr:col>
      <xdr:colOff>0</xdr:colOff>
      <xdr:row>33</xdr:row>
      <xdr:rowOff>0</xdr:rowOff>
    </xdr:from>
    <xdr:to>
      <xdr:col>7</xdr:col>
      <xdr:colOff>0</xdr:colOff>
      <xdr:row>33</xdr:row>
      <xdr:rowOff>0</xdr:rowOff>
    </xdr:to>
    <xdr:grpSp>
      <xdr:nvGrpSpPr>
        <xdr:cNvPr id="20958" name="Group 75"/>
        <xdr:cNvGrpSpPr>
          <a:grpSpLocks/>
        </xdr:cNvGrpSpPr>
      </xdr:nvGrpSpPr>
      <xdr:grpSpPr bwMode="auto">
        <a:xfrm>
          <a:off x="7010400" y="5381625"/>
          <a:ext cx="0" cy="0"/>
          <a:chOff x="790" y="4"/>
          <a:chExt cx="90" cy="54"/>
        </a:xfrm>
      </xdr:grpSpPr>
      <xdr:sp macro="" textlink="">
        <xdr:nvSpPr>
          <xdr:cNvPr id="20967" name="Rectangle 76"/>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20968" name="Picture 77"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558" name="Text Box 78"/>
          <xdr:cNvSpPr txBox="1">
            <a:spLocks noChangeArrowheads="1"/>
          </xdr:cNvSpPr>
        </xdr:nvSpPr>
        <xdr:spPr bwMode="auto">
          <a:xfrm>
            <a:off x="7010400" y="538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9</xdr:col>
      <xdr:colOff>0</xdr:colOff>
      <xdr:row>33</xdr:row>
      <xdr:rowOff>0</xdr:rowOff>
    </xdr:from>
    <xdr:to>
      <xdr:col>9</xdr:col>
      <xdr:colOff>0</xdr:colOff>
      <xdr:row>33</xdr:row>
      <xdr:rowOff>0</xdr:rowOff>
    </xdr:to>
    <xdr:grpSp>
      <xdr:nvGrpSpPr>
        <xdr:cNvPr id="20959" name="Group 132"/>
        <xdr:cNvGrpSpPr>
          <a:grpSpLocks/>
        </xdr:cNvGrpSpPr>
      </xdr:nvGrpSpPr>
      <xdr:grpSpPr bwMode="auto">
        <a:xfrm>
          <a:off x="10706100" y="5381625"/>
          <a:ext cx="0" cy="0"/>
          <a:chOff x="790" y="4"/>
          <a:chExt cx="90" cy="54"/>
        </a:xfrm>
      </xdr:grpSpPr>
      <xdr:sp macro="" textlink="">
        <xdr:nvSpPr>
          <xdr:cNvPr id="20964" name="Rectangle 133"/>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20965" name="Picture 134"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615" name="Text Box 135"/>
          <xdr:cNvSpPr txBox="1">
            <a:spLocks noChangeArrowheads="1"/>
          </xdr:cNvSpPr>
        </xdr:nvSpPr>
        <xdr:spPr bwMode="auto">
          <a:xfrm>
            <a:off x="10706100" y="538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9</xdr:col>
      <xdr:colOff>0</xdr:colOff>
      <xdr:row>33</xdr:row>
      <xdr:rowOff>0</xdr:rowOff>
    </xdr:from>
    <xdr:to>
      <xdr:col>9</xdr:col>
      <xdr:colOff>0</xdr:colOff>
      <xdr:row>33</xdr:row>
      <xdr:rowOff>0</xdr:rowOff>
    </xdr:to>
    <xdr:grpSp>
      <xdr:nvGrpSpPr>
        <xdr:cNvPr id="20960" name="Group 136"/>
        <xdr:cNvGrpSpPr>
          <a:grpSpLocks/>
        </xdr:cNvGrpSpPr>
      </xdr:nvGrpSpPr>
      <xdr:grpSpPr bwMode="auto">
        <a:xfrm>
          <a:off x="10706100" y="5381625"/>
          <a:ext cx="0" cy="0"/>
          <a:chOff x="790" y="4"/>
          <a:chExt cx="90" cy="54"/>
        </a:xfrm>
      </xdr:grpSpPr>
      <xdr:sp macro="" textlink="">
        <xdr:nvSpPr>
          <xdr:cNvPr id="20961" name="Rectangle 137"/>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20962" name="Picture 138"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619" name="Text Box 139"/>
          <xdr:cNvSpPr txBox="1">
            <a:spLocks noChangeArrowheads="1"/>
          </xdr:cNvSpPr>
        </xdr:nvSpPr>
        <xdr:spPr bwMode="auto">
          <a:xfrm>
            <a:off x="10706100" y="538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mc:AlternateContent xmlns:mc="http://schemas.openxmlformats.org/markup-compatibility/2006">
    <mc:Choice xmlns:a14="http://schemas.microsoft.com/office/drawing/2010/main" Requires="a14">
      <xdr:twoCellAnchor>
        <xdr:from>
          <xdr:col>8</xdr:col>
          <xdr:colOff>514350</xdr:colOff>
          <xdr:row>1</xdr:row>
          <xdr:rowOff>19050</xdr:rowOff>
        </xdr:from>
        <xdr:to>
          <xdr:col>9</xdr:col>
          <xdr:colOff>228600</xdr:colOff>
          <xdr:row>1</xdr:row>
          <xdr:rowOff>161925</xdr:rowOff>
        </xdr:to>
        <xdr:sp macro="" textlink="">
          <xdr:nvSpPr>
            <xdr:cNvPr id="20636" name="Object 156" hidden="1">
              <a:extLst>
                <a:ext uri="{63B3BB69-23CF-44E3-9099-C40C66FF867C}">
                  <a14:compatExt spid="_x0000_s20636"/>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333375</xdr:colOff>
          <xdr:row>1</xdr:row>
          <xdr:rowOff>47625</xdr:rowOff>
        </xdr:from>
        <xdr:to>
          <xdr:col>6</xdr:col>
          <xdr:colOff>752475</xdr:colOff>
          <xdr:row>1</xdr:row>
          <xdr:rowOff>190500</xdr:rowOff>
        </xdr:to>
        <xdr:sp macro="" textlink="">
          <xdr:nvSpPr>
            <xdr:cNvPr id="74806" name="Object 54" hidden="1">
              <a:extLst>
                <a:ext uri="{63B3BB69-23CF-44E3-9099-C40C66FF867C}">
                  <a14:compatExt spid="_x0000_s74806"/>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6</xdr:col>
      <xdr:colOff>0</xdr:colOff>
      <xdr:row>20</xdr:row>
      <xdr:rowOff>0</xdr:rowOff>
    </xdr:from>
    <xdr:to>
      <xdr:col>6</xdr:col>
      <xdr:colOff>0</xdr:colOff>
      <xdr:row>20</xdr:row>
      <xdr:rowOff>0</xdr:rowOff>
    </xdr:to>
    <xdr:grpSp>
      <xdr:nvGrpSpPr>
        <xdr:cNvPr id="83261" name="Group 1"/>
        <xdr:cNvGrpSpPr>
          <a:grpSpLocks/>
        </xdr:cNvGrpSpPr>
      </xdr:nvGrpSpPr>
      <xdr:grpSpPr bwMode="auto">
        <a:xfrm>
          <a:off x="4419600" y="3438525"/>
          <a:ext cx="0" cy="0"/>
          <a:chOff x="769" y="35"/>
          <a:chExt cx="110" cy="41"/>
        </a:xfrm>
      </xdr:grpSpPr>
      <xdr:sp macro="" textlink="">
        <xdr:nvSpPr>
          <xdr:cNvPr id="83272" name="Rectangle 2"/>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273" name="Rectangle 3"/>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83274" name="Picture 4"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3275" name="Rectangle 5"/>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6</xdr:col>
      <xdr:colOff>0</xdr:colOff>
      <xdr:row>20</xdr:row>
      <xdr:rowOff>0</xdr:rowOff>
    </xdr:from>
    <xdr:to>
      <xdr:col>6</xdr:col>
      <xdr:colOff>0</xdr:colOff>
      <xdr:row>20</xdr:row>
      <xdr:rowOff>0</xdr:rowOff>
    </xdr:to>
    <xdr:grpSp>
      <xdr:nvGrpSpPr>
        <xdr:cNvPr id="83262" name="Group 6"/>
        <xdr:cNvGrpSpPr>
          <a:grpSpLocks/>
        </xdr:cNvGrpSpPr>
      </xdr:nvGrpSpPr>
      <xdr:grpSpPr bwMode="auto">
        <a:xfrm>
          <a:off x="4419600" y="3438525"/>
          <a:ext cx="0" cy="0"/>
          <a:chOff x="769" y="35"/>
          <a:chExt cx="110" cy="41"/>
        </a:xfrm>
      </xdr:grpSpPr>
      <xdr:sp macro="" textlink="">
        <xdr:nvSpPr>
          <xdr:cNvPr id="83268" name="Rectangle 7"/>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269" name="Rectangle 8"/>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83270" name="Picture 9"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3271" name="Rectangle 10"/>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6</xdr:col>
      <xdr:colOff>0</xdr:colOff>
      <xdr:row>20</xdr:row>
      <xdr:rowOff>0</xdr:rowOff>
    </xdr:from>
    <xdr:to>
      <xdr:col>6</xdr:col>
      <xdr:colOff>0</xdr:colOff>
      <xdr:row>20</xdr:row>
      <xdr:rowOff>0</xdr:rowOff>
    </xdr:to>
    <xdr:grpSp>
      <xdr:nvGrpSpPr>
        <xdr:cNvPr id="83263" name="Group 11"/>
        <xdr:cNvGrpSpPr>
          <a:grpSpLocks/>
        </xdr:cNvGrpSpPr>
      </xdr:nvGrpSpPr>
      <xdr:grpSpPr bwMode="auto">
        <a:xfrm>
          <a:off x="4419600" y="3438525"/>
          <a:ext cx="0" cy="0"/>
          <a:chOff x="769" y="35"/>
          <a:chExt cx="110" cy="41"/>
        </a:xfrm>
      </xdr:grpSpPr>
      <xdr:sp macro="" textlink="">
        <xdr:nvSpPr>
          <xdr:cNvPr id="83264" name="Rectangle 12"/>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265" name="Rectangle 13"/>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83266" name="Picture 14"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3267" name="Rectangle 15"/>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11</xdr:col>
          <xdr:colOff>447675</xdr:colOff>
          <xdr:row>1</xdr:row>
          <xdr:rowOff>47625</xdr:rowOff>
        </xdr:from>
        <xdr:to>
          <xdr:col>13</xdr:col>
          <xdr:colOff>333375</xdr:colOff>
          <xdr:row>1</xdr:row>
          <xdr:rowOff>190500</xdr:rowOff>
        </xdr:to>
        <xdr:sp macro="" textlink="">
          <xdr:nvSpPr>
            <xdr:cNvPr id="82960" name="Object 16" hidden="1">
              <a:extLst>
                <a:ext uri="{63B3BB69-23CF-44E3-9099-C40C66FF867C}">
                  <a14:compatExt spid="_x0000_s82960"/>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38100</xdr:colOff>
          <xdr:row>1</xdr:row>
          <xdr:rowOff>38100</xdr:rowOff>
        </xdr:from>
        <xdr:to>
          <xdr:col>4</xdr:col>
          <xdr:colOff>523875</xdr:colOff>
          <xdr:row>1</xdr:row>
          <xdr:rowOff>180975</xdr:rowOff>
        </xdr:to>
        <xdr:sp macro="" textlink="">
          <xdr:nvSpPr>
            <xdr:cNvPr id="75793" name="Object 17" hidden="1">
              <a:extLst>
                <a:ext uri="{63B3BB69-23CF-44E3-9099-C40C66FF867C}">
                  <a14:compatExt spid="_x0000_s75793"/>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12</xdr:row>
          <xdr:rowOff>114300</xdr:rowOff>
        </xdr:from>
        <xdr:to>
          <xdr:col>3</xdr:col>
          <xdr:colOff>495300</xdr:colOff>
          <xdr:row>14</xdr:row>
          <xdr:rowOff>9525</xdr:rowOff>
        </xdr:to>
        <xdr:sp macro="" textlink="">
          <xdr:nvSpPr>
            <xdr:cNvPr id="62480" name="Option Button 16" hidden="1">
              <a:extLst>
                <a:ext uri="{63B3BB69-23CF-44E3-9099-C40C66FF867C}">
                  <a14:compatExt spid="_x0000_s624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66675</xdr:rowOff>
        </xdr:from>
        <xdr:to>
          <xdr:col>4</xdr:col>
          <xdr:colOff>495300</xdr:colOff>
          <xdr:row>14</xdr:row>
          <xdr:rowOff>66675</xdr:rowOff>
        </xdr:to>
        <xdr:sp macro="" textlink="">
          <xdr:nvSpPr>
            <xdr:cNvPr id="62481" name="Option Button 17" hidden="1">
              <a:extLst>
                <a:ext uri="{63B3BB69-23CF-44E3-9099-C40C66FF867C}">
                  <a14:compatExt spid="_x0000_s624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12</xdr:row>
          <xdr:rowOff>9525</xdr:rowOff>
        </xdr:from>
        <xdr:to>
          <xdr:col>5</xdr:col>
          <xdr:colOff>9525</xdr:colOff>
          <xdr:row>15</xdr:row>
          <xdr:rowOff>0</xdr:rowOff>
        </xdr:to>
        <xdr:sp macro="" textlink="">
          <xdr:nvSpPr>
            <xdr:cNvPr id="62482" name="Group Box 18" hidden="1">
              <a:extLst>
                <a:ext uri="{63B3BB69-23CF-44E3-9099-C40C66FF867C}">
                  <a14:compatExt spid="_x0000_s62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6</xdr:col>
          <xdr:colOff>9525</xdr:colOff>
          <xdr:row>19</xdr:row>
          <xdr:rowOff>142875</xdr:rowOff>
        </xdr:to>
        <xdr:sp macro="" textlink="">
          <xdr:nvSpPr>
            <xdr:cNvPr id="62495" name="Group Box 31" hidden="1">
              <a:extLst>
                <a:ext uri="{63B3BB69-23CF-44E3-9099-C40C66FF867C}">
                  <a14:compatExt spid="_x0000_s62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17</xdr:row>
          <xdr:rowOff>47625</xdr:rowOff>
        </xdr:from>
        <xdr:to>
          <xdr:col>4</xdr:col>
          <xdr:colOff>495300</xdr:colOff>
          <xdr:row>19</xdr:row>
          <xdr:rowOff>47625</xdr:rowOff>
        </xdr:to>
        <xdr:sp macro="" textlink="">
          <xdr:nvSpPr>
            <xdr:cNvPr id="62496" name="Option Button 32" hidden="1">
              <a:extLst>
                <a:ext uri="{63B3BB69-23CF-44E3-9099-C40C66FF867C}">
                  <a14:compatExt spid="_x0000_s624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17</xdr:row>
          <xdr:rowOff>47625</xdr:rowOff>
        </xdr:from>
        <xdr:to>
          <xdr:col>5</xdr:col>
          <xdr:colOff>495300</xdr:colOff>
          <xdr:row>19</xdr:row>
          <xdr:rowOff>47625</xdr:rowOff>
        </xdr:to>
        <xdr:sp macro="" textlink="">
          <xdr:nvSpPr>
            <xdr:cNvPr id="62497" name="Option Button 33" hidden="1">
              <a:extLst>
                <a:ext uri="{63B3BB69-23CF-44E3-9099-C40C66FF867C}">
                  <a14:compatExt spid="_x0000_s624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6</xdr:col>
          <xdr:colOff>9525</xdr:colOff>
          <xdr:row>20</xdr:row>
          <xdr:rowOff>0</xdr:rowOff>
        </xdr:to>
        <xdr:sp macro="" textlink="">
          <xdr:nvSpPr>
            <xdr:cNvPr id="62499" name="Group Box 35" hidden="1">
              <a:extLst>
                <a:ext uri="{63B3BB69-23CF-44E3-9099-C40C66FF867C}">
                  <a14:compatExt spid="_x0000_s62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xdr:row>
          <xdr:rowOff>123825</xdr:rowOff>
        </xdr:from>
        <xdr:to>
          <xdr:col>4</xdr:col>
          <xdr:colOff>485775</xdr:colOff>
          <xdr:row>22</xdr:row>
          <xdr:rowOff>28575</xdr:rowOff>
        </xdr:to>
        <xdr:sp macro="" textlink="">
          <xdr:nvSpPr>
            <xdr:cNvPr id="62502" name="Option Button 38" hidden="1">
              <a:extLst>
                <a:ext uri="{63B3BB69-23CF-44E3-9099-C40C66FF867C}">
                  <a14:compatExt spid="_x0000_s625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0</xdr:rowOff>
        </xdr:from>
        <xdr:to>
          <xdr:col>6</xdr:col>
          <xdr:colOff>28575</xdr:colOff>
          <xdr:row>22</xdr:row>
          <xdr:rowOff>142875</xdr:rowOff>
        </xdr:to>
        <xdr:sp macro="" textlink="">
          <xdr:nvSpPr>
            <xdr:cNvPr id="62503" name="Group Box 39" hidden="1">
              <a:extLst>
                <a:ext uri="{63B3BB69-23CF-44E3-9099-C40C66FF867C}">
                  <a14:compatExt spid="_x0000_s62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20</xdr:row>
          <xdr:rowOff>85725</xdr:rowOff>
        </xdr:from>
        <xdr:to>
          <xdr:col>3</xdr:col>
          <xdr:colOff>523875</xdr:colOff>
          <xdr:row>22</xdr:row>
          <xdr:rowOff>85725</xdr:rowOff>
        </xdr:to>
        <xdr:sp macro="" textlink="">
          <xdr:nvSpPr>
            <xdr:cNvPr id="62504" name="Option Button 40" hidden="1">
              <a:extLst>
                <a:ext uri="{63B3BB69-23CF-44E3-9099-C40C66FF867C}">
                  <a14:compatExt spid="_x0000_s625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20</xdr:row>
          <xdr:rowOff>66675</xdr:rowOff>
        </xdr:from>
        <xdr:to>
          <xdr:col>5</xdr:col>
          <xdr:colOff>495300</xdr:colOff>
          <xdr:row>22</xdr:row>
          <xdr:rowOff>66675</xdr:rowOff>
        </xdr:to>
        <xdr:sp macro="" textlink="">
          <xdr:nvSpPr>
            <xdr:cNvPr id="62505" name="Option Button 41" hidden="1">
              <a:extLst>
                <a:ext uri="{63B3BB69-23CF-44E3-9099-C40C66FF867C}">
                  <a14:compatExt spid="_x0000_s625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28</xdr:row>
          <xdr:rowOff>57150</xdr:rowOff>
        </xdr:from>
        <xdr:to>
          <xdr:col>4</xdr:col>
          <xdr:colOff>495300</xdr:colOff>
          <xdr:row>30</xdr:row>
          <xdr:rowOff>66675</xdr:rowOff>
        </xdr:to>
        <xdr:sp macro="" textlink="">
          <xdr:nvSpPr>
            <xdr:cNvPr id="62510" name="Option Button 46" hidden="1">
              <a:extLst>
                <a:ext uri="{63B3BB69-23CF-44E3-9099-C40C66FF867C}">
                  <a14:compatExt spid="_x0000_s625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28</xdr:row>
          <xdr:rowOff>0</xdr:rowOff>
        </xdr:from>
        <xdr:to>
          <xdr:col>5</xdr:col>
          <xdr:colOff>9525</xdr:colOff>
          <xdr:row>31</xdr:row>
          <xdr:rowOff>0</xdr:rowOff>
        </xdr:to>
        <xdr:sp macro="" textlink="">
          <xdr:nvSpPr>
            <xdr:cNvPr id="62511" name="Group Box 47" hidden="1">
              <a:extLst>
                <a:ext uri="{63B3BB69-23CF-44E3-9099-C40C66FF867C}">
                  <a14:compatExt spid="_x0000_s62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45</xdr:row>
          <xdr:rowOff>0</xdr:rowOff>
        </xdr:from>
        <xdr:to>
          <xdr:col>6</xdr:col>
          <xdr:colOff>9525</xdr:colOff>
          <xdr:row>48</xdr:row>
          <xdr:rowOff>0</xdr:rowOff>
        </xdr:to>
        <xdr:sp macro="" textlink="">
          <xdr:nvSpPr>
            <xdr:cNvPr id="62517" name="Group Box 53" hidden="1">
              <a:extLst>
                <a:ext uri="{63B3BB69-23CF-44E3-9099-C40C66FF867C}">
                  <a14:compatExt spid="_x0000_s62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45</xdr:row>
          <xdr:rowOff>114300</xdr:rowOff>
        </xdr:from>
        <xdr:to>
          <xdr:col>3</xdr:col>
          <xdr:colOff>495300</xdr:colOff>
          <xdr:row>47</xdr:row>
          <xdr:rowOff>9525</xdr:rowOff>
        </xdr:to>
        <xdr:sp macro="" textlink="">
          <xdr:nvSpPr>
            <xdr:cNvPr id="62520" name="Option Button 56" hidden="1">
              <a:extLst>
                <a:ext uri="{63B3BB69-23CF-44E3-9099-C40C66FF867C}">
                  <a14:compatExt spid="_x0000_s625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9525</xdr:rowOff>
        </xdr:from>
        <xdr:to>
          <xdr:col>6</xdr:col>
          <xdr:colOff>9525</xdr:colOff>
          <xdr:row>48</xdr:row>
          <xdr:rowOff>0</xdr:rowOff>
        </xdr:to>
        <xdr:sp macro="" textlink="">
          <xdr:nvSpPr>
            <xdr:cNvPr id="62521" name="Group Box 57" hidden="1">
              <a:extLst>
                <a:ext uri="{63B3BB69-23CF-44E3-9099-C40C66FF867C}">
                  <a14:compatExt spid="_x0000_s62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45</xdr:row>
          <xdr:rowOff>66675</xdr:rowOff>
        </xdr:from>
        <xdr:to>
          <xdr:col>4</xdr:col>
          <xdr:colOff>495300</xdr:colOff>
          <xdr:row>47</xdr:row>
          <xdr:rowOff>66675</xdr:rowOff>
        </xdr:to>
        <xdr:sp macro="" textlink="">
          <xdr:nvSpPr>
            <xdr:cNvPr id="62522" name="Option Button 58" hidden="1">
              <a:extLst>
                <a:ext uri="{63B3BB69-23CF-44E3-9099-C40C66FF867C}">
                  <a14:compatExt spid="_x0000_s625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45</xdr:row>
          <xdr:rowOff>66675</xdr:rowOff>
        </xdr:from>
        <xdr:to>
          <xdr:col>5</xdr:col>
          <xdr:colOff>495300</xdr:colOff>
          <xdr:row>47</xdr:row>
          <xdr:rowOff>66675</xdr:rowOff>
        </xdr:to>
        <xdr:sp macro="" textlink="">
          <xdr:nvSpPr>
            <xdr:cNvPr id="62523" name="Option Button 59" hidden="1">
              <a:extLst>
                <a:ext uri="{63B3BB69-23CF-44E3-9099-C40C66FF867C}">
                  <a14:compatExt spid="_x0000_s625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48</xdr:row>
          <xdr:rowOff>114300</xdr:rowOff>
        </xdr:from>
        <xdr:to>
          <xdr:col>3</xdr:col>
          <xdr:colOff>495300</xdr:colOff>
          <xdr:row>50</xdr:row>
          <xdr:rowOff>9525</xdr:rowOff>
        </xdr:to>
        <xdr:sp macro="" textlink="">
          <xdr:nvSpPr>
            <xdr:cNvPr id="62524" name="Option Button 60" hidden="1">
              <a:extLst>
                <a:ext uri="{63B3BB69-23CF-44E3-9099-C40C66FF867C}">
                  <a14:compatExt spid="_x0000_s625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48</xdr:row>
          <xdr:rowOff>9525</xdr:rowOff>
        </xdr:from>
        <xdr:to>
          <xdr:col>6</xdr:col>
          <xdr:colOff>9525</xdr:colOff>
          <xdr:row>51</xdr:row>
          <xdr:rowOff>0</xdr:rowOff>
        </xdr:to>
        <xdr:sp macro="" textlink="">
          <xdr:nvSpPr>
            <xdr:cNvPr id="62525" name="Group Box 61" hidden="1">
              <a:extLst>
                <a:ext uri="{63B3BB69-23CF-44E3-9099-C40C66FF867C}">
                  <a14:compatExt spid="_x0000_s62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48</xdr:row>
          <xdr:rowOff>66675</xdr:rowOff>
        </xdr:from>
        <xdr:to>
          <xdr:col>4</xdr:col>
          <xdr:colOff>495300</xdr:colOff>
          <xdr:row>50</xdr:row>
          <xdr:rowOff>66675</xdr:rowOff>
        </xdr:to>
        <xdr:sp macro="" textlink="">
          <xdr:nvSpPr>
            <xdr:cNvPr id="62526" name="Option Button 62" hidden="1">
              <a:extLst>
                <a:ext uri="{63B3BB69-23CF-44E3-9099-C40C66FF867C}">
                  <a14:compatExt spid="_x0000_s625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48</xdr:row>
          <xdr:rowOff>66675</xdr:rowOff>
        </xdr:from>
        <xdr:to>
          <xdr:col>5</xdr:col>
          <xdr:colOff>495300</xdr:colOff>
          <xdr:row>50</xdr:row>
          <xdr:rowOff>66675</xdr:rowOff>
        </xdr:to>
        <xdr:sp macro="" textlink="">
          <xdr:nvSpPr>
            <xdr:cNvPr id="62527" name="Option Button 63" hidden="1">
              <a:extLst>
                <a:ext uri="{63B3BB69-23CF-44E3-9099-C40C66FF867C}">
                  <a14:compatExt spid="_x0000_s625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51</xdr:row>
          <xdr:rowOff>114300</xdr:rowOff>
        </xdr:from>
        <xdr:to>
          <xdr:col>3</xdr:col>
          <xdr:colOff>495300</xdr:colOff>
          <xdr:row>53</xdr:row>
          <xdr:rowOff>9525</xdr:rowOff>
        </xdr:to>
        <xdr:sp macro="" textlink="">
          <xdr:nvSpPr>
            <xdr:cNvPr id="62528" name="Option Button 64" hidden="1">
              <a:extLst>
                <a:ext uri="{63B3BB69-23CF-44E3-9099-C40C66FF867C}">
                  <a14:compatExt spid="_x0000_s625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51</xdr:row>
          <xdr:rowOff>66675</xdr:rowOff>
        </xdr:from>
        <xdr:to>
          <xdr:col>4</xdr:col>
          <xdr:colOff>495300</xdr:colOff>
          <xdr:row>53</xdr:row>
          <xdr:rowOff>66675</xdr:rowOff>
        </xdr:to>
        <xdr:sp macro="" textlink="">
          <xdr:nvSpPr>
            <xdr:cNvPr id="62530" name="Option Button 66" hidden="1">
              <a:extLst>
                <a:ext uri="{63B3BB69-23CF-44E3-9099-C40C66FF867C}">
                  <a14:compatExt spid="_x0000_s62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51</xdr:row>
          <xdr:rowOff>66675</xdr:rowOff>
        </xdr:from>
        <xdr:to>
          <xdr:col>5</xdr:col>
          <xdr:colOff>495300</xdr:colOff>
          <xdr:row>53</xdr:row>
          <xdr:rowOff>66675</xdr:rowOff>
        </xdr:to>
        <xdr:sp macro="" textlink="">
          <xdr:nvSpPr>
            <xdr:cNvPr id="62531" name="Option Button 67" hidden="1">
              <a:extLst>
                <a:ext uri="{63B3BB69-23CF-44E3-9099-C40C66FF867C}">
                  <a14:compatExt spid="_x0000_s62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54</xdr:row>
          <xdr:rowOff>114300</xdr:rowOff>
        </xdr:from>
        <xdr:to>
          <xdr:col>3</xdr:col>
          <xdr:colOff>495300</xdr:colOff>
          <xdr:row>56</xdr:row>
          <xdr:rowOff>9525</xdr:rowOff>
        </xdr:to>
        <xdr:sp macro="" textlink="">
          <xdr:nvSpPr>
            <xdr:cNvPr id="62532" name="Option Button 68" hidden="1">
              <a:extLst>
                <a:ext uri="{63B3BB69-23CF-44E3-9099-C40C66FF867C}">
                  <a14:compatExt spid="_x0000_s62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54</xdr:row>
          <xdr:rowOff>9525</xdr:rowOff>
        </xdr:from>
        <xdr:to>
          <xdr:col>6</xdr:col>
          <xdr:colOff>9525</xdr:colOff>
          <xdr:row>57</xdr:row>
          <xdr:rowOff>0</xdr:rowOff>
        </xdr:to>
        <xdr:sp macro="" textlink="">
          <xdr:nvSpPr>
            <xdr:cNvPr id="62533" name="Group Box 69" hidden="1">
              <a:extLst>
                <a:ext uri="{63B3BB69-23CF-44E3-9099-C40C66FF867C}">
                  <a14:compatExt spid="_x0000_s6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54</xdr:row>
          <xdr:rowOff>66675</xdr:rowOff>
        </xdr:from>
        <xdr:to>
          <xdr:col>4</xdr:col>
          <xdr:colOff>495300</xdr:colOff>
          <xdr:row>56</xdr:row>
          <xdr:rowOff>66675</xdr:rowOff>
        </xdr:to>
        <xdr:sp macro="" textlink="">
          <xdr:nvSpPr>
            <xdr:cNvPr id="62534" name="Option Button 70" hidden="1">
              <a:extLst>
                <a:ext uri="{63B3BB69-23CF-44E3-9099-C40C66FF867C}">
                  <a14:compatExt spid="_x0000_s62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54</xdr:row>
          <xdr:rowOff>66675</xdr:rowOff>
        </xdr:from>
        <xdr:to>
          <xdr:col>5</xdr:col>
          <xdr:colOff>495300</xdr:colOff>
          <xdr:row>56</xdr:row>
          <xdr:rowOff>66675</xdr:rowOff>
        </xdr:to>
        <xdr:sp macro="" textlink="">
          <xdr:nvSpPr>
            <xdr:cNvPr id="62535" name="Option Button 71" hidden="1">
              <a:extLst>
                <a:ext uri="{63B3BB69-23CF-44E3-9099-C40C66FF867C}">
                  <a14:compatExt spid="_x0000_s625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123825</xdr:rowOff>
        </xdr:from>
        <xdr:to>
          <xdr:col>3</xdr:col>
          <xdr:colOff>504825</xdr:colOff>
          <xdr:row>59</xdr:row>
          <xdr:rowOff>28575</xdr:rowOff>
        </xdr:to>
        <xdr:sp macro="" textlink="">
          <xdr:nvSpPr>
            <xdr:cNvPr id="62536" name="Option Button 72" hidden="1">
              <a:extLst>
                <a:ext uri="{63B3BB69-23CF-44E3-9099-C40C66FF867C}">
                  <a14:compatExt spid="_x0000_s62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57</xdr:row>
          <xdr:rowOff>0</xdr:rowOff>
        </xdr:from>
        <xdr:to>
          <xdr:col>6</xdr:col>
          <xdr:colOff>9525</xdr:colOff>
          <xdr:row>59</xdr:row>
          <xdr:rowOff>142875</xdr:rowOff>
        </xdr:to>
        <xdr:sp macro="" textlink="">
          <xdr:nvSpPr>
            <xdr:cNvPr id="62537" name="Group Box 73" hidden="1">
              <a:extLst>
                <a:ext uri="{63B3BB69-23CF-44E3-9099-C40C66FF867C}">
                  <a14:compatExt spid="_x0000_s62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57</xdr:row>
          <xdr:rowOff>76200</xdr:rowOff>
        </xdr:from>
        <xdr:to>
          <xdr:col>4</xdr:col>
          <xdr:colOff>495300</xdr:colOff>
          <xdr:row>59</xdr:row>
          <xdr:rowOff>66675</xdr:rowOff>
        </xdr:to>
        <xdr:sp macro="" textlink="">
          <xdr:nvSpPr>
            <xdr:cNvPr id="62538" name="Option Button 74" hidden="1">
              <a:extLst>
                <a:ext uri="{63B3BB69-23CF-44E3-9099-C40C66FF867C}">
                  <a14:compatExt spid="_x0000_s625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57</xdr:row>
          <xdr:rowOff>0</xdr:rowOff>
        </xdr:from>
        <xdr:to>
          <xdr:col>6</xdr:col>
          <xdr:colOff>9525</xdr:colOff>
          <xdr:row>59</xdr:row>
          <xdr:rowOff>142875</xdr:rowOff>
        </xdr:to>
        <xdr:sp macro="" textlink="">
          <xdr:nvSpPr>
            <xdr:cNvPr id="62541" name="Group Box 77" hidden="1">
              <a:extLst>
                <a:ext uri="{63B3BB69-23CF-44E3-9099-C40C66FF867C}">
                  <a14:compatExt spid="_x0000_s62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60</xdr:row>
          <xdr:rowOff>66675</xdr:rowOff>
        </xdr:from>
        <xdr:to>
          <xdr:col>4</xdr:col>
          <xdr:colOff>495300</xdr:colOff>
          <xdr:row>62</xdr:row>
          <xdr:rowOff>66675</xdr:rowOff>
        </xdr:to>
        <xdr:sp macro="" textlink="">
          <xdr:nvSpPr>
            <xdr:cNvPr id="62551" name="Option Button 87" hidden="1">
              <a:extLst>
                <a:ext uri="{63B3BB69-23CF-44E3-9099-C40C66FF867C}">
                  <a14:compatExt spid="_x0000_s625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63</xdr:row>
          <xdr:rowOff>0</xdr:rowOff>
        </xdr:from>
        <xdr:to>
          <xdr:col>6</xdr:col>
          <xdr:colOff>9525</xdr:colOff>
          <xdr:row>66</xdr:row>
          <xdr:rowOff>0</xdr:rowOff>
        </xdr:to>
        <xdr:sp macro="" textlink="">
          <xdr:nvSpPr>
            <xdr:cNvPr id="62554" name="Group Box 90" hidden="1">
              <a:extLst>
                <a:ext uri="{63B3BB69-23CF-44E3-9099-C40C66FF867C}">
                  <a14:compatExt spid="_x0000_s62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63</xdr:row>
          <xdr:rowOff>114300</xdr:rowOff>
        </xdr:from>
        <xdr:to>
          <xdr:col>3</xdr:col>
          <xdr:colOff>495300</xdr:colOff>
          <xdr:row>65</xdr:row>
          <xdr:rowOff>9525</xdr:rowOff>
        </xdr:to>
        <xdr:sp macro="" textlink="">
          <xdr:nvSpPr>
            <xdr:cNvPr id="62557" name="Option Button 93" hidden="1">
              <a:extLst>
                <a:ext uri="{63B3BB69-23CF-44E3-9099-C40C66FF867C}">
                  <a14:compatExt spid="_x0000_s625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63</xdr:row>
          <xdr:rowOff>9525</xdr:rowOff>
        </xdr:from>
        <xdr:to>
          <xdr:col>6</xdr:col>
          <xdr:colOff>9525</xdr:colOff>
          <xdr:row>66</xdr:row>
          <xdr:rowOff>0</xdr:rowOff>
        </xdr:to>
        <xdr:sp macro="" textlink="">
          <xdr:nvSpPr>
            <xdr:cNvPr id="62558" name="Group Box 94" hidden="1">
              <a:extLst>
                <a:ext uri="{63B3BB69-23CF-44E3-9099-C40C66FF867C}">
                  <a14:compatExt spid="_x0000_s62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63</xdr:row>
          <xdr:rowOff>66675</xdr:rowOff>
        </xdr:from>
        <xdr:to>
          <xdr:col>4</xdr:col>
          <xdr:colOff>495300</xdr:colOff>
          <xdr:row>65</xdr:row>
          <xdr:rowOff>66675</xdr:rowOff>
        </xdr:to>
        <xdr:sp macro="" textlink="">
          <xdr:nvSpPr>
            <xdr:cNvPr id="62559" name="Option Button 95" hidden="1">
              <a:extLst>
                <a:ext uri="{63B3BB69-23CF-44E3-9099-C40C66FF867C}">
                  <a14:compatExt spid="_x0000_s625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63</xdr:row>
          <xdr:rowOff>66675</xdr:rowOff>
        </xdr:from>
        <xdr:to>
          <xdr:col>5</xdr:col>
          <xdr:colOff>495300</xdr:colOff>
          <xdr:row>65</xdr:row>
          <xdr:rowOff>66675</xdr:rowOff>
        </xdr:to>
        <xdr:sp macro="" textlink="">
          <xdr:nvSpPr>
            <xdr:cNvPr id="62560" name="Option Button 96" hidden="1">
              <a:extLst>
                <a:ext uri="{63B3BB69-23CF-44E3-9099-C40C66FF867C}">
                  <a14:compatExt spid="_x0000_s625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66</xdr:row>
          <xdr:rowOff>114300</xdr:rowOff>
        </xdr:from>
        <xdr:to>
          <xdr:col>3</xdr:col>
          <xdr:colOff>495300</xdr:colOff>
          <xdr:row>68</xdr:row>
          <xdr:rowOff>9525</xdr:rowOff>
        </xdr:to>
        <xdr:sp macro="" textlink="">
          <xdr:nvSpPr>
            <xdr:cNvPr id="62561" name="Option Button 97" hidden="1">
              <a:extLst>
                <a:ext uri="{63B3BB69-23CF-44E3-9099-C40C66FF867C}">
                  <a14:compatExt spid="_x0000_s625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66</xdr:row>
          <xdr:rowOff>9525</xdr:rowOff>
        </xdr:from>
        <xdr:to>
          <xdr:col>6</xdr:col>
          <xdr:colOff>9525</xdr:colOff>
          <xdr:row>69</xdr:row>
          <xdr:rowOff>0</xdr:rowOff>
        </xdr:to>
        <xdr:sp macro="" textlink="">
          <xdr:nvSpPr>
            <xdr:cNvPr id="62562" name="Group Box 98" hidden="1">
              <a:extLst>
                <a:ext uri="{63B3BB69-23CF-44E3-9099-C40C66FF867C}">
                  <a14:compatExt spid="_x0000_s62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66</xdr:row>
          <xdr:rowOff>66675</xdr:rowOff>
        </xdr:from>
        <xdr:to>
          <xdr:col>4</xdr:col>
          <xdr:colOff>495300</xdr:colOff>
          <xdr:row>68</xdr:row>
          <xdr:rowOff>66675</xdr:rowOff>
        </xdr:to>
        <xdr:sp macro="" textlink="">
          <xdr:nvSpPr>
            <xdr:cNvPr id="62563" name="Option Button 99" hidden="1">
              <a:extLst>
                <a:ext uri="{63B3BB69-23CF-44E3-9099-C40C66FF867C}">
                  <a14:compatExt spid="_x0000_s625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66</xdr:row>
          <xdr:rowOff>66675</xdr:rowOff>
        </xdr:from>
        <xdr:to>
          <xdr:col>5</xdr:col>
          <xdr:colOff>495300</xdr:colOff>
          <xdr:row>68</xdr:row>
          <xdr:rowOff>66675</xdr:rowOff>
        </xdr:to>
        <xdr:sp macro="" textlink="">
          <xdr:nvSpPr>
            <xdr:cNvPr id="62564" name="Option Button 100" hidden="1">
              <a:extLst>
                <a:ext uri="{63B3BB69-23CF-44E3-9099-C40C66FF867C}">
                  <a14:compatExt spid="_x0000_s625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48</xdr:row>
          <xdr:rowOff>0</xdr:rowOff>
        </xdr:from>
        <xdr:to>
          <xdr:col>6</xdr:col>
          <xdr:colOff>9525</xdr:colOff>
          <xdr:row>50</xdr:row>
          <xdr:rowOff>142875</xdr:rowOff>
        </xdr:to>
        <xdr:sp macro="" textlink="">
          <xdr:nvSpPr>
            <xdr:cNvPr id="62566" name="Group Box 102" hidden="1">
              <a:extLst>
                <a:ext uri="{63B3BB69-23CF-44E3-9099-C40C66FF867C}">
                  <a14:compatExt spid="_x0000_s62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xdr:row>
          <xdr:rowOff>114300</xdr:rowOff>
        </xdr:from>
        <xdr:to>
          <xdr:col>3</xdr:col>
          <xdr:colOff>495300</xdr:colOff>
          <xdr:row>14</xdr:row>
          <xdr:rowOff>9525</xdr:rowOff>
        </xdr:to>
        <xdr:sp macro="" textlink="">
          <xdr:nvSpPr>
            <xdr:cNvPr id="62594" name="Option Button 130" hidden="1">
              <a:extLst>
                <a:ext uri="{63B3BB69-23CF-44E3-9099-C40C66FF867C}">
                  <a14:compatExt spid="_x0000_s625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66675</xdr:rowOff>
        </xdr:from>
        <xdr:to>
          <xdr:col>4</xdr:col>
          <xdr:colOff>495300</xdr:colOff>
          <xdr:row>14</xdr:row>
          <xdr:rowOff>66675</xdr:rowOff>
        </xdr:to>
        <xdr:sp macro="" textlink="">
          <xdr:nvSpPr>
            <xdr:cNvPr id="62595" name="Option Button 131" hidden="1">
              <a:extLst>
                <a:ext uri="{63B3BB69-23CF-44E3-9099-C40C66FF867C}">
                  <a14:compatExt spid="_x0000_s625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12</xdr:row>
          <xdr:rowOff>9525</xdr:rowOff>
        </xdr:from>
        <xdr:to>
          <xdr:col>5</xdr:col>
          <xdr:colOff>9525</xdr:colOff>
          <xdr:row>15</xdr:row>
          <xdr:rowOff>0</xdr:rowOff>
        </xdr:to>
        <xdr:sp macro="" textlink="">
          <xdr:nvSpPr>
            <xdr:cNvPr id="62596" name="Group Box 132" hidden="1">
              <a:extLst>
                <a:ext uri="{63B3BB69-23CF-44E3-9099-C40C66FF867C}">
                  <a14:compatExt spid="_x0000_s62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6</xdr:col>
          <xdr:colOff>9525</xdr:colOff>
          <xdr:row>19</xdr:row>
          <xdr:rowOff>142875</xdr:rowOff>
        </xdr:to>
        <xdr:sp macro="" textlink="">
          <xdr:nvSpPr>
            <xdr:cNvPr id="62608" name="Group Box 144" hidden="1">
              <a:extLst>
                <a:ext uri="{63B3BB69-23CF-44E3-9099-C40C66FF867C}">
                  <a14:compatExt spid="_x0000_s62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142875</xdr:rowOff>
        </xdr:from>
        <xdr:to>
          <xdr:col>6</xdr:col>
          <xdr:colOff>9525</xdr:colOff>
          <xdr:row>22</xdr:row>
          <xdr:rowOff>142875</xdr:rowOff>
        </xdr:to>
        <xdr:sp macro="" textlink="">
          <xdr:nvSpPr>
            <xdr:cNvPr id="62612" name="Group Box 148" hidden="1">
              <a:extLst>
                <a:ext uri="{63B3BB69-23CF-44E3-9099-C40C66FF867C}">
                  <a14:compatExt spid="_x0000_s62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20</xdr:row>
          <xdr:rowOff>66675</xdr:rowOff>
        </xdr:from>
        <xdr:to>
          <xdr:col>5</xdr:col>
          <xdr:colOff>495300</xdr:colOff>
          <xdr:row>22</xdr:row>
          <xdr:rowOff>66675</xdr:rowOff>
        </xdr:to>
        <xdr:sp macro="" textlink="">
          <xdr:nvSpPr>
            <xdr:cNvPr id="62614" name="Option Button 150" hidden="1">
              <a:extLst>
                <a:ext uri="{63B3BB69-23CF-44E3-9099-C40C66FF867C}">
                  <a14:compatExt spid="_x0000_s626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114300</xdr:rowOff>
        </xdr:from>
        <xdr:to>
          <xdr:col>3</xdr:col>
          <xdr:colOff>495300</xdr:colOff>
          <xdr:row>25</xdr:row>
          <xdr:rowOff>9525</xdr:rowOff>
        </xdr:to>
        <xdr:sp macro="" textlink="">
          <xdr:nvSpPr>
            <xdr:cNvPr id="62615" name="Option Button 151" hidden="1">
              <a:extLst>
                <a:ext uri="{63B3BB69-23CF-44E3-9099-C40C66FF867C}">
                  <a14:compatExt spid="_x0000_s626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0</xdr:rowOff>
        </xdr:from>
        <xdr:to>
          <xdr:col>6</xdr:col>
          <xdr:colOff>28575</xdr:colOff>
          <xdr:row>25</xdr:row>
          <xdr:rowOff>142875</xdr:rowOff>
        </xdr:to>
        <xdr:sp macro="" textlink="">
          <xdr:nvSpPr>
            <xdr:cNvPr id="62616" name="Group Box 152" hidden="1">
              <a:extLst>
                <a:ext uri="{63B3BB69-23CF-44E3-9099-C40C66FF867C}">
                  <a14:compatExt spid="_x0000_s62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23</xdr:row>
          <xdr:rowOff>66675</xdr:rowOff>
        </xdr:from>
        <xdr:to>
          <xdr:col>4</xdr:col>
          <xdr:colOff>495300</xdr:colOff>
          <xdr:row>25</xdr:row>
          <xdr:rowOff>66675</xdr:rowOff>
        </xdr:to>
        <xdr:sp macro="" textlink="">
          <xdr:nvSpPr>
            <xdr:cNvPr id="62617" name="Option Button 153" hidden="1">
              <a:extLst>
                <a:ext uri="{63B3BB69-23CF-44E3-9099-C40C66FF867C}">
                  <a14:compatExt spid="_x0000_s626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23</xdr:row>
          <xdr:rowOff>66675</xdr:rowOff>
        </xdr:from>
        <xdr:to>
          <xdr:col>5</xdr:col>
          <xdr:colOff>495300</xdr:colOff>
          <xdr:row>25</xdr:row>
          <xdr:rowOff>66675</xdr:rowOff>
        </xdr:to>
        <xdr:sp macro="" textlink="">
          <xdr:nvSpPr>
            <xdr:cNvPr id="62618" name="Option Button 154" hidden="1">
              <a:extLst>
                <a:ext uri="{63B3BB69-23CF-44E3-9099-C40C66FF867C}">
                  <a14:compatExt spid="_x0000_s626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28</xdr:row>
          <xdr:rowOff>114300</xdr:rowOff>
        </xdr:from>
        <xdr:to>
          <xdr:col>3</xdr:col>
          <xdr:colOff>495300</xdr:colOff>
          <xdr:row>30</xdr:row>
          <xdr:rowOff>9525</xdr:rowOff>
        </xdr:to>
        <xdr:sp macro="" textlink="">
          <xdr:nvSpPr>
            <xdr:cNvPr id="62622" name="Option Button 158" hidden="1">
              <a:extLst>
                <a:ext uri="{63B3BB69-23CF-44E3-9099-C40C66FF867C}">
                  <a14:compatExt spid="_x0000_s626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28</xdr:row>
          <xdr:rowOff>9525</xdr:rowOff>
        </xdr:from>
        <xdr:to>
          <xdr:col>5</xdr:col>
          <xdr:colOff>28575</xdr:colOff>
          <xdr:row>31</xdr:row>
          <xdr:rowOff>0</xdr:rowOff>
        </xdr:to>
        <xdr:sp macro="" textlink="">
          <xdr:nvSpPr>
            <xdr:cNvPr id="62624" name="Group Box 160" hidden="1">
              <a:extLst>
                <a:ext uri="{63B3BB69-23CF-44E3-9099-C40C66FF867C}">
                  <a14:compatExt spid="_x0000_s62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45</xdr:row>
          <xdr:rowOff>114300</xdr:rowOff>
        </xdr:from>
        <xdr:to>
          <xdr:col>3</xdr:col>
          <xdr:colOff>495300</xdr:colOff>
          <xdr:row>47</xdr:row>
          <xdr:rowOff>9525</xdr:rowOff>
        </xdr:to>
        <xdr:sp macro="" textlink="">
          <xdr:nvSpPr>
            <xdr:cNvPr id="62629" name="Option Button 165" hidden="1">
              <a:extLst>
                <a:ext uri="{63B3BB69-23CF-44E3-9099-C40C66FF867C}">
                  <a14:compatExt spid="_x0000_s626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45</xdr:row>
          <xdr:rowOff>66675</xdr:rowOff>
        </xdr:from>
        <xdr:to>
          <xdr:col>4</xdr:col>
          <xdr:colOff>495300</xdr:colOff>
          <xdr:row>47</xdr:row>
          <xdr:rowOff>66675</xdr:rowOff>
        </xdr:to>
        <xdr:sp macro="" textlink="">
          <xdr:nvSpPr>
            <xdr:cNvPr id="62631" name="Option Button 167" hidden="1">
              <a:extLst>
                <a:ext uri="{63B3BB69-23CF-44E3-9099-C40C66FF867C}">
                  <a14:compatExt spid="_x0000_s626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45</xdr:row>
          <xdr:rowOff>66675</xdr:rowOff>
        </xdr:from>
        <xdr:to>
          <xdr:col>5</xdr:col>
          <xdr:colOff>495300</xdr:colOff>
          <xdr:row>47</xdr:row>
          <xdr:rowOff>66675</xdr:rowOff>
        </xdr:to>
        <xdr:sp macro="" textlink="">
          <xdr:nvSpPr>
            <xdr:cNvPr id="62632" name="Option Button 168" hidden="1">
              <a:extLst>
                <a:ext uri="{63B3BB69-23CF-44E3-9099-C40C66FF867C}">
                  <a14:compatExt spid="_x0000_s626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48</xdr:row>
          <xdr:rowOff>114300</xdr:rowOff>
        </xdr:from>
        <xdr:to>
          <xdr:col>3</xdr:col>
          <xdr:colOff>495300</xdr:colOff>
          <xdr:row>50</xdr:row>
          <xdr:rowOff>9525</xdr:rowOff>
        </xdr:to>
        <xdr:sp macro="" textlink="">
          <xdr:nvSpPr>
            <xdr:cNvPr id="62633" name="Option Button 169" hidden="1">
              <a:extLst>
                <a:ext uri="{63B3BB69-23CF-44E3-9099-C40C66FF867C}">
                  <a14:compatExt spid="_x0000_s626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48</xdr:row>
          <xdr:rowOff>66675</xdr:rowOff>
        </xdr:from>
        <xdr:to>
          <xdr:col>4</xdr:col>
          <xdr:colOff>495300</xdr:colOff>
          <xdr:row>50</xdr:row>
          <xdr:rowOff>66675</xdr:rowOff>
        </xdr:to>
        <xdr:sp macro="" textlink="">
          <xdr:nvSpPr>
            <xdr:cNvPr id="62635" name="Option Button 171" hidden="1">
              <a:extLst>
                <a:ext uri="{63B3BB69-23CF-44E3-9099-C40C66FF867C}">
                  <a14:compatExt spid="_x0000_s626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48</xdr:row>
          <xdr:rowOff>66675</xdr:rowOff>
        </xdr:from>
        <xdr:to>
          <xdr:col>5</xdr:col>
          <xdr:colOff>495300</xdr:colOff>
          <xdr:row>50</xdr:row>
          <xdr:rowOff>66675</xdr:rowOff>
        </xdr:to>
        <xdr:sp macro="" textlink="">
          <xdr:nvSpPr>
            <xdr:cNvPr id="62636" name="Option Button 172" hidden="1">
              <a:extLst>
                <a:ext uri="{63B3BB69-23CF-44E3-9099-C40C66FF867C}">
                  <a14:compatExt spid="_x0000_s626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51</xdr:row>
          <xdr:rowOff>66675</xdr:rowOff>
        </xdr:from>
        <xdr:to>
          <xdr:col>4</xdr:col>
          <xdr:colOff>495300</xdr:colOff>
          <xdr:row>53</xdr:row>
          <xdr:rowOff>66675</xdr:rowOff>
        </xdr:to>
        <xdr:sp macro="" textlink="">
          <xdr:nvSpPr>
            <xdr:cNvPr id="62639" name="Option Button 175" hidden="1">
              <a:extLst>
                <a:ext uri="{63B3BB69-23CF-44E3-9099-C40C66FF867C}">
                  <a14:compatExt spid="_x0000_s626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51</xdr:row>
          <xdr:rowOff>66675</xdr:rowOff>
        </xdr:from>
        <xdr:to>
          <xdr:col>5</xdr:col>
          <xdr:colOff>495300</xdr:colOff>
          <xdr:row>53</xdr:row>
          <xdr:rowOff>66675</xdr:rowOff>
        </xdr:to>
        <xdr:sp macro="" textlink="">
          <xdr:nvSpPr>
            <xdr:cNvPr id="62640" name="Option Button 176" hidden="1">
              <a:extLst>
                <a:ext uri="{63B3BB69-23CF-44E3-9099-C40C66FF867C}">
                  <a14:compatExt spid="_x0000_s626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54</xdr:row>
          <xdr:rowOff>114300</xdr:rowOff>
        </xdr:from>
        <xdr:to>
          <xdr:col>3</xdr:col>
          <xdr:colOff>495300</xdr:colOff>
          <xdr:row>56</xdr:row>
          <xdr:rowOff>9525</xdr:rowOff>
        </xdr:to>
        <xdr:sp macro="" textlink="">
          <xdr:nvSpPr>
            <xdr:cNvPr id="62641" name="Option Button 177" hidden="1">
              <a:extLst>
                <a:ext uri="{63B3BB69-23CF-44E3-9099-C40C66FF867C}">
                  <a14:compatExt spid="_x0000_s626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9525</xdr:rowOff>
        </xdr:from>
        <xdr:to>
          <xdr:col>6</xdr:col>
          <xdr:colOff>9525</xdr:colOff>
          <xdr:row>57</xdr:row>
          <xdr:rowOff>0</xdr:rowOff>
        </xdr:to>
        <xdr:sp macro="" textlink="">
          <xdr:nvSpPr>
            <xdr:cNvPr id="62642" name="Group Box 178" hidden="1">
              <a:extLst>
                <a:ext uri="{63B3BB69-23CF-44E3-9099-C40C66FF867C}">
                  <a14:compatExt spid="_x0000_s62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54</xdr:row>
          <xdr:rowOff>66675</xdr:rowOff>
        </xdr:from>
        <xdr:to>
          <xdr:col>4</xdr:col>
          <xdr:colOff>495300</xdr:colOff>
          <xdr:row>56</xdr:row>
          <xdr:rowOff>66675</xdr:rowOff>
        </xdr:to>
        <xdr:sp macro="" textlink="">
          <xdr:nvSpPr>
            <xdr:cNvPr id="62643" name="Option Button 179" hidden="1">
              <a:extLst>
                <a:ext uri="{63B3BB69-23CF-44E3-9099-C40C66FF867C}">
                  <a14:compatExt spid="_x0000_s626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54</xdr:row>
          <xdr:rowOff>66675</xdr:rowOff>
        </xdr:from>
        <xdr:to>
          <xdr:col>5</xdr:col>
          <xdr:colOff>495300</xdr:colOff>
          <xdr:row>56</xdr:row>
          <xdr:rowOff>66675</xdr:rowOff>
        </xdr:to>
        <xdr:sp macro="" textlink="">
          <xdr:nvSpPr>
            <xdr:cNvPr id="62644" name="Option Button 180" hidden="1">
              <a:extLst>
                <a:ext uri="{63B3BB69-23CF-44E3-9099-C40C66FF867C}">
                  <a14:compatExt spid="_x0000_s626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9525</xdr:rowOff>
        </xdr:from>
        <xdr:to>
          <xdr:col>6</xdr:col>
          <xdr:colOff>9525</xdr:colOff>
          <xdr:row>60</xdr:row>
          <xdr:rowOff>0</xdr:rowOff>
        </xdr:to>
        <xdr:sp macro="" textlink="">
          <xdr:nvSpPr>
            <xdr:cNvPr id="62646" name="Group Box 182" hidden="1">
              <a:extLst>
                <a:ext uri="{63B3BB69-23CF-44E3-9099-C40C66FF867C}">
                  <a14:compatExt spid="_x0000_s62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74</xdr:row>
          <xdr:rowOff>114300</xdr:rowOff>
        </xdr:from>
        <xdr:to>
          <xdr:col>3</xdr:col>
          <xdr:colOff>495300</xdr:colOff>
          <xdr:row>76</xdr:row>
          <xdr:rowOff>9525</xdr:rowOff>
        </xdr:to>
        <xdr:sp macro="" textlink="">
          <xdr:nvSpPr>
            <xdr:cNvPr id="62653" name="Option Button 189" hidden="1">
              <a:extLst>
                <a:ext uri="{63B3BB69-23CF-44E3-9099-C40C66FF867C}">
                  <a14:compatExt spid="_x0000_s626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74</xdr:row>
          <xdr:rowOff>66675</xdr:rowOff>
        </xdr:from>
        <xdr:to>
          <xdr:col>4</xdr:col>
          <xdr:colOff>495300</xdr:colOff>
          <xdr:row>76</xdr:row>
          <xdr:rowOff>66675</xdr:rowOff>
        </xdr:to>
        <xdr:sp macro="" textlink="">
          <xdr:nvSpPr>
            <xdr:cNvPr id="62654" name="Option Button 190" hidden="1">
              <a:extLst>
                <a:ext uri="{63B3BB69-23CF-44E3-9099-C40C66FF867C}">
                  <a14:compatExt spid="_x0000_s626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63</xdr:row>
          <xdr:rowOff>114300</xdr:rowOff>
        </xdr:from>
        <xdr:to>
          <xdr:col>3</xdr:col>
          <xdr:colOff>495300</xdr:colOff>
          <xdr:row>65</xdr:row>
          <xdr:rowOff>9525</xdr:rowOff>
        </xdr:to>
        <xdr:sp macro="" textlink="">
          <xdr:nvSpPr>
            <xdr:cNvPr id="62660" name="Option Button 196" hidden="1">
              <a:extLst>
                <a:ext uri="{63B3BB69-23CF-44E3-9099-C40C66FF867C}">
                  <a14:compatExt spid="_x0000_s626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63</xdr:row>
          <xdr:rowOff>9525</xdr:rowOff>
        </xdr:from>
        <xdr:to>
          <xdr:col>6</xdr:col>
          <xdr:colOff>9525</xdr:colOff>
          <xdr:row>66</xdr:row>
          <xdr:rowOff>0</xdr:rowOff>
        </xdr:to>
        <xdr:sp macro="" textlink="">
          <xdr:nvSpPr>
            <xdr:cNvPr id="62661" name="Group Box 197" hidden="1">
              <a:extLst>
                <a:ext uri="{63B3BB69-23CF-44E3-9099-C40C66FF867C}">
                  <a14:compatExt spid="_x0000_s62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63</xdr:row>
          <xdr:rowOff>66675</xdr:rowOff>
        </xdr:from>
        <xdr:to>
          <xdr:col>4</xdr:col>
          <xdr:colOff>495300</xdr:colOff>
          <xdr:row>65</xdr:row>
          <xdr:rowOff>66675</xdr:rowOff>
        </xdr:to>
        <xdr:sp macro="" textlink="">
          <xdr:nvSpPr>
            <xdr:cNvPr id="62662" name="Option Button 198" hidden="1">
              <a:extLst>
                <a:ext uri="{63B3BB69-23CF-44E3-9099-C40C66FF867C}">
                  <a14:compatExt spid="_x0000_s626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63</xdr:row>
          <xdr:rowOff>66675</xdr:rowOff>
        </xdr:from>
        <xdr:to>
          <xdr:col>5</xdr:col>
          <xdr:colOff>495300</xdr:colOff>
          <xdr:row>65</xdr:row>
          <xdr:rowOff>66675</xdr:rowOff>
        </xdr:to>
        <xdr:sp macro="" textlink="">
          <xdr:nvSpPr>
            <xdr:cNvPr id="62663" name="Option Button 199" hidden="1">
              <a:extLst>
                <a:ext uri="{63B3BB69-23CF-44E3-9099-C40C66FF867C}">
                  <a14:compatExt spid="_x0000_s626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66</xdr:row>
          <xdr:rowOff>9525</xdr:rowOff>
        </xdr:from>
        <xdr:to>
          <xdr:col>6</xdr:col>
          <xdr:colOff>9525</xdr:colOff>
          <xdr:row>69</xdr:row>
          <xdr:rowOff>0</xdr:rowOff>
        </xdr:to>
        <xdr:sp macro="" textlink="">
          <xdr:nvSpPr>
            <xdr:cNvPr id="62665" name="Group Box 201" hidden="1">
              <a:extLst>
                <a:ext uri="{63B3BB69-23CF-44E3-9099-C40C66FF867C}">
                  <a14:compatExt spid="_x0000_s62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66</xdr:row>
          <xdr:rowOff>66675</xdr:rowOff>
        </xdr:from>
        <xdr:to>
          <xdr:col>4</xdr:col>
          <xdr:colOff>495300</xdr:colOff>
          <xdr:row>68</xdr:row>
          <xdr:rowOff>66675</xdr:rowOff>
        </xdr:to>
        <xdr:sp macro="" textlink="">
          <xdr:nvSpPr>
            <xdr:cNvPr id="62666" name="Option Button 202" hidden="1">
              <a:extLst>
                <a:ext uri="{63B3BB69-23CF-44E3-9099-C40C66FF867C}">
                  <a14:compatExt spid="_x0000_s626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66</xdr:row>
          <xdr:rowOff>66675</xdr:rowOff>
        </xdr:from>
        <xdr:to>
          <xdr:col>5</xdr:col>
          <xdr:colOff>495300</xdr:colOff>
          <xdr:row>68</xdr:row>
          <xdr:rowOff>66675</xdr:rowOff>
        </xdr:to>
        <xdr:sp macro="" textlink="">
          <xdr:nvSpPr>
            <xdr:cNvPr id="62667" name="Option Button 203" hidden="1">
              <a:extLst>
                <a:ext uri="{63B3BB69-23CF-44E3-9099-C40C66FF867C}">
                  <a14:compatExt spid="_x0000_s626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9525</xdr:rowOff>
        </xdr:from>
        <xdr:to>
          <xdr:col>6</xdr:col>
          <xdr:colOff>9525</xdr:colOff>
          <xdr:row>72</xdr:row>
          <xdr:rowOff>0</xdr:rowOff>
        </xdr:to>
        <xdr:sp macro="" textlink="">
          <xdr:nvSpPr>
            <xdr:cNvPr id="62669" name="Group Box 205" hidden="1">
              <a:extLst>
                <a:ext uri="{63B3BB69-23CF-44E3-9099-C40C66FF867C}">
                  <a14:compatExt spid="_x0000_s62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69</xdr:row>
          <xdr:rowOff>66675</xdr:rowOff>
        </xdr:from>
        <xdr:to>
          <xdr:col>5</xdr:col>
          <xdr:colOff>495300</xdr:colOff>
          <xdr:row>71</xdr:row>
          <xdr:rowOff>66675</xdr:rowOff>
        </xdr:to>
        <xdr:sp macro="" textlink="">
          <xdr:nvSpPr>
            <xdr:cNvPr id="62671" name="Option Button 207" hidden="1">
              <a:extLst>
                <a:ext uri="{63B3BB69-23CF-44E3-9099-C40C66FF867C}">
                  <a14:compatExt spid="_x0000_s626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xdr:row>
          <xdr:rowOff>66675</xdr:rowOff>
        </xdr:from>
        <xdr:to>
          <xdr:col>3</xdr:col>
          <xdr:colOff>495300</xdr:colOff>
          <xdr:row>18</xdr:row>
          <xdr:rowOff>133350</xdr:rowOff>
        </xdr:to>
        <xdr:sp macro="" textlink="">
          <xdr:nvSpPr>
            <xdr:cNvPr id="62673" name="Option Button 209" hidden="1">
              <a:extLst>
                <a:ext uri="{63B3BB69-23CF-44E3-9099-C40C66FF867C}">
                  <a14:compatExt spid="_x0000_s62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6</xdr:col>
          <xdr:colOff>9525</xdr:colOff>
          <xdr:row>19</xdr:row>
          <xdr:rowOff>142875</xdr:rowOff>
        </xdr:to>
        <xdr:sp macro="" textlink="">
          <xdr:nvSpPr>
            <xdr:cNvPr id="62676" name="Group Box 212" hidden="1">
              <a:extLst>
                <a:ext uri="{63B3BB69-23CF-44E3-9099-C40C66FF867C}">
                  <a14:compatExt spid="_x0000_s62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60</xdr:row>
          <xdr:rowOff>114300</xdr:rowOff>
        </xdr:from>
        <xdr:to>
          <xdr:col>3</xdr:col>
          <xdr:colOff>466725</xdr:colOff>
          <xdr:row>62</xdr:row>
          <xdr:rowOff>19050</xdr:rowOff>
        </xdr:to>
        <xdr:sp macro="" textlink="">
          <xdr:nvSpPr>
            <xdr:cNvPr id="62690" name="Option Button 226" hidden="1">
              <a:extLst>
                <a:ext uri="{63B3BB69-23CF-44E3-9099-C40C66FF867C}">
                  <a14:compatExt spid="_x0000_s626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57</xdr:row>
          <xdr:rowOff>66675</xdr:rowOff>
        </xdr:from>
        <xdr:to>
          <xdr:col>5</xdr:col>
          <xdr:colOff>495300</xdr:colOff>
          <xdr:row>59</xdr:row>
          <xdr:rowOff>66675</xdr:rowOff>
        </xdr:to>
        <xdr:sp macro="" textlink="">
          <xdr:nvSpPr>
            <xdr:cNvPr id="62691" name="Option Button 227" hidden="1">
              <a:extLst>
                <a:ext uri="{63B3BB69-23CF-44E3-9099-C40C66FF867C}">
                  <a14:compatExt spid="_x0000_s626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69</xdr:row>
          <xdr:rowOff>66675</xdr:rowOff>
        </xdr:from>
        <xdr:to>
          <xdr:col>4</xdr:col>
          <xdr:colOff>495300</xdr:colOff>
          <xdr:row>71</xdr:row>
          <xdr:rowOff>66675</xdr:rowOff>
        </xdr:to>
        <xdr:sp macro="" textlink="">
          <xdr:nvSpPr>
            <xdr:cNvPr id="62693" name="Option Button 229" hidden="1">
              <a:extLst>
                <a:ext uri="{63B3BB69-23CF-44E3-9099-C40C66FF867C}">
                  <a14:compatExt spid="_x0000_s626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31</xdr:row>
          <xdr:rowOff>133350</xdr:rowOff>
        </xdr:from>
        <xdr:to>
          <xdr:col>4</xdr:col>
          <xdr:colOff>485775</xdr:colOff>
          <xdr:row>33</xdr:row>
          <xdr:rowOff>28575</xdr:rowOff>
        </xdr:to>
        <xdr:sp macro="" textlink="">
          <xdr:nvSpPr>
            <xdr:cNvPr id="62706" name="Option Button 242" hidden="1">
              <a:extLst>
                <a:ext uri="{63B3BB69-23CF-44E3-9099-C40C66FF867C}">
                  <a14:compatExt spid="_x0000_s627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31</xdr:row>
          <xdr:rowOff>85725</xdr:rowOff>
        </xdr:from>
        <xdr:to>
          <xdr:col>3</xdr:col>
          <xdr:colOff>504825</xdr:colOff>
          <xdr:row>33</xdr:row>
          <xdr:rowOff>76200</xdr:rowOff>
        </xdr:to>
        <xdr:sp macro="" textlink="">
          <xdr:nvSpPr>
            <xdr:cNvPr id="62707" name="Option Button 243" hidden="1">
              <a:extLst>
                <a:ext uri="{63B3BB69-23CF-44E3-9099-C40C66FF867C}">
                  <a14:compatExt spid="_x0000_s627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31</xdr:row>
          <xdr:rowOff>9525</xdr:rowOff>
        </xdr:from>
        <xdr:to>
          <xdr:col>5</xdr:col>
          <xdr:colOff>28575</xdr:colOff>
          <xdr:row>34</xdr:row>
          <xdr:rowOff>0</xdr:rowOff>
        </xdr:to>
        <xdr:sp macro="" textlink="">
          <xdr:nvSpPr>
            <xdr:cNvPr id="62708" name="Group Box 244" hidden="1">
              <a:extLst>
                <a:ext uri="{63B3BB69-23CF-44E3-9099-C40C66FF867C}">
                  <a14:compatExt spid="_x0000_s62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34</xdr:row>
          <xdr:rowOff>114300</xdr:rowOff>
        </xdr:from>
        <xdr:to>
          <xdr:col>3</xdr:col>
          <xdr:colOff>495300</xdr:colOff>
          <xdr:row>36</xdr:row>
          <xdr:rowOff>28575</xdr:rowOff>
        </xdr:to>
        <xdr:sp macro="" textlink="">
          <xdr:nvSpPr>
            <xdr:cNvPr id="62716" name="Option Button 252" hidden="1">
              <a:extLst>
                <a:ext uri="{63B3BB69-23CF-44E3-9099-C40C66FF867C}">
                  <a14:compatExt spid="_x0000_s627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34</xdr:row>
          <xdr:rowOff>9525</xdr:rowOff>
        </xdr:from>
        <xdr:to>
          <xdr:col>6</xdr:col>
          <xdr:colOff>28575</xdr:colOff>
          <xdr:row>37</xdr:row>
          <xdr:rowOff>0</xdr:rowOff>
        </xdr:to>
        <xdr:sp macro="" textlink="">
          <xdr:nvSpPr>
            <xdr:cNvPr id="62717" name="Group Box 253" hidden="1">
              <a:extLst>
                <a:ext uri="{63B3BB69-23CF-44E3-9099-C40C66FF867C}">
                  <a14:compatExt spid="_x0000_s62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34</xdr:row>
          <xdr:rowOff>66675</xdr:rowOff>
        </xdr:from>
        <xdr:to>
          <xdr:col>4</xdr:col>
          <xdr:colOff>495300</xdr:colOff>
          <xdr:row>36</xdr:row>
          <xdr:rowOff>66675</xdr:rowOff>
        </xdr:to>
        <xdr:sp macro="" textlink="">
          <xdr:nvSpPr>
            <xdr:cNvPr id="62718" name="Option Button 254" hidden="1">
              <a:extLst>
                <a:ext uri="{63B3BB69-23CF-44E3-9099-C40C66FF867C}">
                  <a14:compatExt spid="_x0000_s627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34</xdr:row>
          <xdr:rowOff>66675</xdr:rowOff>
        </xdr:from>
        <xdr:to>
          <xdr:col>5</xdr:col>
          <xdr:colOff>495300</xdr:colOff>
          <xdr:row>36</xdr:row>
          <xdr:rowOff>66675</xdr:rowOff>
        </xdr:to>
        <xdr:sp macro="" textlink="">
          <xdr:nvSpPr>
            <xdr:cNvPr id="62719" name="Option Button 255" hidden="1">
              <a:extLst>
                <a:ext uri="{63B3BB69-23CF-44E3-9099-C40C66FF867C}">
                  <a14:compatExt spid="_x0000_s627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34</xdr:row>
          <xdr:rowOff>9525</xdr:rowOff>
        </xdr:from>
        <xdr:to>
          <xdr:col>6</xdr:col>
          <xdr:colOff>28575</xdr:colOff>
          <xdr:row>37</xdr:row>
          <xdr:rowOff>0</xdr:rowOff>
        </xdr:to>
        <xdr:sp macro="" textlink="">
          <xdr:nvSpPr>
            <xdr:cNvPr id="62720" name="Group Box 256" hidden="1">
              <a:extLst>
                <a:ext uri="{63B3BB69-23CF-44E3-9099-C40C66FF867C}">
                  <a14:compatExt spid="_x0000_s62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34</xdr:row>
          <xdr:rowOff>66675</xdr:rowOff>
        </xdr:from>
        <xdr:to>
          <xdr:col>4</xdr:col>
          <xdr:colOff>495300</xdr:colOff>
          <xdr:row>36</xdr:row>
          <xdr:rowOff>66675</xdr:rowOff>
        </xdr:to>
        <xdr:sp macro="" textlink="">
          <xdr:nvSpPr>
            <xdr:cNvPr id="62721" name="Option Button 257" hidden="1">
              <a:extLst>
                <a:ext uri="{63B3BB69-23CF-44E3-9099-C40C66FF867C}">
                  <a14:compatExt spid="_x0000_s627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34</xdr:row>
          <xdr:rowOff>66675</xdr:rowOff>
        </xdr:from>
        <xdr:to>
          <xdr:col>5</xdr:col>
          <xdr:colOff>495300</xdr:colOff>
          <xdr:row>36</xdr:row>
          <xdr:rowOff>66675</xdr:rowOff>
        </xdr:to>
        <xdr:sp macro="" textlink="">
          <xdr:nvSpPr>
            <xdr:cNvPr id="62722" name="Option Button 258" hidden="1">
              <a:extLst>
                <a:ext uri="{63B3BB69-23CF-44E3-9099-C40C66FF867C}">
                  <a14:compatExt spid="_x0000_s627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77</xdr:row>
          <xdr:rowOff>76200</xdr:rowOff>
        </xdr:from>
        <xdr:to>
          <xdr:col>5</xdr:col>
          <xdr:colOff>485775</xdr:colOff>
          <xdr:row>79</xdr:row>
          <xdr:rowOff>76200</xdr:rowOff>
        </xdr:to>
        <xdr:sp macro="" textlink="">
          <xdr:nvSpPr>
            <xdr:cNvPr id="62725" name="Option Button 261" hidden="1">
              <a:extLst>
                <a:ext uri="{63B3BB69-23CF-44E3-9099-C40C66FF867C}">
                  <a14:compatExt spid="_x0000_s627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77</xdr:row>
          <xdr:rowOff>66675</xdr:rowOff>
        </xdr:from>
        <xdr:to>
          <xdr:col>4</xdr:col>
          <xdr:colOff>476250</xdr:colOff>
          <xdr:row>79</xdr:row>
          <xdr:rowOff>66675</xdr:rowOff>
        </xdr:to>
        <xdr:sp macro="" textlink="">
          <xdr:nvSpPr>
            <xdr:cNvPr id="62726" name="Option Button 262" hidden="1">
              <a:extLst>
                <a:ext uri="{63B3BB69-23CF-44E3-9099-C40C66FF867C}">
                  <a14:compatExt spid="_x0000_s627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77</xdr:row>
          <xdr:rowOff>114300</xdr:rowOff>
        </xdr:from>
        <xdr:to>
          <xdr:col>3</xdr:col>
          <xdr:colOff>495300</xdr:colOff>
          <xdr:row>79</xdr:row>
          <xdr:rowOff>9525</xdr:rowOff>
        </xdr:to>
        <xdr:sp macro="" textlink="">
          <xdr:nvSpPr>
            <xdr:cNvPr id="62727" name="Option Button 263" hidden="1">
              <a:extLst>
                <a:ext uri="{63B3BB69-23CF-44E3-9099-C40C66FF867C}">
                  <a14:compatExt spid="_x0000_s627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69</xdr:row>
          <xdr:rowOff>114300</xdr:rowOff>
        </xdr:from>
        <xdr:to>
          <xdr:col>3</xdr:col>
          <xdr:colOff>495300</xdr:colOff>
          <xdr:row>71</xdr:row>
          <xdr:rowOff>9525</xdr:rowOff>
        </xdr:to>
        <xdr:sp macro="" textlink="">
          <xdr:nvSpPr>
            <xdr:cNvPr id="62735" name="Option Button 271" hidden="1">
              <a:extLst>
                <a:ext uri="{63B3BB69-23CF-44E3-9099-C40C66FF867C}">
                  <a14:compatExt spid="_x0000_s627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1</xdr:row>
          <xdr:rowOff>9525</xdr:rowOff>
        </xdr:from>
        <xdr:to>
          <xdr:col>5</xdr:col>
          <xdr:colOff>152400</xdr:colOff>
          <xdr:row>2</xdr:row>
          <xdr:rowOff>9525</xdr:rowOff>
        </xdr:to>
        <xdr:sp macro="" textlink="">
          <xdr:nvSpPr>
            <xdr:cNvPr id="62737" name="Object 273" hidden="1">
              <a:extLst>
                <a:ext uri="{63B3BB69-23CF-44E3-9099-C40C66FF867C}">
                  <a14:compatExt spid="_x0000_s62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39</xdr:row>
          <xdr:rowOff>0</xdr:rowOff>
        </xdr:from>
        <xdr:to>
          <xdr:col>5</xdr:col>
          <xdr:colOff>104775</xdr:colOff>
          <xdr:row>39</xdr:row>
          <xdr:rowOff>142875</xdr:rowOff>
        </xdr:to>
        <xdr:sp macro="" textlink="">
          <xdr:nvSpPr>
            <xdr:cNvPr id="62738" name="Object 274" hidden="1">
              <a:extLst>
                <a:ext uri="{63B3BB69-23CF-44E3-9099-C40C66FF867C}">
                  <a14:compatExt spid="_x0000_s62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77</xdr:row>
          <xdr:rowOff>0</xdr:rowOff>
        </xdr:from>
        <xdr:to>
          <xdr:col>6</xdr:col>
          <xdr:colOff>9525</xdr:colOff>
          <xdr:row>80</xdr:row>
          <xdr:rowOff>0</xdr:rowOff>
        </xdr:to>
        <xdr:sp macro="" textlink="">
          <xdr:nvSpPr>
            <xdr:cNvPr id="62739" name="Group Box 275" hidden="1">
              <a:extLst>
                <a:ext uri="{63B3BB69-23CF-44E3-9099-C40C66FF867C}">
                  <a14:compatExt spid="_x0000_s62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77</xdr:row>
          <xdr:rowOff>114300</xdr:rowOff>
        </xdr:from>
        <xdr:to>
          <xdr:col>3</xdr:col>
          <xdr:colOff>495300</xdr:colOff>
          <xdr:row>79</xdr:row>
          <xdr:rowOff>9525</xdr:rowOff>
        </xdr:to>
        <xdr:sp macro="" textlink="">
          <xdr:nvSpPr>
            <xdr:cNvPr id="62740" name="Option Button 276" hidden="1">
              <a:extLst>
                <a:ext uri="{63B3BB69-23CF-44E3-9099-C40C66FF867C}">
                  <a14:compatExt spid="_x0000_s62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9525</xdr:rowOff>
        </xdr:from>
        <xdr:to>
          <xdr:col>6</xdr:col>
          <xdr:colOff>9525</xdr:colOff>
          <xdr:row>80</xdr:row>
          <xdr:rowOff>0</xdr:rowOff>
        </xdr:to>
        <xdr:sp macro="" textlink="">
          <xdr:nvSpPr>
            <xdr:cNvPr id="62741" name="Group Box 277" hidden="1">
              <a:extLst>
                <a:ext uri="{63B3BB69-23CF-44E3-9099-C40C66FF867C}">
                  <a14:compatExt spid="_x0000_s62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77</xdr:row>
          <xdr:rowOff>114300</xdr:rowOff>
        </xdr:from>
        <xdr:to>
          <xdr:col>3</xdr:col>
          <xdr:colOff>495300</xdr:colOff>
          <xdr:row>79</xdr:row>
          <xdr:rowOff>9525</xdr:rowOff>
        </xdr:to>
        <xdr:sp macro="" textlink="">
          <xdr:nvSpPr>
            <xdr:cNvPr id="62744" name="Option Button 280" hidden="1">
              <a:extLst>
                <a:ext uri="{63B3BB69-23CF-44E3-9099-C40C66FF867C}">
                  <a14:compatExt spid="_x0000_s627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51</xdr:row>
          <xdr:rowOff>114300</xdr:rowOff>
        </xdr:from>
        <xdr:to>
          <xdr:col>3</xdr:col>
          <xdr:colOff>495300</xdr:colOff>
          <xdr:row>53</xdr:row>
          <xdr:rowOff>9525</xdr:rowOff>
        </xdr:to>
        <xdr:sp macro="" textlink="">
          <xdr:nvSpPr>
            <xdr:cNvPr id="62747" name="Option Button 283" hidden="1">
              <a:extLst>
                <a:ext uri="{63B3BB69-23CF-44E3-9099-C40C66FF867C}">
                  <a14:compatExt spid="_x0000_s627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51</xdr:row>
          <xdr:rowOff>9525</xdr:rowOff>
        </xdr:from>
        <xdr:to>
          <xdr:col>6</xdr:col>
          <xdr:colOff>9525</xdr:colOff>
          <xdr:row>54</xdr:row>
          <xdr:rowOff>0</xdr:rowOff>
        </xdr:to>
        <xdr:sp macro="" textlink="">
          <xdr:nvSpPr>
            <xdr:cNvPr id="62748" name="Group Box 284" hidden="1">
              <a:extLst>
                <a:ext uri="{63B3BB69-23CF-44E3-9099-C40C66FF867C}">
                  <a14:compatExt spid="_x0000_s62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51</xdr:row>
          <xdr:rowOff>66675</xdr:rowOff>
        </xdr:from>
        <xdr:to>
          <xdr:col>4</xdr:col>
          <xdr:colOff>495300</xdr:colOff>
          <xdr:row>53</xdr:row>
          <xdr:rowOff>66675</xdr:rowOff>
        </xdr:to>
        <xdr:sp macro="" textlink="">
          <xdr:nvSpPr>
            <xdr:cNvPr id="62749" name="Option Button 285" hidden="1">
              <a:extLst>
                <a:ext uri="{63B3BB69-23CF-44E3-9099-C40C66FF867C}">
                  <a14:compatExt spid="_x0000_s627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51</xdr:row>
          <xdr:rowOff>66675</xdr:rowOff>
        </xdr:from>
        <xdr:to>
          <xdr:col>5</xdr:col>
          <xdr:colOff>495300</xdr:colOff>
          <xdr:row>53</xdr:row>
          <xdr:rowOff>66675</xdr:rowOff>
        </xdr:to>
        <xdr:sp macro="" textlink="">
          <xdr:nvSpPr>
            <xdr:cNvPr id="62750" name="Option Button 286" hidden="1">
              <a:extLst>
                <a:ext uri="{63B3BB69-23CF-44E3-9099-C40C66FF867C}">
                  <a14:compatExt spid="_x0000_s627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51</xdr:row>
          <xdr:rowOff>114300</xdr:rowOff>
        </xdr:from>
        <xdr:to>
          <xdr:col>3</xdr:col>
          <xdr:colOff>495300</xdr:colOff>
          <xdr:row>53</xdr:row>
          <xdr:rowOff>9525</xdr:rowOff>
        </xdr:to>
        <xdr:sp macro="" textlink="">
          <xdr:nvSpPr>
            <xdr:cNvPr id="62751" name="Option Button 287" hidden="1">
              <a:extLst>
                <a:ext uri="{63B3BB69-23CF-44E3-9099-C40C66FF867C}">
                  <a14:compatExt spid="_x0000_s627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9525</xdr:rowOff>
        </xdr:from>
        <xdr:to>
          <xdr:col>6</xdr:col>
          <xdr:colOff>9525</xdr:colOff>
          <xdr:row>54</xdr:row>
          <xdr:rowOff>0</xdr:rowOff>
        </xdr:to>
        <xdr:sp macro="" textlink="">
          <xdr:nvSpPr>
            <xdr:cNvPr id="62752" name="Group Box 288" hidden="1">
              <a:extLst>
                <a:ext uri="{63B3BB69-23CF-44E3-9099-C40C66FF867C}">
                  <a14:compatExt spid="_x0000_s62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51</xdr:row>
          <xdr:rowOff>66675</xdr:rowOff>
        </xdr:from>
        <xdr:to>
          <xdr:col>4</xdr:col>
          <xdr:colOff>495300</xdr:colOff>
          <xdr:row>53</xdr:row>
          <xdr:rowOff>66675</xdr:rowOff>
        </xdr:to>
        <xdr:sp macro="" textlink="">
          <xdr:nvSpPr>
            <xdr:cNvPr id="62753" name="Option Button 289" hidden="1">
              <a:extLst>
                <a:ext uri="{63B3BB69-23CF-44E3-9099-C40C66FF867C}">
                  <a14:compatExt spid="_x0000_s627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51</xdr:row>
          <xdr:rowOff>66675</xdr:rowOff>
        </xdr:from>
        <xdr:to>
          <xdr:col>5</xdr:col>
          <xdr:colOff>495300</xdr:colOff>
          <xdr:row>53</xdr:row>
          <xdr:rowOff>66675</xdr:rowOff>
        </xdr:to>
        <xdr:sp macro="" textlink="">
          <xdr:nvSpPr>
            <xdr:cNvPr id="62754" name="Option Button 290" hidden="1">
              <a:extLst>
                <a:ext uri="{63B3BB69-23CF-44E3-9099-C40C66FF867C}">
                  <a14:compatExt spid="_x0000_s627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 Id="rId5" Type="http://schemas.openxmlformats.org/officeDocument/2006/relationships/ctrlProp" Target="../ctrlProps/ctrlProp114.xml"/><Relationship Id="rId4" Type="http://schemas.openxmlformats.org/officeDocument/2006/relationships/ctrlProp" Target="../ctrlProps/ctrlProp11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oleObject" Target="../embeddings/oleObject13.bin"/><Relationship Id="rId2" Type="http://schemas.openxmlformats.org/officeDocument/2006/relationships/drawing" Target="../drawings/drawing11.xml"/><Relationship Id="rId1" Type="http://schemas.openxmlformats.org/officeDocument/2006/relationships/printerSettings" Target="../printerSettings/printerSettings10.bin"/><Relationship Id="rId6" Type="http://schemas.openxmlformats.org/officeDocument/2006/relationships/oleObject" Target="../embeddings/oleObject12.bin"/><Relationship Id="rId5" Type="http://schemas.openxmlformats.org/officeDocument/2006/relationships/image" Target="../media/image4.emf"/><Relationship Id="rId4" Type="http://schemas.openxmlformats.org/officeDocument/2006/relationships/oleObject" Target="../embeddings/oleObject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1.bin"/><Relationship Id="rId5" Type="http://schemas.openxmlformats.org/officeDocument/2006/relationships/image" Target="../media/image4.emf"/><Relationship Id="rId4" Type="http://schemas.openxmlformats.org/officeDocument/2006/relationships/oleObject" Target="../embeddings/oleObject14.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oleObject" Target="../embeddings/oleObject17.bin"/><Relationship Id="rId2" Type="http://schemas.openxmlformats.org/officeDocument/2006/relationships/drawing" Target="../drawings/drawing13.xml"/><Relationship Id="rId1" Type="http://schemas.openxmlformats.org/officeDocument/2006/relationships/printerSettings" Target="../printerSettings/printerSettings12.bin"/><Relationship Id="rId6" Type="http://schemas.openxmlformats.org/officeDocument/2006/relationships/oleObject" Target="../embeddings/oleObject16.bin"/><Relationship Id="rId5" Type="http://schemas.openxmlformats.org/officeDocument/2006/relationships/image" Target="../media/image4.emf"/><Relationship Id="rId4" Type="http://schemas.openxmlformats.org/officeDocument/2006/relationships/oleObject" Target="../embeddings/oleObject15.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3.bin"/><Relationship Id="rId6" Type="http://schemas.openxmlformats.org/officeDocument/2006/relationships/oleObject" Target="../embeddings/oleObject19.bin"/><Relationship Id="rId5" Type="http://schemas.openxmlformats.org/officeDocument/2006/relationships/image" Target="../media/image4.emf"/><Relationship Id="rId4" Type="http://schemas.openxmlformats.org/officeDocument/2006/relationships/oleObject" Target="../embeddings/oleObject18.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4.bin"/><Relationship Id="rId5" Type="http://schemas.openxmlformats.org/officeDocument/2006/relationships/image" Target="../media/image4.emf"/><Relationship Id="rId4" Type="http://schemas.openxmlformats.org/officeDocument/2006/relationships/oleObject" Target="../embeddings/oleObject20.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5.bin"/><Relationship Id="rId5" Type="http://schemas.openxmlformats.org/officeDocument/2006/relationships/image" Target="../media/image4.emf"/><Relationship Id="rId4" Type="http://schemas.openxmlformats.org/officeDocument/2006/relationships/oleObject" Target="../embeddings/oleObject2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oleObject" Target="../embeddings/oleObject4.bin"/><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oleObject" Target="../embeddings/oleObject3.bin"/><Relationship Id="rId5" Type="http://schemas.openxmlformats.org/officeDocument/2006/relationships/image" Target="../media/image4.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oleObject" Target="../embeddings/oleObject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oleObject" Target="../embeddings/oleObject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openxmlformats.org/officeDocument/2006/relationships/image" Target="../media/image4.emf"/><Relationship Id="rId4" Type="http://schemas.openxmlformats.org/officeDocument/2006/relationships/oleObject" Target="../embeddings/oleObject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openxmlformats.org/officeDocument/2006/relationships/image" Target="../media/image4.emf"/><Relationship Id="rId4" Type="http://schemas.openxmlformats.org/officeDocument/2006/relationships/oleObject" Target="../embeddings/oleObject8.bin"/></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21.xml"/><Relationship Id="rId117" Type="http://schemas.openxmlformats.org/officeDocument/2006/relationships/ctrlProp" Target="../ctrlProps/ctrlProp112.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112" Type="http://schemas.openxmlformats.org/officeDocument/2006/relationships/ctrlProp" Target="../ctrlProps/ctrlProp107.xml"/><Relationship Id="rId16" Type="http://schemas.openxmlformats.org/officeDocument/2006/relationships/ctrlProp" Target="../ctrlProps/ctrlProp11.xml"/><Relationship Id="rId107" Type="http://schemas.openxmlformats.org/officeDocument/2006/relationships/ctrlProp" Target="../ctrlProps/ctrlProp102.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66" Type="http://schemas.openxmlformats.org/officeDocument/2006/relationships/ctrlProp" Target="../ctrlProps/ctrlProp61.xml"/><Relationship Id="rId74" Type="http://schemas.openxmlformats.org/officeDocument/2006/relationships/ctrlProp" Target="../ctrlProps/ctrlProp69.xml"/><Relationship Id="rId79" Type="http://schemas.openxmlformats.org/officeDocument/2006/relationships/ctrlProp" Target="../ctrlProps/ctrlProp74.xml"/><Relationship Id="rId87" Type="http://schemas.openxmlformats.org/officeDocument/2006/relationships/ctrlProp" Target="../ctrlProps/ctrlProp82.xml"/><Relationship Id="rId102" Type="http://schemas.openxmlformats.org/officeDocument/2006/relationships/ctrlProp" Target="../ctrlProps/ctrlProp97.xml"/><Relationship Id="rId110" Type="http://schemas.openxmlformats.org/officeDocument/2006/relationships/ctrlProp" Target="../ctrlProps/ctrlProp105.xml"/><Relationship Id="rId115" Type="http://schemas.openxmlformats.org/officeDocument/2006/relationships/ctrlProp" Target="../ctrlProps/ctrlProp110.xml"/><Relationship Id="rId5" Type="http://schemas.openxmlformats.org/officeDocument/2006/relationships/image" Target="../media/image4.emf"/><Relationship Id="rId61" Type="http://schemas.openxmlformats.org/officeDocument/2006/relationships/ctrlProp" Target="../ctrlProps/ctrlProp56.xml"/><Relationship Id="rId82" Type="http://schemas.openxmlformats.org/officeDocument/2006/relationships/ctrlProp" Target="../ctrlProps/ctrlProp77.xml"/><Relationship Id="rId90" Type="http://schemas.openxmlformats.org/officeDocument/2006/relationships/ctrlProp" Target="../ctrlProps/ctrlProp85.xml"/><Relationship Id="rId95" Type="http://schemas.openxmlformats.org/officeDocument/2006/relationships/ctrlProp" Target="../ctrlProps/ctrlProp90.xml"/><Relationship Id="rId19" Type="http://schemas.openxmlformats.org/officeDocument/2006/relationships/ctrlProp" Target="../ctrlProps/ctrlProp1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64" Type="http://schemas.openxmlformats.org/officeDocument/2006/relationships/ctrlProp" Target="../ctrlProps/ctrlProp59.xml"/><Relationship Id="rId69" Type="http://schemas.openxmlformats.org/officeDocument/2006/relationships/ctrlProp" Target="../ctrlProps/ctrlProp64.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113" Type="http://schemas.openxmlformats.org/officeDocument/2006/relationships/ctrlProp" Target="../ctrlProps/ctrlProp108.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80" Type="http://schemas.openxmlformats.org/officeDocument/2006/relationships/ctrlProp" Target="../ctrlProps/ctrlProp75.xml"/><Relationship Id="rId85" Type="http://schemas.openxmlformats.org/officeDocument/2006/relationships/ctrlProp" Target="../ctrlProps/ctrlProp80.xml"/><Relationship Id="rId93" Type="http://schemas.openxmlformats.org/officeDocument/2006/relationships/ctrlProp" Target="../ctrlProps/ctrlProp88.xml"/><Relationship Id="rId98" Type="http://schemas.openxmlformats.org/officeDocument/2006/relationships/ctrlProp" Target="../ctrlProps/ctrlProp93.xml"/><Relationship Id="rId3" Type="http://schemas.openxmlformats.org/officeDocument/2006/relationships/vmlDrawing" Target="../drawings/vmlDrawing8.v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67" Type="http://schemas.openxmlformats.org/officeDocument/2006/relationships/ctrlProp" Target="../ctrlProps/ctrlProp62.xml"/><Relationship Id="rId103" Type="http://schemas.openxmlformats.org/officeDocument/2006/relationships/ctrlProp" Target="../ctrlProps/ctrlProp98.xml"/><Relationship Id="rId108" Type="http://schemas.openxmlformats.org/officeDocument/2006/relationships/ctrlProp" Target="../ctrlProps/ctrlProp103.xml"/><Relationship Id="rId116" Type="http://schemas.openxmlformats.org/officeDocument/2006/relationships/ctrlProp" Target="../ctrlProps/ctrlProp111.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70" Type="http://schemas.openxmlformats.org/officeDocument/2006/relationships/ctrlProp" Target="../ctrlProps/ctrlProp65.xml"/><Relationship Id="rId75" Type="http://schemas.openxmlformats.org/officeDocument/2006/relationships/ctrlProp" Target="../ctrlProps/ctrlProp70.xml"/><Relationship Id="rId83" Type="http://schemas.openxmlformats.org/officeDocument/2006/relationships/ctrlProp" Target="../ctrlProps/ctrlProp78.xml"/><Relationship Id="rId88" Type="http://schemas.openxmlformats.org/officeDocument/2006/relationships/ctrlProp" Target="../ctrlProps/ctrlProp83.xml"/><Relationship Id="rId91" Type="http://schemas.openxmlformats.org/officeDocument/2006/relationships/ctrlProp" Target="../ctrlProps/ctrlProp86.xml"/><Relationship Id="rId96" Type="http://schemas.openxmlformats.org/officeDocument/2006/relationships/ctrlProp" Target="../ctrlProps/ctrlProp91.xml"/><Relationship Id="rId111" Type="http://schemas.openxmlformats.org/officeDocument/2006/relationships/ctrlProp" Target="../ctrlProps/ctrlProp106.xml"/><Relationship Id="rId1" Type="http://schemas.openxmlformats.org/officeDocument/2006/relationships/printerSettings" Target="../printerSettings/printerSettings8.bin"/><Relationship Id="rId6" Type="http://schemas.openxmlformats.org/officeDocument/2006/relationships/oleObject" Target="../embeddings/oleObject10.bin"/><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6" Type="http://schemas.openxmlformats.org/officeDocument/2006/relationships/ctrlProp" Target="../ctrlProps/ctrlProp101.xml"/><Relationship Id="rId114" Type="http://schemas.openxmlformats.org/officeDocument/2006/relationships/ctrlProp" Target="../ctrlProps/ctrlProp109.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4" Type="http://schemas.openxmlformats.org/officeDocument/2006/relationships/oleObject" Target="../embeddings/oleObject9.bin"/><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109" Type="http://schemas.openxmlformats.org/officeDocument/2006/relationships/ctrlProp" Target="../ctrlProps/ctrlProp10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2" Type="http://schemas.openxmlformats.org/officeDocument/2006/relationships/drawing" Target="../drawings/drawing9.xml"/><Relationship Id="rId2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10"/>
  <sheetViews>
    <sheetView zoomScale="95" workbookViewId="0">
      <selection activeCell="F19" sqref="F19"/>
    </sheetView>
  </sheetViews>
  <sheetFormatPr defaultColWidth="8.7109375" defaultRowHeight="12.75" x14ac:dyDescent="0.2"/>
  <cols>
    <col min="1" max="1" width="5.7109375" style="1" customWidth="1"/>
    <col min="2" max="2" width="9.7109375" style="2" customWidth="1"/>
    <col min="3" max="3" width="20.5703125" style="2" customWidth="1"/>
    <col min="4" max="4" width="10.7109375" style="3" customWidth="1"/>
    <col min="5" max="5" width="10.42578125" style="2" customWidth="1"/>
    <col min="6" max="6" width="16.42578125" style="2" customWidth="1"/>
    <col min="7" max="7" width="18.140625" style="4" customWidth="1"/>
    <col min="8" max="8" width="10.7109375" style="1" customWidth="1"/>
    <col min="9" max="9" width="10.7109375" style="2" customWidth="1"/>
    <col min="10" max="10" width="2.7109375" style="5" customWidth="1"/>
    <col min="11" max="13" width="2.7109375" style="2" customWidth="1"/>
    <col min="14" max="14" width="9.85546875" style="2" customWidth="1"/>
    <col min="15" max="15" width="10.28515625" style="93" bestFit="1" customWidth="1"/>
    <col min="16" max="16" width="10.7109375" style="96" bestFit="1" customWidth="1"/>
    <col min="17" max="17" width="9.85546875" style="93" bestFit="1" customWidth="1"/>
    <col min="18" max="21" width="8.7109375" style="93" customWidth="1"/>
    <col min="22" max="16384" width="8.7109375" style="2"/>
  </cols>
  <sheetData>
    <row r="1" spans="1:21" ht="15.95" customHeight="1" x14ac:dyDescent="0.2"/>
    <row r="2" spans="1:21" s="11" customFormat="1" ht="15.75" customHeight="1" x14ac:dyDescent="0.2">
      <c r="A2" s="6" t="e">
        <f>CONCATENATE("Nacalculatie ",#REF!, " Psychiatrische Ziekenhuizen en Ribw´s")</f>
        <v>#REF!</v>
      </c>
      <c r="B2" s="7"/>
      <c r="C2" s="8" t="e">
        <f>#REF!</f>
        <v>#REF!</v>
      </c>
      <c r="D2" s="8" t="e">
        <f>#REF!</f>
        <v>#REF!</v>
      </c>
      <c r="E2" s="8" t="e">
        <f>#REF!</f>
        <v>#REF!</v>
      </c>
      <c r="F2" s="8" t="e">
        <f>#REF!</f>
        <v>#REF!</v>
      </c>
      <c r="G2" s="8" t="e">
        <f>#REF!</f>
        <v>#REF!</v>
      </c>
      <c r="H2" s="8" t="e">
        <f>#REF!</f>
        <v>#REF!</v>
      </c>
      <c r="I2" s="8" t="e">
        <f>#REF!</f>
        <v>#REF!</v>
      </c>
      <c r="J2" s="8" t="e">
        <f>#REF!</f>
        <v>#REF!</v>
      </c>
      <c r="K2" s="7"/>
      <c r="L2" s="9"/>
      <c r="M2" s="10" t="e">
        <f>instructie!#REF!+1</f>
        <v>#REF!</v>
      </c>
      <c r="O2" s="12"/>
      <c r="P2" s="13"/>
      <c r="Q2" s="12"/>
      <c r="R2" s="12"/>
      <c r="S2" s="12"/>
      <c r="T2" s="12"/>
      <c r="U2" s="12"/>
    </row>
    <row r="3" spans="1:21" x14ac:dyDescent="0.2">
      <c r="M3" s="5"/>
    </row>
    <row r="4" spans="1:21" ht="12.75" customHeight="1" x14ac:dyDescent="0.2">
      <c r="A4" s="14" t="str">
        <f>CONCATENATE("RUBRIEK 1: WERKELIJKE OPBRENGSTEN")</f>
        <v>RUBRIEK 1: WERKELIJKE OPBRENGSTEN</v>
      </c>
      <c r="B4" s="15"/>
      <c r="C4" s="15"/>
      <c r="D4" s="16"/>
      <c r="E4" s="230" t="str">
        <f>CONCATENATE("(Ribw´s alleen ",A8,", ",A34,", ",E37," en ",A42,")")</f>
        <v>(Ribw´s alleen 1.1 , 1.4, 1.6  en 1.7)</v>
      </c>
      <c r="F4" s="17"/>
      <c r="G4" s="18"/>
      <c r="H4" s="2"/>
      <c r="I4" s="17"/>
      <c r="J4" s="19"/>
      <c r="K4" s="17"/>
      <c r="L4" s="15"/>
      <c r="M4" s="96"/>
      <c r="N4" s="93"/>
      <c r="P4" s="93"/>
      <c r="S4" s="2"/>
      <c r="T4" s="2"/>
      <c r="U4" s="2"/>
    </row>
    <row r="5" spans="1:21" ht="12.75" customHeight="1" x14ac:dyDescent="0.2">
      <c r="B5" s="20"/>
      <c r="C5" s="20"/>
      <c r="D5" s="20"/>
      <c r="E5" s="20"/>
      <c r="F5" s="20"/>
      <c r="G5" s="20"/>
      <c r="H5" s="20"/>
      <c r="I5" s="20"/>
      <c r="J5" s="20"/>
      <c r="K5" s="20"/>
      <c r="L5" s="20"/>
      <c r="M5" s="93"/>
      <c r="N5" s="93"/>
      <c r="P5" s="93"/>
      <c r="S5" s="2"/>
      <c r="T5" s="2"/>
      <c r="U5" s="2"/>
    </row>
    <row r="6" spans="1:21" s="11" customFormat="1" ht="12.75" customHeight="1" x14ac:dyDescent="0.2">
      <c r="A6" s="21"/>
      <c r="B6" s="22" t="s">
        <v>322</v>
      </c>
      <c r="C6" s="23" t="s">
        <v>318</v>
      </c>
      <c r="D6" s="24"/>
      <c r="E6" s="197"/>
      <c r="F6" s="22" t="s">
        <v>322</v>
      </c>
    </row>
    <row r="7" spans="1:21" ht="12.75" customHeight="1" x14ac:dyDescent="0.2">
      <c r="A7" s="20"/>
      <c r="B7" s="3"/>
      <c r="C7" s="20"/>
      <c r="D7" s="20"/>
      <c r="E7" s="20"/>
      <c r="F7" s="20"/>
      <c r="G7" s="93"/>
      <c r="H7" s="93"/>
      <c r="I7" s="93"/>
      <c r="J7" s="93"/>
      <c r="K7" s="93"/>
      <c r="O7" s="2"/>
      <c r="P7" s="2"/>
      <c r="Q7" s="2"/>
      <c r="R7" s="2"/>
      <c r="S7" s="2"/>
      <c r="T7" s="2"/>
      <c r="U7" s="2"/>
    </row>
    <row r="8" spans="1:21" s="90" customFormat="1" ht="12.75" customHeight="1" x14ac:dyDescent="0.2">
      <c r="A8" s="26" t="s">
        <v>313</v>
      </c>
      <c r="B8" s="28"/>
      <c r="C8" s="29"/>
      <c r="D8" s="27"/>
      <c r="E8" s="26" t="s">
        <v>312</v>
      </c>
      <c r="F8" s="29"/>
    </row>
    <row r="9" spans="1:21" s="90" customFormat="1" ht="12.75" customHeight="1" x14ac:dyDescent="0.2">
      <c r="A9" s="31">
        <f>Opbrengsten!A10</f>
        <v>402</v>
      </c>
      <c r="B9" s="267" t="e">
        <f>Opbrengsten!#REF!</f>
        <v>#REF!</v>
      </c>
      <c r="C9" s="268" t="e">
        <f>Opbrengsten!#REF!</f>
        <v>#REF!</v>
      </c>
      <c r="D9" s="27"/>
      <c r="E9" s="31">
        <f>A38+1</f>
        <v>426</v>
      </c>
      <c r="F9" s="267" t="e">
        <f>Opbrengsten!#REF!</f>
        <v>#REF!</v>
      </c>
    </row>
    <row r="10" spans="1:21" s="42" customFormat="1" ht="12.75" customHeight="1" x14ac:dyDescent="0.2">
      <c r="A10" s="32">
        <f t="shared" ref="A10:A17" si="0">A9+1</f>
        <v>403</v>
      </c>
      <c r="B10" s="267" t="e">
        <f>Opbrengsten!#REF!</f>
        <v>#REF!</v>
      </c>
      <c r="C10" s="268" t="e">
        <f>Opbrengsten!#REF!</f>
        <v>#REF!</v>
      </c>
      <c r="D10" s="33"/>
      <c r="E10" s="34">
        <f t="shared" ref="E10:E28" si="1">E9+1</f>
        <v>427</v>
      </c>
      <c r="F10" s="267" t="e">
        <f>Opbrengsten!#REF!</f>
        <v>#REF!</v>
      </c>
    </row>
    <row r="11" spans="1:21" s="42" customFormat="1" ht="12.75" customHeight="1" x14ac:dyDescent="0.2">
      <c r="A11" s="34">
        <f t="shared" si="0"/>
        <v>404</v>
      </c>
      <c r="B11" s="267" t="e">
        <f>Opbrengsten!#REF!</f>
        <v>#REF!</v>
      </c>
      <c r="C11" s="268" t="e">
        <f>Opbrengsten!#REF!</f>
        <v>#REF!</v>
      </c>
      <c r="D11" s="33"/>
      <c r="E11" s="34">
        <f t="shared" si="1"/>
        <v>428</v>
      </c>
      <c r="F11" s="267" t="e">
        <f>Opbrengsten!#REF!</f>
        <v>#REF!</v>
      </c>
    </row>
    <row r="12" spans="1:21" s="42" customFormat="1" ht="12.75" customHeight="1" x14ac:dyDescent="0.2">
      <c r="A12" s="34">
        <f t="shared" si="0"/>
        <v>405</v>
      </c>
      <c r="B12" s="267" t="e">
        <f>Opbrengsten!#REF!</f>
        <v>#REF!</v>
      </c>
      <c r="C12" s="268" t="e">
        <f>Opbrengsten!#REF!</f>
        <v>#REF!</v>
      </c>
      <c r="D12" s="33"/>
      <c r="E12" s="34">
        <f t="shared" si="1"/>
        <v>429</v>
      </c>
      <c r="F12" s="267" t="e">
        <f>Opbrengsten!#REF!</f>
        <v>#REF!</v>
      </c>
    </row>
    <row r="13" spans="1:21" s="42" customFormat="1" ht="12.75" customHeight="1" x14ac:dyDescent="0.2">
      <c r="A13" s="34">
        <f t="shared" si="0"/>
        <v>406</v>
      </c>
      <c r="B13" s="267" t="e">
        <f>Opbrengsten!#REF!</f>
        <v>#REF!</v>
      </c>
      <c r="C13" s="268" t="e">
        <f>Opbrengsten!#REF!</f>
        <v>#REF!</v>
      </c>
      <c r="D13" s="33"/>
      <c r="E13" s="34">
        <f t="shared" si="1"/>
        <v>430</v>
      </c>
      <c r="F13" s="267" t="e">
        <f>Opbrengsten!#REF!</f>
        <v>#REF!</v>
      </c>
    </row>
    <row r="14" spans="1:21" s="42" customFormat="1" ht="12.75" customHeight="1" x14ac:dyDescent="0.2">
      <c r="A14" s="34">
        <f t="shared" si="0"/>
        <v>407</v>
      </c>
      <c r="B14" s="267" t="e">
        <f>Opbrengsten!#REF!</f>
        <v>#REF!</v>
      </c>
      <c r="C14" s="268" t="e">
        <f>Opbrengsten!#REF!</f>
        <v>#REF!</v>
      </c>
      <c r="D14" s="33"/>
      <c r="E14" s="34">
        <f t="shared" si="1"/>
        <v>431</v>
      </c>
      <c r="F14" s="267" t="e">
        <f>Opbrengsten!#REF!</f>
        <v>#REF!</v>
      </c>
      <c r="H14" s="90"/>
    </row>
    <row r="15" spans="1:21" s="42" customFormat="1" ht="12.75" customHeight="1" x14ac:dyDescent="0.2">
      <c r="A15" s="35">
        <f t="shared" si="0"/>
        <v>408</v>
      </c>
      <c r="B15" s="267" t="e">
        <f>Opbrengsten!#REF!</f>
        <v>#REF!</v>
      </c>
      <c r="C15" s="269"/>
      <c r="D15" s="33"/>
      <c r="E15" s="34">
        <f t="shared" si="1"/>
        <v>432</v>
      </c>
      <c r="F15" s="267">
        <f>Opbrengsten!C44</f>
        <v>0</v>
      </c>
      <c r="H15" s="90"/>
    </row>
    <row r="16" spans="1:21" s="42" customFormat="1" ht="12.75" customHeight="1" x14ac:dyDescent="0.2">
      <c r="A16" s="54">
        <f t="shared" si="0"/>
        <v>409</v>
      </c>
      <c r="B16" s="270" t="e">
        <f>Opbrengsten!#REF!</f>
        <v>#REF!</v>
      </c>
      <c r="C16" s="268" t="e">
        <f>Opbrengsten!#REF!</f>
        <v>#REF!</v>
      </c>
      <c r="D16" s="33"/>
      <c r="E16" s="34">
        <f t="shared" si="1"/>
        <v>433</v>
      </c>
      <c r="F16" s="267" t="e">
        <f>Opbrengsten!#REF!</f>
        <v>#REF!</v>
      </c>
      <c r="H16" s="90"/>
    </row>
    <row r="17" spans="1:8" s="42" customFormat="1" ht="12.75" customHeight="1" x14ac:dyDescent="0.2">
      <c r="A17" s="37">
        <f t="shared" si="0"/>
        <v>410</v>
      </c>
      <c r="B17" s="39"/>
      <c r="C17" s="40"/>
      <c r="D17" s="33"/>
      <c r="E17" s="34">
        <f t="shared" si="1"/>
        <v>434</v>
      </c>
      <c r="F17" s="267">
        <f>Opbrengsten!I9</f>
        <v>0</v>
      </c>
      <c r="H17" s="90"/>
    </row>
    <row r="18" spans="1:8" s="42" customFormat="1" ht="12.75" customHeight="1" x14ac:dyDescent="0.2">
      <c r="A18" s="41"/>
      <c r="B18" s="238"/>
      <c r="D18" s="33"/>
      <c r="E18" s="34">
        <f t="shared" si="1"/>
        <v>435</v>
      </c>
      <c r="F18" s="267">
        <f>Opbrengsten!I11</f>
        <v>0</v>
      </c>
      <c r="H18" s="90"/>
    </row>
    <row r="19" spans="1:8" s="42" customFormat="1" ht="12.75" customHeight="1" x14ac:dyDescent="0.2">
      <c r="A19" s="26" t="s">
        <v>314</v>
      </c>
      <c r="B19" s="28"/>
      <c r="C19" s="29"/>
      <c r="D19" s="33"/>
      <c r="E19" s="34">
        <f t="shared" si="1"/>
        <v>436</v>
      </c>
      <c r="F19" s="267" t="str">
        <f>Opbrengsten!H10</f>
        <v>Mutatie onderhanden werk kostencomponent DBC-B</v>
      </c>
      <c r="H19" s="90"/>
    </row>
    <row r="20" spans="1:8" s="42" customFormat="1" ht="12.75" customHeight="1" x14ac:dyDescent="0.2">
      <c r="A20" s="31">
        <f>A17+1</f>
        <v>411</v>
      </c>
      <c r="B20" s="267" t="e">
        <f>Opbrengsten!#REF!</f>
        <v>#REF!</v>
      </c>
      <c r="C20" s="269"/>
      <c r="D20" s="44"/>
      <c r="E20" s="34">
        <f t="shared" si="1"/>
        <v>437</v>
      </c>
      <c r="F20" s="267" t="e">
        <f>Opbrengsten!#REF!</f>
        <v>#REF!</v>
      </c>
      <c r="H20" s="90"/>
    </row>
    <row r="21" spans="1:8" s="42" customFormat="1" ht="12.75" customHeight="1" x14ac:dyDescent="0.2">
      <c r="A21" s="32">
        <f>A20+1</f>
        <v>412</v>
      </c>
      <c r="B21" s="267" t="e">
        <f>Opbrengsten!#REF!</f>
        <v>#REF!</v>
      </c>
      <c r="C21" s="269"/>
      <c r="D21" s="45"/>
      <c r="E21" s="34">
        <f t="shared" si="1"/>
        <v>438</v>
      </c>
      <c r="F21" s="267">
        <f>Opbrengsten!I13</f>
        <v>0</v>
      </c>
      <c r="H21" s="90"/>
    </row>
    <row r="22" spans="1:8" s="90" customFormat="1" ht="12.75" customHeight="1" x14ac:dyDescent="0.2">
      <c r="A22" s="32">
        <f>A21+1</f>
        <v>413</v>
      </c>
      <c r="B22" s="267" t="e">
        <f>Opbrengsten!#REF!</f>
        <v>#REF!</v>
      </c>
      <c r="C22" s="269"/>
      <c r="D22" s="27"/>
      <c r="E22" s="34">
        <f t="shared" si="1"/>
        <v>439</v>
      </c>
      <c r="F22" s="267">
        <f>Opbrengsten!I14</f>
        <v>0</v>
      </c>
    </row>
    <row r="23" spans="1:8" s="90" customFormat="1" ht="12.75" customHeight="1" x14ac:dyDescent="0.2">
      <c r="A23" s="32">
        <f>A22+1</f>
        <v>414</v>
      </c>
      <c r="B23" s="267" t="e">
        <f>Opbrengsten!#REF!</f>
        <v>#REF!</v>
      </c>
      <c r="C23" s="269"/>
      <c r="D23" s="27"/>
      <c r="E23" s="34">
        <f t="shared" si="1"/>
        <v>440</v>
      </c>
      <c r="F23" s="267" t="str">
        <f>Opbrengsten!H15</f>
        <v>Zorgprestaties derde compartiment</v>
      </c>
    </row>
    <row r="24" spans="1:8" s="42" customFormat="1" ht="12.75" customHeight="1" x14ac:dyDescent="0.2">
      <c r="A24" s="35">
        <f>A23+1</f>
        <v>415</v>
      </c>
      <c r="B24" s="267" t="e">
        <f>Opbrengsten!#REF!</f>
        <v>#REF!</v>
      </c>
      <c r="C24" s="269"/>
      <c r="D24" s="33"/>
      <c r="E24" s="34">
        <f t="shared" si="1"/>
        <v>441</v>
      </c>
      <c r="F24" s="267" t="e">
        <f>Opbrengsten!#REF!</f>
        <v>#REF!</v>
      </c>
    </row>
    <row r="25" spans="1:8" s="42" customFormat="1" ht="12.75" customHeight="1" x14ac:dyDescent="0.2">
      <c r="A25" s="37">
        <f>A24+1</f>
        <v>416</v>
      </c>
      <c r="B25" s="39"/>
      <c r="C25" s="40"/>
      <c r="D25" s="33"/>
      <c r="E25" s="34">
        <f t="shared" si="1"/>
        <v>442</v>
      </c>
      <c r="F25" s="267" t="e">
        <f>Opbrengsten!#REF!</f>
        <v>#REF!</v>
      </c>
    </row>
    <row r="26" spans="1:8" s="42" customFormat="1" ht="12.75" customHeight="1" x14ac:dyDescent="0.2">
      <c r="A26" s="261"/>
      <c r="B26" s="43"/>
      <c r="D26" s="33"/>
      <c r="E26" s="34">
        <f t="shared" si="1"/>
        <v>443</v>
      </c>
      <c r="F26" s="267" t="e">
        <f>Opbrengsten!#REF!</f>
        <v>#REF!</v>
      </c>
    </row>
    <row r="27" spans="1:8" s="42" customFormat="1" ht="12.75" customHeight="1" x14ac:dyDescent="0.2">
      <c r="A27" s="26" t="s">
        <v>315</v>
      </c>
      <c r="B27" s="28"/>
      <c r="C27" s="29"/>
      <c r="D27" s="44"/>
      <c r="E27" s="34">
        <f t="shared" si="1"/>
        <v>444</v>
      </c>
      <c r="F27" s="267" t="e">
        <f>Opbrengsten!#REF!</f>
        <v>#REF!</v>
      </c>
      <c r="H27" s="90"/>
    </row>
    <row r="28" spans="1:8" s="42" customFormat="1" ht="12.75" customHeight="1" x14ac:dyDescent="0.2">
      <c r="A28" s="31">
        <f>A25+1</f>
        <v>417</v>
      </c>
      <c r="B28" s="267" t="e">
        <f>Opbrengsten!#REF!</f>
        <v>#REF!</v>
      </c>
      <c r="C28" s="268" t="e">
        <f>Opbrengsten!#REF!</f>
        <v>#REF!</v>
      </c>
      <c r="D28" s="45"/>
      <c r="E28" s="34">
        <f t="shared" si="1"/>
        <v>445</v>
      </c>
      <c r="F28" s="267" t="e">
        <f>Opbrengsten!#REF!</f>
        <v>#REF!</v>
      </c>
      <c r="H28" s="90"/>
    </row>
    <row r="29" spans="1:8" s="90" customFormat="1" ht="12.75" customHeight="1" x14ac:dyDescent="0.2">
      <c r="A29" s="32">
        <f>A28+1</f>
        <v>418</v>
      </c>
      <c r="B29" s="267" t="e">
        <f>Opbrengsten!#REF!</f>
        <v>#REF!</v>
      </c>
      <c r="C29" s="268" t="e">
        <f>Opbrengsten!#REF!</f>
        <v>#REF!</v>
      </c>
      <c r="D29" s="27"/>
      <c r="E29" s="34">
        <f>E25+1</f>
        <v>443</v>
      </c>
      <c r="F29" s="267">
        <f>Opbrengsten!I21</f>
        <v>0</v>
      </c>
    </row>
    <row r="30" spans="1:8" s="90" customFormat="1" ht="12.75" customHeight="1" x14ac:dyDescent="0.2">
      <c r="A30" s="34">
        <f>A29+1</f>
        <v>419</v>
      </c>
      <c r="B30" s="267" t="e">
        <f>Opbrengsten!#REF!</f>
        <v>#REF!</v>
      </c>
      <c r="C30" s="268" t="e">
        <f>Opbrengsten!#REF!</f>
        <v>#REF!</v>
      </c>
      <c r="D30" s="27"/>
      <c r="E30" s="34">
        <f>E29+1</f>
        <v>444</v>
      </c>
      <c r="F30" s="267">
        <f>Opbrengsten!I22</f>
        <v>0</v>
      </c>
    </row>
    <row r="31" spans="1:8" s="42" customFormat="1" ht="12.75" customHeight="1" x14ac:dyDescent="0.2">
      <c r="A31" s="35">
        <f>A30+1</f>
        <v>420</v>
      </c>
      <c r="B31" s="267" t="e">
        <f>Opbrengsten!#REF!</f>
        <v>#REF!</v>
      </c>
      <c r="C31" s="268" t="e">
        <f>Opbrengsten!#REF!</f>
        <v>#REF!</v>
      </c>
      <c r="D31" s="33"/>
      <c r="E31" s="34">
        <f>E30+1</f>
        <v>445</v>
      </c>
      <c r="F31" s="267">
        <f>Opbrengsten!I23</f>
        <v>0</v>
      </c>
    </row>
    <row r="32" spans="1:8" s="42" customFormat="1" ht="12.75" customHeight="1" x14ac:dyDescent="0.2">
      <c r="A32" s="37">
        <f>A31+1</f>
        <v>421</v>
      </c>
      <c r="B32" s="39"/>
      <c r="C32" s="46"/>
      <c r="D32" s="33"/>
      <c r="E32" s="34">
        <f>E30+1</f>
        <v>445</v>
      </c>
      <c r="F32" s="267" t="e">
        <f>Opbrengsten!#REF!</f>
        <v>#REF!</v>
      </c>
    </row>
    <row r="33" spans="1:21" s="42" customFormat="1" ht="12.75" customHeight="1" x14ac:dyDescent="0.2">
      <c r="A33" s="41"/>
      <c r="B33" s="43"/>
      <c r="D33" s="33"/>
      <c r="E33" s="34">
        <f>E31+1</f>
        <v>446</v>
      </c>
      <c r="F33" s="267">
        <f>Opbrengsten!I24</f>
        <v>0</v>
      </c>
    </row>
    <row r="34" spans="1:21" s="42" customFormat="1" ht="12.75" customHeight="1" x14ac:dyDescent="0.2">
      <c r="A34" s="26" t="s">
        <v>56</v>
      </c>
      <c r="B34" s="45"/>
      <c r="D34" s="48"/>
      <c r="E34" s="34">
        <f>E33+1</f>
        <v>447</v>
      </c>
      <c r="F34" s="267">
        <f>Opbrengsten!I25</f>
        <v>0</v>
      </c>
    </row>
    <row r="35" spans="1:21" s="42" customFormat="1" ht="12.75" customHeight="1" x14ac:dyDescent="0.2">
      <c r="A35" s="31">
        <f>A32+1</f>
        <v>422</v>
      </c>
      <c r="B35" s="49"/>
      <c r="C35" s="50"/>
      <c r="E35" s="51">
        <f>E34+1</f>
        <v>448</v>
      </c>
      <c r="F35" s="52"/>
      <c r="H35" s="90"/>
    </row>
    <row r="36" spans="1:21" x14ac:dyDescent="0.2">
      <c r="A36" s="35">
        <f>A35+1</f>
        <v>423</v>
      </c>
      <c r="B36" s="49"/>
      <c r="C36" s="50"/>
      <c r="D36" s="4"/>
      <c r="E36" s="53"/>
      <c r="F36" s="5"/>
      <c r="G36" s="93"/>
      <c r="H36" s="96"/>
      <c r="I36" s="93"/>
      <c r="J36" s="93"/>
      <c r="K36" s="93"/>
      <c r="L36" s="93"/>
      <c r="M36" s="93"/>
      <c r="O36" s="2"/>
      <c r="P36" s="2"/>
      <c r="Q36" s="2"/>
      <c r="R36" s="2"/>
      <c r="S36" s="2"/>
      <c r="T36" s="2"/>
      <c r="U36" s="2"/>
    </row>
    <row r="37" spans="1:21" x14ac:dyDescent="0.2">
      <c r="A37" s="54">
        <f>A36+1</f>
        <v>424</v>
      </c>
      <c r="B37" s="55"/>
      <c r="C37" s="56"/>
      <c r="D37" s="4"/>
      <c r="E37" s="26" t="s">
        <v>316</v>
      </c>
      <c r="F37" s="57"/>
      <c r="G37" s="93"/>
      <c r="H37" s="96"/>
      <c r="I37" s="93"/>
      <c r="J37" s="93"/>
      <c r="K37" s="93"/>
      <c r="L37" s="93"/>
      <c r="M37" s="93"/>
      <c r="O37" s="2"/>
      <c r="P37" s="2"/>
      <c r="Q37" s="2"/>
      <c r="R37" s="2"/>
      <c r="S37" s="2"/>
      <c r="T37" s="2"/>
      <c r="U37" s="2"/>
    </row>
    <row r="38" spans="1:21" ht="12.75" customHeight="1" x14ac:dyDescent="0.2">
      <c r="A38" s="51">
        <f>A37+1</f>
        <v>425</v>
      </c>
      <c r="B38" s="38"/>
      <c r="C38" s="52"/>
      <c r="D38" s="4"/>
      <c r="E38" s="37">
        <f>A38+1</f>
        <v>426</v>
      </c>
      <c r="F38" s="60"/>
      <c r="G38" s="93"/>
      <c r="H38" s="96"/>
      <c r="I38" s="93"/>
      <c r="J38" s="93"/>
      <c r="K38" s="93"/>
      <c r="L38" s="93"/>
      <c r="M38" s="93"/>
      <c r="O38" s="2"/>
      <c r="P38" s="2"/>
      <c r="Q38" s="2"/>
      <c r="R38" s="2"/>
      <c r="S38" s="2"/>
      <c r="T38" s="2"/>
      <c r="U38" s="2"/>
    </row>
    <row r="39" spans="1:21" s="11" customFormat="1" ht="12.75" customHeight="1" x14ac:dyDescent="0.2">
      <c r="A39" s="1"/>
      <c r="B39" s="3"/>
      <c r="C39" s="2"/>
      <c r="D39" s="2"/>
      <c r="E39" s="4"/>
      <c r="F39" s="1"/>
    </row>
    <row r="40" spans="1:21" x14ac:dyDescent="0.2">
      <c r="A40" s="21"/>
      <c r="B40" s="184"/>
      <c r="C40" s="184"/>
      <c r="D40" s="25" t="s">
        <v>321</v>
      </c>
      <c r="E40" s="24"/>
      <c r="F40" s="21"/>
      <c r="G40" s="62"/>
      <c r="H40" s="62"/>
      <c r="I40" s="63"/>
      <c r="J40" s="2"/>
      <c r="K40" s="93"/>
      <c r="L40" s="96"/>
      <c r="M40" s="93"/>
      <c r="N40" s="93"/>
      <c r="P40" s="93"/>
      <c r="R40" s="2"/>
      <c r="S40" s="2"/>
      <c r="T40" s="2"/>
      <c r="U40" s="2"/>
    </row>
    <row r="41" spans="1:21" x14ac:dyDescent="0.2">
      <c r="A41" s="64"/>
      <c r="B41" s="66"/>
      <c r="C41" s="66"/>
      <c r="D41" s="67"/>
      <c r="E41" s="65"/>
      <c r="F41" s="64"/>
      <c r="G41" s="68"/>
      <c r="H41" s="68"/>
      <c r="I41" s="69"/>
      <c r="J41" s="69"/>
      <c r="K41" s="70"/>
      <c r="M41" s="93"/>
      <c r="N41" s="96"/>
      <c r="P41" s="93"/>
      <c r="T41" s="2"/>
      <c r="U41" s="2"/>
    </row>
    <row r="42" spans="1:21" x14ac:dyDescent="0.2">
      <c r="A42" s="26" t="s">
        <v>46</v>
      </c>
      <c r="B42" s="48"/>
      <c r="C42" s="48"/>
      <c r="D42" s="236" t="s">
        <v>80</v>
      </c>
      <c r="E42" s="4"/>
      <c r="F42" s="71"/>
      <c r="G42" s="72"/>
      <c r="H42" s="72"/>
      <c r="I42" s="72"/>
      <c r="J42" s="72"/>
      <c r="K42" s="73"/>
      <c r="M42" s="93"/>
      <c r="N42" s="96"/>
      <c r="P42" s="93"/>
      <c r="T42" s="2"/>
      <c r="U42" s="2"/>
    </row>
    <row r="43" spans="1:21" x14ac:dyDescent="0.2">
      <c r="A43" s="31" t="e">
        <f>Opbrengsten!#REF!</f>
        <v>#REF!</v>
      </c>
      <c r="B43" s="134"/>
      <c r="C43" s="74"/>
      <c r="D43" s="267" t="e">
        <f>Opbrengsten!#REF!</f>
        <v>#REF!</v>
      </c>
      <c r="E43" s="4"/>
      <c r="F43" s="75"/>
      <c r="G43" s="76"/>
      <c r="H43" s="76"/>
      <c r="I43" s="76"/>
      <c r="J43" s="76"/>
      <c r="K43" s="76"/>
      <c r="M43" s="93"/>
      <c r="N43" s="96"/>
      <c r="P43" s="93"/>
      <c r="T43" s="2"/>
      <c r="U43" s="2"/>
    </row>
    <row r="44" spans="1:21" x14ac:dyDescent="0.2">
      <c r="A44" s="32" t="e">
        <f>A43+1</f>
        <v>#REF!</v>
      </c>
      <c r="B44" s="134"/>
      <c r="C44" s="77"/>
      <c r="D44" s="291"/>
      <c r="E44" s="4"/>
      <c r="F44" s="1"/>
      <c r="G44" s="2"/>
      <c r="H44" s="5"/>
      <c r="J44" s="2"/>
      <c r="M44" s="93"/>
      <c r="N44" s="96"/>
      <c r="P44" s="93"/>
      <c r="T44" s="2"/>
      <c r="U44" s="2"/>
    </row>
    <row r="45" spans="1:21" x14ac:dyDescent="0.2">
      <c r="A45" s="35" t="e">
        <f>A44+1</f>
        <v>#REF!</v>
      </c>
      <c r="B45" s="78"/>
      <c r="C45" s="79"/>
      <c r="D45" s="267" t="e">
        <f>Opbrengsten!#REF!</f>
        <v>#REF!</v>
      </c>
      <c r="E45" s="4"/>
      <c r="F45" s="1"/>
      <c r="G45" s="2"/>
      <c r="H45" s="5"/>
      <c r="J45" s="2"/>
      <c r="M45" s="93"/>
      <c r="N45" s="96"/>
      <c r="P45" s="93"/>
      <c r="T45" s="2"/>
      <c r="U45" s="2"/>
    </row>
    <row r="46" spans="1:21" s="87" customFormat="1" x14ac:dyDescent="0.2">
      <c r="A46" s="37" t="e">
        <f>A45+1</f>
        <v>#REF!</v>
      </c>
      <c r="B46" s="52"/>
      <c r="C46" s="80"/>
      <c r="D46" s="292"/>
      <c r="E46" s="4"/>
      <c r="F46" s="1"/>
      <c r="G46" s="2"/>
      <c r="H46" s="5"/>
      <c r="I46" s="2"/>
      <c r="J46" s="2"/>
      <c r="K46" s="2"/>
      <c r="M46" s="293"/>
      <c r="N46" s="294"/>
      <c r="O46" s="293"/>
      <c r="P46" s="293"/>
      <c r="Q46" s="293"/>
      <c r="R46" s="293"/>
      <c r="S46" s="293"/>
    </row>
    <row r="47" spans="1:21" x14ac:dyDescent="0.2">
      <c r="A47" s="81" t="e">
        <f>A46+1</f>
        <v>#REF!</v>
      </c>
      <c r="B47" s="271"/>
      <c r="C47" s="82"/>
      <c r="D47" s="267" t="e">
        <f>Opbrengsten!#REF!</f>
        <v>#REF!</v>
      </c>
      <c r="E47" s="4"/>
      <c r="F47" s="1"/>
      <c r="G47" s="2"/>
      <c r="H47" s="5"/>
      <c r="J47" s="2"/>
      <c r="M47" s="93"/>
      <c r="N47" s="96"/>
      <c r="P47" s="93"/>
      <c r="T47" s="2"/>
      <c r="U47" s="2"/>
    </row>
    <row r="48" spans="1:21" x14ac:dyDescent="0.2">
      <c r="A48" s="37" t="e">
        <f>A47+1</f>
        <v>#REF!</v>
      </c>
      <c r="B48" s="52"/>
      <c r="C48" s="80"/>
      <c r="D48" s="292"/>
      <c r="E48" s="4"/>
      <c r="F48" s="1"/>
      <c r="G48" s="2"/>
      <c r="H48" s="5"/>
      <c r="J48" s="2"/>
      <c r="M48" s="93"/>
      <c r="N48" s="96"/>
      <c r="P48" s="93"/>
      <c r="T48" s="2"/>
      <c r="U48" s="2"/>
    </row>
    <row r="49" spans="1:21" x14ac:dyDescent="0.2">
      <c r="A49" s="83"/>
      <c r="B49" s="84"/>
      <c r="C49" s="84"/>
      <c r="D49" s="84"/>
      <c r="E49" s="85"/>
      <c r="F49" s="86"/>
      <c r="G49" s="87"/>
      <c r="H49" s="76"/>
      <c r="I49" s="87"/>
      <c r="J49" s="87"/>
      <c r="K49" s="87"/>
      <c r="M49" s="93"/>
      <c r="N49" s="96"/>
      <c r="P49" s="93"/>
      <c r="T49" s="2"/>
      <c r="U49" s="2"/>
    </row>
    <row r="50" spans="1:21" x14ac:dyDescent="0.2">
      <c r="A50" s="83" t="s">
        <v>77</v>
      </c>
      <c r="B50" s="84"/>
      <c r="C50" s="84"/>
      <c r="D50" s="236" t="s">
        <v>80</v>
      </c>
      <c r="E50" s="85"/>
      <c r="F50" s="86"/>
      <c r="G50" s="87"/>
      <c r="H50" s="76"/>
      <c r="I50" s="87"/>
      <c r="J50" s="87"/>
      <c r="K50" s="87"/>
      <c r="M50" s="93"/>
      <c r="N50" s="96"/>
      <c r="P50" s="93"/>
      <c r="T50" s="2"/>
      <c r="U50" s="2"/>
    </row>
    <row r="51" spans="1:21" x14ac:dyDescent="0.2">
      <c r="A51" s="31" t="e">
        <f>A48+1</f>
        <v>#REF!</v>
      </c>
      <c r="B51" s="134"/>
      <c r="C51" s="88"/>
      <c r="D51" s="291"/>
      <c r="E51" s="4"/>
      <c r="F51" s="1"/>
      <c r="G51" s="2"/>
      <c r="H51" s="5"/>
      <c r="J51" s="2"/>
      <c r="M51" s="93"/>
      <c r="N51" s="96"/>
      <c r="P51" s="93"/>
      <c r="T51" s="2"/>
      <c r="U51" s="2"/>
    </row>
    <row r="52" spans="1:21" ht="12.75" customHeight="1" x14ac:dyDescent="0.2">
      <c r="A52" s="35" t="e">
        <f>A51+1</f>
        <v>#REF!</v>
      </c>
      <c r="B52" s="237"/>
      <c r="C52" s="36"/>
      <c r="D52" s="295" t="e">
        <f>Opbrengsten!#REF!</f>
        <v>#REF!</v>
      </c>
      <c r="E52" s="4"/>
      <c r="F52" s="1"/>
      <c r="G52" s="2"/>
      <c r="H52" s="5"/>
      <c r="J52" s="2"/>
      <c r="M52" s="93"/>
      <c r="N52" s="96"/>
      <c r="P52" s="93"/>
      <c r="T52" s="2"/>
      <c r="U52" s="2"/>
    </row>
    <row r="53" spans="1:21" x14ac:dyDescent="0.2">
      <c r="A53" s="81"/>
      <c r="B53" s="296"/>
      <c r="C53" s="297"/>
      <c r="D53" s="298" t="e">
        <f>Opbrengsten!#REF!</f>
        <v>#REF!</v>
      </c>
      <c r="E53" s="4"/>
      <c r="F53" s="1"/>
      <c r="G53" s="2"/>
      <c r="H53" s="5"/>
      <c r="J53" s="2"/>
      <c r="M53" s="93"/>
      <c r="N53" s="96"/>
      <c r="P53" s="93"/>
      <c r="T53" s="2"/>
      <c r="U53" s="2"/>
    </row>
    <row r="54" spans="1:21" x14ac:dyDescent="0.2">
      <c r="A54" s="37" t="e">
        <f>A52+1</f>
        <v>#REF!</v>
      </c>
      <c r="B54" s="52"/>
      <c r="C54" s="89"/>
      <c r="D54" s="292"/>
      <c r="E54" s="4"/>
      <c r="F54" s="1"/>
      <c r="G54" s="2"/>
      <c r="H54" s="5"/>
      <c r="J54" s="2"/>
      <c r="M54" s="93"/>
      <c r="N54" s="96"/>
      <c r="P54" s="93"/>
      <c r="T54" s="2"/>
      <c r="U54" s="2"/>
    </row>
    <row r="55" spans="1:21" x14ac:dyDescent="0.2">
      <c r="A55" s="81" t="e">
        <f>A54+1</f>
        <v>#REF!</v>
      </c>
      <c r="B55" s="271"/>
      <c r="C55" s="82"/>
      <c r="D55" s="267" t="e">
        <f>Opbrengsten!#REF!</f>
        <v>#REF!</v>
      </c>
      <c r="E55" s="4"/>
      <c r="F55" s="1"/>
      <c r="G55" s="2"/>
      <c r="H55" s="5"/>
      <c r="J55" s="2"/>
      <c r="M55" s="93"/>
      <c r="N55" s="96"/>
      <c r="P55" s="93"/>
      <c r="T55" s="2"/>
      <c r="U55" s="2"/>
    </row>
    <row r="56" spans="1:21" x14ac:dyDescent="0.2">
      <c r="A56" s="37" t="e">
        <f>A55+1</f>
        <v>#REF!</v>
      </c>
      <c r="B56" s="52"/>
      <c r="C56" s="80"/>
      <c r="D56" s="292"/>
      <c r="E56" s="4"/>
      <c r="F56" s="1"/>
      <c r="G56" s="2"/>
      <c r="H56" s="5"/>
      <c r="J56" s="2"/>
      <c r="M56" s="93"/>
      <c r="N56" s="96"/>
      <c r="P56" s="93"/>
      <c r="T56" s="2"/>
      <c r="U56" s="2"/>
    </row>
    <row r="58" spans="1:21" x14ac:dyDescent="0.2">
      <c r="A58" s="14" t="s">
        <v>311</v>
      </c>
      <c r="B58" s="17"/>
      <c r="C58" s="97"/>
      <c r="D58" s="17"/>
      <c r="E58" s="17"/>
      <c r="F58" s="18"/>
      <c r="G58" s="98"/>
      <c r="H58" s="17"/>
      <c r="I58" s="19"/>
      <c r="J58" s="17"/>
      <c r="K58" s="93"/>
    </row>
    <row r="59" spans="1:21" x14ac:dyDescent="0.2">
      <c r="A59" s="174"/>
      <c r="B59" s="99"/>
      <c r="C59" s="100"/>
      <c r="D59" s="101"/>
      <c r="E59" s="102"/>
      <c r="F59" s="103"/>
      <c r="G59" s="102"/>
      <c r="H59" s="103"/>
      <c r="I59" s="103"/>
      <c r="J59" s="103"/>
      <c r="K59" s="104"/>
    </row>
    <row r="60" spans="1:21" x14ac:dyDescent="0.2">
      <c r="A60" s="211"/>
      <c r="B60" s="105" t="s">
        <v>305</v>
      </c>
      <c r="C60" s="209" t="s">
        <v>43</v>
      </c>
      <c r="D60" s="299"/>
      <c r="E60" s="300" t="s">
        <v>44</v>
      </c>
      <c r="F60" s="301"/>
      <c r="G60" s="209" t="e">
        <f>CONCATENATE("Jaarrekening ",#REF!)</f>
        <v>#REF!</v>
      </c>
      <c r="H60" s="302"/>
      <c r="I60" s="303"/>
      <c r="J60" s="2"/>
      <c r="M60" s="93"/>
      <c r="N60" s="96"/>
      <c r="P60" s="93"/>
      <c r="T60" s="2"/>
      <c r="U60" s="2"/>
    </row>
    <row r="61" spans="1:21" x14ac:dyDescent="0.2">
      <c r="A61" s="211"/>
      <c r="B61" s="106" t="e">
        <f>#REF!-1</f>
        <v>#REF!</v>
      </c>
      <c r="C61" s="106" t="e">
        <f>CONCATENATE("Doorw. ",#REF!-1," ")</f>
        <v>#REF!</v>
      </c>
      <c r="D61" s="106" t="e">
        <f>#REF!</f>
        <v>#REF!</v>
      </c>
      <c r="E61" s="106" t="e">
        <f>CONCATENATE("Doorw. ",#REF!-1," ")</f>
        <v>#REF!</v>
      </c>
      <c r="F61" s="107" t="e">
        <f>CONCATENATE(#REF!,"* ")</f>
        <v>#REF!</v>
      </c>
      <c r="G61" s="108" t="s">
        <v>305</v>
      </c>
      <c r="H61" s="109" t="s">
        <v>45</v>
      </c>
      <c r="I61" s="107" t="s">
        <v>304</v>
      </c>
      <c r="J61" s="2"/>
      <c r="M61" s="93"/>
      <c r="N61" s="96"/>
      <c r="P61" s="93"/>
      <c r="T61" s="2"/>
      <c r="U61" s="2"/>
    </row>
    <row r="62" spans="1:21" x14ac:dyDescent="0.2">
      <c r="A62" s="20"/>
      <c r="B62" s="20"/>
      <c r="C62" s="20"/>
      <c r="D62" s="20"/>
      <c r="E62" s="20"/>
      <c r="F62" s="20"/>
      <c r="G62" s="20"/>
      <c r="H62" s="20"/>
      <c r="I62" s="20"/>
      <c r="J62" s="20"/>
      <c r="K62" s="42"/>
    </row>
    <row r="63" spans="1:21" x14ac:dyDescent="0.2">
      <c r="A63" s="41" t="s">
        <v>319</v>
      </c>
      <c r="B63" s="44" t="s">
        <v>320</v>
      </c>
      <c r="C63" s="110"/>
      <c r="D63" s="111"/>
      <c r="E63" s="112"/>
      <c r="F63" s="113"/>
      <c r="G63" s="112"/>
      <c r="H63" s="113"/>
      <c r="I63" s="113"/>
      <c r="J63" s="113"/>
      <c r="K63" s="47"/>
    </row>
    <row r="64" spans="1:21" x14ac:dyDescent="0.2">
      <c r="A64" s="31" t="e">
        <f>#REF!</f>
        <v>#REF!</v>
      </c>
      <c r="B64" s="267" t="e">
        <f>#REF!</f>
        <v>#REF!</v>
      </c>
      <c r="C64" s="304" t="e">
        <f>#REF!</f>
        <v>#REF!</v>
      </c>
      <c r="D64" s="304" t="e">
        <f>#REF!</f>
        <v>#REF!</v>
      </c>
      <c r="E64" s="267" t="e">
        <f>#REF!</f>
        <v>#REF!</v>
      </c>
      <c r="F64" s="267" t="e">
        <f>#REF!</f>
        <v>#REF!</v>
      </c>
      <c r="G64" s="305"/>
      <c r="H64" s="267" t="e">
        <f>#REF!</f>
        <v>#REF!</v>
      </c>
      <c r="I64" s="267" t="e">
        <f>#REF!</f>
        <v>#REF!</v>
      </c>
      <c r="J64" s="2"/>
      <c r="M64" s="93"/>
      <c r="N64" s="96"/>
      <c r="P64" s="93"/>
      <c r="T64" s="2"/>
      <c r="U64" s="2"/>
    </row>
    <row r="65" spans="1:21" x14ac:dyDescent="0.2">
      <c r="A65" s="34" t="e">
        <f t="shared" ref="A65:A76" si="2">A64+1</f>
        <v>#REF!</v>
      </c>
      <c r="B65" s="267" t="e">
        <f>#REF!</f>
        <v>#REF!</v>
      </c>
      <c r="C65" s="304" t="e">
        <f>#REF!</f>
        <v>#REF!</v>
      </c>
      <c r="D65" s="304" t="e">
        <f>#REF!</f>
        <v>#REF!</v>
      </c>
      <c r="E65" s="267" t="e">
        <f>#REF!</f>
        <v>#REF!</v>
      </c>
      <c r="F65" s="267" t="e">
        <f>#REF!</f>
        <v>#REF!</v>
      </c>
      <c r="G65" s="305"/>
      <c r="H65" s="267" t="e">
        <f>#REF!</f>
        <v>#REF!</v>
      </c>
      <c r="I65" s="267" t="e">
        <f>#REF!</f>
        <v>#REF!</v>
      </c>
      <c r="J65" s="2"/>
      <c r="M65" s="93"/>
      <c r="N65" s="96"/>
      <c r="P65" s="93"/>
      <c r="T65" s="2"/>
      <c r="U65" s="2"/>
    </row>
    <row r="66" spans="1:21" x14ac:dyDescent="0.2">
      <c r="A66" s="34" t="e">
        <f t="shared" si="2"/>
        <v>#REF!</v>
      </c>
      <c r="B66" s="267" t="e">
        <f>#REF!</f>
        <v>#REF!</v>
      </c>
      <c r="C66" s="304" t="e">
        <f>#REF!</f>
        <v>#REF!</v>
      </c>
      <c r="D66" s="304" t="e">
        <f>#REF!</f>
        <v>#REF!</v>
      </c>
      <c r="E66" s="267" t="e">
        <f>#REF!</f>
        <v>#REF!</v>
      </c>
      <c r="F66" s="267" t="e">
        <f>#REF!</f>
        <v>#REF!</v>
      </c>
      <c r="G66" s="305"/>
      <c r="H66" s="267" t="e">
        <f>#REF!</f>
        <v>#REF!</v>
      </c>
      <c r="I66" s="267" t="e">
        <f>#REF!</f>
        <v>#REF!</v>
      </c>
      <c r="J66" s="2"/>
      <c r="M66" s="93"/>
      <c r="N66" s="96"/>
      <c r="P66" s="93"/>
      <c r="T66" s="2"/>
      <c r="U66" s="2"/>
    </row>
    <row r="67" spans="1:21" x14ac:dyDescent="0.2">
      <c r="A67" s="34" t="e">
        <f t="shared" si="2"/>
        <v>#REF!</v>
      </c>
      <c r="B67" s="267" t="e">
        <f>#REF!</f>
        <v>#REF!</v>
      </c>
      <c r="C67" s="304" t="e">
        <f>#REF!</f>
        <v>#REF!</v>
      </c>
      <c r="D67" s="304" t="e">
        <f>#REF!</f>
        <v>#REF!</v>
      </c>
      <c r="E67" s="267" t="e">
        <f>#REF!</f>
        <v>#REF!</v>
      </c>
      <c r="F67" s="267" t="e">
        <f>#REF!</f>
        <v>#REF!</v>
      </c>
      <c r="G67" s="305"/>
      <c r="H67" s="267" t="e">
        <f>#REF!</f>
        <v>#REF!</v>
      </c>
      <c r="I67" s="267" t="e">
        <f>#REF!</f>
        <v>#REF!</v>
      </c>
      <c r="J67" s="2"/>
      <c r="M67" s="93"/>
      <c r="N67" s="96"/>
      <c r="P67" s="93"/>
      <c r="T67" s="2"/>
      <c r="U67" s="2"/>
    </row>
    <row r="68" spans="1:21" x14ac:dyDescent="0.2">
      <c r="A68" s="34" t="e">
        <f t="shared" si="2"/>
        <v>#REF!</v>
      </c>
      <c r="B68" s="267" t="e">
        <f>#REF!</f>
        <v>#REF!</v>
      </c>
      <c r="C68" s="304" t="e">
        <f>#REF!</f>
        <v>#REF!</v>
      </c>
      <c r="D68" s="304" t="e">
        <f>#REF!</f>
        <v>#REF!</v>
      </c>
      <c r="E68" s="267" t="e">
        <f>#REF!</f>
        <v>#REF!</v>
      </c>
      <c r="F68" s="267" t="e">
        <f>#REF!</f>
        <v>#REF!</v>
      </c>
      <c r="G68" s="305"/>
      <c r="H68" s="267" t="e">
        <f>#REF!</f>
        <v>#REF!</v>
      </c>
      <c r="I68" s="267" t="e">
        <f>#REF!</f>
        <v>#REF!</v>
      </c>
      <c r="J68" s="2"/>
      <c r="M68" s="93"/>
      <c r="N68" s="96"/>
      <c r="P68" s="93"/>
      <c r="T68" s="2"/>
      <c r="U68" s="2"/>
    </row>
    <row r="69" spans="1:21" x14ac:dyDescent="0.2">
      <c r="A69" s="34" t="e">
        <f t="shared" si="2"/>
        <v>#REF!</v>
      </c>
      <c r="B69" s="267" t="e">
        <f>#REF!</f>
        <v>#REF!</v>
      </c>
      <c r="C69" s="304" t="e">
        <f>#REF!</f>
        <v>#REF!</v>
      </c>
      <c r="D69" s="304" t="e">
        <f>#REF!</f>
        <v>#REF!</v>
      </c>
      <c r="E69" s="267" t="e">
        <f>#REF!</f>
        <v>#REF!</v>
      </c>
      <c r="F69" s="267" t="e">
        <f>#REF!</f>
        <v>#REF!</v>
      </c>
      <c r="G69" s="305"/>
      <c r="H69" s="267" t="e">
        <f>#REF!</f>
        <v>#REF!</v>
      </c>
      <c r="I69" s="267" t="e">
        <f>#REF!</f>
        <v>#REF!</v>
      </c>
      <c r="J69" s="2"/>
      <c r="M69" s="93"/>
      <c r="N69" s="96"/>
      <c r="P69" s="93"/>
      <c r="T69" s="2"/>
      <c r="U69" s="2"/>
    </row>
    <row r="70" spans="1:21" x14ac:dyDescent="0.2">
      <c r="A70" s="34" t="e">
        <f t="shared" si="2"/>
        <v>#REF!</v>
      </c>
      <c r="B70" s="267" t="e">
        <f>#REF!</f>
        <v>#REF!</v>
      </c>
      <c r="C70" s="304" t="e">
        <f>#REF!</f>
        <v>#REF!</v>
      </c>
      <c r="D70" s="304" t="e">
        <f>#REF!</f>
        <v>#REF!</v>
      </c>
      <c r="E70" s="267" t="e">
        <f>#REF!</f>
        <v>#REF!</v>
      </c>
      <c r="F70" s="267" t="e">
        <f>#REF!</f>
        <v>#REF!</v>
      </c>
      <c r="G70" s="305"/>
      <c r="H70" s="267" t="e">
        <f>#REF!</f>
        <v>#REF!</v>
      </c>
      <c r="I70" s="267" t="e">
        <f>#REF!</f>
        <v>#REF!</v>
      </c>
      <c r="J70" s="2"/>
      <c r="M70" s="93"/>
      <c r="N70" s="96"/>
      <c r="P70" s="93"/>
      <c r="T70" s="2"/>
      <c r="U70" s="2"/>
    </row>
    <row r="71" spans="1:21" x14ac:dyDescent="0.2">
      <c r="A71" s="34" t="e">
        <f t="shared" si="2"/>
        <v>#REF!</v>
      </c>
      <c r="B71" s="267" t="e">
        <f>#REF!</f>
        <v>#REF!</v>
      </c>
      <c r="C71" s="304" t="e">
        <f>#REF!</f>
        <v>#REF!</v>
      </c>
      <c r="D71" s="304" t="e">
        <f>#REF!</f>
        <v>#REF!</v>
      </c>
      <c r="E71" s="267" t="e">
        <f>#REF!</f>
        <v>#REF!</v>
      </c>
      <c r="F71" s="267" t="e">
        <f>#REF!</f>
        <v>#REF!</v>
      </c>
      <c r="G71" s="305"/>
      <c r="H71" s="267" t="e">
        <f>#REF!</f>
        <v>#REF!</v>
      </c>
      <c r="I71" s="267" t="e">
        <f>#REF!</f>
        <v>#REF!</v>
      </c>
      <c r="J71" s="2"/>
      <c r="M71" s="93"/>
      <c r="N71" s="96"/>
      <c r="P71" s="93"/>
      <c r="T71" s="2"/>
      <c r="U71" s="2"/>
    </row>
    <row r="72" spans="1:21" x14ac:dyDescent="0.2">
      <c r="A72" s="34" t="e">
        <f t="shared" si="2"/>
        <v>#REF!</v>
      </c>
      <c r="B72" s="267" t="e">
        <f>#REF!</f>
        <v>#REF!</v>
      </c>
      <c r="C72" s="304" t="e">
        <f>#REF!</f>
        <v>#REF!</v>
      </c>
      <c r="D72" s="304" t="e">
        <f>#REF!</f>
        <v>#REF!</v>
      </c>
      <c r="E72" s="267" t="e">
        <f>#REF!</f>
        <v>#REF!</v>
      </c>
      <c r="F72" s="267" t="e">
        <f>#REF!</f>
        <v>#REF!</v>
      </c>
      <c r="G72" s="305"/>
      <c r="H72" s="267" t="e">
        <f>#REF!</f>
        <v>#REF!</v>
      </c>
      <c r="I72" s="267" t="e">
        <f>#REF!</f>
        <v>#REF!</v>
      </c>
      <c r="J72" s="2"/>
      <c r="M72" s="93"/>
      <c r="N72" s="96"/>
      <c r="P72" s="93"/>
      <c r="T72" s="2"/>
      <c r="U72" s="2"/>
    </row>
    <row r="73" spans="1:21" x14ac:dyDescent="0.2">
      <c r="A73" s="54" t="e">
        <f t="shared" si="2"/>
        <v>#REF!</v>
      </c>
      <c r="B73" s="267" t="e">
        <f>#REF!</f>
        <v>#REF!</v>
      </c>
      <c r="C73" s="306" t="e">
        <f>#REF!</f>
        <v>#REF!</v>
      </c>
      <c r="D73" s="306" t="e">
        <f>#REF!</f>
        <v>#REF!</v>
      </c>
      <c r="E73" s="267" t="e">
        <f>#REF!</f>
        <v>#REF!</v>
      </c>
      <c r="F73" s="267" t="e">
        <f>#REF!</f>
        <v>#REF!</v>
      </c>
      <c r="G73" s="305"/>
      <c r="H73" s="267" t="e">
        <f>#REF!</f>
        <v>#REF!</v>
      </c>
      <c r="I73" s="267" t="e">
        <f>#REF!</f>
        <v>#REF!</v>
      </c>
      <c r="J73" s="2"/>
      <c r="M73" s="93"/>
      <c r="N73" s="96"/>
      <c r="P73" s="93"/>
      <c r="T73" s="2"/>
      <c r="U73" s="2"/>
    </row>
    <row r="74" spans="1:21" x14ac:dyDescent="0.2">
      <c r="A74" s="37" t="e">
        <f t="shared" si="2"/>
        <v>#REF!</v>
      </c>
      <c r="B74" s="307"/>
      <c r="C74" s="308"/>
      <c r="D74" s="308"/>
      <c r="E74" s="307"/>
      <c r="F74" s="307"/>
      <c r="G74" s="292"/>
      <c r="H74" s="292"/>
      <c r="I74" s="292"/>
      <c r="J74" s="2"/>
      <c r="M74" s="93"/>
      <c r="N74" s="96"/>
      <c r="P74" s="93"/>
      <c r="T74" s="2"/>
      <c r="U74" s="2"/>
    </row>
    <row r="75" spans="1:21" x14ac:dyDescent="0.2">
      <c r="A75" s="81" t="e">
        <f t="shared" si="2"/>
        <v>#REF!</v>
      </c>
      <c r="B75" s="309"/>
      <c r="C75" s="309"/>
      <c r="D75" s="310"/>
      <c r="E75" s="309"/>
      <c r="F75" s="309"/>
      <c r="G75" s="267" t="e">
        <f>#REF!</f>
        <v>#REF!</v>
      </c>
      <c r="H75" s="267" t="e">
        <f>#REF!</f>
        <v>#REF!</v>
      </c>
      <c r="I75" s="267" t="e">
        <f>#REF!</f>
        <v>#REF!</v>
      </c>
      <c r="J75" s="2"/>
      <c r="M75" s="93"/>
      <c r="N75" s="96"/>
      <c r="P75" s="93"/>
      <c r="T75" s="2"/>
      <c r="U75" s="2"/>
    </row>
    <row r="76" spans="1:21" x14ac:dyDescent="0.2">
      <c r="A76" s="37" t="e">
        <f t="shared" si="2"/>
        <v>#REF!</v>
      </c>
      <c r="B76" s="311"/>
      <c r="C76" s="311"/>
      <c r="D76" s="311"/>
      <c r="E76" s="311"/>
      <c r="F76" s="311"/>
      <c r="G76" s="292" t="e">
        <f>G74-G75</f>
        <v>#REF!</v>
      </c>
      <c r="H76" s="292" t="e">
        <f>H74-H75</f>
        <v>#REF!</v>
      </c>
      <c r="I76" s="292" t="e">
        <f>I74-I75</f>
        <v>#REF!</v>
      </c>
      <c r="J76" s="2"/>
      <c r="M76" s="93"/>
      <c r="N76" s="96"/>
      <c r="P76" s="93"/>
      <c r="T76" s="2"/>
      <c r="U76" s="2"/>
    </row>
    <row r="77" spans="1:21" x14ac:dyDescent="0.2">
      <c r="A77" s="114" t="e">
        <f>CONCATENATE("* zie ",Uitvoer!#REF!," ",Uitvoer!#REF!," op volgende pagina.")</f>
        <v>#REF!</v>
      </c>
      <c r="B77" s="115"/>
      <c r="C77" s="100"/>
      <c r="D77" s="101"/>
      <c r="E77" s="101"/>
      <c r="F77" s="103"/>
      <c r="G77" s="103"/>
      <c r="H77" s="103"/>
      <c r="I77" s="116"/>
      <c r="J77" s="117"/>
      <c r="K77" s="118"/>
    </row>
    <row r="78" spans="1:21" x14ac:dyDescent="0.2">
      <c r="A78" s="312"/>
      <c r="B78" s="115"/>
      <c r="C78" s="100"/>
      <c r="D78" s="101"/>
      <c r="E78" s="101"/>
      <c r="F78" s="103"/>
      <c r="G78" s="103"/>
      <c r="H78" s="103"/>
      <c r="I78" s="116"/>
      <c r="J78" s="117"/>
      <c r="K78" s="118"/>
    </row>
    <row r="79" spans="1:21" x14ac:dyDescent="0.2">
      <c r="A79" s="41" t="s">
        <v>323</v>
      </c>
      <c r="B79" s="45" t="s">
        <v>324</v>
      </c>
      <c r="C79" s="110"/>
      <c r="D79" s="119"/>
      <c r="E79" s="112"/>
      <c r="F79" s="90"/>
      <c r="G79" s="113"/>
      <c r="H79" s="120"/>
      <c r="I79" s="90"/>
      <c r="J79" s="84"/>
      <c r="K79" s="90"/>
    </row>
    <row r="80" spans="1:21" x14ac:dyDescent="0.2">
      <c r="A80" s="262" t="e">
        <f>A76+1</f>
        <v>#REF!</v>
      </c>
      <c r="B80" s="267" t="e">
        <f>#REF!</f>
        <v>#REF!</v>
      </c>
      <c r="C80" s="304" t="e">
        <f>#REF!</f>
        <v>#REF!</v>
      </c>
      <c r="D80" s="304" t="e">
        <f>#REF!</f>
        <v>#REF!</v>
      </c>
      <c r="E80" s="267" t="e">
        <f>#REF!</f>
        <v>#REF!</v>
      </c>
      <c r="F80" s="267" t="e">
        <f>#REF!</f>
        <v>#REF!</v>
      </c>
      <c r="G80" s="305" t="e">
        <f t="shared" ref="G80:G85" si="3">B80+F80</f>
        <v>#REF!</v>
      </c>
      <c r="H80" s="267" t="e">
        <f>#REF!</f>
        <v>#REF!</v>
      </c>
      <c r="I80" s="267" t="e">
        <f>#REF!</f>
        <v>#REF!</v>
      </c>
      <c r="J80" s="2"/>
      <c r="M80" s="93"/>
      <c r="N80" s="96"/>
      <c r="P80" s="93"/>
      <c r="T80" s="2"/>
      <c r="U80" s="2"/>
    </row>
    <row r="81" spans="1:21" x14ac:dyDescent="0.2">
      <c r="A81" s="34" t="e">
        <f t="shared" ref="A81:A86" si="4">A80+1</f>
        <v>#REF!</v>
      </c>
      <c r="B81" s="267" t="e">
        <f>#REF!</f>
        <v>#REF!</v>
      </c>
      <c r="C81" s="304" t="e">
        <f>#REF!</f>
        <v>#REF!</v>
      </c>
      <c r="D81" s="304" t="e">
        <f>#REF!</f>
        <v>#REF!</v>
      </c>
      <c r="E81" s="267" t="e">
        <f>#REF!</f>
        <v>#REF!</v>
      </c>
      <c r="F81" s="267" t="e">
        <f>#REF!</f>
        <v>#REF!</v>
      </c>
      <c r="G81" s="305" t="e">
        <f t="shared" si="3"/>
        <v>#REF!</v>
      </c>
      <c r="H81" s="267" t="e">
        <f>#REF!</f>
        <v>#REF!</v>
      </c>
      <c r="I81" s="267" t="e">
        <f>#REF!</f>
        <v>#REF!</v>
      </c>
      <c r="J81" s="2"/>
      <c r="M81" s="93"/>
      <c r="N81" s="96"/>
      <c r="P81" s="93"/>
      <c r="T81" s="2"/>
      <c r="U81" s="2"/>
    </row>
    <row r="82" spans="1:21" x14ac:dyDescent="0.2">
      <c r="A82" s="34" t="e">
        <f t="shared" si="4"/>
        <v>#REF!</v>
      </c>
      <c r="B82" s="267" t="e">
        <f>#REF!</f>
        <v>#REF!</v>
      </c>
      <c r="C82" s="304" t="e">
        <f>#REF!</f>
        <v>#REF!</v>
      </c>
      <c r="D82" s="304" t="e">
        <f>#REF!</f>
        <v>#REF!</v>
      </c>
      <c r="E82" s="267" t="e">
        <f>#REF!</f>
        <v>#REF!</v>
      </c>
      <c r="F82" s="267" t="e">
        <f>#REF!</f>
        <v>#REF!</v>
      </c>
      <c r="G82" s="305" t="e">
        <f t="shared" si="3"/>
        <v>#REF!</v>
      </c>
      <c r="H82" s="267" t="e">
        <f>#REF!</f>
        <v>#REF!</v>
      </c>
      <c r="I82" s="267" t="e">
        <f>#REF!</f>
        <v>#REF!</v>
      </c>
      <c r="J82" s="2"/>
      <c r="M82" s="93"/>
      <c r="N82" s="96"/>
      <c r="P82" s="93"/>
      <c r="T82" s="2"/>
      <c r="U82" s="2"/>
    </row>
    <row r="83" spans="1:21" x14ac:dyDescent="0.2">
      <c r="A83" s="34" t="e">
        <f t="shared" si="4"/>
        <v>#REF!</v>
      </c>
      <c r="B83" s="267" t="e">
        <f>#REF!</f>
        <v>#REF!</v>
      </c>
      <c r="C83" s="304" t="e">
        <f>#REF!</f>
        <v>#REF!</v>
      </c>
      <c r="D83" s="304" t="e">
        <f>#REF!</f>
        <v>#REF!</v>
      </c>
      <c r="E83" s="267" t="e">
        <f>#REF!</f>
        <v>#REF!</v>
      </c>
      <c r="F83" s="267" t="e">
        <f>#REF!</f>
        <v>#REF!</v>
      </c>
      <c r="G83" s="305" t="e">
        <f t="shared" si="3"/>
        <v>#REF!</v>
      </c>
      <c r="H83" s="267" t="e">
        <f>#REF!</f>
        <v>#REF!</v>
      </c>
      <c r="I83" s="267" t="e">
        <f>#REF!</f>
        <v>#REF!</v>
      </c>
      <c r="J83" s="2"/>
      <c r="M83" s="93"/>
      <c r="N83" s="96"/>
      <c r="P83" s="93"/>
      <c r="T83" s="2"/>
      <c r="U83" s="2"/>
    </row>
    <row r="84" spans="1:21" x14ac:dyDescent="0.2">
      <c r="A84" s="34" t="e">
        <f t="shared" si="4"/>
        <v>#REF!</v>
      </c>
      <c r="B84" s="267" t="e">
        <f>#REF!</f>
        <v>#REF!</v>
      </c>
      <c r="C84" s="304" t="e">
        <f>#REF!</f>
        <v>#REF!</v>
      </c>
      <c r="D84" s="304" t="e">
        <f>#REF!</f>
        <v>#REF!</v>
      </c>
      <c r="E84" s="267" t="e">
        <f>#REF!</f>
        <v>#REF!</v>
      </c>
      <c r="F84" s="267" t="e">
        <f>#REF!</f>
        <v>#REF!</v>
      </c>
      <c r="G84" s="305" t="e">
        <f t="shared" si="3"/>
        <v>#REF!</v>
      </c>
      <c r="H84" s="267" t="e">
        <f>#REF!</f>
        <v>#REF!</v>
      </c>
      <c r="I84" s="267" t="e">
        <f>#REF!</f>
        <v>#REF!</v>
      </c>
      <c r="J84" s="2"/>
      <c r="M84" s="93"/>
      <c r="N84" s="96"/>
      <c r="P84" s="93"/>
      <c r="T84" s="2"/>
      <c r="U84" s="2"/>
    </row>
    <row r="85" spans="1:21" x14ac:dyDescent="0.2">
      <c r="A85" s="54" t="e">
        <f t="shared" si="4"/>
        <v>#REF!</v>
      </c>
      <c r="B85" s="267" t="e">
        <f>#REF!</f>
        <v>#REF!</v>
      </c>
      <c r="C85" s="306" t="e">
        <f>#REF!</f>
        <v>#REF!</v>
      </c>
      <c r="D85" s="306" t="e">
        <f>#REF!</f>
        <v>#REF!</v>
      </c>
      <c r="E85" s="267" t="e">
        <f>#REF!</f>
        <v>#REF!</v>
      </c>
      <c r="F85" s="267" t="e">
        <f>#REF!</f>
        <v>#REF!</v>
      </c>
      <c r="G85" s="305" t="e">
        <f t="shared" si="3"/>
        <v>#REF!</v>
      </c>
      <c r="H85" s="267" t="e">
        <f>#REF!</f>
        <v>#REF!</v>
      </c>
      <c r="I85" s="267" t="e">
        <f>#REF!</f>
        <v>#REF!</v>
      </c>
      <c r="J85" s="2"/>
      <c r="M85" s="93"/>
      <c r="N85" s="96"/>
      <c r="P85" s="93"/>
      <c r="T85" s="2"/>
      <c r="U85" s="2"/>
    </row>
    <row r="86" spans="1:21" x14ac:dyDescent="0.2">
      <c r="A86" s="37" t="e">
        <f t="shared" si="4"/>
        <v>#REF!</v>
      </c>
      <c r="B86" s="307"/>
      <c r="C86" s="308"/>
      <c r="D86" s="308"/>
      <c r="E86" s="307"/>
      <c r="F86" s="307"/>
      <c r="G86" s="307"/>
      <c r="H86" s="307"/>
      <c r="I86" s="307"/>
      <c r="J86" s="2"/>
      <c r="M86" s="93"/>
      <c r="N86" s="96"/>
      <c r="P86" s="93"/>
      <c r="T86" s="2"/>
      <c r="U86" s="2"/>
    </row>
    <row r="87" spans="1:21" x14ac:dyDescent="0.2">
      <c r="C87" s="122"/>
      <c r="D87" s="2"/>
      <c r="G87" s="2"/>
      <c r="H87" s="2"/>
      <c r="J87" s="2"/>
    </row>
    <row r="89" spans="1:21" x14ac:dyDescent="0.2">
      <c r="A89" s="21"/>
      <c r="B89" s="199"/>
      <c r="C89" s="25" t="s">
        <v>327</v>
      </c>
      <c r="D89" s="25" t="s">
        <v>328</v>
      </c>
      <c r="E89" s="62"/>
      <c r="F89" s="24"/>
      <c r="G89" s="21"/>
      <c r="H89" s="25" t="s">
        <v>321</v>
      </c>
      <c r="J89" s="2"/>
      <c r="M89" s="93"/>
      <c r="N89" s="96"/>
      <c r="P89" s="93"/>
      <c r="T89" s="2"/>
      <c r="U89" s="2"/>
    </row>
    <row r="90" spans="1:21" x14ac:dyDescent="0.2">
      <c r="A90" s="26"/>
      <c r="B90" s="27"/>
      <c r="C90" s="28"/>
      <c r="D90" s="29"/>
      <c r="E90" s="30"/>
      <c r="F90" s="27"/>
      <c r="G90" s="90"/>
      <c r="H90" s="29"/>
      <c r="J90" s="2"/>
      <c r="M90" s="93"/>
      <c r="N90" s="96"/>
      <c r="P90" s="93"/>
      <c r="T90" s="2"/>
      <c r="U90" s="2"/>
    </row>
    <row r="91" spans="1:21" x14ac:dyDescent="0.2">
      <c r="A91" s="124" t="s">
        <v>330</v>
      </c>
      <c r="B91" s="45" t="s">
        <v>325</v>
      </c>
      <c r="C91" s="313"/>
      <c r="D91" s="314"/>
      <c r="E91" s="314"/>
      <c r="F91" s="41" t="s">
        <v>71</v>
      </c>
      <c r="G91" s="315" t="s">
        <v>329</v>
      </c>
      <c r="H91" s="314"/>
      <c r="J91" s="2"/>
      <c r="M91" s="93"/>
      <c r="N91" s="96"/>
      <c r="P91" s="93"/>
      <c r="T91" s="2"/>
      <c r="U91" s="2"/>
    </row>
    <row r="92" spans="1:21" x14ac:dyDescent="0.2">
      <c r="A92" s="125" t="e">
        <f>#REF!</f>
        <v>#REF!</v>
      </c>
      <c r="B92" s="316"/>
      <c r="C92" s="317" t="e">
        <f>#REF!</f>
        <v>#REF!</v>
      </c>
      <c r="D92" s="267" t="e">
        <f>#REF!</f>
        <v>#REF!</v>
      </c>
      <c r="E92" s="318"/>
      <c r="F92" s="133" t="e">
        <f>#REF!</f>
        <v>#REF!</v>
      </c>
      <c r="G92" s="264" t="e">
        <f>#REF!</f>
        <v>#REF!</v>
      </c>
      <c r="H92" s="267" t="e">
        <f>#REF!</f>
        <v>#REF!</v>
      </c>
      <c r="J92" s="2"/>
      <c r="M92" s="93"/>
      <c r="N92" s="96"/>
      <c r="P92" s="93"/>
      <c r="T92" s="2"/>
      <c r="U92" s="2"/>
    </row>
    <row r="93" spans="1:21" x14ac:dyDescent="0.2">
      <c r="A93" s="126" t="e">
        <f t="shared" ref="A93:A98" si="5">A92+1</f>
        <v>#REF!</v>
      </c>
      <c r="B93" s="316"/>
      <c r="C93" s="304" t="e">
        <f>#REF!</f>
        <v>#REF!</v>
      </c>
      <c r="D93" s="319" t="e">
        <f>#REF!</f>
        <v>#REF!</v>
      </c>
      <c r="E93" s="318"/>
      <c r="F93" s="135" t="e">
        <f t="shared" ref="F93:F115" si="6">F92+1</f>
        <v>#REF!</v>
      </c>
      <c r="G93" s="264" t="e">
        <f>#REF!</f>
        <v>#REF!</v>
      </c>
      <c r="H93" s="267" t="e">
        <f>#REF!</f>
        <v>#REF!</v>
      </c>
      <c r="J93" s="2"/>
      <c r="M93" s="93"/>
      <c r="N93" s="96"/>
      <c r="P93" s="93"/>
      <c r="T93" s="2"/>
      <c r="U93" s="2"/>
    </row>
    <row r="94" spans="1:21" x14ac:dyDescent="0.2">
      <c r="A94" s="126" t="e">
        <f t="shared" si="5"/>
        <v>#REF!</v>
      </c>
      <c r="B94" s="316"/>
      <c r="C94" s="267" t="e">
        <f>#REF!</f>
        <v>#REF!</v>
      </c>
      <c r="D94" s="267" t="e">
        <f>#REF!</f>
        <v>#REF!</v>
      </c>
      <c r="E94" s="127"/>
      <c r="F94" s="135" t="e">
        <f t="shared" si="6"/>
        <v>#REF!</v>
      </c>
      <c r="G94" s="264" t="e">
        <f>#REF!</f>
        <v>#REF!</v>
      </c>
      <c r="H94" s="267" t="e">
        <f>#REF!</f>
        <v>#REF!</v>
      </c>
      <c r="J94" s="2"/>
      <c r="M94" s="93"/>
      <c r="N94" s="96"/>
      <c r="P94" s="93"/>
      <c r="T94" s="2"/>
      <c r="U94" s="2"/>
    </row>
    <row r="95" spans="1:21" x14ac:dyDescent="0.2">
      <c r="A95" s="128" t="e">
        <f t="shared" si="5"/>
        <v>#REF!</v>
      </c>
      <c r="B95" s="320"/>
      <c r="C95" s="321"/>
      <c r="D95" s="319" t="e">
        <f>#REF!</f>
        <v>#REF!</v>
      </c>
      <c r="E95" s="318"/>
      <c r="F95" s="135" t="e">
        <f t="shared" si="6"/>
        <v>#REF!</v>
      </c>
      <c r="G95" s="264" t="e">
        <f>#REF!</f>
        <v>#REF!</v>
      </c>
      <c r="H95" s="267" t="e">
        <f>#REF!</f>
        <v>#REF!</v>
      </c>
      <c r="J95" s="2"/>
      <c r="M95" s="93"/>
      <c r="N95" s="96"/>
      <c r="P95" s="93"/>
      <c r="T95" s="2"/>
      <c r="U95" s="2"/>
    </row>
    <row r="96" spans="1:21" x14ac:dyDescent="0.2">
      <c r="A96" s="129" t="e">
        <f t="shared" si="5"/>
        <v>#REF!</v>
      </c>
      <c r="B96" s="292"/>
      <c r="C96" s="292"/>
      <c r="D96" s="292"/>
      <c r="E96" s="318"/>
      <c r="F96" s="135" t="e">
        <f t="shared" si="6"/>
        <v>#REF!</v>
      </c>
      <c r="G96" s="264" t="e">
        <f>#REF!</f>
        <v>#REF!</v>
      </c>
      <c r="H96" s="267" t="e">
        <f>#REF!</f>
        <v>#REF!</v>
      </c>
      <c r="J96" s="2"/>
      <c r="M96" s="93"/>
      <c r="N96" s="96"/>
      <c r="P96" s="93"/>
      <c r="T96" s="2"/>
      <c r="U96" s="2"/>
    </row>
    <row r="97" spans="1:21" x14ac:dyDescent="0.2">
      <c r="A97" s="129" t="e">
        <f t="shared" si="5"/>
        <v>#REF!</v>
      </c>
      <c r="B97" s="320"/>
      <c r="C97" s="305"/>
      <c r="D97" s="322"/>
      <c r="E97" s="318"/>
      <c r="F97" s="135" t="e">
        <f t="shared" si="6"/>
        <v>#REF!</v>
      </c>
      <c r="G97" s="264" t="e">
        <f>#REF!</f>
        <v>#REF!</v>
      </c>
      <c r="H97" s="267" t="e">
        <f>#REF!</f>
        <v>#REF!</v>
      </c>
      <c r="J97" s="2"/>
      <c r="M97" s="93"/>
      <c r="N97" s="96"/>
      <c r="P97" s="93"/>
      <c r="T97" s="2"/>
      <c r="U97" s="2"/>
    </row>
    <row r="98" spans="1:21" x14ac:dyDescent="0.2">
      <c r="A98" s="129" t="e">
        <f t="shared" si="5"/>
        <v>#REF!</v>
      </c>
      <c r="B98" s="323"/>
      <c r="C98" s="307"/>
      <c r="D98" s="292"/>
      <c r="E98" s="318"/>
      <c r="F98" s="135" t="e">
        <f t="shared" si="6"/>
        <v>#REF!</v>
      </c>
      <c r="G98" s="264" t="e">
        <f>#REF!</f>
        <v>#REF!</v>
      </c>
      <c r="H98" s="267" t="e">
        <f>#REF!</f>
        <v>#REF!</v>
      </c>
      <c r="J98" s="2"/>
      <c r="M98" s="93"/>
      <c r="N98" s="96"/>
      <c r="P98" s="93"/>
      <c r="T98" s="2"/>
      <c r="U98" s="2"/>
    </row>
    <row r="99" spans="1:21" x14ac:dyDescent="0.2">
      <c r="A99" s="131"/>
      <c r="B99" s="314"/>
      <c r="C99" s="314"/>
      <c r="D99" s="314"/>
      <c r="E99" s="318"/>
      <c r="F99" s="135" t="e">
        <f t="shared" si="6"/>
        <v>#REF!</v>
      </c>
      <c r="G99" s="264" t="e">
        <f>#REF!</f>
        <v>#REF!</v>
      </c>
      <c r="H99" s="267" t="e">
        <f>#REF!</f>
        <v>#REF!</v>
      </c>
      <c r="J99" s="2"/>
      <c r="M99" s="93"/>
      <c r="N99" s="96"/>
      <c r="P99" s="93"/>
      <c r="T99" s="2"/>
      <c r="U99" s="2"/>
    </row>
    <row r="100" spans="1:21" x14ac:dyDescent="0.2">
      <c r="A100" s="83"/>
      <c r="B100" s="132"/>
      <c r="C100" s="132"/>
      <c r="D100" s="119"/>
      <c r="E100" s="314"/>
      <c r="F100" s="135" t="e">
        <f t="shared" si="6"/>
        <v>#REF!</v>
      </c>
      <c r="G100" s="264" t="e">
        <f>#REF!</f>
        <v>#REF!</v>
      </c>
      <c r="H100" s="267" t="e">
        <f>#REF!</f>
        <v>#REF!</v>
      </c>
      <c r="J100" s="2"/>
      <c r="M100" s="93"/>
      <c r="N100" s="96"/>
      <c r="P100" s="93"/>
      <c r="T100" s="2"/>
      <c r="U100" s="2"/>
    </row>
    <row r="101" spans="1:21" x14ac:dyDescent="0.2">
      <c r="A101" s="284"/>
      <c r="B101" s="324"/>
      <c r="C101" s="324"/>
      <c r="D101" s="324"/>
      <c r="E101" s="314"/>
      <c r="F101" s="135" t="e">
        <f t="shared" si="6"/>
        <v>#REF!</v>
      </c>
      <c r="G101" s="264" t="e">
        <f>#REF!</f>
        <v>#REF!</v>
      </c>
      <c r="H101" s="267" t="e">
        <f>#REF!</f>
        <v>#REF!</v>
      </c>
      <c r="J101" s="2"/>
      <c r="M101" s="93"/>
      <c r="N101" s="96"/>
      <c r="P101" s="93"/>
      <c r="T101" s="2"/>
      <c r="U101" s="2"/>
    </row>
    <row r="102" spans="1:21" x14ac:dyDescent="0.2">
      <c r="A102" s="83"/>
      <c r="B102" s="132"/>
      <c r="C102" s="325"/>
      <c r="D102" s="285"/>
      <c r="E102" s="119"/>
      <c r="F102" s="135" t="e">
        <f t="shared" si="6"/>
        <v>#REF!</v>
      </c>
      <c r="G102" s="264" t="e">
        <f>#REF!</f>
        <v>#REF!</v>
      </c>
      <c r="H102" s="267" t="e">
        <f>#REF!</f>
        <v>#REF!</v>
      </c>
      <c r="J102" s="2"/>
      <c r="M102" s="93"/>
      <c r="N102" s="96"/>
      <c r="P102" s="93"/>
      <c r="T102" s="2"/>
      <c r="U102" s="2"/>
    </row>
    <row r="103" spans="1:21" x14ac:dyDescent="0.2">
      <c r="A103" s="286"/>
      <c r="B103" s="84"/>
      <c r="C103" s="282"/>
      <c r="D103" s="326"/>
      <c r="E103" s="314"/>
      <c r="F103" s="135" t="e">
        <f t="shared" si="6"/>
        <v>#REF!</v>
      </c>
      <c r="G103" s="264" t="e">
        <f>#REF!</f>
        <v>#REF!</v>
      </c>
      <c r="H103" s="267" t="e">
        <f>#REF!</f>
        <v>#REF!</v>
      </c>
      <c r="J103" s="2"/>
      <c r="M103" s="93"/>
      <c r="N103" s="96"/>
      <c r="P103" s="93"/>
      <c r="T103" s="2"/>
      <c r="U103" s="2"/>
    </row>
    <row r="104" spans="1:21" x14ac:dyDescent="0.2">
      <c r="A104" s="286"/>
      <c r="B104" s="84"/>
      <c r="C104" s="84"/>
      <c r="D104" s="326"/>
      <c r="E104" s="314"/>
      <c r="F104" s="135" t="e">
        <f t="shared" si="6"/>
        <v>#REF!</v>
      </c>
      <c r="G104" s="264" t="e">
        <f>#REF!</f>
        <v>#REF!</v>
      </c>
      <c r="H104" s="267" t="e">
        <f>#REF!</f>
        <v>#REF!</v>
      </c>
      <c r="J104" s="2"/>
      <c r="M104" s="93"/>
      <c r="N104" s="96"/>
      <c r="P104" s="93"/>
      <c r="T104" s="2"/>
      <c r="U104" s="2"/>
    </row>
    <row r="105" spans="1:21" x14ac:dyDescent="0.2">
      <c r="A105" s="286"/>
      <c r="B105" s="84"/>
      <c r="C105" s="84"/>
      <c r="D105" s="326"/>
      <c r="E105" s="314"/>
      <c r="F105" s="135" t="e">
        <f t="shared" si="6"/>
        <v>#REF!</v>
      </c>
      <c r="G105" s="264" t="e">
        <f>#REF!</f>
        <v>#REF!</v>
      </c>
      <c r="H105" s="267" t="e">
        <f>#REF!</f>
        <v>#REF!</v>
      </c>
      <c r="J105" s="2"/>
      <c r="M105" s="93"/>
      <c r="N105" s="96"/>
      <c r="P105" s="93"/>
      <c r="T105" s="2"/>
      <c r="U105" s="2"/>
    </row>
    <row r="106" spans="1:21" x14ac:dyDescent="0.2">
      <c r="A106" s="286"/>
      <c r="B106" s="84"/>
      <c r="C106" s="84"/>
      <c r="D106" s="326"/>
      <c r="E106" s="314"/>
      <c r="F106" s="135" t="e">
        <f t="shared" si="6"/>
        <v>#REF!</v>
      </c>
      <c r="G106" s="264" t="e">
        <f>#REF!</f>
        <v>#REF!</v>
      </c>
      <c r="H106" s="267" t="e">
        <f>#REF!</f>
        <v>#REF!</v>
      </c>
      <c r="J106" s="2"/>
      <c r="M106" s="93"/>
      <c r="N106" s="96"/>
      <c r="P106" s="93"/>
      <c r="T106" s="2"/>
      <c r="U106" s="2"/>
    </row>
    <row r="107" spans="1:21" x14ac:dyDescent="0.2">
      <c r="A107" s="286"/>
      <c r="B107" s="84"/>
      <c r="C107" s="84"/>
      <c r="D107" s="326"/>
      <c r="E107" s="314"/>
      <c r="F107" s="135" t="e">
        <f t="shared" si="6"/>
        <v>#REF!</v>
      </c>
      <c r="G107" s="264" t="e">
        <f>#REF!</f>
        <v>#REF!</v>
      </c>
      <c r="H107" s="267" t="e">
        <f>#REF!</f>
        <v>#REF!</v>
      </c>
      <c r="J107" s="2"/>
      <c r="M107" s="93"/>
      <c r="N107" s="96"/>
      <c r="P107" s="93"/>
      <c r="T107" s="2"/>
      <c r="U107" s="2"/>
    </row>
    <row r="108" spans="1:21" x14ac:dyDescent="0.2">
      <c r="A108" s="286"/>
      <c r="B108" s="84"/>
      <c r="C108" s="309"/>
      <c r="D108" s="326"/>
      <c r="E108" s="314"/>
      <c r="F108" s="135" t="e">
        <f t="shared" si="6"/>
        <v>#REF!</v>
      </c>
      <c r="G108" s="264" t="e">
        <f>#REF!</f>
        <v>#REF!</v>
      </c>
      <c r="H108" s="267" t="e">
        <f>#REF!</f>
        <v>#REF!</v>
      </c>
      <c r="J108" s="2"/>
      <c r="M108" s="93"/>
      <c r="N108" s="96"/>
      <c r="P108" s="93"/>
      <c r="T108" s="2"/>
      <c r="U108" s="2"/>
    </row>
    <row r="109" spans="1:21" x14ac:dyDescent="0.2">
      <c r="A109" s="286"/>
      <c r="B109" s="327"/>
      <c r="C109" s="132"/>
      <c r="D109" s="328"/>
      <c r="E109" s="314"/>
      <c r="F109" s="135" t="e">
        <f t="shared" si="6"/>
        <v>#REF!</v>
      </c>
      <c r="G109" s="264" t="e">
        <f>#REF!</f>
        <v>#REF!</v>
      </c>
      <c r="H109" s="267" t="e">
        <f>#REF!</f>
        <v>#REF!</v>
      </c>
      <c r="J109" s="2"/>
      <c r="M109" s="93"/>
      <c r="N109" s="96"/>
      <c r="P109" s="93"/>
      <c r="T109" s="2"/>
      <c r="U109" s="2"/>
    </row>
    <row r="110" spans="1:21" x14ac:dyDescent="0.2">
      <c r="A110" s="287"/>
      <c r="B110" s="84"/>
      <c r="C110" s="325"/>
      <c r="D110" s="325"/>
      <c r="E110" s="314"/>
      <c r="F110" s="135" t="e">
        <f t="shared" si="6"/>
        <v>#REF!</v>
      </c>
      <c r="G110" s="264" t="e">
        <f>#REF!</f>
        <v>#REF!</v>
      </c>
      <c r="H110" s="267" t="e">
        <f>#REF!</f>
        <v>#REF!</v>
      </c>
      <c r="J110" s="2"/>
      <c r="M110" s="93"/>
      <c r="N110" s="96"/>
      <c r="P110" s="93"/>
      <c r="T110" s="2"/>
      <c r="U110" s="2"/>
    </row>
    <row r="111" spans="1:21" x14ac:dyDescent="0.2">
      <c r="A111" s="99"/>
      <c r="B111" s="84"/>
      <c r="C111" s="282"/>
      <c r="D111" s="326"/>
      <c r="E111" s="314"/>
      <c r="F111" s="135" t="e">
        <f t="shared" si="6"/>
        <v>#REF!</v>
      </c>
      <c r="G111" s="264" t="e">
        <f>#REF!</f>
        <v>#REF!</v>
      </c>
      <c r="H111" s="267" t="e">
        <f>#REF!</f>
        <v>#REF!</v>
      </c>
      <c r="J111" s="2"/>
      <c r="M111" s="93"/>
      <c r="N111" s="96"/>
      <c r="P111" s="93"/>
      <c r="T111" s="2"/>
      <c r="U111" s="2"/>
    </row>
    <row r="112" spans="1:21" x14ac:dyDescent="0.2">
      <c r="A112" s="286"/>
      <c r="B112" s="84"/>
      <c r="C112" s="84"/>
      <c r="D112" s="326"/>
      <c r="E112" s="314"/>
      <c r="F112" s="135" t="e">
        <f t="shared" si="6"/>
        <v>#REF!</v>
      </c>
      <c r="G112" s="264" t="e">
        <f>#REF!</f>
        <v>#REF!</v>
      </c>
      <c r="H112" s="267" t="e">
        <f>#REF!</f>
        <v>#REF!</v>
      </c>
      <c r="J112" s="2"/>
      <c r="M112" s="93"/>
      <c r="N112" s="96"/>
      <c r="P112" s="93"/>
      <c r="T112" s="2"/>
      <c r="U112" s="2"/>
    </row>
    <row r="113" spans="1:21" x14ac:dyDescent="0.2">
      <c r="A113" s="286"/>
      <c r="B113" s="327"/>
      <c r="C113" s="132"/>
      <c r="D113" s="328"/>
      <c r="E113" s="314"/>
      <c r="F113" s="130" t="e">
        <f t="shared" si="6"/>
        <v>#REF!</v>
      </c>
      <c r="G113" s="323"/>
      <c r="H113" s="292"/>
      <c r="J113" s="2"/>
      <c r="M113" s="93"/>
      <c r="N113" s="96"/>
      <c r="P113" s="93"/>
      <c r="T113" s="2"/>
      <c r="U113" s="2"/>
    </row>
    <row r="114" spans="1:21" x14ac:dyDescent="0.2">
      <c r="A114" s="84"/>
      <c r="B114" s="84"/>
      <c r="C114" s="325"/>
      <c r="D114" s="325"/>
      <c r="E114" s="42"/>
      <c r="F114" s="135" t="e">
        <f t="shared" si="6"/>
        <v>#REF!</v>
      </c>
      <c r="G114" s="226"/>
      <c r="H114" s="270" t="e">
        <f>#REF!</f>
        <v>#REF!</v>
      </c>
      <c r="J114" s="2"/>
      <c r="M114" s="93"/>
      <c r="N114" s="96"/>
      <c r="P114" s="93"/>
      <c r="T114" s="2"/>
      <c r="U114" s="2"/>
    </row>
    <row r="115" spans="1:21" x14ac:dyDescent="0.2">
      <c r="A115" s="286"/>
      <c r="B115" s="225"/>
      <c r="C115" s="132"/>
      <c r="D115" s="328"/>
      <c r="E115" s="42"/>
      <c r="F115" s="130" t="e">
        <f t="shared" si="6"/>
        <v>#REF!</v>
      </c>
      <c r="G115" s="323"/>
      <c r="H115" s="329"/>
      <c r="J115" s="2"/>
      <c r="M115" s="93"/>
      <c r="N115" s="96"/>
      <c r="P115" s="93"/>
      <c r="T115" s="2"/>
      <c r="U115" s="2"/>
    </row>
    <row r="116" spans="1:21" x14ac:dyDescent="0.2">
      <c r="A116" s="286"/>
      <c r="B116" s="330"/>
      <c r="C116" s="84"/>
      <c r="D116" s="326"/>
      <c r="E116" s="42"/>
      <c r="F116" s="318"/>
      <c r="G116" s="318"/>
      <c r="H116" s="318"/>
      <c r="J116" s="2"/>
      <c r="M116" s="93"/>
      <c r="N116" s="96"/>
      <c r="P116" s="93"/>
      <c r="T116" s="2"/>
      <c r="U116" s="2"/>
    </row>
    <row r="117" spans="1:21" x14ac:dyDescent="0.2">
      <c r="A117" s="287"/>
      <c r="B117" s="84"/>
      <c r="C117" s="325"/>
      <c r="D117" s="325"/>
      <c r="E117" s="42"/>
      <c r="F117" s="41" t="s">
        <v>335</v>
      </c>
      <c r="G117" s="315" t="s">
        <v>336</v>
      </c>
      <c r="H117" s="314"/>
      <c r="J117" s="2"/>
      <c r="M117" s="93"/>
      <c r="N117" s="96"/>
      <c r="P117" s="93"/>
      <c r="T117" s="2"/>
      <c r="U117" s="2"/>
    </row>
    <row r="118" spans="1:21" x14ac:dyDescent="0.2">
      <c r="A118" s="286"/>
      <c r="B118" s="84"/>
      <c r="C118" s="282"/>
      <c r="D118" s="326"/>
      <c r="E118" s="42"/>
      <c r="F118" s="133" t="e">
        <f>F115+1</f>
        <v>#REF!</v>
      </c>
      <c r="G118" s="264" t="e">
        <f>#REF!</f>
        <v>#REF!</v>
      </c>
      <c r="H118" s="267" t="e">
        <f>#REF!</f>
        <v>#REF!</v>
      </c>
      <c r="J118" s="2"/>
      <c r="M118" s="93"/>
      <c r="N118" s="96"/>
      <c r="P118" s="93"/>
      <c r="T118" s="2"/>
      <c r="U118" s="2"/>
    </row>
    <row r="119" spans="1:21" x14ac:dyDescent="0.2">
      <c r="A119" s="286"/>
      <c r="B119" s="84"/>
      <c r="C119" s="84"/>
      <c r="D119" s="326"/>
      <c r="E119" s="42"/>
      <c r="F119" s="133" t="e">
        <f>F118+1</f>
        <v>#REF!</v>
      </c>
      <c r="G119" s="264" t="e">
        <f>#REF!</f>
        <v>#REF!</v>
      </c>
      <c r="H119" s="267" t="e">
        <f>#REF!</f>
        <v>#REF!</v>
      </c>
      <c r="J119" s="2"/>
      <c r="M119" s="93"/>
      <c r="N119" s="96"/>
      <c r="P119" s="93"/>
      <c r="T119" s="2"/>
      <c r="U119" s="2"/>
    </row>
    <row r="120" spans="1:21" x14ac:dyDescent="0.2">
      <c r="A120" s="286"/>
      <c r="B120" s="327"/>
      <c r="C120" s="132"/>
      <c r="D120" s="328"/>
      <c r="E120" s="42"/>
      <c r="F120" s="133" t="e">
        <f>F119+1</f>
        <v>#REF!</v>
      </c>
      <c r="G120" s="264" t="e">
        <f>#REF!</f>
        <v>#REF!</v>
      </c>
      <c r="H120" s="267" t="e">
        <f>#REF!</f>
        <v>#REF!</v>
      </c>
      <c r="J120" s="2"/>
      <c r="M120" s="93"/>
      <c r="N120" s="96"/>
      <c r="P120" s="93"/>
      <c r="T120" s="2"/>
      <c r="U120" s="2"/>
    </row>
    <row r="121" spans="1:21" x14ac:dyDescent="0.2">
      <c r="A121" s="286"/>
      <c r="B121" s="330"/>
      <c r="C121" s="84"/>
      <c r="D121" s="331"/>
      <c r="E121" s="42"/>
      <c r="F121" s="133" t="e">
        <f>F120+1</f>
        <v>#REF!</v>
      </c>
      <c r="G121" s="264" t="e">
        <f>#REF!</f>
        <v>#REF!</v>
      </c>
      <c r="H121" s="267" t="e">
        <f>#REF!</f>
        <v>#REF!</v>
      </c>
      <c r="J121" s="2"/>
      <c r="M121" s="93"/>
      <c r="N121" s="96"/>
      <c r="P121" s="93"/>
      <c r="T121" s="2"/>
      <c r="U121" s="2"/>
    </row>
    <row r="122" spans="1:21" x14ac:dyDescent="0.2">
      <c r="A122" s="286"/>
      <c r="B122" s="84"/>
      <c r="C122" s="283"/>
      <c r="D122" s="331"/>
      <c r="E122" s="42"/>
      <c r="F122" s="135" t="e">
        <f>F121+1</f>
        <v>#REF!</v>
      </c>
      <c r="G122" s="264" t="e">
        <f>#REF!</f>
        <v>#REF!</v>
      </c>
      <c r="H122" s="267" t="e">
        <f>#REF!</f>
        <v>#REF!</v>
      </c>
      <c r="J122" s="2"/>
      <c r="M122" s="93"/>
      <c r="N122" s="96"/>
      <c r="P122" s="93"/>
      <c r="T122" s="2"/>
      <c r="U122" s="2"/>
    </row>
    <row r="123" spans="1:21" x14ac:dyDescent="0.2">
      <c r="A123" s="286"/>
      <c r="B123" s="327"/>
      <c r="C123" s="132"/>
      <c r="D123" s="328"/>
      <c r="E123" s="42"/>
      <c r="F123" s="130" t="e">
        <f>F122+1</f>
        <v>#REF!</v>
      </c>
      <c r="G123" s="323"/>
      <c r="H123" s="292"/>
      <c r="J123" s="2"/>
      <c r="M123" s="93"/>
      <c r="N123" s="96"/>
      <c r="P123" s="93"/>
      <c r="T123" s="2"/>
      <c r="U123" s="2"/>
    </row>
    <row r="124" spans="1:21" x14ac:dyDescent="0.2">
      <c r="A124" s="41"/>
      <c r="B124" s="42"/>
      <c r="C124" s="43"/>
      <c r="D124" s="42"/>
      <c r="E124" s="42"/>
      <c r="F124" s="45"/>
      <c r="G124" s="41"/>
      <c r="H124" s="42"/>
      <c r="I124" s="42"/>
      <c r="J124" s="42"/>
    </row>
    <row r="125" spans="1:21" x14ac:dyDescent="0.2">
      <c r="A125" s="21"/>
      <c r="B125" s="105" t="s">
        <v>343</v>
      </c>
      <c r="D125" s="2"/>
      <c r="G125" s="93"/>
      <c r="H125" s="96"/>
      <c r="I125" s="93"/>
      <c r="J125" s="93"/>
      <c r="K125" s="93"/>
      <c r="L125" s="93"/>
      <c r="M125" s="93"/>
      <c r="O125" s="2"/>
      <c r="P125" s="2"/>
      <c r="Q125" s="2"/>
      <c r="R125" s="2"/>
      <c r="S125" s="2"/>
      <c r="T125" s="2"/>
      <c r="U125" s="2"/>
    </row>
    <row r="126" spans="1:21" x14ac:dyDescent="0.2">
      <c r="A126" s="21"/>
      <c r="B126" s="106" t="e">
        <f>#REF!</f>
        <v>#REF!</v>
      </c>
      <c r="D126" s="2"/>
      <c r="G126" s="93"/>
      <c r="H126" s="96"/>
      <c r="I126" s="93"/>
      <c r="J126" s="93"/>
      <c r="K126" s="93"/>
      <c r="L126" s="93"/>
      <c r="M126" s="93"/>
      <c r="O126" s="2"/>
      <c r="P126" s="2"/>
      <c r="Q126" s="2"/>
      <c r="R126" s="2"/>
      <c r="S126" s="2"/>
      <c r="T126" s="2"/>
      <c r="U126" s="2"/>
    </row>
    <row r="127" spans="1:21" x14ac:dyDescent="0.2">
      <c r="A127" s="26"/>
      <c r="B127" s="29"/>
      <c r="D127" s="2"/>
      <c r="G127" s="93"/>
      <c r="H127" s="96"/>
      <c r="I127" s="93"/>
      <c r="J127" s="93"/>
      <c r="K127" s="93"/>
      <c r="L127" s="93"/>
      <c r="M127" s="93"/>
      <c r="O127" s="2"/>
      <c r="P127" s="2"/>
      <c r="Q127" s="2"/>
      <c r="R127" s="2"/>
      <c r="S127" s="2"/>
      <c r="T127" s="2"/>
      <c r="U127" s="2"/>
    </row>
    <row r="128" spans="1:21" x14ac:dyDescent="0.2">
      <c r="A128" s="159" t="s">
        <v>72</v>
      </c>
      <c r="B128" s="95"/>
      <c r="D128" s="2"/>
      <c r="G128" s="93"/>
      <c r="H128" s="96"/>
      <c r="I128" s="93"/>
      <c r="J128" s="93"/>
      <c r="K128" s="93"/>
      <c r="L128" s="93"/>
      <c r="M128" s="93"/>
      <c r="O128" s="2"/>
      <c r="P128" s="2"/>
      <c r="Q128" s="2"/>
      <c r="R128" s="2"/>
      <c r="S128" s="2"/>
      <c r="T128" s="2"/>
      <c r="U128" s="2"/>
    </row>
    <row r="129" spans="1:21" x14ac:dyDescent="0.2">
      <c r="A129" s="31" t="e">
        <f>#REF!</f>
        <v>#REF!</v>
      </c>
      <c r="B129" s="332" t="e">
        <f>#REF!</f>
        <v>#REF!</v>
      </c>
      <c r="D129" s="2"/>
      <c r="G129" s="93"/>
      <c r="H129" s="96"/>
      <c r="I129" s="93"/>
      <c r="J129" s="93"/>
      <c r="K129" s="93"/>
      <c r="L129" s="93"/>
      <c r="M129" s="93"/>
      <c r="O129" s="2"/>
      <c r="P129" s="2"/>
      <c r="Q129" s="2"/>
      <c r="R129" s="2"/>
      <c r="S129" s="2"/>
      <c r="T129" s="2"/>
      <c r="U129" s="2"/>
    </row>
    <row r="130" spans="1:21" x14ac:dyDescent="0.2">
      <c r="A130" s="34" t="e">
        <f t="shared" ref="A130:A149" si="7">A129+1</f>
        <v>#REF!</v>
      </c>
      <c r="B130" s="332" t="e">
        <f>#REF!</f>
        <v>#REF!</v>
      </c>
      <c r="D130" s="2"/>
      <c r="G130" s="93"/>
      <c r="H130" s="96"/>
      <c r="I130" s="93"/>
      <c r="J130" s="93"/>
      <c r="K130" s="93"/>
      <c r="L130" s="93"/>
      <c r="M130" s="93"/>
      <c r="O130" s="2"/>
      <c r="P130" s="2"/>
      <c r="Q130" s="2"/>
      <c r="R130" s="2"/>
      <c r="S130" s="2"/>
      <c r="T130" s="2"/>
      <c r="U130" s="2"/>
    </row>
    <row r="131" spans="1:21" x14ac:dyDescent="0.2">
      <c r="A131" s="34" t="e">
        <f t="shared" si="7"/>
        <v>#REF!</v>
      </c>
      <c r="B131" s="332" t="e">
        <f>#REF!</f>
        <v>#REF!</v>
      </c>
      <c r="D131" s="2"/>
      <c r="G131" s="93"/>
      <c r="H131" s="96"/>
      <c r="I131" s="93"/>
      <c r="J131" s="93"/>
      <c r="K131" s="93"/>
      <c r="L131" s="93"/>
      <c r="M131" s="93"/>
      <c r="O131" s="2"/>
      <c r="P131" s="2"/>
      <c r="Q131" s="2"/>
      <c r="R131" s="2"/>
      <c r="S131" s="2"/>
      <c r="T131" s="2"/>
      <c r="U131" s="2"/>
    </row>
    <row r="132" spans="1:21" x14ac:dyDescent="0.2">
      <c r="A132" s="34" t="e">
        <f t="shared" si="7"/>
        <v>#REF!</v>
      </c>
      <c r="B132" s="332" t="e">
        <f>#REF!</f>
        <v>#REF!</v>
      </c>
      <c r="D132" s="2"/>
      <c r="G132" s="93"/>
      <c r="H132" s="96"/>
      <c r="I132" s="93"/>
      <c r="J132" s="93"/>
      <c r="K132" s="93"/>
      <c r="L132" s="93"/>
      <c r="M132" s="93"/>
      <c r="O132" s="2"/>
      <c r="P132" s="2"/>
      <c r="Q132" s="2"/>
      <c r="R132" s="2"/>
      <c r="S132" s="2"/>
      <c r="T132" s="2"/>
      <c r="U132" s="2"/>
    </row>
    <row r="133" spans="1:21" x14ac:dyDescent="0.2">
      <c r="A133" s="34" t="e">
        <f t="shared" si="7"/>
        <v>#REF!</v>
      </c>
      <c r="B133" s="332" t="e">
        <f>#REF!</f>
        <v>#REF!</v>
      </c>
      <c r="D133" s="2"/>
      <c r="G133" s="93"/>
      <c r="H133" s="96"/>
      <c r="I133" s="93"/>
      <c r="J133" s="93"/>
      <c r="K133" s="93"/>
      <c r="L133" s="93"/>
      <c r="M133" s="93"/>
      <c r="O133" s="2"/>
      <c r="P133" s="2"/>
      <c r="Q133" s="2"/>
      <c r="R133" s="2"/>
      <c r="S133" s="2"/>
      <c r="T133" s="2"/>
      <c r="U133" s="2"/>
    </row>
    <row r="134" spans="1:21" x14ac:dyDescent="0.2">
      <c r="A134" s="34" t="e">
        <f t="shared" si="7"/>
        <v>#REF!</v>
      </c>
      <c r="B134" s="332" t="e">
        <f>#REF!</f>
        <v>#REF!</v>
      </c>
      <c r="D134" s="2"/>
      <c r="G134" s="93"/>
      <c r="H134" s="96"/>
      <c r="I134" s="93"/>
      <c r="J134" s="93"/>
      <c r="K134" s="93"/>
      <c r="L134" s="93"/>
      <c r="M134" s="93"/>
      <c r="O134" s="2"/>
      <c r="P134" s="2"/>
      <c r="Q134" s="2"/>
      <c r="R134" s="2"/>
      <c r="S134" s="2"/>
      <c r="T134" s="2"/>
      <c r="U134" s="2"/>
    </row>
    <row r="135" spans="1:21" x14ac:dyDescent="0.2">
      <c r="A135" s="34" t="e">
        <f t="shared" si="7"/>
        <v>#REF!</v>
      </c>
      <c r="B135" s="332" t="e">
        <f>#REF!</f>
        <v>#REF!</v>
      </c>
      <c r="D135" s="2"/>
      <c r="G135" s="93"/>
      <c r="H135" s="96"/>
      <c r="I135" s="93"/>
      <c r="J135" s="93"/>
      <c r="K135" s="93"/>
      <c r="L135" s="93"/>
      <c r="M135" s="93"/>
      <c r="O135" s="2"/>
      <c r="P135" s="2"/>
      <c r="Q135" s="2"/>
      <c r="R135" s="2"/>
      <c r="S135" s="2"/>
      <c r="T135" s="2"/>
      <c r="U135" s="2"/>
    </row>
    <row r="136" spans="1:21" x14ac:dyDescent="0.2">
      <c r="A136" s="34" t="e">
        <f t="shared" si="7"/>
        <v>#REF!</v>
      </c>
      <c r="B136" s="332" t="e">
        <f>#REF!</f>
        <v>#REF!</v>
      </c>
      <c r="D136" s="2"/>
      <c r="G136" s="93"/>
      <c r="H136" s="96"/>
      <c r="I136" s="93"/>
      <c r="J136" s="93"/>
      <c r="K136" s="93"/>
      <c r="L136" s="93"/>
      <c r="M136" s="93"/>
      <c r="O136" s="2"/>
      <c r="P136" s="2"/>
      <c r="Q136" s="2"/>
      <c r="R136" s="2"/>
      <c r="S136" s="2"/>
      <c r="T136" s="2"/>
      <c r="U136" s="2"/>
    </row>
    <row r="137" spans="1:21" x14ac:dyDescent="0.2">
      <c r="A137" s="34" t="e">
        <f t="shared" si="7"/>
        <v>#REF!</v>
      </c>
      <c r="B137" s="332" t="e">
        <f>#REF!</f>
        <v>#REF!</v>
      </c>
      <c r="D137" s="2"/>
      <c r="G137" s="93"/>
      <c r="H137" s="96"/>
      <c r="I137" s="93"/>
      <c r="J137" s="93"/>
      <c r="K137" s="93"/>
      <c r="L137" s="93"/>
      <c r="M137" s="93"/>
      <c r="O137" s="2"/>
      <c r="P137" s="2"/>
      <c r="Q137" s="2"/>
      <c r="R137" s="2"/>
      <c r="S137" s="2"/>
      <c r="T137" s="2"/>
      <c r="U137" s="2"/>
    </row>
    <row r="138" spans="1:21" x14ac:dyDescent="0.2">
      <c r="A138" s="34" t="e">
        <f t="shared" si="7"/>
        <v>#REF!</v>
      </c>
      <c r="B138" s="332" t="e">
        <f>#REF!</f>
        <v>#REF!</v>
      </c>
      <c r="D138" s="2"/>
      <c r="G138" s="93"/>
      <c r="H138" s="96"/>
      <c r="I138" s="93"/>
      <c r="J138" s="93"/>
      <c r="K138" s="93"/>
      <c r="L138" s="93"/>
      <c r="M138" s="93"/>
      <c r="O138" s="2"/>
      <c r="P138" s="2"/>
      <c r="Q138" s="2"/>
      <c r="R138" s="2"/>
      <c r="S138" s="2"/>
      <c r="T138" s="2"/>
      <c r="U138" s="2"/>
    </row>
    <row r="139" spans="1:21" x14ac:dyDescent="0.2">
      <c r="A139" s="34" t="e">
        <f t="shared" si="7"/>
        <v>#REF!</v>
      </c>
      <c r="B139" s="332" t="e">
        <f>#REF!</f>
        <v>#REF!</v>
      </c>
      <c r="D139" s="2"/>
      <c r="G139" s="93"/>
      <c r="H139" s="96"/>
      <c r="I139" s="93"/>
      <c r="J139" s="93"/>
      <c r="K139" s="93"/>
      <c r="L139" s="93"/>
      <c r="M139" s="93"/>
      <c r="O139" s="2"/>
      <c r="P139" s="2"/>
      <c r="Q139" s="2"/>
      <c r="R139" s="2"/>
      <c r="S139" s="2"/>
      <c r="T139" s="2"/>
      <c r="U139" s="2"/>
    </row>
    <row r="140" spans="1:21" x14ac:dyDescent="0.2">
      <c r="A140" s="34" t="e">
        <f t="shared" si="7"/>
        <v>#REF!</v>
      </c>
      <c r="B140" s="332" t="e">
        <f>#REF!</f>
        <v>#REF!</v>
      </c>
      <c r="D140" s="2"/>
      <c r="G140" s="93"/>
      <c r="H140" s="96"/>
      <c r="I140" s="93"/>
      <c r="J140" s="93"/>
      <c r="K140" s="93"/>
      <c r="L140" s="93"/>
      <c r="M140" s="93"/>
      <c r="O140" s="2"/>
      <c r="P140" s="2"/>
      <c r="Q140" s="2"/>
      <c r="R140" s="2"/>
      <c r="S140" s="2"/>
      <c r="T140" s="2"/>
      <c r="U140" s="2"/>
    </row>
    <row r="141" spans="1:21" x14ac:dyDescent="0.2">
      <c r="A141" s="34" t="e">
        <f t="shared" si="7"/>
        <v>#REF!</v>
      </c>
      <c r="B141" s="332" t="e">
        <f>#REF!</f>
        <v>#REF!</v>
      </c>
      <c r="D141" s="2"/>
      <c r="G141" s="93"/>
      <c r="H141" s="96"/>
      <c r="I141" s="93"/>
      <c r="J141" s="93"/>
      <c r="K141" s="93"/>
      <c r="L141" s="93"/>
      <c r="M141" s="93"/>
      <c r="O141" s="2"/>
      <c r="P141" s="2"/>
      <c r="Q141" s="2"/>
      <c r="R141" s="2"/>
      <c r="S141" s="2"/>
      <c r="T141" s="2"/>
      <c r="U141" s="2"/>
    </row>
    <row r="142" spans="1:21" x14ac:dyDescent="0.2">
      <c r="A142" s="34" t="e">
        <f t="shared" si="7"/>
        <v>#REF!</v>
      </c>
      <c r="B142" s="332" t="e">
        <f>#REF!</f>
        <v>#REF!</v>
      </c>
      <c r="D142" s="2"/>
      <c r="G142" s="93"/>
      <c r="H142" s="96"/>
      <c r="I142" s="93"/>
      <c r="J142" s="93"/>
      <c r="K142" s="93"/>
      <c r="L142" s="93"/>
      <c r="M142" s="93"/>
      <c r="O142" s="2"/>
      <c r="P142" s="2"/>
      <c r="Q142" s="2"/>
      <c r="R142" s="2"/>
      <c r="S142" s="2"/>
      <c r="T142" s="2"/>
      <c r="U142" s="2"/>
    </row>
    <row r="143" spans="1:21" x14ac:dyDescent="0.2">
      <c r="A143" s="34" t="e">
        <f t="shared" si="7"/>
        <v>#REF!</v>
      </c>
      <c r="B143" s="332" t="e">
        <f>#REF!</f>
        <v>#REF!</v>
      </c>
      <c r="D143" s="2"/>
      <c r="G143" s="93"/>
      <c r="H143" s="96"/>
      <c r="I143" s="93"/>
      <c r="J143" s="93"/>
      <c r="K143" s="93"/>
      <c r="L143" s="93"/>
      <c r="M143" s="93"/>
      <c r="O143" s="2"/>
      <c r="P143" s="2"/>
      <c r="Q143" s="2"/>
      <c r="R143" s="2"/>
      <c r="S143" s="2"/>
      <c r="T143" s="2"/>
      <c r="U143" s="2"/>
    </row>
    <row r="144" spans="1:21" x14ac:dyDescent="0.2">
      <c r="A144" s="34" t="e">
        <f t="shared" si="7"/>
        <v>#REF!</v>
      </c>
      <c r="B144" s="332" t="e">
        <f>#REF!</f>
        <v>#REF!</v>
      </c>
      <c r="D144" s="2"/>
      <c r="G144" s="93"/>
      <c r="H144" s="96"/>
      <c r="I144" s="93"/>
      <c r="J144" s="93"/>
      <c r="K144" s="93"/>
      <c r="L144" s="93"/>
      <c r="M144" s="93"/>
      <c r="O144" s="2"/>
      <c r="P144" s="2"/>
      <c r="Q144" s="2"/>
      <c r="R144" s="2"/>
      <c r="S144" s="2"/>
      <c r="T144" s="2"/>
      <c r="U144" s="2"/>
    </row>
    <row r="145" spans="1:21" x14ac:dyDescent="0.2">
      <c r="A145" s="34" t="e">
        <f t="shared" si="7"/>
        <v>#REF!</v>
      </c>
      <c r="B145" s="332" t="e">
        <f>#REF!</f>
        <v>#REF!</v>
      </c>
      <c r="D145" s="2"/>
      <c r="G145" s="93"/>
      <c r="H145" s="96"/>
      <c r="I145" s="93"/>
      <c r="J145" s="93"/>
      <c r="K145" s="93"/>
      <c r="L145" s="93"/>
      <c r="M145" s="93"/>
      <c r="O145" s="2"/>
      <c r="P145" s="2"/>
      <c r="Q145" s="2"/>
      <c r="R145" s="2"/>
      <c r="S145" s="2"/>
      <c r="T145" s="2"/>
      <c r="U145" s="2"/>
    </row>
    <row r="146" spans="1:21" x14ac:dyDescent="0.2">
      <c r="A146" s="34" t="e">
        <f t="shared" si="7"/>
        <v>#REF!</v>
      </c>
      <c r="B146" s="332" t="e">
        <f>#REF!</f>
        <v>#REF!</v>
      </c>
      <c r="D146" s="2"/>
      <c r="G146" s="93"/>
      <c r="H146" s="96"/>
      <c r="I146" s="93"/>
      <c r="J146" s="93"/>
      <c r="K146" s="93"/>
      <c r="L146" s="93"/>
      <c r="M146" s="93"/>
      <c r="O146" s="2"/>
      <c r="P146" s="2"/>
      <c r="Q146" s="2"/>
      <c r="R146" s="2"/>
      <c r="S146" s="2"/>
      <c r="T146" s="2"/>
      <c r="U146" s="2"/>
    </row>
    <row r="147" spans="1:21" x14ac:dyDescent="0.2">
      <c r="A147" s="34" t="e">
        <f t="shared" si="7"/>
        <v>#REF!</v>
      </c>
      <c r="B147" s="332" t="e">
        <f>#REF!</f>
        <v>#REF!</v>
      </c>
      <c r="D147" s="2"/>
      <c r="G147" s="93"/>
      <c r="H147" s="96"/>
      <c r="I147" s="93"/>
      <c r="J147" s="93"/>
      <c r="K147" s="93"/>
      <c r="L147" s="93"/>
      <c r="M147" s="93"/>
      <c r="O147" s="2"/>
      <c r="P147" s="2"/>
      <c r="Q147" s="2"/>
      <c r="R147" s="2"/>
      <c r="S147" s="2"/>
      <c r="T147" s="2"/>
      <c r="U147" s="2"/>
    </row>
    <row r="148" spans="1:21" x14ac:dyDescent="0.2">
      <c r="A148" s="54" t="e">
        <f t="shared" si="7"/>
        <v>#REF!</v>
      </c>
      <c r="B148" s="332" t="e">
        <f>#REF!</f>
        <v>#REF!</v>
      </c>
      <c r="D148" s="2"/>
      <c r="G148" s="93"/>
      <c r="H148" s="96"/>
      <c r="I148" s="93"/>
      <c r="J148" s="93"/>
      <c r="K148" s="93"/>
      <c r="L148" s="93"/>
      <c r="M148" s="93"/>
      <c r="O148" s="2"/>
      <c r="P148" s="2"/>
      <c r="Q148" s="2"/>
      <c r="R148" s="2"/>
      <c r="S148" s="2"/>
      <c r="T148" s="2"/>
      <c r="U148" s="2"/>
    </row>
    <row r="149" spans="1:21" x14ac:dyDescent="0.2">
      <c r="A149" s="37" t="e">
        <f t="shared" si="7"/>
        <v>#REF!</v>
      </c>
      <c r="B149" s="292"/>
      <c r="D149" s="2"/>
      <c r="G149" s="93"/>
      <c r="H149" s="96"/>
      <c r="I149" s="93"/>
      <c r="J149" s="93"/>
      <c r="K149" s="93"/>
      <c r="L149" s="93"/>
      <c r="M149" s="93"/>
      <c r="O149" s="2"/>
      <c r="P149" s="2"/>
      <c r="Q149" s="2"/>
      <c r="R149" s="2"/>
      <c r="S149" s="2"/>
      <c r="T149" s="2"/>
      <c r="U149" s="2"/>
    </row>
    <row r="150" spans="1:21" x14ac:dyDescent="0.2">
      <c r="A150" s="41"/>
      <c r="B150" s="42"/>
      <c r="C150" s="42"/>
      <c r="D150" s="42"/>
      <c r="E150" s="42"/>
      <c r="F150" s="42"/>
      <c r="G150" s="42"/>
      <c r="H150" s="42"/>
      <c r="I150" s="42"/>
      <c r="J150" s="42"/>
    </row>
    <row r="151" spans="1:21" x14ac:dyDescent="0.2">
      <c r="A151" s="14" t="s">
        <v>57</v>
      </c>
      <c r="B151" s="15"/>
      <c r="C151" s="137"/>
      <c r="D151" s="15"/>
      <c r="E151" s="5"/>
      <c r="F151" s="138"/>
      <c r="G151" s="15"/>
      <c r="H151" s="15"/>
      <c r="J151" s="2"/>
    </row>
    <row r="152" spans="1:21" x14ac:dyDescent="0.2">
      <c r="B152" s="15"/>
      <c r="C152" s="15"/>
      <c r="D152" s="15"/>
      <c r="E152" s="139"/>
      <c r="F152" s="140"/>
      <c r="G152" s="139"/>
      <c r="H152" s="139"/>
    </row>
    <row r="153" spans="1:21" x14ac:dyDescent="0.2">
      <c r="A153" s="200"/>
      <c r="B153" s="201"/>
      <c r="C153" s="202" t="s">
        <v>333</v>
      </c>
      <c r="D153" s="276" t="s">
        <v>271</v>
      </c>
      <c r="E153" s="277"/>
      <c r="F153" s="198" t="s">
        <v>337</v>
      </c>
      <c r="G153" s="203"/>
      <c r="H153" s="200"/>
    </row>
    <row r="154" spans="1:21" x14ac:dyDescent="0.2">
      <c r="A154" s="201"/>
      <c r="B154" s="204"/>
      <c r="C154" s="205" t="s">
        <v>334</v>
      </c>
      <c r="D154" s="206" t="s">
        <v>264</v>
      </c>
      <c r="E154" s="108" t="s">
        <v>292</v>
      </c>
      <c r="F154" s="109"/>
      <c r="G154" s="203"/>
      <c r="H154" s="203"/>
    </row>
    <row r="155" spans="1:21" x14ac:dyDescent="0.2">
      <c r="A155" s="64"/>
      <c r="B155" s="65"/>
      <c r="C155" s="66"/>
      <c r="D155" s="162" t="s">
        <v>284</v>
      </c>
      <c r="E155" s="67"/>
      <c r="F155" s="65"/>
      <c r="G155" s="64"/>
      <c r="H155" s="68"/>
    </row>
    <row r="156" spans="1:21" x14ac:dyDescent="0.2">
      <c r="A156" s="47" t="s">
        <v>81</v>
      </c>
      <c r="B156" s="14" t="s">
        <v>283</v>
      </c>
      <c r="C156" s="90"/>
      <c r="D156" s="333"/>
      <c r="E156" s="146"/>
      <c r="F156" s="84"/>
      <c r="G156" s="84"/>
      <c r="H156" s="45"/>
    </row>
    <row r="157" spans="1:21" x14ac:dyDescent="0.2">
      <c r="A157" s="31" t="e">
        <f>#REF!</f>
        <v>#REF!</v>
      </c>
      <c r="B157" s="334"/>
      <c r="C157" s="335"/>
      <c r="D157" s="141"/>
      <c r="E157" s="332" t="e">
        <f>#REF!</f>
        <v>#REF!</v>
      </c>
      <c r="F157" s="336"/>
      <c r="G157" s="58"/>
      <c r="H157" s="337" t="s">
        <v>258</v>
      </c>
    </row>
    <row r="158" spans="1:21" x14ac:dyDescent="0.2">
      <c r="A158" s="34" t="e">
        <f t="shared" ref="A158:A171" si="8">A157+1</f>
        <v>#REF!</v>
      </c>
      <c r="B158" s="334"/>
      <c r="C158" s="335"/>
      <c r="D158" s="143"/>
      <c r="E158" s="338"/>
      <c r="F158" s="336"/>
      <c r="G158" s="58"/>
      <c r="H158" s="225"/>
    </row>
    <row r="159" spans="1:21" x14ac:dyDescent="0.2">
      <c r="A159" s="81" t="e">
        <f t="shared" si="8"/>
        <v>#REF!</v>
      </c>
      <c r="B159" s="334"/>
      <c r="C159" s="336"/>
      <c r="D159" s="141"/>
      <c r="E159" s="267" t="e">
        <f>#REF!</f>
        <v>#REF!</v>
      </c>
      <c r="F159" s="336"/>
      <c r="G159" s="309"/>
      <c r="H159" s="337" t="s">
        <v>259</v>
      </c>
    </row>
    <row r="160" spans="1:21" x14ac:dyDescent="0.2">
      <c r="A160" s="34" t="e">
        <f t="shared" si="8"/>
        <v>#REF!</v>
      </c>
      <c r="B160" s="339"/>
      <c r="C160" s="239"/>
      <c r="D160" s="141"/>
      <c r="E160" s="340" t="e">
        <f>#REF!</f>
        <v>#REF!</v>
      </c>
      <c r="F160" s="341"/>
      <c r="G160" s="58"/>
      <c r="H160" s="337" t="s">
        <v>260</v>
      </c>
    </row>
    <row r="161" spans="1:8" x14ac:dyDescent="0.2">
      <c r="A161" s="34" t="e">
        <f t="shared" si="8"/>
        <v>#REF!</v>
      </c>
      <c r="B161" s="334"/>
      <c r="C161" s="335"/>
      <c r="D161" s="142"/>
      <c r="E161" s="332" t="e">
        <f>#REF!</f>
        <v>#REF!</v>
      </c>
      <c r="F161" s="336"/>
      <c r="G161" s="58"/>
      <c r="H161" s="337" t="s">
        <v>261</v>
      </c>
    </row>
    <row r="162" spans="1:8" x14ac:dyDescent="0.2">
      <c r="A162" s="35" t="e">
        <f t="shared" si="8"/>
        <v>#REF!</v>
      </c>
      <c r="B162" s="342"/>
      <c r="C162" s="239"/>
      <c r="D162" s="142"/>
      <c r="E162" s="340" t="e">
        <f>#REF!</f>
        <v>#REF!</v>
      </c>
      <c r="F162" s="341"/>
      <c r="G162" s="58"/>
      <c r="H162" s="337" t="s">
        <v>75</v>
      </c>
    </row>
    <row r="163" spans="1:8" x14ac:dyDescent="0.2">
      <c r="A163" s="34" t="e">
        <f t="shared" si="8"/>
        <v>#REF!</v>
      </c>
      <c r="B163" s="334"/>
      <c r="C163" s="343" t="e">
        <f>#REF!</f>
        <v>#REF!</v>
      </c>
      <c r="D163" s="143"/>
      <c r="E163" s="338"/>
      <c r="F163" s="336"/>
      <c r="G163" s="58"/>
      <c r="H163" s="337" t="s">
        <v>262</v>
      </c>
    </row>
    <row r="164" spans="1:8" x14ac:dyDescent="0.2">
      <c r="A164" s="34" t="e">
        <f t="shared" si="8"/>
        <v>#REF!</v>
      </c>
      <c r="B164" s="334"/>
      <c r="C164" s="343" t="e">
        <f>#REF!</f>
        <v>#REF!</v>
      </c>
      <c r="D164" s="142"/>
      <c r="E164" s="332" t="e">
        <f>#REF!</f>
        <v>#REF!</v>
      </c>
      <c r="F164" s="336"/>
      <c r="G164" s="58"/>
      <c r="H164" s="337" t="s">
        <v>268</v>
      </c>
    </row>
    <row r="165" spans="1:8" x14ac:dyDescent="0.2">
      <c r="A165" s="34" t="e">
        <f t="shared" si="8"/>
        <v>#REF!</v>
      </c>
      <c r="B165" s="334"/>
      <c r="C165" s="343" t="e">
        <f>#REF!</f>
        <v>#REF!</v>
      </c>
      <c r="D165" s="141"/>
      <c r="E165" s="332" t="e">
        <f>#REF!</f>
        <v>#REF!</v>
      </c>
      <c r="F165" s="336"/>
      <c r="G165" s="58"/>
      <c r="H165" s="337" t="s">
        <v>263</v>
      </c>
    </row>
    <row r="166" spans="1:8" x14ac:dyDescent="0.2">
      <c r="A166" s="35" t="e">
        <f t="shared" si="8"/>
        <v>#REF!</v>
      </c>
      <c r="B166" s="177"/>
      <c r="C166" s="343" t="e">
        <f>#REF!</f>
        <v>#REF!</v>
      </c>
      <c r="D166" s="144"/>
      <c r="E166" s="338"/>
      <c r="F166" s="336"/>
      <c r="G166" s="58"/>
      <c r="H166" s="45"/>
    </row>
    <row r="167" spans="1:8" x14ac:dyDescent="0.2">
      <c r="A167" s="37" t="e">
        <f t="shared" si="8"/>
        <v>#REF!</v>
      </c>
      <c r="B167" s="61"/>
      <c r="C167" s="344"/>
      <c r="D167" s="186"/>
      <c r="E167" s="344"/>
      <c r="F167" s="344"/>
      <c r="G167" s="345"/>
      <c r="H167" s="45"/>
    </row>
    <row r="168" spans="1:8" x14ac:dyDescent="0.2">
      <c r="A168" s="188" t="e">
        <f t="shared" si="8"/>
        <v>#REF!</v>
      </c>
      <c r="B168" s="84"/>
      <c r="C168" s="346"/>
      <c r="D168" s="187"/>
      <c r="E168" s="280" t="e">
        <f>#REF!</f>
        <v>#REF!</v>
      </c>
      <c r="F168" s="281" t="e">
        <f>#REF!</f>
        <v>#REF!</v>
      </c>
      <c r="G168" s="345"/>
      <c r="H168" s="45"/>
    </row>
    <row r="169" spans="1:8" x14ac:dyDescent="0.2">
      <c r="A169" s="37" t="e">
        <f t="shared" si="8"/>
        <v>#REF!</v>
      </c>
      <c r="B169" s="60"/>
      <c r="C169" s="347"/>
      <c r="D169" s="145"/>
      <c r="E169" s="347"/>
      <c r="F169" s="348"/>
      <c r="G169" s="345"/>
      <c r="H169" s="45"/>
    </row>
    <row r="170" spans="1:8" x14ac:dyDescent="0.2">
      <c r="A170" s="188" t="e">
        <f t="shared" si="8"/>
        <v>#REF!</v>
      </c>
      <c r="B170" s="134"/>
      <c r="C170" s="349"/>
      <c r="D170" s="189"/>
      <c r="E170" s="350"/>
      <c r="F170" s="336"/>
      <c r="G170" s="345"/>
      <c r="H170" s="45"/>
    </row>
    <row r="171" spans="1:8" x14ac:dyDescent="0.2">
      <c r="A171" s="188" t="e">
        <f t="shared" si="8"/>
        <v>#REF!</v>
      </c>
      <c r="B171" s="134"/>
      <c r="C171" s="349"/>
      <c r="D171" s="189"/>
      <c r="E171" s="350"/>
      <c r="F171" s="341"/>
      <c r="G171" s="345"/>
      <c r="H171" s="337" t="s">
        <v>79</v>
      </c>
    </row>
    <row r="172" spans="1:8" x14ac:dyDescent="0.2">
      <c r="A172" s="90"/>
      <c r="B172" s="90"/>
      <c r="C172" s="146"/>
      <c r="D172" s="147"/>
      <c r="E172" s="163"/>
      <c r="F172" s="163"/>
      <c r="G172" s="90"/>
      <c r="H172" s="45"/>
    </row>
    <row r="173" spans="1:8" s="11" customFormat="1" ht="12.75" customHeight="1" x14ac:dyDescent="0.2">
      <c r="A173" s="260"/>
      <c r="B173" s="232"/>
      <c r="C173" s="233" t="s">
        <v>339</v>
      </c>
      <c r="D173" s="278" t="s">
        <v>340</v>
      </c>
      <c r="E173" s="279"/>
      <c r="F173" s="108" t="s">
        <v>337</v>
      </c>
      <c r="G173" s="234"/>
      <c r="H173" s="235"/>
    </row>
    <row r="174" spans="1:8" s="42" customFormat="1" ht="12.75" customHeight="1" x14ac:dyDescent="0.2">
      <c r="A174" s="21"/>
      <c r="B174" s="232"/>
      <c r="C174" s="241"/>
      <c r="D174" s="242"/>
      <c r="E174" s="242"/>
      <c r="F174" s="243"/>
      <c r="G174" s="234"/>
      <c r="H174" s="235"/>
    </row>
    <row r="175" spans="1:8" s="42" customFormat="1" ht="12.75" customHeight="1" x14ac:dyDescent="0.2">
      <c r="A175" s="47" t="s">
        <v>82</v>
      </c>
      <c r="B175" s="14" t="s">
        <v>287</v>
      </c>
      <c r="C175" s="90"/>
      <c r="D175" s="147"/>
      <c r="E175" s="90"/>
      <c r="F175" s="90"/>
      <c r="G175" s="90"/>
      <c r="H175" s="45"/>
    </row>
    <row r="176" spans="1:8" s="42" customFormat="1" ht="12.75" customHeight="1" x14ac:dyDescent="0.2">
      <c r="A176" s="31" t="e">
        <f>A171+1</f>
        <v>#REF!</v>
      </c>
      <c r="B176" s="121"/>
      <c r="C176" s="239"/>
      <c r="D176" s="351"/>
      <c r="E176" s="352"/>
      <c r="F176" s="341"/>
      <c r="G176" s="84"/>
      <c r="H176" s="337" t="e">
        <f>CONCATENATE("IJ",RIGHT(#REF!,2))</f>
        <v>#REF!</v>
      </c>
    </row>
    <row r="177" spans="1:8" s="42" customFormat="1" ht="12.75" customHeight="1" x14ac:dyDescent="0.2">
      <c r="A177" s="34" t="e">
        <f>A176+1</f>
        <v>#REF!</v>
      </c>
      <c r="B177" s="121"/>
      <c r="C177" s="148"/>
      <c r="D177" s="149"/>
      <c r="E177" s="353"/>
      <c r="F177" s="354"/>
      <c r="G177" s="84"/>
      <c r="H177" s="337" t="e">
        <f>CONCATENATE("IV",RIGHT(#REF!,2))</f>
        <v>#REF!</v>
      </c>
    </row>
    <row r="178" spans="1:8" s="42" customFormat="1" ht="12.75" customHeight="1" x14ac:dyDescent="0.2">
      <c r="A178" s="54" t="e">
        <f>A177+1</f>
        <v>#REF!</v>
      </c>
      <c r="B178" s="121"/>
      <c r="C178" s="239"/>
      <c r="D178" s="351"/>
      <c r="E178" s="239"/>
      <c r="F178" s="341"/>
      <c r="G178" s="84"/>
      <c r="H178" s="337" t="e">
        <f>CONCATENATE("IT",RIGHT(#REF!,2))</f>
        <v>#REF!</v>
      </c>
    </row>
    <row r="179" spans="1:8" s="42" customFormat="1" ht="12.75" customHeight="1" x14ac:dyDescent="0.2">
      <c r="A179" s="14"/>
      <c r="B179" s="90"/>
      <c r="C179" s="150"/>
      <c r="D179" s="151"/>
      <c r="E179" s="355"/>
      <c r="F179" s="355"/>
      <c r="G179" s="84"/>
      <c r="H179" s="225"/>
    </row>
    <row r="180" spans="1:8" x14ac:dyDescent="0.2">
      <c r="A180" s="47" t="s">
        <v>83</v>
      </c>
      <c r="B180" s="41" t="s">
        <v>40</v>
      </c>
      <c r="C180" s="157"/>
      <c r="D180" s="42"/>
      <c r="E180" s="42"/>
      <c r="F180" s="356"/>
      <c r="G180" s="356"/>
      <c r="H180" s="47"/>
    </row>
    <row r="181" spans="1:8" x14ac:dyDescent="0.2">
      <c r="A181" s="31" t="e">
        <f>A178+1</f>
        <v>#REF!</v>
      </c>
      <c r="B181" s="357"/>
      <c r="C181" s="152"/>
      <c r="D181" s="358"/>
      <c r="E181" s="359"/>
      <c r="F181" s="332" t="e">
        <f>#REF!</f>
        <v>#REF!</v>
      </c>
      <c r="G181" s="84"/>
      <c r="H181" s="337" t="s">
        <v>286</v>
      </c>
    </row>
    <row r="182" spans="1:8" x14ac:dyDescent="0.2">
      <c r="A182" s="35" t="e">
        <f>A181+1</f>
        <v>#REF!</v>
      </c>
      <c r="B182" s="357"/>
      <c r="C182" s="153"/>
      <c r="D182" s="360"/>
      <c r="E182" s="361"/>
      <c r="F182" s="336"/>
      <c r="G182" s="84"/>
      <c r="H182" s="337" t="s">
        <v>286</v>
      </c>
    </row>
    <row r="183" spans="1:8" x14ac:dyDescent="0.2">
      <c r="A183" s="37" t="e">
        <f>A182+1</f>
        <v>#REF!</v>
      </c>
      <c r="B183" s="362"/>
      <c r="C183" s="154"/>
      <c r="D183" s="363"/>
      <c r="E183" s="364"/>
      <c r="F183" s="365"/>
      <c r="G183" s="225"/>
      <c r="H183" s="225"/>
    </row>
    <row r="184" spans="1:8" x14ac:dyDescent="0.2">
      <c r="A184" s="41"/>
      <c r="B184" s="42"/>
      <c r="C184" s="147"/>
      <c r="D184" s="42"/>
      <c r="E184" s="42"/>
      <c r="F184" s="42"/>
      <c r="G184" s="42"/>
      <c r="H184" s="47"/>
    </row>
    <row r="185" spans="1:8" x14ac:dyDescent="0.2">
      <c r="A185" s="37" t="e">
        <f>A183+1</f>
        <v>#REF!</v>
      </c>
      <c r="B185" s="362"/>
      <c r="C185" s="154"/>
      <c r="D185" s="363"/>
      <c r="E185" s="364"/>
      <c r="F185" s="365">
        <f>F167-F171+F183</f>
        <v>0</v>
      </c>
      <c r="G185" s="42"/>
      <c r="H185" s="47"/>
    </row>
    <row r="186" spans="1:8" x14ac:dyDescent="0.2">
      <c r="A186" s="41"/>
      <c r="B186" s="42"/>
      <c r="C186" s="42"/>
      <c r="D186" s="147"/>
      <c r="E186" s="42"/>
      <c r="F186" s="42"/>
      <c r="G186" s="42"/>
      <c r="H186" s="47"/>
    </row>
    <row r="187" spans="1:8" x14ac:dyDescent="0.2">
      <c r="A187" s="41"/>
      <c r="B187" s="42"/>
      <c r="C187" s="42"/>
      <c r="D187" s="147"/>
      <c r="E187" s="42"/>
      <c r="F187" s="42"/>
      <c r="G187" s="42"/>
      <c r="H187" s="47"/>
    </row>
    <row r="188" spans="1:8" x14ac:dyDescent="0.2">
      <c r="A188" s="14" t="s">
        <v>68</v>
      </c>
      <c r="B188" s="15"/>
      <c r="C188" s="15"/>
      <c r="D188" s="137"/>
      <c r="E188" s="5"/>
      <c r="F188" s="138"/>
      <c r="G188" s="42"/>
      <c r="H188" s="47"/>
    </row>
    <row r="189" spans="1:8" x14ac:dyDescent="0.2">
      <c r="B189" s="15"/>
      <c r="C189" s="15"/>
      <c r="D189" s="15"/>
      <c r="E189" s="139"/>
      <c r="F189" s="140"/>
    </row>
    <row r="190" spans="1:8" x14ac:dyDescent="0.2">
      <c r="A190" s="64"/>
      <c r="B190" s="366"/>
      <c r="C190" s="118"/>
      <c r="D190" s="207" t="e">
        <f>CONCATENATE("Jaarrekening ",#REF!-1," ")</f>
        <v>#REF!</v>
      </c>
      <c r="E190" s="207" t="e">
        <f>CONCATENATE("Jaarrekening ",#REF!," ")</f>
        <v>#REF!</v>
      </c>
      <c r="F190" s="207" t="s">
        <v>337</v>
      </c>
    </row>
    <row r="191" spans="1:8" x14ac:dyDescent="0.2">
      <c r="A191" s="83"/>
      <c r="B191" s="325"/>
      <c r="C191" s="156"/>
      <c r="D191" s="111"/>
      <c r="E191" s="156"/>
      <c r="F191" s="113"/>
    </row>
    <row r="192" spans="1:8" x14ac:dyDescent="0.2">
      <c r="A192" s="47" t="s">
        <v>338</v>
      </c>
      <c r="B192" s="14" t="s">
        <v>285</v>
      </c>
      <c r="C192" s="147"/>
      <c r="D192" s="90"/>
      <c r="E192" s="90"/>
      <c r="F192" s="90"/>
    </row>
    <row r="193" spans="1:6" x14ac:dyDescent="0.2">
      <c r="A193" s="31" t="e">
        <f>Rentecalc.!#REF!</f>
        <v>#REF!</v>
      </c>
      <c r="B193" s="357"/>
      <c r="C193" s="158"/>
      <c r="D193" s="358"/>
      <c r="E193" s="359"/>
      <c r="F193" s="367">
        <f>Uitvoer!F169</f>
        <v>0</v>
      </c>
    </row>
    <row r="194" spans="1:6" x14ac:dyDescent="0.2">
      <c r="A194" s="34" t="e">
        <f>A193+1</f>
        <v>#REF!</v>
      </c>
      <c r="B194" s="368"/>
      <c r="C194" s="158"/>
      <c r="D194" s="358"/>
      <c r="E194" s="267" t="e">
        <f>Rentecalc.!#REF!</f>
        <v>#REF!</v>
      </c>
      <c r="F194" s="369"/>
    </row>
    <row r="195" spans="1:6" x14ac:dyDescent="0.2">
      <c r="A195" s="34" t="e">
        <f>A194+1</f>
        <v>#REF!</v>
      </c>
      <c r="B195" s="368"/>
      <c r="C195" s="158"/>
      <c r="D195" s="358"/>
      <c r="E195" s="336"/>
      <c r="F195" s="369"/>
    </row>
    <row r="196" spans="1:6" x14ac:dyDescent="0.2">
      <c r="A196" s="35" t="e">
        <f>A195+1</f>
        <v>#REF!</v>
      </c>
      <c r="B196" s="370"/>
      <c r="C196" s="224"/>
      <c r="D196" s="371"/>
      <c r="E196" s="372"/>
      <c r="F196" s="244"/>
    </row>
    <row r="197" spans="1:6" x14ac:dyDescent="0.2">
      <c r="A197" s="37" t="e">
        <f>A196+1</f>
        <v>#REF!</v>
      </c>
      <c r="B197" s="362"/>
      <c r="C197" s="154"/>
      <c r="D197" s="373"/>
      <c r="E197" s="374"/>
      <c r="F197" s="292"/>
    </row>
    <row r="198" spans="1:6" x14ac:dyDescent="0.2">
      <c r="A198" s="41"/>
      <c r="B198" s="42"/>
      <c r="C198" s="147"/>
      <c r="D198" s="42"/>
      <c r="E198" s="42"/>
      <c r="F198" s="42"/>
    </row>
    <row r="199" spans="1:6" x14ac:dyDescent="0.2">
      <c r="A199" s="47" t="s">
        <v>38</v>
      </c>
      <c r="B199" s="14"/>
      <c r="C199" s="147"/>
      <c r="D199" s="42"/>
      <c r="E199" s="42"/>
      <c r="F199" s="42"/>
    </row>
    <row r="200" spans="1:6" x14ac:dyDescent="0.2">
      <c r="A200" s="31" t="e">
        <f>A197+1</f>
        <v>#REF!</v>
      </c>
      <c r="B200" s="357"/>
      <c r="C200" s="375"/>
      <c r="D200" s="270" t="e">
        <f>Rentecalc.!#REF!</f>
        <v>#REF!</v>
      </c>
      <c r="E200" s="270" t="e">
        <f>Rentecalc.!#REF!</f>
        <v>#REF!</v>
      </c>
      <c r="F200" s="367"/>
    </row>
    <row r="201" spans="1:6" x14ac:dyDescent="0.2">
      <c r="A201" s="34" t="e">
        <f t="shared" ref="A201:A208" si="9">A200+1</f>
        <v>#REF!</v>
      </c>
      <c r="B201" s="357"/>
      <c r="C201" s="375"/>
      <c r="D201" s="270" t="e">
        <f>Rentecalc.!#REF!</f>
        <v>#REF!</v>
      </c>
      <c r="E201" s="270" t="e">
        <f>Rentecalc.!#REF!</f>
        <v>#REF!</v>
      </c>
      <c r="F201" s="367"/>
    </row>
    <row r="202" spans="1:6" x14ac:dyDescent="0.2">
      <c r="A202" s="34" t="e">
        <f t="shared" si="9"/>
        <v>#REF!</v>
      </c>
      <c r="B202" s="357"/>
      <c r="C202" s="375"/>
      <c r="D202" s="270" t="e">
        <f>Rentecalc.!#REF!</f>
        <v>#REF!</v>
      </c>
      <c r="E202" s="270" t="e">
        <f>Rentecalc.!#REF!</f>
        <v>#REF!</v>
      </c>
      <c r="F202" s="367"/>
    </row>
    <row r="203" spans="1:6" x14ac:dyDescent="0.2">
      <c r="A203" s="34" t="e">
        <f t="shared" si="9"/>
        <v>#REF!</v>
      </c>
      <c r="B203" s="357"/>
      <c r="C203" s="375"/>
      <c r="D203" s="270" t="e">
        <f>Rentecalc.!#REF!</f>
        <v>#REF!</v>
      </c>
      <c r="E203" s="270" t="e">
        <f>Rentecalc.!#REF!</f>
        <v>#REF!</v>
      </c>
      <c r="F203" s="367"/>
    </row>
    <row r="204" spans="1:6" x14ac:dyDescent="0.2">
      <c r="A204" s="35" t="e">
        <f t="shared" si="9"/>
        <v>#REF!</v>
      </c>
      <c r="B204" s="240"/>
      <c r="C204" s="265"/>
      <c r="D204" s="270" t="e">
        <f>Rentecalc.!#REF!</f>
        <v>#REF!</v>
      </c>
      <c r="E204" s="270" t="e">
        <f>Rentecalc.!#REF!</f>
        <v>#REF!</v>
      </c>
      <c r="F204" s="367"/>
    </row>
    <row r="205" spans="1:6" x14ac:dyDescent="0.2">
      <c r="A205" s="37" t="e">
        <f t="shared" si="9"/>
        <v>#REF!</v>
      </c>
      <c r="B205" s="362"/>
      <c r="C205" s="154"/>
      <c r="D205" s="373"/>
      <c r="E205" s="374"/>
      <c r="F205" s="365"/>
    </row>
    <row r="206" spans="1:6" x14ac:dyDescent="0.2">
      <c r="A206" s="34" t="e">
        <f t="shared" si="9"/>
        <v>#REF!</v>
      </c>
      <c r="B206" s="357"/>
      <c r="C206" s="376"/>
      <c r="D206" s="377"/>
      <c r="E206" s="378"/>
      <c r="F206" s="367"/>
    </row>
    <row r="207" spans="1:6" x14ac:dyDescent="0.2">
      <c r="A207" s="35" t="e">
        <f t="shared" si="9"/>
        <v>#REF!</v>
      </c>
      <c r="B207" s="240"/>
      <c r="C207" s="265"/>
      <c r="D207" s="379"/>
      <c r="E207" s="380"/>
      <c r="F207" s="270">
        <f>Rentecalc.!F23</f>
        <v>0</v>
      </c>
    </row>
    <row r="208" spans="1:6" x14ac:dyDescent="0.2">
      <c r="A208" s="37" t="e">
        <f t="shared" si="9"/>
        <v>#REF!</v>
      </c>
      <c r="B208" s="362"/>
      <c r="C208" s="154"/>
      <c r="D208" s="373"/>
      <c r="E208" s="374"/>
      <c r="F208" s="365">
        <f>F197</f>
        <v>0</v>
      </c>
    </row>
    <row r="209" spans="1:21" x14ac:dyDescent="0.2">
      <c r="B209" s="93"/>
      <c r="C209" s="155"/>
      <c r="D209" s="93"/>
      <c r="E209" s="93"/>
      <c r="F209" s="93"/>
    </row>
    <row r="210" spans="1:21" x14ac:dyDescent="0.2">
      <c r="A210" s="47" t="s">
        <v>39</v>
      </c>
      <c r="B210" s="231" t="s">
        <v>78</v>
      </c>
      <c r="C210" s="147"/>
      <c r="D210" s="90"/>
      <c r="E210" s="90"/>
      <c r="F210" s="90"/>
    </row>
    <row r="211" spans="1:21" x14ac:dyDescent="0.2">
      <c r="A211" s="31" t="e">
        <f>A208+1</f>
        <v>#REF!</v>
      </c>
      <c r="B211" s="381"/>
      <c r="C211" s="158"/>
      <c r="D211" s="270" t="e">
        <f>Rentecalc.!#REF!</f>
        <v>#REF!</v>
      </c>
      <c r="E211" s="270" t="e">
        <f>Rentecalc.!#REF!</f>
        <v>#REF!</v>
      </c>
      <c r="F211" s="336"/>
    </row>
    <row r="212" spans="1:21" x14ac:dyDescent="0.2">
      <c r="A212" s="34" t="e">
        <f>A211+1</f>
        <v>#REF!</v>
      </c>
      <c r="B212" s="382"/>
      <c r="C212" s="158"/>
      <c r="D212" s="267" t="e">
        <f>Rentecalc.!#REF!</f>
        <v>#REF!</v>
      </c>
      <c r="E212" s="383"/>
      <c r="F212" s="42"/>
    </row>
    <row r="213" spans="1:21" x14ac:dyDescent="0.2">
      <c r="A213" s="81" t="e">
        <f>A212+1</f>
        <v>#REF!</v>
      </c>
      <c r="B213" s="382"/>
      <c r="C213" s="228"/>
      <c r="D213" s="384"/>
      <c r="E213" s="90"/>
      <c r="F213" s="42"/>
    </row>
    <row r="214" spans="1:21" x14ac:dyDescent="0.2">
      <c r="A214" s="37" t="e">
        <f>A213+1</f>
        <v>#REF!</v>
      </c>
      <c r="B214" s="385"/>
      <c r="C214" s="154"/>
      <c r="D214" s="229"/>
      <c r="E214" s="386"/>
      <c r="F214" s="263"/>
    </row>
    <row r="215" spans="1:21" x14ac:dyDescent="0.2">
      <c r="A215" s="227"/>
      <c r="B215" s="93"/>
      <c r="C215" s="155"/>
      <c r="D215" s="93"/>
      <c r="E215" s="93"/>
      <c r="F215" s="93"/>
    </row>
    <row r="216" spans="1:21" x14ac:dyDescent="0.2">
      <c r="B216" s="93"/>
      <c r="C216" s="155"/>
      <c r="D216" s="93"/>
      <c r="E216" s="93"/>
      <c r="F216" s="93"/>
    </row>
    <row r="217" spans="1:21" x14ac:dyDescent="0.2">
      <c r="A217" s="14" t="s">
        <v>84</v>
      </c>
      <c r="B217" s="42"/>
      <c r="C217" s="42"/>
      <c r="D217" s="42"/>
      <c r="E217" s="42"/>
      <c r="F217" s="42"/>
      <c r="G217" s="42"/>
      <c r="H217" s="42"/>
    </row>
    <row r="218" spans="1:21" x14ac:dyDescent="0.2">
      <c r="A218" s="41"/>
      <c r="B218" s="42"/>
      <c r="C218" s="42"/>
      <c r="D218" s="42"/>
      <c r="E218" s="42"/>
      <c r="F218" s="42"/>
      <c r="G218" s="42"/>
      <c r="H218" s="42"/>
    </row>
    <row r="219" spans="1:21" ht="12.75" customHeight="1" x14ac:dyDescent="0.2">
      <c r="A219" s="21"/>
      <c r="B219" s="208"/>
      <c r="C219" s="105" t="s">
        <v>341</v>
      </c>
      <c r="D219" s="209" t="s">
        <v>342</v>
      </c>
      <c r="E219" s="299"/>
      <c r="G219" s="5"/>
      <c r="H219" s="2"/>
      <c r="J219" s="2"/>
      <c r="L219" s="93"/>
      <c r="M219" s="96"/>
      <c r="N219" s="93"/>
      <c r="P219" s="93"/>
      <c r="S219" s="2"/>
      <c r="T219" s="2"/>
      <c r="U219" s="2"/>
    </row>
    <row r="220" spans="1:21" x14ac:dyDescent="0.2">
      <c r="A220" s="21"/>
      <c r="B220" s="208"/>
      <c r="C220" s="109"/>
      <c r="D220" s="109" t="e">
        <f>CONCATENATE(#REF!-1,"* ")</f>
        <v>#REF!</v>
      </c>
      <c r="E220" s="109" t="e">
        <f>CONCATENATE("Mutaties ",#REF!," ")</f>
        <v>#REF!</v>
      </c>
      <c r="G220" s="5"/>
      <c r="H220" s="2"/>
      <c r="J220" s="2"/>
      <c r="L220" s="93"/>
      <c r="M220" s="96"/>
      <c r="N220" s="93"/>
      <c r="P220" s="93"/>
      <c r="S220" s="2"/>
      <c r="T220" s="2"/>
      <c r="U220" s="2"/>
    </row>
    <row r="221" spans="1:21" x14ac:dyDescent="0.2">
      <c r="A221" s="26"/>
      <c r="B221" s="27"/>
      <c r="C221" s="29"/>
      <c r="D221" s="29"/>
      <c r="E221" s="29"/>
      <c r="G221" s="5"/>
      <c r="H221" s="2"/>
      <c r="J221" s="2"/>
      <c r="L221" s="93"/>
      <c r="M221" s="96"/>
      <c r="N221" s="93"/>
      <c r="P221" s="93"/>
      <c r="S221" s="2"/>
      <c r="T221" s="2"/>
      <c r="U221" s="2"/>
    </row>
    <row r="222" spans="1:21" x14ac:dyDescent="0.2">
      <c r="A222" s="159" t="s">
        <v>345</v>
      </c>
      <c r="B222" s="94" t="s">
        <v>42</v>
      </c>
      <c r="C222" s="387"/>
      <c r="D222" s="95"/>
      <c r="E222" s="95"/>
      <c r="G222" s="5"/>
      <c r="H222" s="2"/>
      <c r="J222" s="2"/>
      <c r="L222" s="93"/>
      <c r="M222" s="96"/>
      <c r="N222" s="93"/>
      <c r="P222" s="93"/>
      <c r="S222" s="2"/>
      <c r="T222" s="2"/>
      <c r="U222" s="2"/>
    </row>
    <row r="223" spans="1:21" x14ac:dyDescent="0.2">
      <c r="A223" s="31">
        <f>'A-G'!A9</f>
        <v>401</v>
      </c>
      <c r="B223" s="388"/>
      <c r="C223" s="389">
        <f>'A-G'!C9</f>
        <v>0</v>
      </c>
      <c r="D223" s="390" t="e">
        <f>'A-G'!#REF!</f>
        <v>#REF!</v>
      </c>
      <c r="E223" s="391"/>
      <c r="G223" s="5"/>
      <c r="H223" s="2"/>
      <c r="J223" s="2"/>
      <c r="L223" s="93"/>
      <c r="M223" s="96"/>
      <c r="N223" s="93"/>
      <c r="P223" s="93"/>
      <c r="S223" s="2"/>
      <c r="T223" s="2"/>
      <c r="U223" s="2"/>
    </row>
    <row r="224" spans="1:21" x14ac:dyDescent="0.2">
      <c r="A224" s="34">
        <f t="shared" ref="A224:A236" si="10">A223+1</f>
        <v>402</v>
      </c>
      <c r="B224" s="388"/>
      <c r="C224" s="389">
        <f>'A-G'!C10</f>
        <v>0</v>
      </c>
      <c r="D224" s="239"/>
      <c r="E224" s="392">
        <f>'A-G'!D10</f>
        <v>0</v>
      </c>
      <c r="G224" s="5"/>
      <c r="H224" s="2"/>
      <c r="J224" s="2"/>
      <c r="L224" s="93"/>
      <c r="M224" s="96"/>
      <c r="N224" s="93"/>
      <c r="P224" s="93"/>
      <c r="S224" s="2"/>
      <c r="T224" s="2"/>
      <c r="U224" s="2"/>
    </row>
    <row r="225" spans="1:21" x14ac:dyDescent="0.2">
      <c r="A225" s="34">
        <f t="shared" si="10"/>
        <v>403</v>
      </c>
      <c r="B225" s="388"/>
      <c r="C225" s="389" t="e">
        <f>'A-G'!#REF!</f>
        <v>#REF!</v>
      </c>
      <c r="D225" s="239"/>
      <c r="E225" s="392" t="e">
        <f>'A-G'!#REF!</f>
        <v>#REF!</v>
      </c>
      <c r="G225" s="5"/>
      <c r="H225" s="2"/>
      <c r="J225" s="2"/>
      <c r="L225" s="93"/>
      <c r="M225" s="96"/>
      <c r="N225" s="93"/>
      <c r="P225" s="93"/>
      <c r="S225" s="2"/>
      <c r="T225" s="2"/>
      <c r="U225" s="2"/>
    </row>
    <row r="226" spans="1:21" x14ac:dyDescent="0.2">
      <c r="A226" s="34">
        <f t="shared" si="10"/>
        <v>404</v>
      </c>
      <c r="B226" s="388"/>
      <c r="C226" s="389" t="e">
        <f>'A-G'!#REF!</f>
        <v>#REF!</v>
      </c>
      <c r="D226" s="239"/>
      <c r="E226" s="392" t="e">
        <f>'A-G'!#REF!</f>
        <v>#REF!</v>
      </c>
      <c r="G226" s="5"/>
      <c r="H226" s="2"/>
      <c r="J226" s="2"/>
      <c r="L226" s="93"/>
      <c r="M226" s="96"/>
      <c r="N226" s="93"/>
      <c r="P226" s="93"/>
      <c r="S226" s="2"/>
      <c r="T226" s="2"/>
      <c r="U226" s="2"/>
    </row>
    <row r="227" spans="1:21" x14ac:dyDescent="0.2">
      <c r="A227" s="34">
        <f t="shared" si="10"/>
        <v>405</v>
      </c>
      <c r="B227" s="388"/>
      <c r="C227" s="389" t="e">
        <f>'A-G'!#REF!</f>
        <v>#REF!</v>
      </c>
      <c r="D227" s="239"/>
      <c r="E227" s="392" t="e">
        <f>'A-G'!#REF!</f>
        <v>#REF!</v>
      </c>
      <c r="G227" s="5"/>
      <c r="H227" s="2"/>
      <c r="J227" s="2"/>
      <c r="L227" s="93"/>
      <c r="M227" s="96"/>
      <c r="N227" s="93"/>
      <c r="P227" s="93"/>
      <c r="S227" s="2"/>
      <c r="T227" s="2"/>
      <c r="U227" s="2"/>
    </row>
    <row r="228" spans="1:21" x14ac:dyDescent="0.2">
      <c r="A228" s="34">
        <f t="shared" si="10"/>
        <v>406</v>
      </c>
      <c r="B228" s="388"/>
      <c r="C228" s="389" t="e">
        <f>'A-G'!#REF!</f>
        <v>#REF!</v>
      </c>
      <c r="D228" s="239"/>
      <c r="E228" s="392" t="e">
        <f>'A-G'!#REF!</f>
        <v>#REF!</v>
      </c>
      <c r="G228" s="5"/>
      <c r="H228" s="2"/>
      <c r="J228" s="2"/>
      <c r="L228" s="93"/>
      <c r="M228" s="96"/>
      <c r="N228" s="93"/>
      <c r="P228" s="93"/>
      <c r="S228" s="2"/>
      <c r="T228" s="2"/>
      <c r="U228" s="2"/>
    </row>
    <row r="229" spans="1:21" x14ac:dyDescent="0.2">
      <c r="A229" s="34">
        <f t="shared" si="10"/>
        <v>407</v>
      </c>
      <c r="B229" s="388"/>
      <c r="C229" s="389" t="e">
        <f>'A-G'!#REF!</f>
        <v>#REF!</v>
      </c>
      <c r="D229" s="239"/>
      <c r="E229" s="392" t="e">
        <f>'A-G'!#REF!</f>
        <v>#REF!</v>
      </c>
      <c r="G229" s="5"/>
      <c r="H229" s="2"/>
      <c r="J229" s="2"/>
      <c r="L229" s="93"/>
      <c r="M229" s="96"/>
      <c r="N229" s="93"/>
      <c r="P229" s="93"/>
      <c r="S229" s="2"/>
      <c r="T229" s="2"/>
      <c r="U229" s="2"/>
    </row>
    <row r="230" spans="1:21" x14ac:dyDescent="0.2">
      <c r="A230" s="34">
        <f t="shared" si="10"/>
        <v>408</v>
      </c>
      <c r="B230" s="388"/>
      <c r="C230" s="389" t="e">
        <f>'A-G'!#REF!</f>
        <v>#REF!</v>
      </c>
      <c r="D230" s="239"/>
      <c r="E230" s="392" t="e">
        <f>'A-G'!#REF!</f>
        <v>#REF!</v>
      </c>
      <c r="G230" s="5"/>
      <c r="H230" s="2"/>
      <c r="J230" s="2"/>
      <c r="L230" s="93"/>
      <c r="M230" s="96"/>
      <c r="N230" s="93"/>
      <c r="P230" s="93"/>
      <c r="S230" s="2"/>
      <c r="T230" s="2"/>
      <c r="U230" s="2"/>
    </row>
    <row r="231" spans="1:21" x14ac:dyDescent="0.2">
      <c r="A231" s="34">
        <f t="shared" si="10"/>
        <v>409</v>
      </c>
      <c r="B231" s="388"/>
      <c r="C231" s="389" t="e">
        <f>'A-G'!#REF!</f>
        <v>#REF!</v>
      </c>
      <c r="D231" s="239"/>
      <c r="E231" s="392" t="e">
        <f>'A-G'!#REF!</f>
        <v>#REF!</v>
      </c>
      <c r="G231" s="5"/>
      <c r="H231" s="2"/>
      <c r="J231" s="2"/>
      <c r="L231" s="93"/>
      <c r="M231" s="96"/>
      <c r="N231" s="93"/>
      <c r="P231" s="93"/>
      <c r="S231" s="2"/>
      <c r="T231" s="2"/>
      <c r="U231" s="2"/>
    </row>
    <row r="232" spans="1:21" x14ac:dyDescent="0.2">
      <c r="A232" s="34">
        <f t="shared" si="10"/>
        <v>410</v>
      </c>
      <c r="B232" s="388"/>
      <c r="C232" s="389" t="e">
        <f>'A-G'!#REF!</f>
        <v>#REF!</v>
      </c>
      <c r="D232" s="239"/>
      <c r="E232" s="392" t="e">
        <f>'A-G'!#REF!</f>
        <v>#REF!</v>
      </c>
      <c r="G232" s="5"/>
      <c r="H232" s="2"/>
      <c r="J232" s="2"/>
      <c r="L232" s="93"/>
      <c r="M232" s="96"/>
      <c r="N232" s="93"/>
      <c r="P232" s="93"/>
      <c r="S232" s="2"/>
      <c r="T232" s="2"/>
      <c r="U232" s="2"/>
    </row>
    <row r="233" spans="1:21" x14ac:dyDescent="0.2">
      <c r="A233" s="34">
        <f t="shared" si="10"/>
        <v>411</v>
      </c>
      <c r="B233" s="388"/>
      <c r="C233" s="389" t="e">
        <f>'A-G'!#REF!</f>
        <v>#REF!</v>
      </c>
      <c r="D233" s="239"/>
      <c r="E233" s="392" t="e">
        <f>'A-G'!#REF!</f>
        <v>#REF!</v>
      </c>
      <c r="G233" s="5"/>
      <c r="H233" s="2"/>
      <c r="J233" s="2"/>
      <c r="L233" s="93"/>
      <c r="M233" s="96"/>
      <c r="N233" s="93"/>
      <c r="P233" s="93"/>
      <c r="S233" s="2"/>
      <c r="T233" s="2"/>
      <c r="U233" s="2"/>
    </row>
    <row r="234" spans="1:21" x14ac:dyDescent="0.2">
      <c r="A234" s="34">
        <f t="shared" si="10"/>
        <v>412</v>
      </c>
      <c r="B234" s="388"/>
      <c r="C234" s="389" t="e">
        <f>'A-G'!#REF!</f>
        <v>#REF!</v>
      </c>
      <c r="D234" s="239"/>
      <c r="E234" s="392" t="e">
        <f>'A-G'!#REF!</f>
        <v>#REF!</v>
      </c>
      <c r="G234" s="5"/>
      <c r="H234" s="2"/>
      <c r="J234" s="2"/>
      <c r="L234" s="93"/>
      <c r="M234" s="96"/>
      <c r="N234" s="93"/>
      <c r="P234" s="93"/>
      <c r="S234" s="2"/>
      <c r="T234" s="2"/>
      <c r="U234" s="2"/>
    </row>
    <row r="235" spans="1:21" x14ac:dyDescent="0.2">
      <c r="A235" s="54">
        <f t="shared" si="10"/>
        <v>413</v>
      </c>
      <c r="B235" s="393"/>
      <c r="C235" s="389" t="e">
        <f>'A-G'!#REF!</f>
        <v>#REF!</v>
      </c>
      <c r="D235" s="239"/>
      <c r="E235" s="392" t="e">
        <f>'A-G'!#REF!</f>
        <v>#REF!</v>
      </c>
      <c r="G235" s="5"/>
      <c r="H235" s="2"/>
      <c r="J235" s="2"/>
      <c r="L235" s="93"/>
      <c r="M235" s="96"/>
      <c r="N235" s="93"/>
      <c r="P235" s="93"/>
      <c r="S235" s="2"/>
      <c r="T235" s="2"/>
      <c r="U235" s="2"/>
    </row>
    <row r="236" spans="1:21" x14ac:dyDescent="0.2">
      <c r="A236" s="37">
        <f t="shared" si="10"/>
        <v>414</v>
      </c>
      <c r="B236" s="38"/>
      <c r="C236" s="394"/>
      <c r="D236" s="395"/>
      <c r="E236" s="396"/>
      <c r="F236" s="5"/>
      <c r="G236" s="5"/>
      <c r="H236" s="5"/>
      <c r="J236" s="2"/>
      <c r="L236" s="93"/>
      <c r="M236" s="96"/>
      <c r="N236" s="93"/>
      <c r="P236" s="93"/>
      <c r="S236" s="2"/>
      <c r="T236" s="2"/>
      <c r="U236" s="2"/>
    </row>
    <row r="237" spans="1:21" x14ac:dyDescent="0.2">
      <c r="A237" s="118" t="e">
        <f>CONCATENATE("* mutaties ",#REF!-1, " (regel ",Uitvoer!A74,") exlusief niet-nacalculeerbare afschrijvingen (regel ",Uitvoer!A75,")")</f>
        <v>#REF!</v>
      </c>
      <c r="B237" s="42"/>
      <c r="C237" s="42"/>
      <c r="D237" s="185"/>
      <c r="E237" s="42"/>
      <c r="F237" s="160"/>
      <c r="G237" s="90"/>
      <c r="H237" s="119"/>
    </row>
    <row r="238" spans="1:21" x14ac:dyDescent="0.2">
      <c r="A238" s="118" t="str">
        <f>CONCATENATE("** regel ",A223," t/m ",A235,)</f>
        <v>** regel 401 t/m 413</v>
      </c>
      <c r="B238" s="42"/>
      <c r="C238" s="42"/>
      <c r="D238" s="185"/>
      <c r="E238" s="42"/>
      <c r="F238" s="160"/>
      <c r="G238" s="42"/>
      <c r="H238" s="119"/>
    </row>
    <row r="239" spans="1:21" x14ac:dyDescent="0.2">
      <c r="A239" s="118"/>
      <c r="B239" s="42"/>
      <c r="C239" s="42"/>
      <c r="D239" s="185"/>
      <c r="E239" s="42"/>
      <c r="F239" s="160"/>
      <c r="G239" s="42"/>
      <c r="H239" s="119"/>
    </row>
    <row r="240" spans="1:21" ht="12.75" customHeight="1" x14ac:dyDescent="0.2">
      <c r="A240" s="21"/>
      <c r="B240" s="208"/>
      <c r="C240" s="105" t="s">
        <v>301</v>
      </c>
      <c r="D240" s="105" t="s">
        <v>309</v>
      </c>
      <c r="E240" s="1"/>
      <c r="G240" s="5"/>
      <c r="H240" s="2"/>
      <c r="J240" s="2"/>
      <c r="L240" s="93"/>
      <c r="M240" s="96"/>
      <c r="N240" s="93"/>
      <c r="P240" s="93"/>
      <c r="S240" s="2"/>
      <c r="T240" s="2"/>
      <c r="U240" s="2"/>
    </row>
    <row r="241" spans="1:21" x14ac:dyDescent="0.2">
      <c r="A241" s="21"/>
      <c r="B241" s="208"/>
      <c r="C241" s="210" t="s">
        <v>308</v>
      </c>
      <c r="D241" s="210" t="s">
        <v>302</v>
      </c>
      <c r="E241" s="1"/>
      <c r="G241" s="5"/>
      <c r="H241" s="2"/>
      <c r="J241" s="2"/>
      <c r="L241" s="93"/>
      <c r="M241" s="96"/>
      <c r="N241" s="93"/>
      <c r="P241" s="93"/>
      <c r="S241" s="2"/>
      <c r="T241" s="2"/>
      <c r="U241" s="2"/>
    </row>
    <row r="242" spans="1:21" x14ac:dyDescent="0.2">
      <c r="A242" s="21"/>
      <c r="B242" s="208"/>
      <c r="C242" s="109" t="s">
        <v>303</v>
      </c>
      <c r="D242" s="109" t="s">
        <v>307</v>
      </c>
      <c r="E242" s="1"/>
      <c r="G242" s="5"/>
      <c r="H242" s="2"/>
      <c r="J242" s="2"/>
      <c r="L242" s="93"/>
      <c r="M242" s="96"/>
      <c r="N242" s="93"/>
      <c r="P242" s="93"/>
      <c r="S242" s="2"/>
      <c r="T242" s="2"/>
      <c r="U242" s="2"/>
    </row>
    <row r="243" spans="1:21" x14ac:dyDescent="0.2">
      <c r="A243" s="26"/>
      <c r="B243" s="27"/>
      <c r="C243" s="29"/>
      <c r="D243" s="29"/>
      <c r="E243" s="1"/>
      <c r="G243" s="5"/>
      <c r="H243" s="2"/>
      <c r="J243" s="2"/>
      <c r="L243" s="93"/>
      <c r="M243" s="96"/>
      <c r="N243" s="93"/>
      <c r="P243" s="93"/>
      <c r="S243" s="2"/>
      <c r="T243" s="2"/>
      <c r="U243" s="2"/>
    </row>
    <row r="244" spans="1:21" x14ac:dyDescent="0.2">
      <c r="A244" s="14" t="s">
        <v>346</v>
      </c>
      <c r="B244" s="27" t="s">
        <v>344</v>
      </c>
      <c r="C244" s="387"/>
      <c r="D244" s="95"/>
      <c r="E244" s="1"/>
      <c r="G244" s="5"/>
      <c r="H244" s="2"/>
      <c r="J244" s="2"/>
      <c r="L244" s="93"/>
      <c r="M244" s="96"/>
      <c r="N244" s="93"/>
      <c r="P244" s="93"/>
      <c r="S244" s="2"/>
      <c r="T244" s="2"/>
      <c r="U244" s="2"/>
    </row>
    <row r="245" spans="1:21" x14ac:dyDescent="0.2">
      <c r="A245" s="31">
        <f>'A-G'!A32</f>
        <v>418</v>
      </c>
      <c r="B245" s="388"/>
      <c r="C245" s="389">
        <f>'A-G'!C32</f>
        <v>0</v>
      </c>
      <c r="D245" s="397"/>
      <c r="E245" s="1"/>
      <c r="G245" s="5"/>
      <c r="H245" s="2"/>
      <c r="J245" s="2"/>
      <c r="L245" s="93"/>
      <c r="M245" s="96"/>
      <c r="N245" s="93"/>
      <c r="P245" s="93"/>
      <c r="S245" s="2"/>
      <c r="T245" s="2"/>
      <c r="U245" s="2"/>
    </row>
    <row r="246" spans="1:21" x14ac:dyDescent="0.2">
      <c r="A246" s="34">
        <f t="shared" ref="A246:A260" si="11">A245+1</f>
        <v>419</v>
      </c>
      <c r="B246" s="388"/>
      <c r="C246" s="390" t="e">
        <f>'A-G'!#REF!</f>
        <v>#REF!</v>
      </c>
      <c r="D246" s="398"/>
      <c r="E246" s="1"/>
      <c r="G246" s="5"/>
      <c r="H246" s="2"/>
      <c r="J246" s="2"/>
      <c r="L246" s="93"/>
      <c r="M246" s="96"/>
      <c r="N246" s="93"/>
      <c r="P246" s="93"/>
      <c r="S246" s="2"/>
      <c r="T246" s="2"/>
      <c r="U246" s="2"/>
    </row>
    <row r="247" spans="1:21" x14ac:dyDescent="0.2">
      <c r="A247" s="34">
        <f t="shared" si="11"/>
        <v>420</v>
      </c>
      <c r="B247" s="388"/>
      <c r="C247" s="389" t="e">
        <f>'A-G'!#REF!</f>
        <v>#REF!</v>
      </c>
      <c r="D247" s="390" t="e">
        <f>'A-G'!#REF!</f>
        <v>#REF!</v>
      </c>
      <c r="E247" s="1"/>
      <c r="G247" s="5"/>
      <c r="H247" s="2"/>
      <c r="J247" s="2"/>
      <c r="L247" s="93"/>
      <c r="M247" s="96"/>
      <c r="N247" s="93"/>
      <c r="P247" s="93"/>
      <c r="S247" s="2"/>
      <c r="T247" s="2"/>
      <c r="U247" s="2"/>
    </row>
    <row r="248" spans="1:21" x14ac:dyDescent="0.2">
      <c r="A248" s="34">
        <f t="shared" si="11"/>
        <v>421</v>
      </c>
      <c r="B248" s="388"/>
      <c r="C248" s="389" t="e">
        <f>'A-G'!#REF!</f>
        <v>#REF!</v>
      </c>
      <c r="D248" s="390" t="e">
        <f>'A-G'!#REF!</f>
        <v>#REF!</v>
      </c>
      <c r="E248" s="1"/>
      <c r="G248" s="5"/>
      <c r="H248" s="2"/>
      <c r="J248" s="2"/>
      <c r="L248" s="93"/>
      <c r="M248" s="96"/>
      <c r="N248" s="93"/>
      <c r="P248" s="93"/>
      <c r="S248" s="2"/>
      <c r="T248" s="2"/>
      <c r="U248" s="2"/>
    </row>
    <row r="249" spans="1:21" x14ac:dyDescent="0.2">
      <c r="A249" s="34">
        <f t="shared" si="11"/>
        <v>422</v>
      </c>
      <c r="B249" s="388"/>
      <c r="C249" s="389" t="e">
        <f>'A-G'!#REF!</f>
        <v>#REF!</v>
      </c>
      <c r="D249" s="390" t="e">
        <f>'A-G'!#REF!</f>
        <v>#REF!</v>
      </c>
      <c r="E249" s="1"/>
      <c r="G249" s="5"/>
      <c r="H249" s="2"/>
      <c r="J249" s="2"/>
      <c r="L249" s="93"/>
      <c r="M249" s="96"/>
      <c r="N249" s="93"/>
      <c r="P249" s="93"/>
      <c r="S249" s="2"/>
      <c r="T249" s="2"/>
      <c r="U249" s="2"/>
    </row>
    <row r="250" spans="1:21" x14ac:dyDescent="0.2">
      <c r="A250" s="34">
        <f t="shared" si="11"/>
        <v>423</v>
      </c>
      <c r="B250" s="388"/>
      <c r="C250" s="389" t="e">
        <f>'A-G'!#REF!</f>
        <v>#REF!</v>
      </c>
      <c r="D250" s="390" t="e">
        <f>'A-G'!#REF!</f>
        <v>#REF!</v>
      </c>
      <c r="E250" s="1"/>
      <c r="G250" s="5"/>
      <c r="H250" s="2"/>
      <c r="J250" s="2"/>
      <c r="L250" s="93"/>
      <c r="M250" s="96"/>
      <c r="N250" s="93"/>
      <c r="P250" s="93"/>
      <c r="S250" s="2"/>
      <c r="T250" s="2"/>
      <c r="U250" s="2"/>
    </row>
    <row r="251" spans="1:21" x14ac:dyDescent="0.2">
      <c r="A251" s="34">
        <f t="shared" si="11"/>
        <v>424</v>
      </c>
      <c r="B251" s="388"/>
      <c r="C251" s="389" t="e">
        <f>'A-G'!#REF!</f>
        <v>#REF!</v>
      </c>
      <c r="D251" s="390" t="e">
        <f>'A-G'!#REF!</f>
        <v>#REF!</v>
      </c>
      <c r="E251" s="1"/>
      <c r="G251" s="5"/>
      <c r="H251" s="2"/>
      <c r="J251" s="2"/>
      <c r="L251" s="93"/>
      <c r="M251" s="96"/>
      <c r="N251" s="93"/>
      <c r="P251" s="93"/>
      <c r="S251" s="2"/>
      <c r="T251" s="2"/>
      <c r="U251" s="2"/>
    </row>
    <row r="252" spans="1:21" x14ac:dyDescent="0.2">
      <c r="A252" s="34">
        <f t="shared" si="11"/>
        <v>425</v>
      </c>
      <c r="B252" s="388"/>
      <c r="C252" s="389" t="e">
        <f>'A-G'!#REF!</f>
        <v>#REF!</v>
      </c>
      <c r="D252" s="390" t="e">
        <f>'A-G'!#REF!</f>
        <v>#REF!</v>
      </c>
      <c r="E252" s="1"/>
      <c r="G252" s="5"/>
      <c r="H252" s="2"/>
      <c r="J252" s="2"/>
      <c r="L252" s="93"/>
      <c r="M252" s="96"/>
      <c r="N252" s="93"/>
      <c r="P252" s="93"/>
      <c r="S252" s="2"/>
      <c r="T252" s="2"/>
      <c r="U252" s="2"/>
    </row>
    <row r="253" spans="1:21" x14ac:dyDescent="0.2">
      <c r="A253" s="34">
        <f t="shared" si="11"/>
        <v>426</v>
      </c>
      <c r="B253" s="388"/>
      <c r="C253" s="389" t="e">
        <f>'A-G'!#REF!</f>
        <v>#REF!</v>
      </c>
      <c r="D253" s="390" t="e">
        <f>'A-G'!#REF!</f>
        <v>#REF!</v>
      </c>
      <c r="E253" s="1"/>
      <c r="G253" s="5"/>
      <c r="H253" s="2"/>
      <c r="J253" s="2"/>
      <c r="L253" s="93"/>
      <c r="M253" s="96"/>
      <c r="N253" s="93"/>
      <c r="P253" s="93"/>
      <c r="S253" s="2"/>
      <c r="T253" s="2"/>
      <c r="U253" s="2"/>
    </row>
    <row r="254" spans="1:21" x14ac:dyDescent="0.2">
      <c r="A254" s="34">
        <f t="shared" si="11"/>
        <v>427</v>
      </c>
      <c r="B254" s="388"/>
      <c r="C254" s="389" t="e">
        <f>'A-G'!#REF!</f>
        <v>#REF!</v>
      </c>
      <c r="D254" s="390" t="e">
        <f>'A-G'!#REF!</f>
        <v>#REF!</v>
      </c>
      <c r="E254" s="1"/>
      <c r="G254" s="5"/>
      <c r="H254" s="2"/>
      <c r="J254" s="2"/>
      <c r="L254" s="93"/>
      <c r="M254" s="96"/>
      <c r="N254" s="93"/>
      <c r="P254" s="93"/>
      <c r="S254" s="2"/>
      <c r="T254" s="2"/>
      <c r="U254" s="2"/>
    </row>
    <row r="255" spans="1:21" x14ac:dyDescent="0.2">
      <c r="A255" s="34">
        <f t="shared" si="11"/>
        <v>428</v>
      </c>
      <c r="B255" s="388"/>
      <c r="C255" s="389" t="e">
        <f>'A-G'!#REF!</f>
        <v>#REF!</v>
      </c>
      <c r="D255" s="390" t="e">
        <f>'A-G'!#REF!</f>
        <v>#REF!</v>
      </c>
      <c r="E255" s="1"/>
      <c r="G255" s="5"/>
      <c r="H255" s="2"/>
      <c r="J255" s="2"/>
      <c r="L255" s="93"/>
      <c r="M255" s="96"/>
      <c r="N255" s="93"/>
      <c r="P255" s="93"/>
      <c r="S255" s="2"/>
      <c r="T255" s="2"/>
      <c r="U255" s="2"/>
    </row>
    <row r="256" spans="1:21" x14ac:dyDescent="0.2">
      <c r="A256" s="34">
        <f t="shared" si="11"/>
        <v>429</v>
      </c>
      <c r="B256" s="388"/>
      <c r="C256" s="389" t="e">
        <f>'A-G'!#REF!</f>
        <v>#REF!</v>
      </c>
      <c r="D256" s="390" t="e">
        <f>'A-G'!#REF!</f>
        <v>#REF!</v>
      </c>
      <c r="E256" s="1"/>
      <c r="G256" s="5"/>
      <c r="H256" s="2"/>
      <c r="J256" s="2"/>
      <c r="L256" s="93"/>
      <c r="M256" s="96"/>
      <c r="N256" s="93"/>
      <c r="P256" s="93"/>
      <c r="S256" s="2"/>
      <c r="T256" s="2"/>
      <c r="U256" s="2"/>
    </row>
    <row r="257" spans="1:21" x14ac:dyDescent="0.2">
      <c r="A257" s="34">
        <f t="shared" si="11"/>
        <v>430</v>
      </c>
      <c r="B257" s="388"/>
      <c r="C257" s="389" t="e">
        <f>'A-G'!#REF!</f>
        <v>#REF!</v>
      </c>
      <c r="D257" s="390" t="e">
        <f>'A-G'!#REF!</f>
        <v>#REF!</v>
      </c>
      <c r="E257" s="1"/>
      <c r="G257" s="5"/>
      <c r="H257" s="2"/>
      <c r="J257" s="2"/>
      <c r="L257" s="93"/>
      <c r="M257" s="96"/>
      <c r="N257" s="93"/>
      <c r="P257" s="93"/>
      <c r="S257" s="2"/>
      <c r="T257" s="2"/>
      <c r="U257" s="2"/>
    </row>
    <row r="258" spans="1:21" x14ac:dyDescent="0.2">
      <c r="A258" s="34">
        <f t="shared" si="11"/>
        <v>431</v>
      </c>
      <c r="B258" s="388"/>
      <c r="C258" s="389" t="e">
        <f>'A-G'!#REF!</f>
        <v>#REF!</v>
      </c>
      <c r="D258" s="390" t="e">
        <f>'A-G'!#REF!</f>
        <v>#REF!</v>
      </c>
      <c r="E258" s="1"/>
      <c r="G258" s="5"/>
      <c r="H258" s="2"/>
      <c r="J258" s="2"/>
      <c r="L258" s="93"/>
      <c r="M258" s="96"/>
      <c r="N258" s="93"/>
      <c r="P258" s="93"/>
      <c r="S258" s="2"/>
      <c r="T258" s="2"/>
      <c r="U258" s="2"/>
    </row>
    <row r="259" spans="1:21" x14ac:dyDescent="0.2">
      <c r="A259" s="35">
        <f t="shared" si="11"/>
        <v>432</v>
      </c>
      <c r="B259" s="388"/>
      <c r="C259" s="389" t="e">
        <f>'A-G'!#REF!</f>
        <v>#REF!</v>
      </c>
      <c r="D259" s="398"/>
      <c r="E259" s="1"/>
      <c r="G259" s="5"/>
      <c r="H259" s="2"/>
      <c r="J259" s="2"/>
      <c r="L259" s="93"/>
      <c r="M259" s="96"/>
      <c r="N259" s="93"/>
      <c r="P259" s="93"/>
      <c r="S259" s="2"/>
      <c r="T259" s="2"/>
      <c r="U259" s="2"/>
    </row>
    <row r="260" spans="1:21" x14ac:dyDescent="0.2">
      <c r="A260" s="37">
        <f t="shared" si="11"/>
        <v>433</v>
      </c>
      <c r="B260" s="38"/>
      <c r="C260" s="292" t="e">
        <f>C245-C246+SUM(C247:C259)</f>
        <v>#REF!</v>
      </c>
      <c r="D260" s="308" t="e">
        <f>SUM(D247:D258)</f>
        <v>#REF!</v>
      </c>
      <c r="E260" s="1"/>
      <c r="G260" s="5"/>
      <c r="H260" s="2"/>
      <c r="J260" s="2"/>
      <c r="L260" s="93"/>
      <c r="M260" s="96"/>
      <c r="N260" s="93"/>
      <c r="P260" s="93"/>
      <c r="S260" s="2"/>
      <c r="T260" s="2"/>
      <c r="U260" s="2"/>
    </row>
    <row r="261" spans="1:21" x14ac:dyDescent="0.2">
      <c r="A261" s="26"/>
      <c r="B261" s="90"/>
      <c r="C261" s="90"/>
      <c r="D261" s="90"/>
      <c r="E261" s="90"/>
      <c r="F261" s="42"/>
      <c r="G261" s="42"/>
    </row>
    <row r="262" spans="1:21" x14ac:dyDescent="0.2">
      <c r="A262" s="37">
        <f>A260+1</f>
        <v>434</v>
      </c>
      <c r="B262" s="59"/>
      <c r="C262" s="399"/>
      <c r="D262" s="400"/>
      <c r="E262" s="399"/>
      <c r="F262" s="401"/>
      <c r="G262" s="402" t="e">
        <f>'A-G'!#REF!</f>
        <v>#REF!</v>
      </c>
    </row>
    <row r="263" spans="1:21" x14ac:dyDescent="0.2">
      <c r="A263" s="41"/>
      <c r="B263" s="42"/>
      <c r="C263" s="42"/>
      <c r="D263" s="42"/>
      <c r="E263" s="42"/>
      <c r="F263" s="42"/>
      <c r="G263" s="42"/>
    </row>
    <row r="264" spans="1:21" ht="12.75" customHeight="1" x14ac:dyDescent="0.2">
      <c r="A264" s="21"/>
      <c r="B264" s="208"/>
      <c r="C264" s="105" t="s">
        <v>341</v>
      </c>
      <c r="D264" s="105" t="s">
        <v>342</v>
      </c>
      <c r="E264" s="1"/>
      <c r="G264" s="5"/>
      <c r="H264" s="2"/>
      <c r="J264" s="2"/>
      <c r="L264" s="93"/>
      <c r="M264" s="96"/>
      <c r="N264" s="93"/>
      <c r="P264" s="93"/>
      <c r="S264" s="2"/>
      <c r="T264" s="2"/>
      <c r="U264" s="2"/>
    </row>
    <row r="265" spans="1:21" x14ac:dyDescent="0.2">
      <c r="A265" s="21"/>
      <c r="B265" s="208"/>
      <c r="C265" s="109"/>
      <c r="D265" s="109"/>
      <c r="E265" s="1"/>
      <c r="G265" s="5"/>
      <c r="H265" s="2"/>
      <c r="J265" s="2"/>
      <c r="L265" s="93"/>
      <c r="M265" s="96"/>
      <c r="N265" s="93"/>
      <c r="P265" s="93"/>
      <c r="S265" s="2"/>
      <c r="T265" s="2"/>
      <c r="U265" s="2"/>
    </row>
    <row r="266" spans="1:21" x14ac:dyDescent="0.2">
      <c r="A266" s="26"/>
      <c r="B266" s="90"/>
      <c r="C266" s="42"/>
      <c r="D266" s="42"/>
      <c r="E266" s="1"/>
      <c r="G266" s="5"/>
      <c r="H266" s="2"/>
      <c r="J266" s="2"/>
      <c r="L266" s="93"/>
      <c r="M266" s="96"/>
      <c r="N266" s="93"/>
      <c r="P266" s="93"/>
      <c r="S266" s="2"/>
      <c r="T266" s="2"/>
      <c r="U266" s="2"/>
    </row>
    <row r="267" spans="1:21" x14ac:dyDescent="0.2">
      <c r="A267" s="159" t="s">
        <v>23</v>
      </c>
      <c r="B267" s="94" t="s">
        <v>24</v>
      </c>
      <c r="C267" s="387"/>
      <c r="D267" s="95"/>
      <c r="E267" s="1"/>
      <c r="G267" s="5"/>
      <c r="H267" s="2"/>
      <c r="J267" s="2"/>
      <c r="L267" s="93"/>
      <c r="M267" s="96"/>
      <c r="N267" s="93"/>
      <c r="P267" s="93"/>
      <c r="S267" s="2"/>
      <c r="T267" s="2"/>
      <c r="U267" s="2"/>
    </row>
    <row r="268" spans="1:21" x14ac:dyDescent="0.2">
      <c r="A268" s="31">
        <f>'A-G'!A54</f>
        <v>501</v>
      </c>
      <c r="B268" s="388"/>
      <c r="C268" s="389">
        <f>'A-G'!C54</f>
        <v>0</v>
      </c>
      <c r="D268" s="390">
        <f>'A-G'!D54</f>
        <v>0</v>
      </c>
      <c r="E268" s="1"/>
      <c r="G268" s="5"/>
      <c r="H268" s="2"/>
      <c r="J268" s="2"/>
      <c r="L268" s="93"/>
      <c r="M268" s="96"/>
      <c r="N268" s="93"/>
      <c r="P268" s="93"/>
      <c r="S268" s="2"/>
      <c r="T268" s="2"/>
      <c r="U268" s="2"/>
    </row>
    <row r="269" spans="1:21" x14ac:dyDescent="0.2">
      <c r="A269" s="34">
        <f t="shared" ref="A269:A286" si="12">A268+1</f>
        <v>502</v>
      </c>
      <c r="B269" s="388"/>
      <c r="C269" s="389">
        <f>'A-G'!C56</f>
        <v>0</v>
      </c>
      <c r="D269" s="397"/>
      <c r="E269" s="1"/>
      <c r="G269" s="5"/>
      <c r="H269" s="2"/>
      <c r="J269" s="2"/>
      <c r="L269" s="93"/>
      <c r="M269" s="96"/>
      <c r="N269" s="93"/>
      <c r="P269" s="93"/>
      <c r="S269" s="2"/>
      <c r="T269" s="2"/>
      <c r="U269" s="2"/>
    </row>
    <row r="270" spans="1:21" x14ac:dyDescent="0.2">
      <c r="A270" s="34">
        <f t="shared" si="12"/>
        <v>503</v>
      </c>
      <c r="B270" s="388"/>
      <c r="C270" s="390">
        <f>'A-G'!C68</f>
        <v>0</v>
      </c>
      <c r="D270" s="397"/>
      <c r="E270" s="1"/>
      <c r="G270" s="5"/>
      <c r="H270" s="2"/>
      <c r="J270" s="2"/>
      <c r="L270" s="93"/>
      <c r="M270" s="96"/>
      <c r="N270" s="93"/>
      <c r="P270" s="93"/>
      <c r="S270" s="2"/>
      <c r="T270" s="2"/>
      <c r="U270" s="2"/>
    </row>
    <row r="271" spans="1:21" x14ac:dyDescent="0.2">
      <c r="A271" s="34">
        <f t="shared" si="12"/>
        <v>504</v>
      </c>
      <c r="B271" s="388"/>
      <c r="C271" s="389" t="e">
        <f>'A-G'!#REF!</f>
        <v>#REF!</v>
      </c>
      <c r="D271" s="397"/>
      <c r="E271" s="1"/>
      <c r="G271" s="5"/>
      <c r="H271" s="2"/>
      <c r="J271" s="2"/>
      <c r="L271" s="93"/>
      <c r="M271" s="96"/>
      <c r="N271" s="93"/>
      <c r="P271" s="93"/>
      <c r="S271" s="2"/>
      <c r="T271" s="2"/>
      <c r="U271" s="2"/>
    </row>
    <row r="272" spans="1:21" x14ac:dyDescent="0.2">
      <c r="A272" s="34">
        <f t="shared" si="12"/>
        <v>505</v>
      </c>
      <c r="B272" s="388"/>
      <c r="C272" s="389" t="e">
        <f>'A-G'!#REF!</f>
        <v>#REF!</v>
      </c>
      <c r="D272" s="397"/>
      <c r="E272" s="1"/>
      <c r="G272" s="5"/>
      <c r="H272" s="2"/>
      <c r="J272" s="2"/>
      <c r="L272" s="93"/>
      <c r="M272" s="96"/>
      <c r="N272" s="93"/>
      <c r="P272" s="93"/>
      <c r="S272" s="2"/>
      <c r="T272" s="2"/>
      <c r="U272" s="2"/>
    </row>
    <row r="273" spans="1:21" x14ac:dyDescent="0.2">
      <c r="A273" s="34">
        <f t="shared" si="12"/>
        <v>506</v>
      </c>
      <c r="B273" s="388"/>
      <c r="C273" s="389" t="e">
        <f>'A-G'!#REF!</f>
        <v>#REF!</v>
      </c>
      <c r="D273" s="397"/>
      <c r="E273" s="1"/>
      <c r="G273" s="5"/>
      <c r="H273" s="2"/>
      <c r="J273" s="2"/>
      <c r="L273" s="93"/>
      <c r="M273" s="96"/>
      <c r="N273" s="93"/>
      <c r="P273" s="93"/>
      <c r="S273" s="2"/>
      <c r="T273" s="2"/>
      <c r="U273" s="2"/>
    </row>
    <row r="274" spans="1:21" x14ac:dyDescent="0.2">
      <c r="A274" s="34">
        <f t="shared" si="12"/>
        <v>507</v>
      </c>
      <c r="B274" s="388"/>
      <c r="C274" s="389" t="e">
        <f>'A-G'!#REF!</f>
        <v>#REF!</v>
      </c>
      <c r="D274" s="397"/>
      <c r="E274" s="1"/>
      <c r="G274" s="5"/>
      <c r="H274" s="2"/>
      <c r="J274" s="2"/>
      <c r="L274" s="93"/>
      <c r="M274" s="96"/>
      <c r="N274" s="93"/>
      <c r="P274" s="93"/>
      <c r="S274" s="2"/>
      <c r="T274" s="2"/>
      <c r="U274" s="2"/>
    </row>
    <row r="275" spans="1:21" x14ac:dyDescent="0.2">
      <c r="A275" s="34">
        <f t="shared" si="12"/>
        <v>508</v>
      </c>
      <c r="B275" s="388"/>
      <c r="C275" s="389" t="e">
        <f>'A-G'!#REF!</f>
        <v>#REF!</v>
      </c>
      <c r="D275" s="397"/>
      <c r="E275" s="1"/>
      <c r="G275" s="5"/>
      <c r="H275" s="2"/>
      <c r="J275" s="2"/>
      <c r="L275" s="93"/>
      <c r="M275" s="96"/>
      <c r="N275" s="93"/>
      <c r="P275" s="93"/>
      <c r="S275" s="2"/>
      <c r="T275" s="2"/>
      <c r="U275" s="2"/>
    </row>
    <row r="276" spans="1:21" x14ac:dyDescent="0.2">
      <c r="A276" s="34">
        <f t="shared" si="12"/>
        <v>509</v>
      </c>
      <c r="B276" s="388"/>
      <c r="C276" s="389" t="e">
        <f>'A-G'!#REF!</f>
        <v>#REF!</v>
      </c>
      <c r="D276" s="397"/>
      <c r="E276" s="1"/>
      <c r="G276" s="5"/>
      <c r="H276" s="2"/>
      <c r="J276" s="2"/>
      <c r="L276" s="93"/>
      <c r="M276" s="96"/>
      <c r="N276" s="93"/>
      <c r="P276" s="93"/>
      <c r="S276" s="2"/>
      <c r="T276" s="2"/>
      <c r="U276" s="2"/>
    </row>
    <row r="277" spans="1:21" x14ac:dyDescent="0.2">
      <c r="A277" s="34">
        <f t="shared" si="12"/>
        <v>510</v>
      </c>
      <c r="B277" s="388"/>
      <c r="C277" s="389" t="e">
        <f>'A-G'!#REF!</f>
        <v>#REF!</v>
      </c>
      <c r="D277" s="397"/>
      <c r="E277" s="1"/>
      <c r="G277" s="5"/>
      <c r="H277" s="2"/>
      <c r="J277" s="2"/>
      <c r="L277" s="93"/>
      <c r="M277" s="96"/>
      <c r="N277" s="93"/>
      <c r="P277" s="93"/>
      <c r="S277" s="2"/>
      <c r="T277" s="2"/>
      <c r="U277" s="2"/>
    </row>
    <row r="278" spans="1:21" x14ac:dyDescent="0.2">
      <c r="A278" s="34">
        <f t="shared" si="12"/>
        <v>511</v>
      </c>
      <c r="B278" s="388"/>
      <c r="C278" s="389" t="e">
        <f>'A-G'!#REF!</f>
        <v>#REF!</v>
      </c>
      <c r="D278" s="397"/>
      <c r="E278" s="1"/>
      <c r="G278" s="5"/>
      <c r="H278" s="2"/>
      <c r="J278" s="2"/>
      <c r="L278" s="93"/>
      <c r="M278" s="96"/>
      <c r="N278" s="93"/>
      <c r="P278" s="93"/>
      <c r="S278" s="2"/>
      <c r="T278" s="2"/>
      <c r="U278" s="2"/>
    </row>
    <row r="279" spans="1:21" x14ac:dyDescent="0.2">
      <c r="A279" s="34">
        <f t="shared" si="12"/>
        <v>512</v>
      </c>
      <c r="B279" s="388"/>
      <c r="C279" s="389" t="e">
        <f>'A-G'!#REF!</f>
        <v>#REF!</v>
      </c>
      <c r="D279" s="397"/>
      <c r="E279" s="1"/>
      <c r="G279" s="5"/>
      <c r="H279" s="2"/>
      <c r="J279" s="2"/>
      <c r="L279" s="93"/>
      <c r="M279" s="96"/>
      <c r="N279" s="93"/>
      <c r="P279" s="93"/>
      <c r="S279" s="2"/>
      <c r="T279" s="2"/>
      <c r="U279" s="2"/>
    </row>
    <row r="280" spans="1:21" x14ac:dyDescent="0.2">
      <c r="A280" s="34">
        <f t="shared" si="12"/>
        <v>513</v>
      </c>
      <c r="B280" s="388"/>
      <c r="C280" s="389" t="e">
        <f>'A-G'!#REF!</f>
        <v>#REF!</v>
      </c>
      <c r="D280" s="397"/>
      <c r="E280" s="1"/>
      <c r="G280" s="5"/>
      <c r="H280" s="2"/>
      <c r="J280" s="2"/>
      <c r="L280" s="93"/>
      <c r="M280" s="96"/>
      <c r="N280" s="93"/>
      <c r="P280" s="93"/>
      <c r="S280" s="2"/>
      <c r="T280" s="2"/>
      <c r="U280" s="2"/>
    </row>
    <row r="281" spans="1:21" x14ac:dyDescent="0.2">
      <c r="A281" s="34">
        <f t="shared" si="12"/>
        <v>514</v>
      </c>
      <c r="B281" s="388"/>
      <c r="C281" s="389" t="e">
        <f>'A-G'!#REF!</f>
        <v>#REF!</v>
      </c>
      <c r="D281" s="397"/>
      <c r="E281" s="1"/>
      <c r="G281" s="5"/>
      <c r="H281" s="2"/>
      <c r="J281" s="2"/>
      <c r="L281" s="93"/>
      <c r="M281" s="96"/>
      <c r="N281" s="93"/>
      <c r="P281" s="93"/>
      <c r="S281" s="2"/>
      <c r="T281" s="2"/>
      <c r="U281" s="2"/>
    </row>
    <row r="282" spans="1:21" x14ac:dyDescent="0.2">
      <c r="A282" s="34">
        <f t="shared" si="12"/>
        <v>515</v>
      </c>
      <c r="B282" s="388"/>
      <c r="C282" s="389" t="e">
        <f>'A-G'!#REF!</f>
        <v>#REF!</v>
      </c>
      <c r="D282" s="397"/>
      <c r="E282" s="1"/>
      <c r="G282" s="5"/>
      <c r="H282" s="2"/>
      <c r="J282" s="2"/>
      <c r="L282" s="93"/>
      <c r="M282" s="96"/>
      <c r="N282" s="93"/>
      <c r="P282" s="93"/>
      <c r="S282" s="2"/>
      <c r="T282" s="2"/>
      <c r="U282" s="2"/>
    </row>
    <row r="283" spans="1:21" x14ac:dyDescent="0.2">
      <c r="A283" s="34">
        <f t="shared" si="12"/>
        <v>516</v>
      </c>
      <c r="B283" s="388"/>
      <c r="C283" s="403"/>
      <c r="D283" s="390">
        <f>'A-G'!D69</f>
        <v>0</v>
      </c>
      <c r="E283" s="1"/>
      <c r="G283" s="5"/>
      <c r="H283" s="2"/>
      <c r="J283" s="2"/>
      <c r="L283" s="93"/>
      <c r="M283" s="96"/>
      <c r="N283" s="93"/>
      <c r="P283" s="93"/>
      <c r="S283" s="2"/>
      <c r="T283" s="2"/>
      <c r="U283" s="2"/>
    </row>
    <row r="284" spans="1:21" x14ac:dyDescent="0.2">
      <c r="A284" s="34">
        <f t="shared" si="12"/>
        <v>517</v>
      </c>
      <c r="B284" s="388"/>
      <c r="C284" s="390">
        <f>'A-G'!C70</f>
        <v>0</v>
      </c>
      <c r="D284" s="397"/>
      <c r="E284" s="1"/>
      <c r="G284" s="5"/>
      <c r="H284" s="2"/>
      <c r="J284" s="2"/>
      <c r="L284" s="93"/>
      <c r="M284" s="96"/>
      <c r="N284" s="93"/>
      <c r="P284" s="93"/>
      <c r="S284" s="2"/>
      <c r="T284" s="2"/>
      <c r="U284" s="2"/>
    </row>
    <row r="285" spans="1:21" x14ac:dyDescent="0.2">
      <c r="A285" s="35">
        <f t="shared" si="12"/>
        <v>518</v>
      </c>
      <c r="B285" s="388"/>
      <c r="C285" s="389" t="e">
        <f>'A-G'!#REF!</f>
        <v>#REF!</v>
      </c>
      <c r="D285" s="398"/>
      <c r="E285" s="1"/>
      <c r="G285" s="5"/>
      <c r="H285" s="2"/>
      <c r="J285" s="2"/>
      <c r="L285" s="93"/>
      <c r="M285" s="96"/>
      <c r="N285" s="93"/>
      <c r="P285" s="93"/>
      <c r="S285" s="2"/>
      <c r="T285" s="2"/>
      <c r="U285" s="2"/>
    </row>
    <row r="286" spans="1:21" x14ac:dyDescent="0.2">
      <c r="A286" s="37">
        <f t="shared" si="12"/>
        <v>519</v>
      </c>
      <c r="B286" s="38"/>
      <c r="C286" s="292"/>
      <c r="D286" s="308"/>
      <c r="E286" s="1"/>
      <c r="G286" s="5"/>
      <c r="H286" s="2"/>
      <c r="J286" s="2"/>
      <c r="L286" s="93"/>
      <c r="M286" s="96"/>
      <c r="N286" s="93"/>
      <c r="P286" s="93"/>
      <c r="S286" s="2"/>
      <c r="T286" s="2"/>
      <c r="U286" s="2"/>
    </row>
    <row r="287" spans="1:21" x14ac:dyDescent="0.2">
      <c r="D287" s="2"/>
      <c r="G287" s="2"/>
    </row>
    <row r="288" spans="1:21" ht="12.75" customHeight="1" x14ac:dyDescent="0.2">
      <c r="A288" s="21"/>
      <c r="B288" s="105" t="s">
        <v>297</v>
      </c>
      <c r="C288" s="404" t="s">
        <v>299</v>
      </c>
      <c r="D288" s="405"/>
      <c r="G288" s="93"/>
      <c r="H288" s="96"/>
      <c r="I288" s="93"/>
      <c r="J288" s="93"/>
      <c r="K288" s="93"/>
      <c r="L288" s="93"/>
      <c r="M288" s="93"/>
      <c r="O288" s="2"/>
      <c r="P288" s="2"/>
      <c r="Q288" s="2"/>
      <c r="R288" s="2"/>
      <c r="S288" s="2"/>
      <c r="T288" s="2"/>
      <c r="U288" s="2"/>
    </row>
    <row r="289" spans="1:21" x14ac:dyDescent="0.2">
      <c r="A289" s="21"/>
      <c r="B289" s="109" t="s">
        <v>298</v>
      </c>
      <c r="C289" s="406" t="s">
        <v>300</v>
      </c>
      <c r="D289" s="407"/>
      <c r="G289" s="93"/>
      <c r="H289" s="96"/>
      <c r="I289" s="93"/>
      <c r="J289" s="93"/>
      <c r="K289" s="93"/>
      <c r="L289" s="93"/>
      <c r="M289" s="93"/>
      <c r="O289" s="2"/>
      <c r="P289" s="2"/>
      <c r="Q289" s="2"/>
      <c r="R289" s="2"/>
      <c r="S289" s="2"/>
      <c r="T289" s="2"/>
      <c r="U289" s="2"/>
    </row>
    <row r="290" spans="1:21" x14ac:dyDescent="0.2">
      <c r="A290" s="26"/>
      <c r="B290" s="29"/>
      <c r="C290" s="29"/>
      <c r="D290" s="196"/>
      <c r="G290" s="93"/>
      <c r="H290" s="96"/>
      <c r="I290" s="93"/>
      <c r="J290" s="93"/>
      <c r="K290" s="93"/>
      <c r="L290" s="93"/>
      <c r="M290" s="93"/>
      <c r="O290" s="2"/>
      <c r="P290" s="2"/>
      <c r="Q290" s="2"/>
      <c r="R290" s="2"/>
      <c r="S290" s="2"/>
      <c r="T290" s="2"/>
      <c r="U290" s="2"/>
    </row>
    <row r="291" spans="1:21" x14ac:dyDescent="0.2">
      <c r="A291" s="159" t="s">
        <v>25</v>
      </c>
      <c r="B291" s="387"/>
      <c r="C291" s="95"/>
      <c r="D291" s="408"/>
      <c r="G291" s="93"/>
      <c r="H291" s="96"/>
      <c r="I291" s="93"/>
      <c r="J291" s="93"/>
      <c r="K291" s="93"/>
      <c r="L291" s="93"/>
      <c r="M291" s="93"/>
      <c r="O291" s="2"/>
      <c r="P291" s="2"/>
      <c r="Q291" s="2"/>
      <c r="R291" s="2"/>
      <c r="S291" s="2"/>
      <c r="T291" s="2"/>
      <c r="U291" s="2"/>
    </row>
    <row r="292" spans="1:21" x14ac:dyDescent="0.2">
      <c r="A292" s="31" t="e">
        <f>'A-G'!#REF!</f>
        <v>#REF!</v>
      </c>
      <c r="B292" s="389" t="e">
        <f>'A-G'!#REF!</f>
        <v>#REF!</v>
      </c>
      <c r="C292" s="392" t="e">
        <f>'A-G'!#REF!</f>
        <v>#REF!</v>
      </c>
      <c r="D292" s="389" t="e">
        <f>#REF!</f>
        <v>#REF!</v>
      </c>
      <c r="G292" s="93"/>
      <c r="H292" s="96"/>
      <c r="I292" s="93"/>
      <c r="J292" s="93"/>
      <c r="K292" s="93"/>
      <c r="L292" s="93"/>
      <c r="M292" s="93"/>
      <c r="O292" s="2"/>
      <c r="P292" s="2"/>
      <c r="Q292" s="2"/>
      <c r="R292" s="2"/>
      <c r="S292" s="2"/>
      <c r="T292" s="2"/>
      <c r="U292" s="2"/>
    </row>
    <row r="293" spans="1:21" x14ac:dyDescent="0.2">
      <c r="A293" s="34" t="e">
        <f t="shared" ref="A293:A305" si="13">A292+1</f>
        <v>#REF!</v>
      </c>
      <c r="B293" s="389" t="e">
        <f>'A-G'!#REF!</f>
        <v>#REF!</v>
      </c>
      <c r="C293" s="392" t="e">
        <f>'A-G'!#REF!</f>
        <v>#REF!</v>
      </c>
      <c r="D293" s="389" t="e">
        <f>#REF!</f>
        <v>#REF!</v>
      </c>
      <c r="G293" s="93"/>
      <c r="H293" s="96"/>
      <c r="I293" s="93"/>
      <c r="J293" s="93"/>
      <c r="K293" s="93"/>
      <c r="L293" s="93"/>
      <c r="M293" s="93"/>
      <c r="O293" s="2"/>
      <c r="P293" s="2"/>
      <c r="Q293" s="2"/>
      <c r="R293" s="2"/>
      <c r="S293" s="2"/>
      <c r="T293" s="2"/>
      <c r="U293" s="2"/>
    </row>
    <row r="294" spans="1:21" x14ac:dyDescent="0.2">
      <c r="A294" s="34" t="e">
        <f t="shared" si="13"/>
        <v>#REF!</v>
      </c>
      <c r="B294" s="389" t="e">
        <f>'A-G'!#REF!</f>
        <v>#REF!</v>
      </c>
      <c r="C294" s="392" t="e">
        <f>'A-G'!#REF!</f>
        <v>#REF!</v>
      </c>
      <c r="D294" s="389" t="e">
        <f>#REF!</f>
        <v>#REF!</v>
      </c>
      <c r="G294" s="93"/>
      <c r="H294" s="96"/>
      <c r="I294" s="93"/>
      <c r="J294" s="93"/>
      <c r="K294" s="93"/>
      <c r="L294" s="93"/>
      <c r="M294" s="93"/>
      <c r="O294" s="2"/>
      <c r="P294" s="2"/>
      <c r="Q294" s="2"/>
      <c r="R294" s="2"/>
      <c r="S294" s="2"/>
      <c r="T294" s="2"/>
      <c r="U294" s="2"/>
    </row>
    <row r="295" spans="1:21" x14ac:dyDescent="0.2">
      <c r="A295" s="34" t="e">
        <f t="shared" si="13"/>
        <v>#REF!</v>
      </c>
      <c r="B295" s="389" t="e">
        <f>'A-G'!#REF!</f>
        <v>#REF!</v>
      </c>
      <c r="C295" s="392" t="e">
        <f>'A-G'!#REF!</f>
        <v>#REF!</v>
      </c>
      <c r="D295" s="389" t="e">
        <f>#REF!</f>
        <v>#REF!</v>
      </c>
      <c r="G295" s="93"/>
      <c r="H295" s="96"/>
      <c r="I295" s="93"/>
      <c r="J295" s="93"/>
      <c r="K295" s="93"/>
      <c r="L295" s="93"/>
      <c r="M295" s="93"/>
      <c r="O295" s="2"/>
      <c r="P295" s="2"/>
      <c r="Q295" s="2"/>
      <c r="R295" s="2"/>
      <c r="S295" s="2"/>
      <c r="T295" s="2"/>
      <c r="U295" s="2"/>
    </row>
    <row r="296" spans="1:21" x14ac:dyDescent="0.2">
      <c r="A296" s="34" t="e">
        <f t="shared" si="13"/>
        <v>#REF!</v>
      </c>
      <c r="B296" s="389" t="e">
        <f>'A-G'!#REF!</f>
        <v>#REF!</v>
      </c>
      <c r="C296" s="392" t="e">
        <f>'A-G'!#REF!</f>
        <v>#REF!</v>
      </c>
      <c r="D296" s="389" t="e">
        <f>#REF!</f>
        <v>#REF!</v>
      </c>
      <c r="G296" s="93"/>
      <c r="H296" s="96"/>
      <c r="I296" s="93"/>
      <c r="J296" s="93"/>
      <c r="K296" s="93"/>
      <c r="L296" s="93"/>
      <c r="M296" s="93"/>
      <c r="O296" s="2"/>
      <c r="P296" s="2"/>
      <c r="Q296" s="2"/>
      <c r="R296" s="2"/>
      <c r="S296" s="2"/>
      <c r="T296" s="2"/>
      <c r="U296" s="2"/>
    </row>
    <row r="297" spans="1:21" x14ac:dyDescent="0.2">
      <c r="A297" s="34" t="e">
        <f t="shared" si="13"/>
        <v>#REF!</v>
      </c>
      <c r="B297" s="389" t="e">
        <f>'A-G'!#REF!</f>
        <v>#REF!</v>
      </c>
      <c r="C297" s="392" t="e">
        <f>'A-G'!#REF!</f>
        <v>#REF!</v>
      </c>
      <c r="D297" s="389" t="e">
        <f>#REF!</f>
        <v>#REF!</v>
      </c>
      <c r="G297" s="93"/>
      <c r="H297" s="96"/>
      <c r="I297" s="93"/>
      <c r="J297" s="93"/>
      <c r="K297" s="93"/>
      <c r="L297" s="93"/>
      <c r="M297" s="93"/>
      <c r="O297" s="2"/>
      <c r="P297" s="2"/>
      <c r="Q297" s="2"/>
      <c r="R297" s="2"/>
      <c r="S297" s="2"/>
      <c r="T297" s="2"/>
      <c r="U297" s="2"/>
    </row>
    <row r="298" spans="1:21" x14ac:dyDescent="0.2">
      <c r="A298" s="34" t="e">
        <f t="shared" si="13"/>
        <v>#REF!</v>
      </c>
      <c r="B298" s="389" t="e">
        <f>'A-G'!#REF!</f>
        <v>#REF!</v>
      </c>
      <c r="C298" s="392" t="e">
        <f>'A-G'!#REF!</f>
        <v>#REF!</v>
      </c>
      <c r="D298" s="389" t="e">
        <f>#REF!</f>
        <v>#REF!</v>
      </c>
      <c r="G298" s="93"/>
      <c r="H298" s="96"/>
      <c r="I298" s="93"/>
      <c r="J298" s="93"/>
      <c r="K298" s="93"/>
      <c r="L298" s="93"/>
      <c r="M298" s="93"/>
      <c r="O298" s="2"/>
      <c r="P298" s="2"/>
      <c r="Q298" s="2"/>
      <c r="R298" s="2"/>
      <c r="S298" s="2"/>
      <c r="T298" s="2"/>
      <c r="U298" s="2"/>
    </row>
    <row r="299" spans="1:21" x14ac:dyDescent="0.2">
      <c r="A299" s="34" t="e">
        <f t="shared" si="13"/>
        <v>#REF!</v>
      </c>
      <c r="B299" s="389" t="e">
        <f>'A-G'!#REF!</f>
        <v>#REF!</v>
      </c>
      <c r="C299" s="392" t="e">
        <f>'A-G'!#REF!</f>
        <v>#REF!</v>
      </c>
      <c r="D299" s="389" t="e">
        <f>#REF!</f>
        <v>#REF!</v>
      </c>
      <c r="G299" s="93"/>
      <c r="H299" s="96"/>
      <c r="I299" s="93"/>
      <c r="J299" s="93"/>
      <c r="K299" s="93"/>
      <c r="L299" s="93"/>
      <c r="M299" s="93"/>
      <c r="O299" s="2"/>
      <c r="P299" s="2"/>
      <c r="Q299" s="2"/>
      <c r="R299" s="2"/>
      <c r="S299" s="2"/>
      <c r="T299" s="2"/>
      <c r="U299" s="2"/>
    </row>
    <row r="300" spans="1:21" x14ac:dyDescent="0.2">
      <c r="A300" s="34" t="e">
        <f t="shared" si="13"/>
        <v>#REF!</v>
      </c>
      <c r="B300" s="389" t="e">
        <f>'A-G'!#REF!</f>
        <v>#REF!</v>
      </c>
      <c r="C300" s="392" t="e">
        <f>'A-G'!#REF!</f>
        <v>#REF!</v>
      </c>
      <c r="D300" s="389" t="e">
        <f>#REF!</f>
        <v>#REF!</v>
      </c>
      <c r="G300" s="93"/>
      <c r="H300" s="96"/>
      <c r="I300" s="93"/>
      <c r="J300" s="93"/>
      <c r="K300" s="93"/>
      <c r="L300" s="93"/>
      <c r="M300" s="93"/>
      <c r="O300" s="2"/>
      <c r="P300" s="2"/>
      <c r="Q300" s="2"/>
      <c r="R300" s="2"/>
      <c r="S300" s="2"/>
      <c r="T300" s="2"/>
      <c r="U300" s="2"/>
    </row>
    <row r="301" spans="1:21" x14ac:dyDescent="0.2">
      <c r="A301" s="34" t="e">
        <f t="shared" si="13"/>
        <v>#REF!</v>
      </c>
      <c r="B301" s="389" t="e">
        <f>'A-G'!#REF!</f>
        <v>#REF!</v>
      </c>
      <c r="C301" s="392" t="e">
        <f>'A-G'!#REF!</f>
        <v>#REF!</v>
      </c>
      <c r="D301" s="389" t="e">
        <f>#REF!</f>
        <v>#REF!</v>
      </c>
      <c r="G301" s="93"/>
      <c r="H301" s="96"/>
      <c r="I301" s="93"/>
      <c r="J301" s="93"/>
      <c r="K301" s="93"/>
      <c r="L301" s="93"/>
      <c r="M301" s="93"/>
      <c r="O301" s="2"/>
      <c r="P301" s="2"/>
      <c r="Q301" s="2"/>
      <c r="R301" s="2"/>
      <c r="S301" s="2"/>
      <c r="T301" s="2"/>
      <c r="U301" s="2"/>
    </row>
    <row r="302" spans="1:21" x14ac:dyDescent="0.2">
      <c r="A302" s="34" t="e">
        <f t="shared" si="13"/>
        <v>#REF!</v>
      </c>
      <c r="B302" s="389" t="e">
        <f>'A-G'!#REF!</f>
        <v>#REF!</v>
      </c>
      <c r="C302" s="392" t="e">
        <f>'A-G'!#REF!</f>
        <v>#REF!</v>
      </c>
      <c r="D302" s="389" t="e">
        <f>#REF!</f>
        <v>#REF!</v>
      </c>
      <c r="G302" s="93"/>
      <c r="H302" s="96"/>
      <c r="I302" s="93"/>
      <c r="J302" s="93"/>
      <c r="K302" s="93"/>
      <c r="L302" s="93"/>
      <c r="M302" s="93"/>
      <c r="O302" s="2"/>
      <c r="P302" s="2"/>
      <c r="Q302" s="2"/>
      <c r="R302" s="2"/>
      <c r="S302" s="2"/>
      <c r="T302" s="2"/>
      <c r="U302" s="2"/>
    </row>
    <row r="303" spans="1:21" x14ac:dyDescent="0.2">
      <c r="A303" s="34" t="e">
        <f t="shared" si="13"/>
        <v>#REF!</v>
      </c>
      <c r="B303" s="389" t="e">
        <f>'A-G'!#REF!</f>
        <v>#REF!</v>
      </c>
      <c r="C303" s="392" t="e">
        <f>'A-G'!#REF!</f>
        <v>#REF!</v>
      </c>
      <c r="D303" s="389" t="e">
        <f>#REF!</f>
        <v>#REF!</v>
      </c>
      <c r="G303" s="93"/>
      <c r="H303" s="96"/>
      <c r="I303" s="93"/>
      <c r="J303" s="93"/>
      <c r="K303" s="93"/>
      <c r="L303" s="93"/>
      <c r="M303" s="93"/>
      <c r="O303" s="2"/>
      <c r="P303" s="2"/>
      <c r="Q303" s="2"/>
      <c r="R303" s="2"/>
      <c r="S303" s="2"/>
      <c r="T303" s="2"/>
      <c r="U303" s="2"/>
    </row>
    <row r="304" spans="1:21" x14ac:dyDescent="0.2">
      <c r="A304" s="35" t="e">
        <f t="shared" si="13"/>
        <v>#REF!</v>
      </c>
      <c r="B304" s="389" t="e">
        <f>'A-G'!#REF!</f>
        <v>#REF!</v>
      </c>
      <c r="C304" s="409" t="e">
        <f>'A-G'!#REF!</f>
        <v>#REF!</v>
      </c>
      <c r="D304" s="389" t="e">
        <f>#REF!</f>
        <v>#REF!</v>
      </c>
      <c r="G304" s="93"/>
      <c r="H304" s="96"/>
      <c r="I304" s="93"/>
      <c r="J304" s="93"/>
      <c r="K304" s="93"/>
      <c r="L304" s="93"/>
      <c r="M304" s="93"/>
      <c r="O304" s="2"/>
      <c r="P304" s="2"/>
      <c r="Q304" s="2"/>
      <c r="R304" s="2"/>
      <c r="S304" s="2"/>
      <c r="T304" s="2"/>
      <c r="U304" s="2"/>
    </row>
    <row r="305" spans="1:21" x14ac:dyDescent="0.2">
      <c r="A305" s="37" t="e">
        <f t="shared" si="13"/>
        <v>#REF!</v>
      </c>
      <c r="B305" s="292"/>
      <c r="C305" s="329"/>
      <c r="D305" s="329"/>
      <c r="G305" s="93"/>
      <c r="H305" s="96"/>
      <c r="I305" s="93"/>
      <c r="J305" s="93"/>
      <c r="K305" s="93"/>
      <c r="L305" s="93"/>
      <c r="M305" s="93"/>
      <c r="O305" s="2"/>
      <c r="P305" s="2"/>
      <c r="Q305" s="2"/>
      <c r="R305" s="2"/>
      <c r="S305" s="2"/>
      <c r="T305" s="2"/>
      <c r="U305" s="2"/>
    </row>
    <row r="306" spans="1:21" x14ac:dyDescent="0.2">
      <c r="A306" s="41"/>
      <c r="B306" s="42"/>
      <c r="C306" s="90"/>
      <c r="D306" s="42"/>
      <c r="E306" s="42"/>
      <c r="F306" s="42"/>
      <c r="G306" s="2"/>
      <c r="H306" s="2"/>
      <c r="J306" s="93"/>
      <c r="K306" s="96"/>
      <c r="L306" s="93"/>
      <c r="M306" s="93"/>
      <c r="N306" s="93"/>
      <c r="P306" s="93"/>
      <c r="Q306" s="2"/>
      <c r="R306" s="2"/>
      <c r="S306" s="2"/>
      <c r="T306" s="2"/>
      <c r="U306" s="2"/>
    </row>
    <row r="307" spans="1:21" x14ac:dyDescent="0.2">
      <c r="A307" s="211"/>
      <c r="B307" s="212" t="s">
        <v>273</v>
      </c>
      <c r="C307" s="25" t="s">
        <v>27</v>
      </c>
      <c r="D307" s="25" t="s">
        <v>32</v>
      </c>
      <c r="G307" s="2"/>
      <c r="H307" s="93"/>
      <c r="I307" s="96"/>
      <c r="J307" s="93"/>
      <c r="K307" s="93"/>
      <c r="L307" s="93"/>
      <c r="M307" s="93"/>
      <c r="N307" s="93"/>
      <c r="O307" s="2"/>
      <c r="P307" s="2"/>
      <c r="Q307" s="2"/>
      <c r="R307" s="2"/>
      <c r="S307" s="2"/>
      <c r="T307" s="2"/>
      <c r="U307" s="2"/>
    </row>
    <row r="308" spans="1:21" x14ac:dyDescent="0.2">
      <c r="A308" s="14"/>
      <c r="B308" s="29"/>
      <c r="C308" s="42"/>
      <c r="D308" s="161"/>
      <c r="E308" s="90"/>
      <c r="F308" s="90"/>
      <c r="G308" s="29"/>
      <c r="H308" s="42"/>
      <c r="I308" s="161"/>
      <c r="J308" s="2"/>
      <c r="M308" s="93"/>
      <c r="N308" s="96"/>
      <c r="P308" s="93"/>
      <c r="T308" s="2"/>
      <c r="U308" s="2"/>
    </row>
    <row r="309" spans="1:21" x14ac:dyDescent="0.2">
      <c r="A309" s="41" t="s">
        <v>26</v>
      </c>
      <c r="B309" s="163"/>
      <c r="C309" s="42"/>
      <c r="D309" s="42"/>
      <c r="E309" s="90"/>
      <c r="F309" s="90"/>
      <c r="G309" s="163"/>
      <c r="H309" s="42"/>
      <c r="I309" s="42"/>
      <c r="J309" s="2"/>
      <c r="M309" s="93"/>
      <c r="N309" s="96"/>
      <c r="P309" s="93"/>
      <c r="T309" s="2"/>
      <c r="U309" s="2"/>
    </row>
    <row r="310" spans="1:21" x14ac:dyDescent="0.2">
      <c r="A310" s="262" t="e">
        <f>A305+1</f>
        <v>#REF!</v>
      </c>
      <c r="B310" s="270">
        <f>'A-G'!F77</f>
        <v>9.5</v>
      </c>
      <c r="C310" s="367"/>
      <c r="D310" s="5"/>
      <c r="E310" s="31" t="e">
        <f>A315+1</f>
        <v>#REF!</v>
      </c>
      <c r="F310" s="270">
        <f>'A-G'!F83</f>
        <v>3.5</v>
      </c>
      <c r="G310" s="2"/>
      <c r="H310" s="2"/>
      <c r="J310" s="93"/>
      <c r="K310" s="96"/>
      <c r="L310" s="93"/>
      <c r="M310" s="93"/>
      <c r="N310" s="93"/>
      <c r="P310" s="93"/>
      <c r="Q310" s="2"/>
      <c r="R310" s="2"/>
      <c r="S310" s="2"/>
      <c r="T310" s="2"/>
      <c r="U310" s="2"/>
    </row>
    <row r="311" spans="1:21" x14ac:dyDescent="0.2">
      <c r="A311" s="34" t="e">
        <f>A310+1</f>
        <v>#REF!</v>
      </c>
      <c r="B311" s="270">
        <f>'A-G'!F78</f>
        <v>8.5</v>
      </c>
      <c r="C311" s="367"/>
      <c r="D311" s="5"/>
      <c r="E311" s="34" t="e">
        <f>E310+1</f>
        <v>#REF!</v>
      </c>
      <c r="F311" s="270">
        <f>'A-G'!F85</f>
        <v>1.5</v>
      </c>
      <c r="G311" s="2"/>
      <c r="H311" s="2"/>
      <c r="J311" s="93"/>
      <c r="K311" s="96"/>
      <c r="L311" s="93"/>
      <c r="M311" s="93"/>
      <c r="N311" s="93"/>
      <c r="P311" s="93"/>
      <c r="Q311" s="2"/>
      <c r="R311" s="2"/>
      <c r="S311" s="2"/>
      <c r="T311" s="2"/>
      <c r="U311" s="2"/>
    </row>
    <row r="312" spans="1:21" x14ac:dyDescent="0.2">
      <c r="A312" s="34" t="e">
        <f>A311+1</f>
        <v>#REF!</v>
      </c>
      <c r="B312" s="270">
        <f>'A-G'!F79</f>
        <v>7.5</v>
      </c>
      <c r="C312" s="367"/>
      <c r="D312" s="5"/>
      <c r="E312" s="34" t="e">
        <f>E311+1</f>
        <v>#REF!</v>
      </c>
      <c r="F312" s="270" t="e">
        <f>'A-G'!#REF!</f>
        <v>#REF!</v>
      </c>
      <c r="G312" s="2"/>
      <c r="H312" s="2"/>
      <c r="J312" s="93"/>
      <c r="K312" s="96"/>
      <c r="L312" s="93"/>
      <c r="M312" s="93"/>
      <c r="N312" s="93"/>
      <c r="P312" s="93"/>
      <c r="Q312" s="2"/>
      <c r="R312" s="2"/>
      <c r="S312" s="2"/>
      <c r="T312" s="2"/>
      <c r="U312" s="2"/>
    </row>
    <row r="313" spans="1:21" x14ac:dyDescent="0.2">
      <c r="A313" s="34" t="e">
        <f>A312+1</f>
        <v>#REF!</v>
      </c>
      <c r="B313" s="270">
        <f>'A-G'!F80</f>
        <v>6.5</v>
      </c>
      <c r="C313" s="367"/>
      <c r="D313" s="5"/>
      <c r="E313" s="34" t="e">
        <f>E312+1</f>
        <v>#REF!</v>
      </c>
      <c r="F313" s="270" t="e">
        <f>'A-G'!#REF!</f>
        <v>#REF!</v>
      </c>
      <c r="G313" s="2"/>
      <c r="H313" s="2"/>
      <c r="J313" s="93"/>
      <c r="K313" s="96"/>
      <c r="L313" s="93"/>
      <c r="M313" s="93"/>
      <c r="N313" s="93"/>
      <c r="P313" s="93"/>
      <c r="Q313" s="2"/>
      <c r="R313" s="2"/>
      <c r="S313" s="2"/>
      <c r="T313" s="2"/>
      <c r="U313" s="2"/>
    </row>
    <row r="314" spans="1:21" x14ac:dyDescent="0.2">
      <c r="A314" s="54" t="e">
        <f>A312+1</f>
        <v>#REF!</v>
      </c>
      <c r="B314" s="270">
        <f>'A-G'!F81</f>
        <v>5.5</v>
      </c>
      <c r="C314" s="367"/>
      <c r="D314" s="5"/>
      <c r="E314" s="34" t="e">
        <f>E313+1</f>
        <v>#REF!</v>
      </c>
      <c r="F314" s="270">
        <f>'A-G'!F86</f>
        <v>0.5</v>
      </c>
      <c r="G314" s="2"/>
      <c r="H314" s="2"/>
      <c r="J314" s="93"/>
      <c r="K314" s="96"/>
      <c r="L314" s="93"/>
      <c r="M314" s="93"/>
      <c r="N314" s="93"/>
      <c r="P314" s="93"/>
      <c r="Q314" s="2"/>
      <c r="R314" s="2"/>
      <c r="S314" s="2"/>
      <c r="T314" s="2"/>
      <c r="U314" s="2"/>
    </row>
    <row r="315" spans="1:21" x14ac:dyDescent="0.2">
      <c r="A315" s="54" t="e">
        <f>A313+1</f>
        <v>#REF!</v>
      </c>
      <c r="B315" s="270">
        <f>'A-G'!F82</f>
        <v>4.5</v>
      </c>
      <c r="C315" s="367"/>
      <c r="D315" s="5"/>
      <c r="E315" s="37" t="e">
        <f>E314+1</f>
        <v>#REF!</v>
      </c>
      <c r="F315" s="344"/>
      <c r="G315" s="2"/>
      <c r="H315" s="2"/>
      <c r="J315" s="93"/>
      <c r="K315" s="96"/>
      <c r="L315" s="93"/>
      <c r="M315" s="93"/>
      <c r="N315" s="93"/>
      <c r="P315" s="93"/>
      <c r="Q315" s="2"/>
      <c r="R315" s="2"/>
      <c r="S315" s="2"/>
      <c r="T315" s="2"/>
      <c r="U315" s="2"/>
    </row>
    <row r="316" spans="1:21" x14ac:dyDescent="0.2">
      <c r="A316" s="162" t="e">
        <f>CONCATENATE("* zie onderbouwing regel 40 laatste rekenstaat ",#REF!,)</f>
        <v>#REF!</v>
      </c>
      <c r="B316" s="132"/>
      <c r="C316" s="328"/>
      <c r="D316" s="345"/>
      <c r="E316" s="328"/>
      <c r="F316" s="5"/>
      <c r="G316" s="165"/>
      <c r="H316" s="87"/>
      <c r="I316" s="87"/>
      <c r="J316" s="87"/>
      <c r="K316" s="87"/>
    </row>
    <row r="317" spans="1:21" x14ac:dyDescent="0.2">
      <c r="A317" s="166"/>
      <c r="B317" s="163"/>
      <c r="C317" s="163"/>
      <c r="D317" s="163"/>
      <c r="E317" s="164"/>
      <c r="F317" s="165"/>
      <c r="G317" s="165"/>
      <c r="H317" s="119"/>
      <c r="I317" s="119"/>
      <c r="J317" s="2"/>
    </row>
    <row r="318" spans="1:21" x14ac:dyDescent="0.2">
      <c r="A318" s="41" t="s">
        <v>28</v>
      </c>
      <c r="B318" s="27" t="s">
        <v>31</v>
      </c>
      <c r="D318" s="2"/>
      <c r="G318" s="2"/>
      <c r="H318" s="93"/>
      <c r="I318" s="96"/>
      <c r="J318" s="93"/>
      <c r="K318" s="93"/>
      <c r="L318" s="93"/>
      <c r="M318" s="93"/>
      <c r="N318" s="93"/>
      <c r="O318" s="2"/>
      <c r="P318" s="2"/>
      <c r="Q318" s="2"/>
      <c r="R318" s="2"/>
      <c r="S318" s="2"/>
      <c r="T318" s="2"/>
      <c r="U318" s="2"/>
    </row>
    <row r="319" spans="1:21" x14ac:dyDescent="0.2">
      <c r="A319" s="37" t="e">
        <f>Uitvoer!E315+1</f>
        <v>#REF!</v>
      </c>
      <c r="B319" s="134"/>
      <c r="C319" s="190"/>
      <c r="D319" s="410">
        <f>Uitvoer!F170</f>
        <v>0</v>
      </c>
      <c r="G319" s="2"/>
      <c r="H319" s="93"/>
      <c r="I319" s="96"/>
      <c r="J319" s="93"/>
      <c r="K319" s="93"/>
      <c r="L319" s="93"/>
      <c r="M319" s="93"/>
      <c r="N319" s="93"/>
      <c r="O319" s="2"/>
      <c r="P319" s="2"/>
      <c r="Q319" s="2"/>
      <c r="R319" s="2"/>
      <c r="S319" s="2"/>
      <c r="T319" s="2"/>
      <c r="U319" s="2"/>
    </row>
    <row r="320" spans="1:21" x14ac:dyDescent="0.2">
      <c r="A320" s="37" t="e">
        <f>A319+1</f>
        <v>#REF!</v>
      </c>
      <c r="B320" s="191"/>
      <c r="C320" s="192"/>
      <c r="D320" s="295">
        <v>1138502</v>
      </c>
      <c r="G320" s="2"/>
      <c r="H320" s="93"/>
      <c r="I320" s="96"/>
      <c r="J320" s="93"/>
      <c r="K320" s="93"/>
      <c r="L320" s="93"/>
      <c r="M320" s="93"/>
      <c r="N320" s="93"/>
      <c r="O320" s="2"/>
      <c r="P320" s="2"/>
      <c r="Q320" s="2"/>
      <c r="R320" s="2"/>
      <c r="S320" s="2"/>
      <c r="T320" s="2"/>
      <c r="U320" s="2"/>
    </row>
    <row r="321" spans="1:21" x14ac:dyDescent="0.2">
      <c r="A321" s="37" t="e">
        <f>A320+1</f>
        <v>#REF!</v>
      </c>
      <c r="B321" s="193"/>
      <c r="C321" s="194"/>
      <c r="D321" s="195"/>
      <c r="G321" s="2"/>
      <c r="H321" s="93"/>
      <c r="I321" s="96"/>
      <c r="J321" s="93"/>
      <c r="K321" s="93"/>
      <c r="L321" s="93"/>
      <c r="M321" s="93"/>
      <c r="N321" s="93"/>
      <c r="O321" s="2"/>
      <c r="P321" s="2"/>
      <c r="Q321" s="2"/>
      <c r="R321" s="2"/>
      <c r="S321" s="2"/>
      <c r="T321" s="2"/>
      <c r="U321" s="2"/>
    </row>
    <row r="322" spans="1:21" x14ac:dyDescent="0.2">
      <c r="C322" s="5"/>
      <c r="D322" s="2"/>
      <c r="G322" s="2"/>
      <c r="H322" s="2"/>
      <c r="J322" s="2"/>
    </row>
    <row r="323" spans="1:21" x14ac:dyDescent="0.2">
      <c r="A323" s="213"/>
      <c r="B323" s="213"/>
      <c r="C323" s="214" t="s">
        <v>282</v>
      </c>
      <c r="D323" s="215" t="s">
        <v>291</v>
      </c>
      <c r="E323" s="215" t="s">
        <v>292</v>
      </c>
      <c r="F323" s="215" t="s">
        <v>275</v>
      </c>
      <c r="G323" s="411" t="e">
        <f>CONCATENATE("Aflossing ",#REF!)</f>
        <v>#REF!</v>
      </c>
      <c r="H323" s="302"/>
      <c r="I323" s="302"/>
      <c r="J323" s="302"/>
      <c r="K323" s="302"/>
      <c r="L323" s="302"/>
      <c r="M323" s="302"/>
      <c r="N323" s="303"/>
      <c r="O323" s="198" t="s">
        <v>73</v>
      </c>
      <c r="P323" s="93"/>
      <c r="T323" s="2"/>
      <c r="U323" s="2"/>
    </row>
    <row r="324" spans="1:21" x14ac:dyDescent="0.2">
      <c r="A324" s="216"/>
      <c r="B324" s="216"/>
      <c r="C324" s="217"/>
      <c r="D324" s="217"/>
      <c r="E324" s="217"/>
      <c r="F324" s="218" t="e">
        <f>CONCATENATE("31-12-",#REF!-1," ")</f>
        <v>#REF!</v>
      </c>
      <c r="G324" s="219" t="s">
        <v>293</v>
      </c>
      <c r="H324" s="220" t="s">
        <v>288</v>
      </c>
      <c r="I324" s="411" t="s">
        <v>289</v>
      </c>
      <c r="J324" s="412"/>
      <c r="K324" s="412"/>
      <c r="L324" s="412"/>
      <c r="M324" s="412"/>
      <c r="N324" s="413"/>
      <c r="O324" s="109" t="s">
        <v>74</v>
      </c>
      <c r="P324" s="93"/>
      <c r="Q324" s="2"/>
      <c r="R324" s="2"/>
      <c r="S324" s="2"/>
      <c r="T324" s="2"/>
      <c r="U324" s="2"/>
    </row>
    <row r="325" spans="1:21" x14ac:dyDescent="0.2">
      <c r="A325" s="169"/>
      <c r="B325" s="169"/>
      <c r="C325" s="92"/>
      <c r="D325" s="92"/>
      <c r="E325" s="92"/>
      <c r="F325" s="92"/>
      <c r="G325" s="92"/>
      <c r="H325" s="92"/>
      <c r="I325" s="92"/>
      <c r="J325" s="91"/>
      <c r="K325" s="92"/>
      <c r="L325" s="92"/>
      <c r="M325" s="92"/>
      <c r="N325" s="92"/>
      <c r="O325" s="92"/>
      <c r="P325" s="93"/>
      <c r="Q325" s="2"/>
      <c r="R325" s="2"/>
      <c r="S325" s="2"/>
      <c r="T325" s="2"/>
      <c r="U325" s="2"/>
    </row>
    <row r="326" spans="1:21" x14ac:dyDescent="0.2">
      <c r="A326" s="41" t="s">
        <v>34</v>
      </c>
      <c r="B326" s="167"/>
      <c r="C326" s="168"/>
      <c r="D326" s="168"/>
      <c r="E326" s="168"/>
      <c r="F326" s="168"/>
      <c r="G326" s="168"/>
      <c r="H326" s="168"/>
      <c r="I326" s="168"/>
      <c r="J326" s="168"/>
      <c r="K326" s="168"/>
      <c r="L326" s="168"/>
      <c r="M326" s="168"/>
      <c r="N326" s="42"/>
      <c r="P326" s="2"/>
      <c r="Q326" s="2"/>
      <c r="R326" s="2"/>
      <c r="S326" s="2"/>
      <c r="T326" s="2"/>
      <c r="U326" s="2"/>
    </row>
    <row r="327" spans="1:21" x14ac:dyDescent="0.2">
      <c r="A327" s="31" t="e">
        <f>H!#REF!</f>
        <v>#REF!</v>
      </c>
      <c r="B327" s="414" t="e">
        <f>H!#REF!</f>
        <v>#REF!</v>
      </c>
      <c r="C327" s="136" t="e">
        <f>H!#REF!</f>
        <v>#REF!</v>
      </c>
      <c r="D327" s="415" t="e">
        <f>H!#REF!</f>
        <v>#REF!</v>
      </c>
      <c r="E327" s="270" t="e">
        <f>H!#REF!</f>
        <v>#REF!</v>
      </c>
      <c r="F327" s="270" t="e">
        <f>H!#REF!</f>
        <v>#REF!</v>
      </c>
      <c r="G327" s="270" t="e">
        <f>H!#REF!</f>
        <v>#REF!</v>
      </c>
      <c r="H327" s="266" t="e">
        <f>H!#REF!</f>
        <v>#REF!</v>
      </c>
      <c r="I327" s="266" t="e">
        <f>H!#REF!</f>
        <v>#REF!</v>
      </c>
      <c r="J327" s="266" t="e">
        <f>H!#REF!</f>
        <v>#REF!</v>
      </c>
      <c r="K327" s="266" t="e">
        <f>H!#REF!</f>
        <v>#REF!</v>
      </c>
      <c r="L327" s="266" t="e">
        <f>H!#REF!</f>
        <v>#REF!</v>
      </c>
      <c r="M327" s="266" t="e">
        <f>H!#REF!</f>
        <v>#REF!</v>
      </c>
      <c r="N327" s="266" t="e">
        <f>H!#REF!</f>
        <v>#REF!</v>
      </c>
      <c r="O327" s="270" t="e">
        <f>H!#REF!</f>
        <v>#REF!</v>
      </c>
      <c r="P327" s="93"/>
      <c r="Q327" s="2"/>
      <c r="R327" s="2"/>
      <c r="S327" s="2"/>
      <c r="T327" s="2"/>
      <c r="U327" s="2"/>
    </row>
    <row r="328" spans="1:21" x14ac:dyDescent="0.2">
      <c r="A328" s="31" t="e">
        <f t="shared" ref="A328:A350" si="14">A327+1</f>
        <v>#REF!</v>
      </c>
      <c r="B328" s="414" t="e">
        <f>H!#REF!</f>
        <v>#REF!</v>
      </c>
      <c r="C328" s="136" t="e">
        <f>H!#REF!</f>
        <v>#REF!</v>
      </c>
      <c r="D328" s="415" t="e">
        <f>H!#REF!</f>
        <v>#REF!</v>
      </c>
      <c r="E328" s="270" t="e">
        <f>H!#REF!</f>
        <v>#REF!</v>
      </c>
      <c r="F328" s="270" t="e">
        <f>H!#REF!</f>
        <v>#REF!</v>
      </c>
      <c r="G328" s="270" t="e">
        <f>H!#REF!</f>
        <v>#REF!</v>
      </c>
      <c r="H328" s="266" t="e">
        <f>H!#REF!</f>
        <v>#REF!</v>
      </c>
      <c r="I328" s="266" t="e">
        <f>H!#REF!</f>
        <v>#REF!</v>
      </c>
      <c r="J328" s="266" t="e">
        <f>H!#REF!</f>
        <v>#REF!</v>
      </c>
      <c r="K328" s="266" t="e">
        <f>H!#REF!</f>
        <v>#REF!</v>
      </c>
      <c r="L328" s="266" t="e">
        <f>H!#REF!</f>
        <v>#REF!</v>
      </c>
      <c r="M328" s="266" t="e">
        <f>H!#REF!</f>
        <v>#REF!</v>
      </c>
      <c r="N328" s="266" t="e">
        <f>H!#REF!</f>
        <v>#REF!</v>
      </c>
      <c r="O328" s="270" t="e">
        <f>H!#REF!</f>
        <v>#REF!</v>
      </c>
      <c r="P328" s="93"/>
      <c r="Q328" s="2"/>
      <c r="R328" s="2"/>
      <c r="S328" s="2"/>
      <c r="T328" s="2"/>
      <c r="U328" s="2"/>
    </row>
    <row r="329" spans="1:21" x14ac:dyDescent="0.2">
      <c r="A329" s="31" t="e">
        <f t="shared" si="14"/>
        <v>#REF!</v>
      </c>
      <c r="B329" s="414" t="e">
        <f>H!#REF!</f>
        <v>#REF!</v>
      </c>
      <c r="C329" s="136" t="e">
        <f>H!#REF!</f>
        <v>#REF!</v>
      </c>
      <c r="D329" s="415" t="e">
        <f>H!#REF!</f>
        <v>#REF!</v>
      </c>
      <c r="E329" s="270" t="e">
        <f>H!#REF!</f>
        <v>#REF!</v>
      </c>
      <c r="F329" s="270" t="e">
        <f>H!#REF!</f>
        <v>#REF!</v>
      </c>
      <c r="G329" s="270" t="e">
        <f>H!#REF!</f>
        <v>#REF!</v>
      </c>
      <c r="H329" s="266" t="e">
        <f>H!#REF!</f>
        <v>#REF!</v>
      </c>
      <c r="I329" s="266" t="e">
        <f>H!#REF!</f>
        <v>#REF!</v>
      </c>
      <c r="J329" s="266" t="e">
        <f>H!#REF!</f>
        <v>#REF!</v>
      </c>
      <c r="K329" s="266" t="e">
        <f>H!#REF!</f>
        <v>#REF!</v>
      </c>
      <c r="L329" s="266" t="e">
        <f>H!#REF!</f>
        <v>#REF!</v>
      </c>
      <c r="M329" s="266" t="e">
        <f>H!#REF!</f>
        <v>#REF!</v>
      </c>
      <c r="N329" s="266" t="e">
        <f>H!#REF!</f>
        <v>#REF!</v>
      </c>
      <c r="O329" s="270" t="e">
        <f>H!#REF!</f>
        <v>#REF!</v>
      </c>
      <c r="P329" s="93"/>
      <c r="Q329" s="2"/>
      <c r="R329" s="2"/>
      <c r="S329" s="2"/>
      <c r="T329" s="2"/>
      <c r="U329" s="2"/>
    </row>
    <row r="330" spans="1:21" x14ac:dyDescent="0.2">
      <c r="A330" s="31" t="e">
        <f t="shared" si="14"/>
        <v>#REF!</v>
      </c>
      <c r="B330" s="414" t="e">
        <f>H!#REF!</f>
        <v>#REF!</v>
      </c>
      <c r="C330" s="136" t="e">
        <f>H!#REF!</f>
        <v>#REF!</v>
      </c>
      <c r="D330" s="415" t="e">
        <f>H!#REF!</f>
        <v>#REF!</v>
      </c>
      <c r="E330" s="270" t="e">
        <f>H!#REF!</f>
        <v>#REF!</v>
      </c>
      <c r="F330" s="270" t="e">
        <f>H!#REF!</f>
        <v>#REF!</v>
      </c>
      <c r="G330" s="270" t="e">
        <f>H!#REF!</f>
        <v>#REF!</v>
      </c>
      <c r="H330" s="266" t="e">
        <f>H!#REF!</f>
        <v>#REF!</v>
      </c>
      <c r="I330" s="266" t="e">
        <f>H!#REF!</f>
        <v>#REF!</v>
      </c>
      <c r="J330" s="266" t="e">
        <f>H!#REF!</f>
        <v>#REF!</v>
      </c>
      <c r="K330" s="266" t="e">
        <f>H!#REF!</f>
        <v>#REF!</v>
      </c>
      <c r="L330" s="266" t="e">
        <f>H!#REF!</f>
        <v>#REF!</v>
      </c>
      <c r="M330" s="266" t="e">
        <f>H!#REF!</f>
        <v>#REF!</v>
      </c>
      <c r="N330" s="266" t="e">
        <f>H!#REF!</f>
        <v>#REF!</v>
      </c>
      <c r="O330" s="270" t="e">
        <f>H!#REF!</f>
        <v>#REF!</v>
      </c>
      <c r="P330" s="93"/>
      <c r="Q330" s="2"/>
      <c r="R330" s="2"/>
      <c r="S330" s="2"/>
      <c r="T330" s="2"/>
      <c r="U330" s="2"/>
    </row>
    <row r="331" spans="1:21" x14ac:dyDescent="0.2">
      <c r="A331" s="31" t="e">
        <f t="shared" si="14"/>
        <v>#REF!</v>
      </c>
      <c r="B331" s="414" t="e">
        <f>H!#REF!</f>
        <v>#REF!</v>
      </c>
      <c r="C331" s="136" t="e">
        <f>H!#REF!</f>
        <v>#REF!</v>
      </c>
      <c r="D331" s="415" t="e">
        <f>H!#REF!</f>
        <v>#REF!</v>
      </c>
      <c r="E331" s="270" t="e">
        <f>H!#REF!</f>
        <v>#REF!</v>
      </c>
      <c r="F331" s="270" t="e">
        <f>H!#REF!</f>
        <v>#REF!</v>
      </c>
      <c r="G331" s="270" t="e">
        <f>H!#REF!</f>
        <v>#REF!</v>
      </c>
      <c r="H331" s="266" t="e">
        <f>H!#REF!</f>
        <v>#REF!</v>
      </c>
      <c r="I331" s="266" t="e">
        <f>H!#REF!</f>
        <v>#REF!</v>
      </c>
      <c r="J331" s="266" t="e">
        <f>H!#REF!</f>
        <v>#REF!</v>
      </c>
      <c r="K331" s="266" t="e">
        <f>H!#REF!</f>
        <v>#REF!</v>
      </c>
      <c r="L331" s="266" t="e">
        <f>H!#REF!</f>
        <v>#REF!</v>
      </c>
      <c r="M331" s="266" t="e">
        <f>H!#REF!</f>
        <v>#REF!</v>
      </c>
      <c r="N331" s="266" t="e">
        <f>H!#REF!</f>
        <v>#REF!</v>
      </c>
      <c r="O331" s="270" t="e">
        <f>H!#REF!</f>
        <v>#REF!</v>
      </c>
      <c r="P331" s="93"/>
      <c r="Q331" s="2"/>
      <c r="R331" s="2"/>
      <c r="S331" s="2"/>
      <c r="T331" s="2"/>
      <c r="U331" s="2"/>
    </row>
    <row r="332" spans="1:21" x14ac:dyDescent="0.2">
      <c r="A332" s="31" t="e">
        <f t="shared" si="14"/>
        <v>#REF!</v>
      </c>
      <c r="B332" s="414">
        <f>H!B8</f>
        <v>0</v>
      </c>
      <c r="C332" s="136">
        <f>H!D8</f>
        <v>0</v>
      </c>
      <c r="D332" s="415">
        <f>H!E8</f>
        <v>0</v>
      </c>
      <c r="E332" s="270">
        <f>H!F8</f>
        <v>0</v>
      </c>
      <c r="F332" s="270">
        <f>H!H8</f>
        <v>0</v>
      </c>
      <c r="G332" s="270">
        <f>H!I8</f>
        <v>0</v>
      </c>
      <c r="H332" s="266">
        <f>H!J8</f>
        <v>0</v>
      </c>
      <c r="I332" s="266">
        <f>H!K8</f>
        <v>0</v>
      </c>
      <c r="J332" s="266">
        <f>H!L8</f>
        <v>0</v>
      </c>
      <c r="K332" s="266">
        <f>H!M8</f>
        <v>0</v>
      </c>
      <c r="L332" s="266">
        <f>H!N8</f>
        <v>0</v>
      </c>
      <c r="M332" s="266">
        <f>H!O8</f>
        <v>0</v>
      </c>
      <c r="N332" s="266">
        <f>H!P8</f>
        <v>0</v>
      </c>
      <c r="O332" s="270">
        <f>H!T8</f>
        <v>0</v>
      </c>
      <c r="P332" s="93"/>
      <c r="Q332" s="2"/>
      <c r="R332" s="2"/>
      <c r="S332" s="2"/>
      <c r="T332" s="2"/>
      <c r="U332" s="2"/>
    </row>
    <row r="333" spans="1:21" x14ac:dyDescent="0.2">
      <c r="A333" s="31" t="e">
        <f t="shared" si="14"/>
        <v>#REF!</v>
      </c>
      <c r="B333" s="414">
        <f>H!B9</f>
        <v>0</v>
      </c>
      <c r="C333" s="136">
        <f>H!D9</f>
        <v>0</v>
      </c>
      <c r="D333" s="415">
        <f>H!E9</f>
        <v>0</v>
      </c>
      <c r="E333" s="270">
        <f>H!F9</f>
        <v>0</v>
      </c>
      <c r="F333" s="270">
        <f>H!H9</f>
        <v>0</v>
      </c>
      <c r="G333" s="270">
        <f>H!I9</f>
        <v>0</v>
      </c>
      <c r="H333" s="266">
        <f>H!J9</f>
        <v>0</v>
      </c>
      <c r="I333" s="266">
        <f>H!K9</f>
        <v>0</v>
      </c>
      <c r="J333" s="266">
        <f>H!L9</f>
        <v>0</v>
      </c>
      <c r="K333" s="266">
        <f>H!M9</f>
        <v>0</v>
      </c>
      <c r="L333" s="266">
        <f>H!N9</f>
        <v>0</v>
      </c>
      <c r="M333" s="266">
        <f>H!O9</f>
        <v>0</v>
      </c>
      <c r="N333" s="266">
        <f>H!P9</f>
        <v>0</v>
      </c>
      <c r="O333" s="270">
        <f>H!T9</f>
        <v>0</v>
      </c>
      <c r="P333" s="93"/>
      <c r="Q333" s="2"/>
      <c r="R333" s="2"/>
      <c r="S333" s="2"/>
      <c r="T333" s="2"/>
      <c r="U333" s="2"/>
    </row>
    <row r="334" spans="1:21" x14ac:dyDescent="0.2">
      <c r="A334" s="31" t="e">
        <f t="shared" si="14"/>
        <v>#REF!</v>
      </c>
      <c r="B334" s="414">
        <f>H!B10</f>
        <v>0</v>
      </c>
      <c r="C334" s="136">
        <f>H!D10</f>
        <v>0</v>
      </c>
      <c r="D334" s="415">
        <f>H!E10</f>
        <v>0</v>
      </c>
      <c r="E334" s="270">
        <f>H!F10</f>
        <v>0</v>
      </c>
      <c r="F334" s="270">
        <f>H!H10</f>
        <v>0</v>
      </c>
      <c r="G334" s="270">
        <f>H!I10</f>
        <v>0</v>
      </c>
      <c r="H334" s="266">
        <f>H!J10</f>
        <v>0</v>
      </c>
      <c r="I334" s="266">
        <f>H!K10</f>
        <v>0</v>
      </c>
      <c r="J334" s="266">
        <f>H!L10</f>
        <v>0</v>
      </c>
      <c r="K334" s="266">
        <f>H!M10</f>
        <v>0</v>
      </c>
      <c r="L334" s="266">
        <f>H!N10</f>
        <v>0</v>
      </c>
      <c r="M334" s="266">
        <f>H!O10</f>
        <v>0</v>
      </c>
      <c r="N334" s="266">
        <f>H!P10</f>
        <v>0</v>
      </c>
      <c r="O334" s="270">
        <f>H!T10</f>
        <v>0</v>
      </c>
      <c r="P334" s="93"/>
      <c r="Q334" s="2"/>
      <c r="R334" s="2"/>
      <c r="S334" s="2"/>
      <c r="T334" s="2"/>
      <c r="U334" s="2"/>
    </row>
    <row r="335" spans="1:21" x14ac:dyDescent="0.2">
      <c r="A335" s="31" t="e">
        <f t="shared" si="14"/>
        <v>#REF!</v>
      </c>
      <c r="B335" s="414">
        <f>H!B11</f>
        <v>0</v>
      </c>
      <c r="C335" s="136">
        <f>H!D11</f>
        <v>0</v>
      </c>
      <c r="D335" s="415">
        <f>H!E11</f>
        <v>0</v>
      </c>
      <c r="E335" s="270">
        <f>H!F11</f>
        <v>0</v>
      </c>
      <c r="F335" s="270">
        <f>H!H11</f>
        <v>0</v>
      </c>
      <c r="G335" s="270">
        <f>H!I11</f>
        <v>0</v>
      </c>
      <c r="H335" s="266">
        <f>H!J11</f>
        <v>0</v>
      </c>
      <c r="I335" s="266">
        <f>H!K11</f>
        <v>0</v>
      </c>
      <c r="J335" s="266">
        <f>H!L11</f>
        <v>0</v>
      </c>
      <c r="K335" s="266">
        <f>H!M11</f>
        <v>0</v>
      </c>
      <c r="L335" s="266">
        <f>H!N11</f>
        <v>0</v>
      </c>
      <c r="M335" s="266">
        <f>H!O11</f>
        <v>0</v>
      </c>
      <c r="N335" s="266">
        <f>H!P11</f>
        <v>0</v>
      </c>
      <c r="O335" s="270">
        <f>H!T11</f>
        <v>0</v>
      </c>
      <c r="P335" s="93"/>
      <c r="Q335" s="2"/>
      <c r="R335" s="2"/>
      <c r="S335" s="2"/>
      <c r="T335" s="2"/>
      <c r="U335" s="2"/>
    </row>
    <row r="336" spans="1:21" x14ac:dyDescent="0.2">
      <c r="A336" s="31" t="e">
        <f t="shared" si="14"/>
        <v>#REF!</v>
      </c>
      <c r="B336" s="414">
        <f>H!B12</f>
        <v>0</v>
      </c>
      <c r="C336" s="136">
        <f>H!D12</f>
        <v>0</v>
      </c>
      <c r="D336" s="415">
        <f>H!E12</f>
        <v>0</v>
      </c>
      <c r="E336" s="270">
        <f>H!F12</f>
        <v>0</v>
      </c>
      <c r="F336" s="270">
        <f>H!H12</f>
        <v>0</v>
      </c>
      <c r="G336" s="270">
        <f>H!I12</f>
        <v>0</v>
      </c>
      <c r="H336" s="266">
        <f>H!J12</f>
        <v>0</v>
      </c>
      <c r="I336" s="266">
        <f>H!K12</f>
        <v>0</v>
      </c>
      <c r="J336" s="266">
        <f>H!L12</f>
        <v>0</v>
      </c>
      <c r="K336" s="266">
        <f>H!M12</f>
        <v>0</v>
      </c>
      <c r="L336" s="266">
        <f>H!N12</f>
        <v>0</v>
      </c>
      <c r="M336" s="266">
        <f>H!O12</f>
        <v>0</v>
      </c>
      <c r="N336" s="266">
        <f>H!P12</f>
        <v>0</v>
      </c>
      <c r="O336" s="270">
        <f>H!T12</f>
        <v>0</v>
      </c>
      <c r="P336" s="93"/>
      <c r="Q336" s="2"/>
      <c r="R336" s="2"/>
      <c r="S336" s="2"/>
      <c r="T336" s="2"/>
      <c r="U336" s="2"/>
    </row>
    <row r="337" spans="1:21" x14ac:dyDescent="0.2">
      <c r="A337" s="31" t="e">
        <f t="shared" si="14"/>
        <v>#REF!</v>
      </c>
      <c r="B337" s="414">
        <f>H!B18</f>
        <v>0</v>
      </c>
      <c r="C337" s="136">
        <f>H!D18</f>
        <v>0</v>
      </c>
      <c r="D337" s="415">
        <f>H!E18</f>
        <v>0</v>
      </c>
      <c r="E337" s="270">
        <f>H!F18</f>
        <v>0</v>
      </c>
      <c r="F337" s="270">
        <f>H!H18</f>
        <v>0</v>
      </c>
      <c r="G337" s="270">
        <f>H!I18</f>
        <v>0</v>
      </c>
      <c r="H337" s="266">
        <f>H!J18</f>
        <v>0</v>
      </c>
      <c r="I337" s="266">
        <f>H!K18</f>
        <v>0</v>
      </c>
      <c r="J337" s="266">
        <f>H!L18</f>
        <v>0</v>
      </c>
      <c r="K337" s="266">
        <f>H!M18</f>
        <v>0</v>
      </c>
      <c r="L337" s="266">
        <f>H!N18</f>
        <v>0</v>
      </c>
      <c r="M337" s="266">
        <f>H!O18</f>
        <v>0</v>
      </c>
      <c r="N337" s="266">
        <f>H!P18</f>
        <v>0</v>
      </c>
      <c r="O337" s="270">
        <f>H!T18</f>
        <v>0</v>
      </c>
      <c r="P337" s="93"/>
      <c r="Q337" s="2"/>
      <c r="R337" s="2"/>
      <c r="S337" s="2"/>
      <c r="T337" s="2"/>
      <c r="U337" s="2"/>
    </row>
    <row r="338" spans="1:21" x14ac:dyDescent="0.2">
      <c r="A338" s="31" t="e">
        <f t="shared" si="14"/>
        <v>#REF!</v>
      </c>
      <c r="B338" s="414">
        <f>H!B19</f>
        <v>0</v>
      </c>
      <c r="C338" s="136">
        <f>H!D19</f>
        <v>0</v>
      </c>
      <c r="D338" s="415">
        <f>H!E19</f>
        <v>0</v>
      </c>
      <c r="E338" s="270">
        <f>H!F19</f>
        <v>0</v>
      </c>
      <c r="F338" s="270">
        <f>H!H19</f>
        <v>0</v>
      </c>
      <c r="G338" s="270">
        <f>H!I19</f>
        <v>0</v>
      </c>
      <c r="H338" s="266">
        <f>H!J19</f>
        <v>0</v>
      </c>
      <c r="I338" s="266">
        <f>H!K19</f>
        <v>0</v>
      </c>
      <c r="J338" s="266">
        <f>H!L19</f>
        <v>0</v>
      </c>
      <c r="K338" s="266">
        <f>H!M19</f>
        <v>0</v>
      </c>
      <c r="L338" s="266">
        <f>H!N19</f>
        <v>0</v>
      </c>
      <c r="M338" s="266">
        <f>H!O19</f>
        <v>0</v>
      </c>
      <c r="N338" s="266">
        <f>H!P19</f>
        <v>0</v>
      </c>
      <c r="O338" s="270">
        <f>H!T19</f>
        <v>0</v>
      </c>
      <c r="P338" s="93"/>
      <c r="Q338" s="2"/>
      <c r="R338" s="2"/>
      <c r="S338" s="2"/>
      <c r="T338" s="2"/>
      <c r="U338" s="2"/>
    </row>
    <row r="339" spans="1:21" x14ac:dyDescent="0.2">
      <c r="A339" s="31" t="e">
        <f t="shared" si="14"/>
        <v>#REF!</v>
      </c>
      <c r="B339" s="414">
        <f>H!B20</f>
        <v>0</v>
      </c>
      <c r="C339" s="136">
        <f>H!D20</f>
        <v>0</v>
      </c>
      <c r="D339" s="415">
        <f>H!E20</f>
        <v>0</v>
      </c>
      <c r="E339" s="270">
        <f>H!F20</f>
        <v>0</v>
      </c>
      <c r="F339" s="270">
        <f>H!H20</f>
        <v>0</v>
      </c>
      <c r="G339" s="270">
        <f>H!I20</f>
        <v>0</v>
      </c>
      <c r="H339" s="266">
        <f>H!J20</f>
        <v>0</v>
      </c>
      <c r="I339" s="266">
        <f>H!K20</f>
        <v>0</v>
      </c>
      <c r="J339" s="266">
        <f>H!L20</f>
        <v>0</v>
      </c>
      <c r="K339" s="266">
        <f>H!M20</f>
        <v>0</v>
      </c>
      <c r="L339" s="266">
        <f>H!N20</f>
        <v>0</v>
      </c>
      <c r="M339" s="266">
        <f>H!O20</f>
        <v>0</v>
      </c>
      <c r="N339" s="266">
        <f>H!P20</f>
        <v>0</v>
      </c>
      <c r="O339" s="270">
        <f>H!T20</f>
        <v>0</v>
      </c>
      <c r="P339" s="93"/>
      <c r="Q339" s="2"/>
      <c r="R339" s="2"/>
      <c r="S339" s="2"/>
      <c r="T339" s="2"/>
      <c r="U339" s="2"/>
    </row>
    <row r="340" spans="1:21" x14ac:dyDescent="0.2">
      <c r="A340" s="31" t="e">
        <f t="shared" si="14"/>
        <v>#REF!</v>
      </c>
      <c r="B340" s="414">
        <f>H!B21</f>
        <v>0</v>
      </c>
      <c r="C340" s="136">
        <f>H!D21</f>
        <v>0</v>
      </c>
      <c r="D340" s="415">
        <f>H!E21</f>
        <v>0</v>
      </c>
      <c r="E340" s="270">
        <f>H!F21</f>
        <v>0</v>
      </c>
      <c r="F340" s="270">
        <f>H!H21</f>
        <v>0</v>
      </c>
      <c r="G340" s="270">
        <f>H!I21</f>
        <v>0</v>
      </c>
      <c r="H340" s="266">
        <f>H!J21</f>
        <v>0</v>
      </c>
      <c r="I340" s="266">
        <f>H!K21</f>
        <v>0</v>
      </c>
      <c r="J340" s="266">
        <f>H!L21</f>
        <v>0</v>
      </c>
      <c r="K340" s="266">
        <f>H!M21</f>
        <v>0</v>
      </c>
      <c r="L340" s="266">
        <f>H!N21</f>
        <v>0</v>
      </c>
      <c r="M340" s="266">
        <f>H!O21</f>
        <v>0</v>
      </c>
      <c r="N340" s="266">
        <f>H!P21</f>
        <v>0</v>
      </c>
      <c r="O340" s="270">
        <f>H!T21</f>
        <v>0</v>
      </c>
      <c r="P340" s="93"/>
      <c r="Q340" s="2"/>
      <c r="R340" s="2"/>
      <c r="S340" s="2"/>
      <c r="T340" s="2"/>
      <c r="U340" s="2"/>
    </row>
    <row r="341" spans="1:21" x14ac:dyDescent="0.2">
      <c r="A341" s="31" t="e">
        <f t="shared" si="14"/>
        <v>#REF!</v>
      </c>
      <c r="B341" s="414">
        <f>H!B22</f>
        <v>0</v>
      </c>
      <c r="C341" s="136">
        <f>H!D22</f>
        <v>0</v>
      </c>
      <c r="D341" s="415">
        <f>H!E22</f>
        <v>0</v>
      </c>
      <c r="E341" s="270">
        <f>H!F22</f>
        <v>0</v>
      </c>
      <c r="F341" s="270">
        <f>H!H22</f>
        <v>0</v>
      </c>
      <c r="G341" s="270">
        <f>H!I22</f>
        <v>0</v>
      </c>
      <c r="H341" s="266">
        <f>H!J22</f>
        <v>0</v>
      </c>
      <c r="I341" s="266">
        <f>H!K22</f>
        <v>0</v>
      </c>
      <c r="J341" s="266">
        <f>H!L22</f>
        <v>0</v>
      </c>
      <c r="K341" s="266">
        <f>H!M22</f>
        <v>0</v>
      </c>
      <c r="L341" s="266">
        <f>H!N22</f>
        <v>0</v>
      </c>
      <c r="M341" s="266">
        <f>H!O22</f>
        <v>0</v>
      </c>
      <c r="N341" s="266">
        <f>H!P22</f>
        <v>0</v>
      </c>
      <c r="O341" s="270">
        <f>H!T22</f>
        <v>0</v>
      </c>
      <c r="P341" s="93"/>
      <c r="Q341" s="2"/>
      <c r="R341" s="2"/>
      <c r="S341" s="2"/>
      <c r="T341" s="2"/>
      <c r="U341" s="2"/>
    </row>
    <row r="342" spans="1:21" x14ac:dyDescent="0.2">
      <c r="A342" s="31" t="e">
        <f t="shared" si="14"/>
        <v>#REF!</v>
      </c>
      <c r="B342" s="414">
        <f>H!B23</f>
        <v>0</v>
      </c>
      <c r="C342" s="136">
        <f>H!D23</f>
        <v>0</v>
      </c>
      <c r="D342" s="415">
        <f>H!E23</f>
        <v>0</v>
      </c>
      <c r="E342" s="270">
        <f>H!F23</f>
        <v>0</v>
      </c>
      <c r="F342" s="270">
        <f>H!H23</f>
        <v>0</v>
      </c>
      <c r="G342" s="270">
        <f>H!I23</f>
        <v>0</v>
      </c>
      <c r="H342" s="266">
        <f>H!J23</f>
        <v>0</v>
      </c>
      <c r="I342" s="266">
        <f>H!K23</f>
        <v>0</v>
      </c>
      <c r="J342" s="266">
        <f>H!L23</f>
        <v>0</v>
      </c>
      <c r="K342" s="266">
        <f>H!M23</f>
        <v>0</v>
      </c>
      <c r="L342" s="266">
        <f>H!N23</f>
        <v>0</v>
      </c>
      <c r="M342" s="266">
        <f>H!O23</f>
        <v>0</v>
      </c>
      <c r="N342" s="266">
        <f>H!P23</f>
        <v>0</v>
      </c>
      <c r="O342" s="270">
        <f>H!T23</f>
        <v>0</v>
      </c>
      <c r="P342" s="93"/>
      <c r="Q342" s="2"/>
      <c r="R342" s="2"/>
      <c r="S342" s="2"/>
      <c r="T342" s="2"/>
      <c r="U342" s="2"/>
    </row>
    <row r="343" spans="1:21" x14ac:dyDescent="0.2">
      <c r="A343" s="31" t="e">
        <f t="shared" si="14"/>
        <v>#REF!</v>
      </c>
      <c r="B343" s="414">
        <f>H!B24</f>
        <v>0</v>
      </c>
      <c r="C343" s="136">
        <f>H!D24</f>
        <v>0</v>
      </c>
      <c r="D343" s="415">
        <f>H!E24</f>
        <v>0</v>
      </c>
      <c r="E343" s="270">
        <f>H!F24</f>
        <v>0</v>
      </c>
      <c r="F343" s="270">
        <f>H!H24</f>
        <v>0</v>
      </c>
      <c r="G343" s="270">
        <f>H!I24</f>
        <v>0</v>
      </c>
      <c r="H343" s="266">
        <f>H!J24</f>
        <v>0</v>
      </c>
      <c r="I343" s="266">
        <f>H!K24</f>
        <v>0</v>
      </c>
      <c r="J343" s="266">
        <f>H!L24</f>
        <v>0</v>
      </c>
      <c r="K343" s="266">
        <f>H!M24</f>
        <v>0</v>
      </c>
      <c r="L343" s="266">
        <f>H!N24</f>
        <v>0</v>
      </c>
      <c r="M343" s="266">
        <f>H!O24</f>
        <v>0</v>
      </c>
      <c r="N343" s="266">
        <f>H!P24</f>
        <v>0</v>
      </c>
      <c r="O343" s="270">
        <f>H!T24</f>
        <v>0</v>
      </c>
      <c r="P343" s="93"/>
      <c r="Q343" s="2"/>
      <c r="R343" s="2"/>
      <c r="S343" s="2"/>
      <c r="T343" s="2"/>
      <c r="U343" s="2"/>
    </row>
    <row r="344" spans="1:21" x14ac:dyDescent="0.2">
      <c r="A344" s="31" t="e">
        <f t="shared" si="14"/>
        <v>#REF!</v>
      </c>
      <c r="B344" s="414">
        <f>H!B27</f>
        <v>0</v>
      </c>
      <c r="C344" s="136">
        <f>H!D27</f>
        <v>0</v>
      </c>
      <c r="D344" s="415">
        <f>H!E27</f>
        <v>0</v>
      </c>
      <c r="E344" s="270">
        <f>H!F27</f>
        <v>0</v>
      </c>
      <c r="F344" s="270">
        <f>H!H27</f>
        <v>0</v>
      </c>
      <c r="G344" s="270">
        <f>H!I27</f>
        <v>0</v>
      </c>
      <c r="H344" s="266">
        <f>H!J27</f>
        <v>0</v>
      </c>
      <c r="I344" s="266">
        <f>H!K27</f>
        <v>0</v>
      </c>
      <c r="J344" s="266">
        <f>H!L27</f>
        <v>0</v>
      </c>
      <c r="K344" s="266">
        <f>H!M27</f>
        <v>0</v>
      </c>
      <c r="L344" s="266">
        <f>H!N27</f>
        <v>0</v>
      </c>
      <c r="M344" s="266">
        <f>H!O27</f>
        <v>0</v>
      </c>
      <c r="N344" s="266">
        <f>H!P27</f>
        <v>0</v>
      </c>
      <c r="O344" s="270">
        <f>H!T27</f>
        <v>0</v>
      </c>
      <c r="P344" s="93"/>
      <c r="Q344" s="2"/>
      <c r="R344" s="2"/>
      <c r="S344" s="2"/>
      <c r="T344" s="2"/>
      <c r="U344" s="2"/>
    </row>
    <row r="345" spans="1:21" x14ac:dyDescent="0.2">
      <c r="A345" s="31" t="e">
        <f t="shared" si="14"/>
        <v>#REF!</v>
      </c>
      <c r="B345" s="414">
        <f>H!B28</f>
        <v>0</v>
      </c>
      <c r="C345" s="136">
        <f>H!D28</f>
        <v>0</v>
      </c>
      <c r="D345" s="415">
        <f>H!E28</f>
        <v>0</v>
      </c>
      <c r="E345" s="270">
        <f>H!F28</f>
        <v>0</v>
      </c>
      <c r="F345" s="270">
        <f>H!H28</f>
        <v>0</v>
      </c>
      <c r="G345" s="270">
        <f>H!I28</f>
        <v>0</v>
      </c>
      <c r="H345" s="266">
        <f>H!J28</f>
        <v>0</v>
      </c>
      <c r="I345" s="266">
        <f>H!K28</f>
        <v>0</v>
      </c>
      <c r="J345" s="266">
        <f>H!L28</f>
        <v>0</v>
      </c>
      <c r="K345" s="266">
        <f>H!M28</f>
        <v>0</v>
      </c>
      <c r="L345" s="266">
        <f>H!N28</f>
        <v>0</v>
      </c>
      <c r="M345" s="266">
        <f>H!O28</f>
        <v>0</v>
      </c>
      <c r="N345" s="266">
        <f>H!P28</f>
        <v>0</v>
      </c>
      <c r="O345" s="270">
        <f>H!T28</f>
        <v>0</v>
      </c>
      <c r="P345" s="93"/>
      <c r="Q345" s="2"/>
      <c r="R345" s="2"/>
      <c r="S345" s="2"/>
      <c r="T345" s="2"/>
      <c r="U345" s="2"/>
    </row>
    <row r="346" spans="1:21" x14ac:dyDescent="0.2">
      <c r="A346" s="31" t="e">
        <f t="shared" si="14"/>
        <v>#REF!</v>
      </c>
      <c r="B346" s="414">
        <f>H!B29</f>
        <v>0</v>
      </c>
      <c r="C346" s="136">
        <f>H!D29</f>
        <v>0</v>
      </c>
      <c r="D346" s="415">
        <f>H!E29</f>
        <v>0</v>
      </c>
      <c r="E346" s="270">
        <f>H!F29</f>
        <v>0</v>
      </c>
      <c r="F346" s="270">
        <f>H!H29</f>
        <v>0</v>
      </c>
      <c r="G346" s="270">
        <f>H!I29</f>
        <v>0</v>
      </c>
      <c r="H346" s="266">
        <f>H!J29</f>
        <v>0</v>
      </c>
      <c r="I346" s="266">
        <f>H!K29</f>
        <v>0</v>
      </c>
      <c r="J346" s="266">
        <f>H!L29</f>
        <v>0</v>
      </c>
      <c r="K346" s="266">
        <f>H!M29</f>
        <v>0</v>
      </c>
      <c r="L346" s="266">
        <f>H!N29</f>
        <v>0</v>
      </c>
      <c r="M346" s="266">
        <f>H!O29</f>
        <v>0</v>
      </c>
      <c r="N346" s="266">
        <f>H!P29</f>
        <v>0</v>
      </c>
      <c r="O346" s="270">
        <f>H!T29</f>
        <v>0</v>
      </c>
      <c r="P346" s="93"/>
      <c r="Q346" s="2"/>
      <c r="R346" s="2"/>
      <c r="S346" s="2"/>
      <c r="T346" s="2"/>
      <c r="U346" s="2"/>
    </row>
    <row r="347" spans="1:21" x14ac:dyDescent="0.2">
      <c r="A347" s="37" t="e">
        <f t="shared" si="14"/>
        <v>#REF!</v>
      </c>
      <c r="B347" s="289"/>
      <c r="C347" s="60"/>
      <c r="D347" s="61"/>
      <c r="E347" s="292"/>
      <c r="F347" s="292"/>
      <c r="G347" s="292"/>
      <c r="H347" s="416"/>
      <c r="I347" s="416"/>
      <c r="J347" s="417"/>
      <c r="K347" s="417"/>
      <c r="L347" s="417"/>
      <c r="M347" s="417"/>
      <c r="N347" s="417"/>
      <c r="O347" s="292"/>
      <c r="P347" s="93"/>
      <c r="Q347" s="2"/>
      <c r="R347" s="2"/>
      <c r="S347" s="2"/>
      <c r="T347" s="2"/>
      <c r="U347" s="2"/>
    </row>
    <row r="348" spans="1:21" x14ac:dyDescent="0.2">
      <c r="A348" s="32" t="e">
        <f t="shared" si="14"/>
        <v>#REF!</v>
      </c>
      <c r="B348" s="288"/>
      <c r="C348" s="170"/>
      <c r="D348" s="170"/>
      <c r="E348" s="170"/>
      <c r="F348" s="170"/>
      <c r="G348" s="170"/>
      <c r="H348" s="170"/>
      <c r="I348" s="170"/>
      <c r="J348" s="170"/>
      <c r="K348" s="170"/>
      <c r="L348" s="170"/>
      <c r="M348" s="170"/>
      <c r="N348" s="170"/>
      <c r="O348" s="90"/>
      <c r="P348" s="93"/>
      <c r="Q348" s="2"/>
      <c r="R348" s="2"/>
      <c r="S348" s="2"/>
      <c r="T348" s="2"/>
      <c r="U348" s="2"/>
    </row>
    <row r="349" spans="1:21" x14ac:dyDescent="0.2">
      <c r="A349" s="35" t="e">
        <f t="shared" si="14"/>
        <v>#REF!</v>
      </c>
      <c r="B349" s="290"/>
      <c r="C349" s="171"/>
      <c r="D349" s="172"/>
      <c r="E349" s="172"/>
      <c r="F349" s="172"/>
      <c r="G349" s="172"/>
      <c r="H349" s="172"/>
      <c r="I349" s="172"/>
      <c r="J349" s="172"/>
      <c r="K349" s="172"/>
      <c r="L349" s="172"/>
      <c r="M349" s="172"/>
      <c r="N349" s="172"/>
      <c r="O349" s="42"/>
      <c r="P349" s="93"/>
      <c r="Q349" s="2"/>
      <c r="R349" s="2"/>
      <c r="S349" s="2"/>
      <c r="T349" s="2"/>
      <c r="U349" s="2"/>
    </row>
    <row r="350" spans="1:21" x14ac:dyDescent="0.2">
      <c r="A350" s="37" t="e">
        <f t="shared" si="14"/>
        <v>#REF!</v>
      </c>
      <c r="B350" s="289"/>
      <c r="C350" s="173"/>
      <c r="D350" s="173"/>
      <c r="E350" s="173"/>
      <c r="F350" s="173"/>
      <c r="G350" s="173"/>
      <c r="H350" s="173"/>
      <c r="I350" s="173"/>
      <c r="J350" s="173"/>
      <c r="K350" s="173"/>
      <c r="L350" s="173"/>
      <c r="M350" s="173"/>
      <c r="N350" s="173"/>
      <c r="O350" s="47"/>
      <c r="P350" s="93"/>
      <c r="Q350" s="2"/>
      <c r="R350" s="2"/>
      <c r="S350" s="2"/>
      <c r="T350" s="2"/>
      <c r="U350" s="2"/>
    </row>
    <row r="351" spans="1:21" x14ac:dyDescent="0.2">
      <c r="C351" s="3"/>
      <c r="D351" s="2"/>
      <c r="G351" s="2"/>
      <c r="H351" s="2"/>
      <c r="J351" s="2"/>
      <c r="O351" s="2"/>
      <c r="P351" s="2"/>
      <c r="Q351" s="2"/>
    </row>
    <row r="352" spans="1:21" x14ac:dyDescent="0.2">
      <c r="C352" s="3"/>
      <c r="D352" s="2"/>
      <c r="G352" s="2"/>
      <c r="H352" s="2"/>
      <c r="J352" s="2"/>
      <c r="O352" s="2"/>
      <c r="P352" s="2"/>
      <c r="Q352" s="2"/>
    </row>
    <row r="353" spans="1:5" x14ac:dyDescent="0.2">
      <c r="A353" s="21"/>
      <c r="B353" s="222"/>
      <c r="C353" s="223" t="e">
        <f>CONCATENATE("31-12-",#REF!-1," ")</f>
        <v>#REF!</v>
      </c>
      <c r="D353" s="223" t="e">
        <f>CONCATENATE("31-12-",#REF!," ")</f>
        <v>#REF!</v>
      </c>
      <c r="E353" s="223" t="e">
        <f>CONCATENATE("Gemiddeld ",#REF!," ")</f>
        <v>#REF!</v>
      </c>
    </row>
    <row r="354" spans="1:5" x14ac:dyDescent="0.2">
      <c r="A354" s="26"/>
      <c r="B354" s="42"/>
      <c r="C354" s="175"/>
      <c r="D354" s="42"/>
      <c r="E354" s="42"/>
    </row>
    <row r="355" spans="1:5" x14ac:dyDescent="0.2">
      <c r="A355" s="41" t="s">
        <v>35</v>
      </c>
      <c r="B355" s="418" t="s">
        <v>36</v>
      </c>
      <c r="C355" s="168"/>
      <c r="D355" s="168"/>
      <c r="E355" s="42"/>
    </row>
    <row r="356" spans="1:5" x14ac:dyDescent="0.2">
      <c r="A356" s="31">
        <f>'I-J'!A7</f>
        <v>901</v>
      </c>
      <c r="B356" s="176"/>
      <c r="C356" s="270">
        <f>'I-J'!C7</f>
        <v>0</v>
      </c>
      <c r="D356" s="270">
        <f>'I-J'!D7</f>
        <v>0</v>
      </c>
      <c r="E356" s="367"/>
    </row>
    <row r="357" spans="1:5" x14ac:dyDescent="0.2">
      <c r="A357" s="34">
        <f t="shared" ref="A357:A369" si="15">A356+1</f>
        <v>902</v>
      </c>
      <c r="B357" s="176"/>
      <c r="C357" s="270">
        <f>'I-J'!C8</f>
        <v>0</v>
      </c>
      <c r="D357" s="270">
        <f>'I-J'!D8</f>
        <v>0</v>
      </c>
      <c r="E357" s="367"/>
    </row>
    <row r="358" spans="1:5" x14ac:dyDescent="0.2">
      <c r="A358" s="34">
        <f t="shared" si="15"/>
        <v>903</v>
      </c>
      <c r="B358" s="176"/>
      <c r="C358" s="270">
        <f>'I-J'!C9</f>
        <v>0</v>
      </c>
      <c r="D358" s="270">
        <f>'I-J'!D9</f>
        <v>0</v>
      </c>
      <c r="E358" s="367"/>
    </row>
    <row r="359" spans="1:5" x14ac:dyDescent="0.2">
      <c r="A359" s="34">
        <f t="shared" si="15"/>
        <v>904</v>
      </c>
      <c r="B359" s="176"/>
      <c r="C359" s="270">
        <f>'I-J'!C10</f>
        <v>0</v>
      </c>
      <c r="D359" s="270">
        <f>'I-J'!D10</f>
        <v>0</v>
      </c>
      <c r="E359" s="367"/>
    </row>
    <row r="360" spans="1:5" x14ac:dyDescent="0.2">
      <c r="A360" s="34">
        <f t="shared" si="15"/>
        <v>905</v>
      </c>
      <c r="B360" s="176"/>
      <c r="C360" s="270">
        <f>'I-J'!C11</f>
        <v>0</v>
      </c>
      <c r="D360" s="270">
        <f>'I-J'!D11</f>
        <v>0</v>
      </c>
      <c r="E360" s="367"/>
    </row>
    <row r="361" spans="1:5" x14ac:dyDescent="0.2">
      <c r="A361" s="34">
        <f t="shared" si="15"/>
        <v>906</v>
      </c>
      <c r="B361" s="176"/>
      <c r="C361" s="270">
        <f>'I-J'!C12</f>
        <v>0</v>
      </c>
      <c r="D361" s="270">
        <f>'I-J'!D12</f>
        <v>0</v>
      </c>
      <c r="E361" s="367"/>
    </row>
    <row r="362" spans="1:5" x14ac:dyDescent="0.2">
      <c r="A362" s="34">
        <f t="shared" si="15"/>
        <v>907</v>
      </c>
      <c r="B362" s="176"/>
      <c r="C362" s="270">
        <f>'I-J'!C13</f>
        <v>0</v>
      </c>
      <c r="D362" s="270">
        <f>'I-J'!D13</f>
        <v>0</v>
      </c>
      <c r="E362" s="367"/>
    </row>
    <row r="363" spans="1:5" x14ac:dyDescent="0.2">
      <c r="A363" s="34">
        <f t="shared" si="15"/>
        <v>908</v>
      </c>
      <c r="B363" s="176"/>
      <c r="C363" s="270">
        <f>'I-J'!C14</f>
        <v>0</v>
      </c>
      <c r="D363" s="270">
        <f>'I-J'!D14</f>
        <v>0</v>
      </c>
      <c r="E363" s="367"/>
    </row>
    <row r="364" spans="1:5" x14ac:dyDescent="0.2">
      <c r="A364" s="34">
        <f t="shared" si="15"/>
        <v>909</v>
      </c>
      <c r="B364" s="176"/>
      <c r="C364" s="270">
        <f>'I-J'!C15</f>
        <v>0</v>
      </c>
      <c r="D364" s="270">
        <f>'I-J'!D15</f>
        <v>0</v>
      </c>
      <c r="E364" s="367"/>
    </row>
    <row r="365" spans="1:5" x14ac:dyDescent="0.2">
      <c r="A365" s="34">
        <f t="shared" si="15"/>
        <v>910</v>
      </c>
      <c r="B365" s="176"/>
      <c r="C365" s="270">
        <f>'I-J'!C16</f>
        <v>0</v>
      </c>
      <c r="D365" s="270">
        <f>'I-J'!D16</f>
        <v>0</v>
      </c>
      <c r="E365" s="367"/>
    </row>
    <row r="366" spans="1:5" x14ac:dyDescent="0.2">
      <c r="A366" s="34">
        <f t="shared" si="15"/>
        <v>911</v>
      </c>
      <c r="B366" s="176"/>
      <c r="C366" s="270">
        <f>'I-J'!C17</f>
        <v>0</v>
      </c>
      <c r="D366" s="270">
        <f>'I-J'!D17</f>
        <v>0</v>
      </c>
      <c r="E366" s="367"/>
    </row>
    <row r="367" spans="1:5" x14ac:dyDescent="0.2">
      <c r="A367" s="34">
        <f t="shared" si="15"/>
        <v>912</v>
      </c>
      <c r="B367" s="176"/>
      <c r="C367" s="270" t="e">
        <f>'I-J'!#REF!</f>
        <v>#REF!</v>
      </c>
      <c r="D367" s="270" t="e">
        <f>'I-J'!#REF!</f>
        <v>#REF!</v>
      </c>
      <c r="E367" s="367"/>
    </row>
    <row r="368" spans="1:5" x14ac:dyDescent="0.2">
      <c r="A368" s="35">
        <f t="shared" si="15"/>
        <v>913</v>
      </c>
      <c r="B368" s="177"/>
      <c r="C368" s="419">
        <f>'I-J'!C20</f>
        <v>0</v>
      </c>
      <c r="D368" s="419">
        <f>'I-J'!D20</f>
        <v>0</v>
      </c>
      <c r="E368" s="420"/>
    </row>
    <row r="369" spans="1:5" x14ac:dyDescent="0.2">
      <c r="A369" s="37">
        <f t="shared" si="15"/>
        <v>914</v>
      </c>
      <c r="B369" s="38"/>
      <c r="C369" s="292"/>
      <c r="D369" s="292"/>
      <c r="E369" s="292"/>
    </row>
    <row r="370" spans="1:5" x14ac:dyDescent="0.2">
      <c r="A370" s="41"/>
      <c r="B370" s="42"/>
      <c r="C370" s="42"/>
      <c r="D370" s="42"/>
      <c r="E370" s="42"/>
    </row>
    <row r="371" spans="1:5" x14ac:dyDescent="0.2">
      <c r="A371" s="42"/>
      <c r="B371" s="95"/>
      <c r="C371" s="95"/>
      <c r="D371" s="42"/>
      <c r="E371" s="221" t="s">
        <v>321</v>
      </c>
    </row>
    <row r="372" spans="1:5" x14ac:dyDescent="0.2">
      <c r="A372" s="178"/>
      <c r="B372" s="179"/>
      <c r="C372" s="179"/>
      <c r="D372" s="178"/>
      <c r="E372" s="123"/>
    </row>
    <row r="373" spans="1:5" x14ac:dyDescent="0.2">
      <c r="A373" s="41" t="s">
        <v>37</v>
      </c>
      <c r="B373" s="94" t="e">
        <f>CONCATENATE("Rentekosten ten laste van exploitatieresultaat ",#REF!)</f>
        <v>#REF!</v>
      </c>
      <c r="C373" s="95"/>
      <c r="D373" s="42"/>
      <c r="E373" s="42"/>
    </row>
    <row r="374" spans="1:5" x14ac:dyDescent="0.2">
      <c r="A374" s="31">
        <f>A369+1</f>
        <v>915</v>
      </c>
      <c r="B374" s="180"/>
      <c r="C374" s="134"/>
      <c r="D374" s="121"/>
      <c r="E374" s="367"/>
    </row>
    <row r="375" spans="1:5" x14ac:dyDescent="0.2">
      <c r="A375" s="34">
        <f t="shared" ref="A375:A383" si="16">A374+1</f>
        <v>916</v>
      </c>
      <c r="B375" s="181"/>
      <c r="C375" s="134"/>
      <c r="D375" s="121"/>
      <c r="E375" s="270" t="e">
        <f>'I-J'!#REF!</f>
        <v>#REF!</v>
      </c>
    </row>
    <row r="376" spans="1:5" x14ac:dyDescent="0.2">
      <c r="A376" s="34">
        <f t="shared" si="16"/>
        <v>917</v>
      </c>
      <c r="B376" s="180"/>
      <c r="C376" s="134"/>
      <c r="D376" s="121"/>
      <c r="E376" s="270" t="e">
        <f>'I-J'!#REF!</f>
        <v>#REF!</v>
      </c>
    </row>
    <row r="377" spans="1:5" x14ac:dyDescent="0.2">
      <c r="A377" s="35">
        <f t="shared" si="16"/>
        <v>918</v>
      </c>
      <c r="B377" s="182"/>
      <c r="C377" s="78"/>
      <c r="D377" s="183"/>
      <c r="E377" s="270">
        <f>'I-J'!E27</f>
        <v>0</v>
      </c>
    </row>
    <row r="378" spans="1:5" x14ac:dyDescent="0.2">
      <c r="A378" s="37">
        <f t="shared" si="16"/>
        <v>919</v>
      </c>
      <c r="B378" s="38"/>
      <c r="C378" s="60"/>
      <c r="D378" s="60"/>
      <c r="E378" s="263"/>
    </row>
    <row r="379" spans="1:5" x14ac:dyDescent="0.2">
      <c r="A379" s="34">
        <f t="shared" si="16"/>
        <v>920</v>
      </c>
      <c r="B379" s="256"/>
      <c r="C379" s="134"/>
      <c r="D379" s="121"/>
      <c r="E379" s="270">
        <f>'I-J'!E31</f>
        <v>0</v>
      </c>
    </row>
    <row r="380" spans="1:5" x14ac:dyDescent="0.2">
      <c r="A380" s="34">
        <f t="shared" si="16"/>
        <v>921</v>
      </c>
      <c r="B380" s="257"/>
      <c r="C380" s="134"/>
      <c r="D380" s="121"/>
      <c r="E380" s="270">
        <f>'I-J'!E32</f>
        <v>0</v>
      </c>
    </row>
    <row r="381" spans="1:5" x14ac:dyDescent="0.2">
      <c r="A381" s="34">
        <f t="shared" si="16"/>
        <v>922</v>
      </c>
      <c r="B381" s="258"/>
      <c r="C381" s="191"/>
      <c r="D381" s="255"/>
      <c r="E381" s="270">
        <f>'I-J'!E33</f>
        <v>0</v>
      </c>
    </row>
    <row r="382" spans="1:5" x14ac:dyDescent="0.2">
      <c r="A382" s="34">
        <f t="shared" si="16"/>
        <v>923</v>
      </c>
      <c r="B382" s="259"/>
      <c r="C382" s="78"/>
      <c r="D382" s="183"/>
      <c r="E382" s="270">
        <f>'I-J'!E34</f>
        <v>0</v>
      </c>
    </row>
    <row r="383" spans="1:5" x14ac:dyDescent="0.2">
      <c r="A383" s="37">
        <f t="shared" si="16"/>
        <v>924</v>
      </c>
      <c r="B383" s="421"/>
      <c r="C383" s="60"/>
      <c r="D383" s="60"/>
      <c r="E383" s="263"/>
    </row>
    <row r="384" spans="1:5" x14ac:dyDescent="0.2">
      <c r="A384" s="41"/>
      <c r="B384" s="42"/>
      <c r="C384" s="42"/>
      <c r="D384" s="42"/>
      <c r="E384" s="42"/>
    </row>
    <row r="385" spans="1:10" x14ac:dyDescent="0.2">
      <c r="D385" s="2"/>
      <c r="G385" s="2"/>
      <c r="J385" s="2"/>
    </row>
    <row r="386" spans="1:10" x14ac:dyDescent="0.2">
      <c r="D386" s="2"/>
      <c r="G386" s="2"/>
      <c r="J386" s="2"/>
    </row>
    <row r="387" spans="1:10" x14ac:dyDescent="0.2">
      <c r="A387" s="64"/>
      <c r="B387" s="366"/>
      <c r="C387" s="118" t="s">
        <v>310</v>
      </c>
      <c r="D387" s="272" t="e">
        <f>CONCATENATE("Rekenstaat ",#REF!," nr. 1 ")</f>
        <v>#REF!</v>
      </c>
      <c r="E387" s="273"/>
      <c r="F387" s="251" t="s">
        <v>89</v>
      </c>
      <c r="G387" s="245" t="s">
        <v>88</v>
      </c>
      <c r="J387" s="2"/>
    </row>
    <row r="388" spans="1:10" x14ac:dyDescent="0.2">
      <c r="A388" s="64"/>
      <c r="B388" s="366"/>
      <c r="C388" s="118" t="s">
        <v>310</v>
      </c>
      <c r="D388" s="422" t="s">
        <v>264</v>
      </c>
      <c r="E388" s="246" t="s">
        <v>292</v>
      </c>
      <c r="F388" s="247" t="e">
        <f>CONCATENATE("jaarrekening ",#REF!," ")</f>
        <v>#REF!</v>
      </c>
      <c r="G388" s="247" t="s">
        <v>87</v>
      </c>
    </row>
    <row r="389" spans="1:10" x14ac:dyDescent="0.2">
      <c r="A389" s="83"/>
      <c r="B389" s="325"/>
      <c r="C389" s="156"/>
      <c r="D389" s="162" t="s">
        <v>284</v>
      </c>
      <c r="E389" s="111"/>
      <c r="F389" s="156"/>
      <c r="G389" s="113"/>
    </row>
    <row r="390" spans="1:10" x14ac:dyDescent="0.2">
      <c r="A390" s="47" t="s">
        <v>85</v>
      </c>
      <c r="B390" s="14" t="s">
        <v>86</v>
      </c>
      <c r="C390" s="147"/>
      <c r="D390" s="147"/>
      <c r="E390" s="90"/>
      <c r="F390" s="90"/>
      <c r="G390" s="90"/>
    </row>
    <row r="391" spans="1:10" x14ac:dyDescent="0.2">
      <c r="A391" s="31" t="e">
        <f>#REF!</f>
        <v>#REF!</v>
      </c>
      <c r="B391" s="357"/>
      <c r="C391" s="375"/>
      <c r="D391" s="141"/>
      <c r="E391" s="270" t="e">
        <f>#REF!</f>
        <v>#REF!</v>
      </c>
      <c r="F391" s="423"/>
      <c r="G391" s="309"/>
    </row>
    <row r="392" spans="1:10" x14ac:dyDescent="0.2">
      <c r="A392" s="34" t="e">
        <f>A391+1</f>
        <v>#REF!</v>
      </c>
      <c r="B392" s="357"/>
      <c r="C392" s="375"/>
      <c r="D392" s="141"/>
      <c r="E392" s="270" t="e">
        <f>#REF!</f>
        <v>#REF!</v>
      </c>
      <c r="F392" s="423"/>
      <c r="G392" s="309"/>
    </row>
    <row r="393" spans="1:10" x14ac:dyDescent="0.2">
      <c r="A393" s="34" t="e">
        <f>A392+1</f>
        <v>#REF!</v>
      </c>
      <c r="B393" s="357"/>
      <c r="C393" s="375"/>
      <c r="D393" s="141"/>
      <c r="E393" s="270" t="e">
        <f>#REF!</f>
        <v>#REF!</v>
      </c>
      <c r="F393" s="423"/>
      <c r="G393" s="309"/>
    </row>
    <row r="394" spans="1:10" x14ac:dyDescent="0.2">
      <c r="A394" s="35" t="e">
        <f>A393+1</f>
        <v>#REF!</v>
      </c>
      <c r="B394" s="357"/>
      <c r="C394" s="375"/>
      <c r="D394" s="141"/>
      <c r="E394" s="270" t="e">
        <f>#REF!</f>
        <v>#REF!</v>
      </c>
      <c r="F394" s="423"/>
      <c r="G394" s="309"/>
    </row>
    <row r="395" spans="1:10" x14ac:dyDescent="0.2">
      <c r="A395" s="54" t="e">
        <f>A393+1</f>
        <v>#REF!</v>
      </c>
      <c r="B395" s="357"/>
      <c r="C395" s="248"/>
      <c r="D395" s="142"/>
      <c r="E395" s="367" t="e">
        <f>E404</f>
        <v>#REF!</v>
      </c>
      <c r="F395" s="423"/>
      <c r="G395" s="309"/>
    </row>
    <row r="396" spans="1:10" x14ac:dyDescent="0.2">
      <c r="A396" s="37" t="e">
        <f>A395+1</f>
        <v>#REF!</v>
      </c>
      <c r="B396" s="362"/>
      <c r="C396" s="154"/>
      <c r="D396" s="154"/>
      <c r="E396" s="263" t="e">
        <f>SUM(E391:E395)</f>
        <v>#REF!</v>
      </c>
      <c r="F396" s="345"/>
      <c r="G396" s="345"/>
    </row>
    <row r="397" spans="1:10" x14ac:dyDescent="0.2">
      <c r="A397" s="71"/>
      <c r="B397" s="228"/>
      <c r="C397" s="250"/>
      <c r="D397" s="250"/>
      <c r="E397" s="424"/>
      <c r="F397" s="425"/>
      <c r="G397" s="309"/>
    </row>
    <row r="398" spans="1:10" x14ac:dyDescent="0.2">
      <c r="A398" s="31" t="e">
        <f>A394+1</f>
        <v>#REF!</v>
      </c>
      <c r="B398" s="357"/>
      <c r="C398" s="375"/>
      <c r="D398" s="142"/>
      <c r="E398" s="270" t="e">
        <f>#REF!</f>
        <v>#REF!</v>
      </c>
      <c r="F398" s="270" t="e">
        <f>#REF!</f>
        <v>#REF!</v>
      </c>
      <c r="G398" s="426"/>
    </row>
    <row r="399" spans="1:10" x14ac:dyDescent="0.2">
      <c r="A399" s="34" t="e">
        <f>A398+1</f>
        <v>#REF!</v>
      </c>
      <c r="B399" s="357"/>
      <c r="C399" s="375"/>
      <c r="D399" s="142"/>
      <c r="E399" s="270" t="e">
        <f>#REF!</f>
        <v>#REF!</v>
      </c>
      <c r="F399" s="270" t="e">
        <f>#REF!</f>
        <v>#REF!</v>
      </c>
      <c r="G399" s="426"/>
    </row>
    <row r="400" spans="1:10" x14ac:dyDescent="0.2">
      <c r="A400" s="34" t="e">
        <f>A399+1</f>
        <v>#REF!</v>
      </c>
      <c r="B400" s="357"/>
      <c r="C400" s="375"/>
      <c r="D400" s="142"/>
      <c r="E400" s="270" t="e">
        <f>#REF!</f>
        <v>#REF!</v>
      </c>
      <c r="F400" s="270" t="e">
        <f>#REF!</f>
        <v>#REF!</v>
      </c>
      <c r="G400" s="426"/>
    </row>
    <row r="401" spans="1:7" x14ac:dyDescent="0.2">
      <c r="A401" s="34" t="e">
        <f>A400+1</f>
        <v>#REF!</v>
      </c>
      <c r="B401" s="357"/>
      <c r="C401" s="375"/>
      <c r="D401" s="142"/>
      <c r="E401" s="270" t="e">
        <f>#REF!</f>
        <v>#REF!</v>
      </c>
      <c r="F401" s="270" t="e">
        <f>#REF!</f>
        <v>#REF!</v>
      </c>
      <c r="G401" s="426"/>
    </row>
    <row r="402" spans="1:7" x14ac:dyDescent="0.2">
      <c r="A402" s="34" t="e">
        <f>A401+1</f>
        <v>#REF!</v>
      </c>
      <c r="B402" s="357"/>
      <c r="C402" s="375"/>
      <c r="D402" s="142"/>
      <c r="E402" s="270" t="e">
        <f>#REF!</f>
        <v>#REF!</v>
      </c>
      <c r="F402" s="270" t="e">
        <f>#REF!</f>
        <v>#REF!</v>
      </c>
      <c r="G402" s="426"/>
    </row>
    <row r="403" spans="1:7" x14ac:dyDescent="0.2">
      <c r="A403" s="35" t="e">
        <f>A401+1</f>
        <v>#REF!</v>
      </c>
      <c r="B403" s="240"/>
      <c r="C403" s="248"/>
      <c r="D403" s="142"/>
      <c r="E403" s="270" t="e">
        <f>#REF!</f>
        <v>#REF!</v>
      </c>
      <c r="F403" s="270" t="e">
        <f>#REF!</f>
        <v>#REF!</v>
      </c>
      <c r="G403" s="426"/>
    </row>
    <row r="404" spans="1:7" x14ac:dyDescent="0.2">
      <c r="A404" s="37" t="e">
        <f>A403+1</f>
        <v>#REF!</v>
      </c>
      <c r="B404" s="362"/>
      <c r="C404" s="154"/>
      <c r="D404" s="154"/>
      <c r="E404" s="263" t="e">
        <f>SUM(E398:E403)</f>
        <v>#REF!</v>
      </c>
      <c r="F404" s="427"/>
      <c r="G404" s="345">
        <f>SUM(G391:G394)</f>
        <v>0</v>
      </c>
    </row>
    <row r="405" spans="1:7" x14ac:dyDescent="0.2">
      <c r="A405" s="37" t="e">
        <f>A404+1</f>
        <v>#REF!</v>
      </c>
      <c r="B405" s="357"/>
      <c r="C405" s="375"/>
      <c r="D405" s="254"/>
      <c r="E405" s="367"/>
      <c r="F405" s="428"/>
      <c r="G405" s="367"/>
    </row>
    <row r="406" spans="1:7" x14ac:dyDescent="0.2">
      <c r="A406" s="71"/>
      <c r="B406" s="191"/>
      <c r="C406" s="249"/>
      <c r="D406" s="253"/>
      <c r="E406" s="429"/>
      <c r="F406" s="423"/>
      <c r="G406" s="309"/>
    </row>
    <row r="407" spans="1:7" x14ac:dyDescent="0.2">
      <c r="A407" s="31" t="e">
        <f>A404+1</f>
        <v>#REF!</v>
      </c>
      <c r="B407" s="357"/>
      <c r="C407" s="375"/>
      <c r="D407" s="142"/>
      <c r="E407" s="270" t="e">
        <f>#REF!</f>
        <v>#REF!</v>
      </c>
      <c r="F407" s="430" t="e">
        <f>#REF!</f>
        <v>#REF!</v>
      </c>
      <c r="G407" s="367"/>
    </row>
    <row r="408" spans="1:7" x14ac:dyDescent="0.2">
      <c r="A408" s="37" t="e">
        <f>A404+1</f>
        <v>#REF!</v>
      </c>
      <c r="B408" s="357"/>
      <c r="C408" s="375"/>
      <c r="D408" s="252"/>
      <c r="E408" s="270" t="e">
        <f>#REF!</f>
        <v>#REF!</v>
      </c>
      <c r="F408" s="270" t="e">
        <f>#REF!</f>
        <v>#REF!</v>
      </c>
      <c r="G408" s="431"/>
    </row>
    <row r="409" spans="1:7" x14ac:dyDescent="0.2">
      <c r="A409" s="274"/>
      <c r="B409" s="275"/>
      <c r="C409" s="275"/>
      <c r="D409" s="275"/>
      <c r="E409" s="275"/>
      <c r="F409" s="275"/>
      <c r="G409" s="275"/>
    </row>
    <row r="410" spans="1:7" x14ac:dyDescent="0.2">
      <c r="A410" s="275"/>
      <c r="B410" s="275"/>
      <c r="C410" s="275"/>
      <c r="D410" s="275"/>
      <c r="E410" s="275"/>
      <c r="F410" s="275"/>
      <c r="G410" s="275"/>
    </row>
  </sheetData>
  <sheetProtection password="CA39" sheet="1" objects="1" scenarios="1"/>
  <phoneticPr fontId="17" type="noConversion"/>
  <conditionalFormatting sqref="F9:F34 B9:B15 D47 B16:C16 B35:C37 D43 D45 D55 D52:D53 B20:B24 C9:C14 B28:C31 B129:B148">
    <cfRule type="expression" dxfId="38" priority="1" stopIfTrue="1">
      <formula>$F$2=TRUE</formula>
    </cfRule>
  </conditionalFormatting>
  <conditionalFormatting sqref="D51 D44">
    <cfRule type="expression" dxfId="37" priority="2" stopIfTrue="1">
      <formula>$J$2=TRUE</formula>
    </cfRule>
  </conditionalFormatting>
  <conditionalFormatting sqref="H80:I85 B64:F73 H64:I73 G75:I75 B80:F85 D95 G92:H112 H114 C92:D94 G118:H122 B310:B315 F310:F314 B292:C304 D320 E391:E394 E407:F408 E398:F403">
    <cfRule type="expression" dxfId="36" priority="3" stopIfTrue="1">
      <formula>$E$2=TRUE</formula>
    </cfRule>
  </conditionalFormatting>
  <conditionalFormatting sqref="G64:G73 G80:G85 C97">
    <cfRule type="expression" dxfId="35" priority="4" stopIfTrue="1">
      <formula>$I$2=TRUE</formula>
    </cfRule>
  </conditionalFormatting>
  <conditionalFormatting sqref="B327:O346">
    <cfRule type="expression" dxfId="34" priority="5" stopIfTrue="1">
      <formula>$G$2=TRUE</formula>
    </cfRule>
  </conditionalFormatting>
  <conditionalFormatting sqref="F170:F171 F182 F157:F166 C157:C162 F193 F206 E195 F196 F200:F204 F211 D213 C178:E178 F176:F178 C176:E176">
    <cfRule type="expression" dxfId="33" priority="6" stopIfTrue="1">
      <formula>$E$2=TRUE</formula>
    </cfRule>
  </conditionalFormatting>
  <conditionalFormatting sqref="C163:C166 F181 E164:E165 E168:F168 E379:E382 E159:E162 C245:C259 G262 D247:D258 C268:C282 C284:C285 D268 D283 C356:D368 E375:E377 D292:D304">
    <cfRule type="expression" dxfId="32" priority="7" stopIfTrue="1">
      <formula>$C$2=TRUE</formula>
    </cfRule>
  </conditionalFormatting>
  <conditionalFormatting sqref="E405 C193:C196 C211:C213 D224:D235 E395 G405 G407:G408">
    <cfRule type="expression" dxfId="31" priority="8" stopIfTrue="1">
      <formula>$F$2=TRUE</formula>
    </cfRule>
  </conditionalFormatting>
  <conditionalFormatting sqref="E194 D200:E203 C204:E204 C207:F207 D211:E211 D212 E224:E235 C223:C235 D223">
    <cfRule type="expression" dxfId="30" priority="9" stopIfTrue="1">
      <formula>$D$2=TRUE</formula>
    </cfRule>
  </conditionalFormatting>
  <conditionalFormatting sqref="C310:C315 D319">
    <cfRule type="expression" dxfId="29" priority="10" stopIfTrue="1">
      <formula>$H$2=TRUE</formula>
    </cfRule>
  </conditionalFormatting>
  <conditionalFormatting sqref="E356:E368 E374">
    <cfRule type="expression" dxfId="28" priority="11" stopIfTrue="1">
      <formula>$D$2=TRUE</formula>
    </cfRule>
  </conditionalFormatting>
  <conditionalFormatting sqref="E157">
    <cfRule type="expression" dxfId="27" priority="12" stopIfTrue="1">
      <formula>$C$2=TRUE</formula>
    </cfRule>
  </conditionalFormatting>
  <pageMargins left="0.75" right="0.75" top="1" bottom="1" header="0.5" footer="0.5"/>
  <headerFooter alignWithMargins="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3">
    <pageSetUpPr fitToPage="1"/>
  </sheetPr>
  <dimension ref="A1:M27"/>
  <sheetViews>
    <sheetView showGridLines="0" showZeros="0" showOutlineSymbols="0" zoomScaleNormal="100" workbookViewId="0"/>
  </sheetViews>
  <sheetFormatPr defaultRowHeight="11.25" x14ac:dyDescent="0.15"/>
  <cols>
    <col min="1" max="1" width="7.5703125" style="527" customWidth="1"/>
    <col min="2" max="2" width="7" style="524" customWidth="1"/>
    <col min="3" max="3" width="8.5703125" style="524" customWidth="1"/>
    <col min="4" max="4" width="15.7109375" style="524" customWidth="1"/>
    <col min="5" max="5" width="15.7109375" style="767" customWidth="1"/>
    <col min="6" max="6" width="2.7109375" style="524" customWidth="1"/>
    <col min="7" max="7" width="12.7109375" style="739" customWidth="1"/>
    <col min="8" max="8" width="2.7109375" style="524" customWidth="1"/>
    <col min="9" max="16384" width="9.140625" style="524"/>
  </cols>
  <sheetData>
    <row r="1" spans="1:13" ht="15.95" customHeight="1" x14ac:dyDescent="0.15">
      <c r="A1" s="507"/>
      <c r="B1" s="509"/>
      <c r="C1" s="640"/>
      <c r="D1" s="509"/>
      <c r="E1" s="598"/>
      <c r="F1" s="641"/>
      <c r="G1" s="641"/>
      <c r="H1" s="620"/>
      <c r="I1" s="509"/>
      <c r="L1" s="523"/>
    </row>
    <row r="2" spans="1:13" s="582" customFormat="1" ht="15.75" customHeight="1" x14ac:dyDescent="0.15">
      <c r="A2" s="466" t="s">
        <v>471</v>
      </c>
      <c r="C2" s="650"/>
      <c r="D2" s="639"/>
      <c r="E2" s="659"/>
      <c r="F2" s="639"/>
      <c r="G2" s="639"/>
      <c r="H2" s="639"/>
    </row>
    <row r="3" spans="1:13" s="523" customFormat="1" x14ac:dyDescent="0.15">
      <c r="A3" s="620"/>
      <c r="B3" s="598"/>
      <c r="C3" s="578"/>
      <c r="D3" s="598"/>
      <c r="E3" s="598"/>
      <c r="F3" s="641"/>
      <c r="G3" s="641"/>
      <c r="H3" s="620"/>
      <c r="I3" s="598"/>
    </row>
    <row r="4" spans="1:13" x14ac:dyDescent="0.15">
      <c r="A4" s="867"/>
      <c r="B4" s="866"/>
      <c r="C4" s="866"/>
      <c r="D4" s="866"/>
      <c r="E4" s="868"/>
    </row>
    <row r="5" spans="1:13" ht="14.25" x14ac:dyDescent="0.2">
      <c r="A5" s="1012" t="s">
        <v>410</v>
      </c>
    </row>
    <row r="6" spans="1:13" x14ac:dyDescent="0.15">
      <c r="A6" s="527" t="s">
        <v>347</v>
      </c>
      <c r="G6" s="869"/>
    </row>
    <row r="8" spans="1:13" ht="11.25" customHeight="1" x14ac:dyDescent="0.15">
      <c r="A8" s="1206" t="s">
        <v>446</v>
      </c>
      <c r="B8" s="1206"/>
      <c r="C8" s="1206"/>
      <c r="D8" s="1206"/>
      <c r="E8" s="1206"/>
      <c r="F8" s="1206"/>
      <c r="G8" s="1206"/>
      <c r="H8" s="1206"/>
      <c r="I8" s="1206"/>
      <c r="J8" s="1206"/>
    </row>
    <row r="9" spans="1:13" x14ac:dyDescent="0.15">
      <c r="A9" s="1206"/>
      <c r="B9" s="1206"/>
      <c r="C9" s="1206"/>
      <c r="D9" s="1206"/>
      <c r="E9" s="1206"/>
      <c r="F9" s="1206"/>
      <c r="G9" s="1206"/>
      <c r="H9" s="1206"/>
      <c r="I9" s="1206"/>
      <c r="J9" s="1206"/>
    </row>
    <row r="10" spans="1:13" x14ac:dyDescent="0.15">
      <c r="A10" s="1206"/>
      <c r="B10" s="1206"/>
      <c r="C10" s="1206"/>
      <c r="D10" s="1206"/>
      <c r="E10" s="1206"/>
      <c r="F10" s="1206"/>
      <c r="G10" s="1206"/>
      <c r="H10" s="1206"/>
      <c r="I10" s="1206"/>
      <c r="J10" s="1206"/>
    </row>
    <row r="11" spans="1:13" ht="11.25" customHeight="1" x14ac:dyDescent="0.15">
      <c r="A11" s="524"/>
      <c r="E11" s="524"/>
      <c r="F11" s="1009"/>
      <c r="G11" s="1009"/>
      <c r="H11" s="1009"/>
      <c r="I11" s="1009"/>
    </row>
    <row r="12" spans="1:13" ht="12" thickBot="1" x14ac:dyDescent="0.2">
      <c r="A12" s="524"/>
      <c r="E12" s="524"/>
      <c r="F12" s="1009"/>
      <c r="G12" s="1009"/>
      <c r="H12" s="1009"/>
      <c r="I12" s="1009"/>
    </row>
    <row r="13" spans="1:13" x14ac:dyDescent="0.15">
      <c r="A13" s="1009"/>
      <c r="B13" s="473"/>
      <c r="C13" s="474" t="s">
        <v>359</v>
      </c>
      <c r="D13" s="475"/>
      <c r="E13" s="475"/>
      <c r="F13" s="475"/>
      <c r="G13" s="475"/>
      <c r="H13" s="475"/>
      <c r="I13" s="476"/>
      <c r="J13" s="476"/>
      <c r="K13" s="476"/>
      <c r="L13" s="476"/>
      <c r="M13" s="477"/>
    </row>
    <row r="14" spans="1:13" x14ac:dyDescent="0.15">
      <c r="A14" s="1009"/>
      <c r="B14" s="479"/>
      <c r="C14" s="472"/>
      <c r="D14" s="467"/>
      <c r="E14" s="467"/>
      <c r="F14" s="467"/>
      <c r="G14" s="467"/>
      <c r="H14" s="467"/>
      <c r="I14" s="452"/>
      <c r="J14" s="452"/>
      <c r="K14" s="452"/>
      <c r="L14" s="452"/>
      <c r="M14" s="480"/>
    </row>
    <row r="15" spans="1:13" ht="11.25" customHeight="1" x14ac:dyDescent="0.15">
      <c r="A15" s="1009"/>
      <c r="B15" s="479"/>
      <c r="C15" s="467"/>
      <c r="D15" s="1183" t="s">
        <v>411</v>
      </c>
      <c r="E15" s="1310"/>
      <c r="F15" s="1310"/>
      <c r="G15" s="1310"/>
      <c r="H15" s="1310"/>
      <c r="I15" s="1310"/>
      <c r="J15" s="1310"/>
      <c r="K15" s="1310"/>
      <c r="L15" s="1310"/>
      <c r="M15" s="480"/>
    </row>
    <row r="16" spans="1:13" x14ac:dyDescent="0.15">
      <c r="B16" s="479"/>
      <c r="C16" s="472"/>
      <c r="D16" s="1310"/>
      <c r="E16" s="1310"/>
      <c r="F16" s="1310"/>
      <c r="G16" s="1310"/>
      <c r="H16" s="1310"/>
      <c r="I16" s="1310"/>
      <c r="J16" s="1310"/>
      <c r="K16" s="1310"/>
      <c r="L16" s="1310"/>
      <c r="M16" s="480"/>
    </row>
    <row r="17" spans="2:13" ht="11.25" customHeight="1" x14ac:dyDescent="0.15">
      <c r="B17" s="479"/>
      <c r="C17" s="467"/>
      <c r="D17" s="1154" t="s">
        <v>361</v>
      </c>
      <c r="E17" s="1154"/>
      <c r="F17" s="1154"/>
      <c r="G17" s="1154"/>
      <c r="H17" s="1154"/>
      <c r="I17" s="1154"/>
      <c r="J17" s="1154"/>
      <c r="K17" s="1154"/>
      <c r="L17" s="1154"/>
      <c r="M17" s="480"/>
    </row>
    <row r="18" spans="2:13" x14ac:dyDescent="0.15">
      <c r="B18" s="479"/>
      <c r="C18" s="467"/>
      <c r="D18" s="1154"/>
      <c r="E18" s="1154"/>
      <c r="F18" s="1154"/>
      <c r="G18" s="1154"/>
      <c r="H18" s="1154"/>
      <c r="I18" s="1154"/>
      <c r="J18" s="1154"/>
      <c r="K18" s="1154"/>
      <c r="L18" s="1154"/>
      <c r="M18" s="480"/>
    </row>
    <row r="19" spans="2:13" x14ac:dyDescent="0.15">
      <c r="B19" s="479"/>
      <c r="C19" s="467"/>
      <c r="D19" s="1154"/>
      <c r="E19" s="1154"/>
      <c r="F19" s="1154"/>
      <c r="G19" s="1154"/>
      <c r="H19" s="1154"/>
      <c r="I19" s="1154"/>
      <c r="J19" s="1154"/>
      <c r="K19" s="1154"/>
      <c r="L19" s="1154"/>
      <c r="M19" s="480"/>
    </row>
    <row r="20" spans="2:13" ht="11.25" customHeight="1" x14ac:dyDescent="0.15">
      <c r="B20" s="479"/>
      <c r="C20" s="467"/>
      <c r="D20" s="1153" t="s">
        <v>224</v>
      </c>
      <c r="E20" s="1153"/>
      <c r="F20" s="1153"/>
      <c r="G20" s="1153"/>
      <c r="H20" s="1153"/>
      <c r="I20" s="1153"/>
      <c r="J20" s="1153"/>
      <c r="K20" s="1153"/>
      <c r="L20" s="1153"/>
      <c r="M20" s="480"/>
    </row>
    <row r="21" spans="2:13" x14ac:dyDescent="0.15">
      <c r="B21" s="479"/>
      <c r="C21" s="467"/>
      <c r="D21" s="1153"/>
      <c r="E21" s="1153"/>
      <c r="F21" s="1153"/>
      <c r="G21" s="1153"/>
      <c r="H21" s="1153"/>
      <c r="I21" s="1153"/>
      <c r="J21" s="1153"/>
      <c r="K21" s="1153"/>
      <c r="L21" s="1153"/>
      <c r="M21" s="480"/>
    </row>
    <row r="22" spans="2:13" x14ac:dyDescent="0.15">
      <c r="B22" s="479"/>
      <c r="C22" s="467"/>
      <c r="D22" s="1153"/>
      <c r="E22" s="1153"/>
      <c r="F22" s="1153"/>
      <c r="G22" s="1153"/>
      <c r="H22" s="1153"/>
      <c r="I22" s="1153"/>
      <c r="J22" s="1153"/>
      <c r="K22" s="1153"/>
      <c r="L22" s="1153"/>
      <c r="M22" s="480"/>
    </row>
    <row r="23" spans="2:13" x14ac:dyDescent="0.15">
      <c r="B23" s="479"/>
      <c r="C23" s="1020"/>
      <c r="D23" s="1026"/>
      <c r="E23" s="1026"/>
      <c r="F23" s="1026"/>
      <c r="G23" s="452"/>
      <c r="H23" s="452"/>
      <c r="I23" s="452"/>
      <c r="J23" s="452"/>
      <c r="K23" s="452"/>
      <c r="L23" s="452"/>
      <c r="M23" s="480"/>
    </row>
    <row r="24" spans="2:13" x14ac:dyDescent="0.15">
      <c r="B24" s="479"/>
      <c r="C24" s="1020"/>
      <c r="D24" s="1021" t="s">
        <v>412</v>
      </c>
      <c r="E24" s="1028"/>
      <c r="F24" s="1032"/>
      <c r="G24" s="467"/>
      <c r="H24" s="467"/>
      <c r="I24" s="472"/>
      <c r="J24" s="472"/>
      <c r="K24" s="472"/>
      <c r="L24" s="472"/>
      <c r="M24" s="483"/>
    </row>
    <row r="25" spans="2:13" ht="12" thickBot="1" x14ac:dyDescent="0.2">
      <c r="B25" s="485"/>
      <c r="C25" s="1022"/>
      <c r="D25" s="1027"/>
      <c r="E25" s="1029"/>
      <c r="F25" s="1033"/>
      <c r="G25" s="486"/>
      <c r="H25" s="486"/>
      <c r="I25" s="488"/>
      <c r="J25" s="487"/>
      <c r="K25" s="487"/>
      <c r="L25" s="489"/>
      <c r="M25" s="490"/>
    </row>
    <row r="26" spans="2:13" x14ac:dyDescent="0.15">
      <c r="D26" s="1031"/>
    </row>
    <row r="27" spans="2:13" x14ac:dyDescent="0.15">
      <c r="D27" s="1030" t="b">
        <v>1</v>
      </c>
    </row>
  </sheetData>
  <sheetProtection password="CA39" sheet="1" objects="1" scenarios="1"/>
  <mergeCells count="4">
    <mergeCell ref="A8:J10"/>
    <mergeCell ref="D15:L16"/>
    <mergeCell ref="D17:L19"/>
    <mergeCell ref="D20:L22"/>
  </mergeCells>
  <phoneticPr fontId="17" type="noConversion"/>
  <conditionalFormatting sqref="D24:E24">
    <cfRule type="expression" dxfId="11" priority="1" stopIfTrue="1">
      <formula>$D$27=TRUE</formula>
    </cfRule>
  </conditionalFormatting>
  <pageMargins left="0.39370078740157483" right="0.39370078740157483" top="0.39370078740157483" bottom="0.39370078740157483" header="0.51181102362204722" footer="0.51181102362204722"/>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4997" r:id="rId4" name="Check Box 5">
              <controlPr locked="0" defaultSize="0" autoFill="0" autoLine="0" autoPict="0">
                <anchor moveWithCells="1">
                  <from>
                    <xdr:col>2</xdr:col>
                    <xdr:colOff>457200</xdr:colOff>
                    <xdr:row>22</xdr:row>
                    <xdr:rowOff>133350</xdr:rowOff>
                  </from>
                  <to>
                    <xdr:col>3</xdr:col>
                    <xdr:colOff>200025</xdr:colOff>
                    <xdr:row>24</xdr:row>
                    <xdr:rowOff>66675</xdr:rowOff>
                  </to>
                </anchor>
              </controlPr>
            </control>
          </mc:Choice>
        </mc:AlternateContent>
        <mc:AlternateContent xmlns:mc="http://schemas.openxmlformats.org/markup-compatibility/2006">
          <mc:Choice Requires="x14">
            <control shapeId="84998" r:id="rId5" name="Check Box 6">
              <controlPr locked="0" defaultSize="0" autoFill="0" autoLine="0" autoPict="0">
                <anchor moveWithCells="1">
                  <from>
                    <xdr:col>2</xdr:col>
                    <xdr:colOff>457200</xdr:colOff>
                    <xdr:row>22</xdr:row>
                    <xdr:rowOff>133350</xdr:rowOff>
                  </from>
                  <to>
                    <xdr:col>3</xdr:col>
                    <xdr:colOff>200025</xdr:colOff>
                    <xdr:row>24</xdr:row>
                    <xdr:rowOff>66675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pageSetUpPr autoPageBreaks="0"/>
  </sheetPr>
  <dimension ref="A1:E49"/>
  <sheetViews>
    <sheetView showGridLines="0" showZeros="0" showOutlineSymbols="0" zoomScaleNormal="100" zoomScaleSheetLayoutView="100" workbookViewId="0"/>
  </sheetViews>
  <sheetFormatPr defaultRowHeight="11.25" x14ac:dyDescent="0.15"/>
  <cols>
    <col min="1" max="1" width="5.7109375" style="656" customWidth="1"/>
    <col min="2" max="2" width="91.5703125" style="515" customWidth="1"/>
    <col min="3" max="3" width="21.42578125" style="515" customWidth="1"/>
    <col min="4" max="4" width="12.7109375" style="515" customWidth="1"/>
    <col min="5" max="5" width="5.7109375" style="515" customWidth="1"/>
    <col min="6" max="16384" width="9.140625" style="515"/>
  </cols>
  <sheetData>
    <row r="1" spans="1:5" s="524" customFormat="1" ht="15.95" customHeight="1" x14ac:dyDescent="0.15">
      <c r="A1" s="507"/>
      <c r="B1" s="509"/>
      <c r="C1" s="598"/>
      <c r="E1" s="509"/>
    </row>
    <row r="2" spans="1:5" s="582" customFormat="1" ht="15.75" customHeight="1" x14ac:dyDescent="0.2">
      <c r="A2" s="657" t="str">
        <f>CONCATENATE("Vaststelling Transitiebedrag ",Voorblad!K4)</f>
        <v>Vaststelling Transitiebedrag 2013</v>
      </c>
      <c r="C2" s="650"/>
      <c r="D2" s="650"/>
      <c r="E2" s="659">
        <v>1</v>
      </c>
    </row>
    <row r="3" spans="1:5" s="514" customFormat="1" ht="12" customHeight="1" x14ac:dyDescent="0.15">
      <c r="A3" s="651"/>
    </row>
    <row r="4" spans="1:5" s="509" customFormat="1" x14ac:dyDescent="0.15">
      <c r="A4" s="507" t="s">
        <v>41</v>
      </c>
    </row>
    <row r="5" spans="1:5" s="509" customFormat="1" x14ac:dyDescent="0.15">
      <c r="A5" s="507"/>
    </row>
    <row r="6" spans="1:5" s="544" customFormat="1" ht="12.75" customHeight="1" x14ac:dyDescent="0.2">
      <c r="A6" s="652"/>
      <c r="B6" s="653"/>
      <c r="C6" s="654"/>
      <c r="D6" s="654"/>
      <c r="E6" s="655"/>
    </row>
    <row r="7" spans="1:5" s="544" customFormat="1" ht="12" customHeight="1" x14ac:dyDescent="0.15">
      <c r="A7" s="929" t="str">
        <f>Rentecalc.!A5</f>
        <v>BIJLAGE 2: CALCULATIEMODEL RENTEKOSTEN</v>
      </c>
      <c r="C7" s="654"/>
      <c r="D7" s="654"/>
      <c r="E7" s="655"/>
    </row>
    <row r="8" spans="1:5" s="544" customFormat="1" ht="20.25" customHeight="1" x14ac:dyDescent="0.2">
      <c r="A8" s="1315" t="s">
        <v>352</v>
      </c>
      <c r="B8" s="1316"/>
      <c r="C8" s="1316"/>
      <c r="D8" s="1316"/>
      <c r="E8" s="1316"/>
    </row>
    <row r="9" spans="1:5" x14ac:dyDescent="0.15">
      <c r="A9" s="929" t="str">
        <f>'A-G'!A8</f>
        <v xml:space="preserve">A. </v>
      </c>
      <c r="B9" s="929" t="str">
        <f>'A-G'!B8</f>
        <v>Boekwaarde investeringen waarvoor vergunning is verleend</v>
      </c>
      <c r="C9" s="930"/>
      <c r="D9" s="930"/>
      <c r="E9" s="930"/>
    </row>
    <row r="10" spans="1:5" ht="60" customHeight="1" x14ac:dyDescent="0.15">
      <c r="A10" s="1317" t="str">
        <f>CONCATENATE("Op regel ",'A-G'!A9," dient u de samenstelling van de boekwaarde per 31 december ",Voorblad!K4-1," volgens de jaarrekening op te nemen. Deze gegevens zijn exclusief de kosten voor onderhanden projecten van normale WZV/WTZi-procedures. Op regel ",'A-G'!A11," t/m ",'A-G'!A22," vermeldt u in de eerste kolom de aanschafwaarde van (des)investeringen die in ",Voorblad!K4," in gebruik zijn genomen c.q. buiten gebruik zijn gesteld. In de tweede kolom dient u de maandelijkse nacalculeerbare afschrijvingskosten te vermelden."," Bij desinvesteringen vermeldt u in deze kolom ook de bedragen die tot dan toe in totaal op deze investeringen zijn afgeschreven.")</f>
        <v>Op regel 401 dient u de samenstelling van de boekwaarde per 31 december 2012 volgens de jaarrekening op te nemen. Deze gegevens zijn exclusief de kosten voor onderhanden projecten van normale WZV/WTZi-procedures. Op regel 403 t/m 414 vermeldt u in de eerste kolom de aanschafwaarde van (des)investeringen die in 2013 in gebruik zijn genomen c.q. buiten gebruik zijn gesteld. In de tweede kolom dient u de maandelijkse nacalculeerbare afschrijvingskosten te vermelden. Bij desinvesteringen vermeldt u in deze kolom ook de bedragen die tot dan toe in totaal op deze investeringen zijn afgeschreven.</v>
      </c>
      <c r="B10" s="1317"/>
      <c r="C10" s="1317"/>
      <c r="D10" s="1317"/>
      <c r="E10" s="1317"/>
    </row>
    <row r="11" spans="1:5" s="509" customFormat="1" ht="15.75" customHeight="1" x14ac:dyDescent="0.15">
      <c r="A11" s="929" t="str">
        <f>'A-G'!A31</f>
        <v>B.</v>
      </c>
      <c r="B11" s="940" t="str">
        <f>'A-G'!B31</f>
        <v>Onderhanden bouwprojecten  met WZV/WTZi vergunning (geen investeringen meldingsregeling)</v>
      </c>
      <c r="C11" s="931"/>
      <c r="D11" s="931"/>
      <c r="E11" s="604"/>
    </row>
    <row r="12" spans="1:5" s="509" customFormat="1" ht="46.5" customHeight="1" x14ac:dyDescent="0.15">
      <c r="A12" s="1205" t="str">
        <f>CONCATENATE("Op regel ",'A-G'!A32," dient u in de eerste kolom de kosten voor onderhanden projecten van WZV/WTZi-vergunningen per 31 december ",Voorblad!K4-1," volgens de jaarrekening op te nemen. U kunt de bedragen vermelden in de maand waarin het uitgevoerde werk is gefactureerd."," In de factor wordt rekening gehouden met een betalingstermijn van 1 maand. In de tweede kolom vult u de onderhanden WZV/WTZi-investeringen in die in ",Voorblad!K4," in gebruik zijn genomen. ")</f>
        <v xml:space="preserve">Op regel 418 dient u in de eerste kolom de kosten voor onderhanden projecten van WZV/WTZi-vergunningen per 31 december 2012 volgens de jaarrekening op te nemen. U kunt de bedragen vermelden in de maand waarin het uitgevoerde werk is gefactureerd. In de factor wordt rekening gehouden met een betalingstermijn van 1 maand. In de tweede kolom vult u de onderhanden WZV/WTZi-investeringen in die in 2013 in gebruik zijn genomen. </v>
      </c>
      <c r="B12" s="1205"/>
      <c r="C12" s="1205"/>
      <c r="D12" s="1205"/>
      <c r="E12" s="1205"/>
    </row>
    <row r="13" spans="1:5" s="509" customFormat="1" ht="15.75" customHeight="1" x14ac:dyDescent="0.15">
      <c r="A13" s="929" t="str">
        <f>'A-G'!A53</f>
        <v xml:space="preserve">C. </v>
      </c>
      <c r="B13" s="929" t="str">
        <f>'A-G'!B53</f>
        <v>Werkelijke boekwaarde instandhoudingsinvesteringen (inclusief onderhanden werk)</v>
      </c>
      <c r="C13" s="931"/>
      <c r="D13" s="931"/>
      <c r="E13" s="604"/>
    </row>
    <row r="14" spans="1:5" s="509" customFormat="1" ht="60.75" customHeight="1" x14ac:dyDescent="0.15">
      <c r="A14" s="1312" t="str">
        <f>CONCATENATE("Op regel ",'A-G'!A54," dient u de samenstelling van de boekwaarde per 31 december ",Voorblad!K4-1," volgens de jaarrekening op te nemen. Voor instandhoudingsinvesteringen in uitvoering zijn twee varianten mogelijk."," U kunt er voor kiezen de investeringskosten aan het eind van het jaar direct te activeren en de afschrijving daarop in ",Voorblad!K4," te starten. U kunt er ook voor kiezen de investeringskosten te boeken op onderhanden werk. Alleen als u kiest voor de laatste variant dienen de regels ",'A-G'!A56," en ",'A-G'!A70," te worden ingevuld. Evenals in overzicht B wordt ook hier in de toegepaste factoren rekening gehouden met een betalingstermijn van 1 maand.")</f>
        <v>Op regel 501 dient u de samenstelling van de boekwaarde per 31 december 2012 volgens de jaarrekening op te nemen. Voor instandhoudingsinvesteringen in uitvoering zijn twee varianten mogelijk. U kunt er voor kiezen de investeringskosten aan het eind van het jaar direct te activeren en de afschrijving daarop in 2013 te starten. U kunt er ook voor kiezen de investeringskosten te boeken op onderhanden werk. Alleen als u kiest voor de laatste variant dienen de regels 503 en 517 te worden ingevuld. Evenals in overzicht B wordt ook hier in de toegepaste factoren rekening gehouden met een betalingstermijn van 1 maand.</v>
      </c>
      <c r="B14" s="1312"/>
      <c r="C14" s="1312"/>
      <c r="D14" s="1312"/>
      <c r="E14" s="1312"/>
    </row>
    <row r="15" spans="1:5" s="509" customFormat="1" ht="11.25" hidden="1" customHeight="1" x14ac:dyDescent="0.15">
      <c r="A15" s="929" t="s">
        <v>211</v>
      </c>
      <c r="B15" s="929" t="str">
        <f>'A-G'!B76</f>
        <v>Werkelijke boekwaarde medische en overige inventarissen</v>
      </c>
      <c r="C15" s="654"/>
      <c r="D15" s="654"/>
      <c r="E15" s="655"/>
    </row>
    <row r="16" spans="1:5" s="509" customFormat="1" ht="11.25" hidden="1" customHeight="1" x14ac:dyDescent="0.15">
      <c r="A16" s="1205" t="str">
        <f>CONCATENATE("U dient hier de werkelijke afschrijvingen in te vullen en deze vervolgens te vermenigvuldigen met de aangegeven factor. Het resultaat is de geschatte boekwaarde op basis van de werkelijke afschrijvingen van medische en overige inventarissen. ")</f>
        <v xml:space="preserve">U dient hier de werkelijke afschrijvingen in te vullen en deze vervolgens te vermenigvuldigen met de aangegeven factor. Het resultaat is de geschatte boekwaarde op basis van de werkelijke afschrijvingen van medische en overige inventarissen. </v>
      </c>
      <c r="B16" s="1205"/>
      <c r="C16" s="1205"/>
      <c r="D16" s="1205"/>
      <c r="E16" s="1205"/>
    </row>
    <row r="17" spans="1:5" s="509" customFormat="1" ht="11.25" hidden="1" customHeight="1" x14ac:dyDescent="0.15">
      <c r="A17" s="929" t="s">
        <v>212</v>
      </c>
      <c r="B17" s="929" t="s">
        <v>213</v>
      </c>
      <c r="C17" s="654"/>
      <c r="D17" s="654"/>
      <c r="E17" s="655"/>
    </row>
    <row r="18" spans="1:5" s="509" customFormat="1" ht="11.25" hidden="1" customHeight="1" x14ac:dyDescent="0.15">
      <c r="A18" s="1205" t="s">
        <v>409</v>
      </c>
      <c r="B18" s="1205"/>
      <c r="C18" s="1205"/>
      <c r="D18" s="1205"/>
      <c r="E18" s="1205"/>
    </row>
    <row r="19" spans="1:5" s="509" customFormat="1" ht="11.25" hidden="1" customHeight="1" x14ac:dyDescent="0.15">
      <c r="A19" s="507" t="s">
        <v>58</v>
      </c>
    </row>
    <row r="20" spans="1:5" s="509" customFormat="1" ht="11.25" hidden="1" customHeight="1" x14ac:dyDescent="0.15">
      <c r="A20" s="507" t="s">
        <v>59</v>
      </c>
    </row>
    <row r="21" spans="1:5" s="509" customFormat="1" ht="11.25" hidden="1" customHeight="1" x14ac:dyDescent="0.15">
      <c r="A21" s="507" t="s">
        <v>60</v>
      </c>
    </row>
    <row r="22" spans="1:5" s="509" customFormat="1" ht="11.25" hidden="1" customHeight="1" x14ac:dyDescent="0.15">
      <c r="A22" s="507" t="s">
        <v>61</v>
      </c>
    </row>
    <row r="23" spans="1:5" s="509" customFormat="1" ht="11.25" hidden="1" customHeight="1" x14ac:dyDescent="0.15">
      <c r="A23" s="507" t="s">
        <v>62</v>
      </c>
    </row>
    <row r="24" spans="1:5" s="509" customFormat="1" ht="11.25" hidden="1" customHeight="1" x14ac:dyDescent="0.15">
      <c r="A24" s="507" t="s">
        <v>63</v>
      </c>
    </row>
    <row r="25" spans="1:5" s="509" customFormat="1" ht="11.25" hidden="1" customHeight="1" x14ac:dyDescent="0.15">
      <c r="A25" s="507" t="s">
        <v>64</v>
      </c>
    </row>
    <row r="26" spans="1:5" s="509" customFormat="1" ht="11.25" hidden="1" customHeight="1" x14ac:dyDescent="0.15">
      <c r="A26" s="507" t="s">
        <v>65</v>
      </c>
    </row>
    <row r="27" spans="1:5" s="509" customFormat="1" x14ac:dyDescent="0.15">
      <c r="A27" s="507" t="s">
        <v>211</v>
      </c>
      <c r="B27" s="507" t="s">
        <v>372</v>
      </c>
      <c r="C27" s="650"/>
      <c r="D27" s="650"/>
      <c r="E27" s="659"/>
    </row>
    <row r="28" spans="1:5" s="509" customFormat="1" ht="28.15" customHeight="1" x14ac:dyDescent="0.15">
      <c r="A28" s="1318" t="s">
        <v>2</v>
      </c>
      <c r="B28" s="1318"/>
      <c r="C28" s="1318"/>
      <c r="D28" s="1318"/>
      <c r="E28" s="1318"/>
    </row>
    <row r="29" spans="1:5" s="509" customFormat="1" ht="17.25" customHeight="1" x14ac:dyDescent="0.15">
      <c r="A29" s="507" t="s">
        <v>212</v>
      </c>
      <c r="B29" s="507" t="s">
        <v>213</v>
      </c>
      <c r="C29" s="650"/>
      <c r="D29" s="650"/>
      <c r="E29" s="659"/>
    </row>
    <row r="30" spans="1:5" s="509" customFormat="1" ht="61.5" customHeight="1" x14ac:dyDescent="0.15">
      <c r="A30" s="1318" t="s">
        <v>448</v>
      </c>
      <c r="B30" s="1318"/>
      <c r="C30" s="1318"/>
      <c r="D30" s="1318"/>
      <c r="E30" s="1318"/>
    </row>
    <row r="31" spans="1:5" s="509" customFormat="1" ht="43.15" customHeight="1" x14ac:dyDescent="0.15">
      <c r="A31" s="1318" t="s">
        <v>449</v>
      </c>
      <c r="B31" s="1318"/>
      <c r="C31" s="1318"/>
      <c r="D31" s="1318"/>
      <c r="E31" s="1318"/>
    </row>
    <row r="32" spans="1:5" s="509" customFormat="1" ht="12.75" customHeight="1" x14ac:dyDescent="0.15">
      <c r="A32" s="924"/>
      <c r="B32" s="924"/>
      <c r="C32" s="924"/>
      <c r="D32" s="924"/>
      <c r="E32" s="924"/>
    </row>
    <row r="33" spans="1:5" s="509" customFormat="1" ht="11.25" customHeight="1" x14ac:dyDescent="0.15">
      <c r="A33" s="657" t="str">
        <f>CONCATENATE("Nacalculatieformulier ",Voorblad!D37)</f>
        <v xml:space="preserve">Nacalculatieformulier </v>
      </c>
      <c r="B33" s="582"/>
      <c r="C33" s="650"/>
      <c r="D33" s="650"/>
      <c r="E33" s="659">
        <f>E2+1</f>
        <v>2</v>
      </c>
    </row>
    <row r="34" spans="1:5" s="509" customFormat="1" x14ac:dyDescent="0.15">
      <c r="A34" s="657"/>
      <c r="B34" s="582"/>
      <c r="C34" s="650"/>
      <c r="D34" s="650"/>
      <c r="E34" s="659"/>
    </row>
    <row r="35" spans="1:5" s="509" customFormat="1" ht="15" customHeight="1" x14ac:dyDescent="0.15">
      <c r="A35" s="507" t="str">
        <f>H!A7</f>
        <v xml:space="preserve">H. </v>
      </c>
      <c r="B35" s="507" t="str">
        <f>H!B7</f>
        <v>Langlopende leningen (incl. langlopende leasecontracten)</v>
      </c>
      <c r="C35" s="519"/>
      <c r="D35" s="519"/>
    </row>
    <row r="36" spans="1:5" s="582" customFormat="1" ht="24" customHeight="1" x14ac:dyDescent="0.2">
      <c r="A36" s="1208" t="str">
        <f>CONCATENATE("1. In de kolom 'Datum normrente' moet voor leningen die vanaf 2001 zijn afgesloten de datum worden vermeld waarop het berekende normpercentage is vastgesteld. Dit is datum waarop de leningsovereenkomst tot stand is gekomen.")</f>
        <v>1. In de kolom 'Datum normrente' moet voor leningen die vanaf 2001 zijn afgesloten de datum worden vermeld waarop het berekende normpercentage is vastgesteld. Dit is datum waarop de leningsovereenkomst tot stand is gekomen.</v>
      </c>
      <c r="B36" s="1208"/>
      <c r="C36" s="1208"/>
      <c r="D36" s="1208"/>
      <c r="E36" s="1208"/>
    </row>
    <row r="37" spans="1:5" s="544" customFormat="1" ht="62.25" customHeight="1" x14ac:dyDescent="0.2">
      <c r="A37" s="1208" t="str">
        <f>CONCATENATE("2. In de kolom 'einddatum rentevastperiode' dient de datum worden opgenomen waarop het huidige rentepercentage expireert. Als een bestaande lening in ",Voorblad!K4,"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f>
        <v>2. In de kolom 'einddatum rentevastperiode' dient de datum worden opgenomen waarop het huidige rentepercentage expireert. Als een bestaande lening in 2013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v>
      </c>
      <c r="B37" s="1208"/>
      <c r="C37" s="1208"/>
      <c r="D37" s="1208"/>
      <c r="E37" s="1208"/>
    </row>
    <row r="38" spans="1:5" s="509" customFormat="1" ht="39" customHeight="1" x14ac:dyDescent="0.15">
      <c r="A38" s="1208" t="s">
        <v>141</v>
      </c>
      <c r="B38" s="1208"/>
      <c r="C38" s="1208"/>
      <c r="D38" s="1208"/>
      <c r="E38" s="1208"/>
    </row>
    <row r="39" spans="1:5" s="509" customFormat="1" ht="50.45" customHeight="1" x14ac:dyDescent="0.15">
      <c r="A39" s="1208" t="s">
        <v>140</v>
      </c>
      <c r="B39" s="1208"/>
      <c r="C39" s="1208"/>
      <c r="D39" s="1208"/>
      <c r="E39" s="1208"/>
    </row>
    <row r="40" spans="1:5" s="509" customFormat="1" ht="47.45" customHeight="1" x14ac:dyDescent="0.15">
      <c r="A40" s="1313" t="str">
        <f>CONCATENATE("4. In de kolommen van 'Storting/Aflossing ",Voorblad!K4,"'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f>
        <v>4. In de kolommen van 'Storting/Aflossing 2013'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v>
      </c>
      <c r="B40" s="1314"/>
      <c r="C40" s="1314"/>
      <c r="D40" s="1314"/>
      <c r="E40" s="1314"/>
    </row>
    <row r="41" spans="1:5" s="509" customFormat="1" ht="28.5" customHeight="1" x14ac:dyDescent="0.15">
      <c r="A41" s="1314" t="s">
        <v>142</v>
      </c>
      <c r="B41" s="1314"/>
      <c r="C41" s="1314"/>
      <c r="D41" s="1314"/>
      <c r="E41" s="1314"/>
    </row>
    <row r="42" spans="1:5" s="509" customFormat="1" ht="12.75" customHeight="1" x14ac:dyDescent="0.15"/>
    <row r="43" spans="1:5" ht="11.25" customHeight="1" x14ac:dyDescent="0.15">
      <c r="A43" s="507" t="str">
        <f>'I-J'!A6</f>
        <v xml:space="preserve">I. </v>
      </c>
      <c r="B43" s="507" t="str">
        <f>'I-J'!B6</f>
        <v>Eigen vermogen</v>
      </c>
      <c r="C43" s="509"/>
      <c r="D43" s="509"/>
      <c r="E43" s="509"/>
    </row>
    <row r="44" spans="1:5" ht="60" customHeight="1" x14ac:dyDescent="0.15">
      <c r="A44" s="1311" t="s">
        <v>450</v>
      </c>
      <c r="B44" s="1311"/>
      <c r="C44" s="1311"/>
      <c r="D44" s="1311"/>
      <c r="E44" s="1311"/>
    </row>
    <row r="45" spans="1:5" ht="57" customHeight="1" x14ac:dyDescent="0.15">
      <c r="A45" s="1208" t="s">
        <v>420</v>
      </c>
      <c r="B45" s="1208"/>
      <c r="C45" s="1208"/>
      <c r="D45" s="1208"/>
      <c r="E45" s="1208"/>
    </row>
    <row r="46" spans="1:5" ht="11.25" customHeight="1" x14ac:dyDescent="0.15">
      <c r="A46" s="518" t="str">
        <f>'I-J'!A25</f>
        <v xml:space="preserve">J. </v>
      </c>
      <c r="B46" s="518" t="str">
        <f>'I-J'!B25</f>
        <v>Rentekosten langlopende leningen</v>
      </c>
      <c r="C46" s="509"/>
      <c r="D46" s="509"/>
      <c r="E46" s="509"/>
    </row>
    <row r="47" spans="1:5" ht="38.25" customHeight="1" x14ac:dyDescent="0.15">
      <c r="A47" s="1208" t="s">
        <v>421</v>
      </c>
      <c r="B47" s="1208"/>
      <c r="C47" s="1208"/>
      <c r="D47" s="1208"/>
      <c r="E47" s="1208"/>
    </row>
    <row r="48" spans="1:5" x14ac:dyDescent="0.15">
      <c r="A48" s="507"/>
      <c r="B48" s="509"/>
      <c r="C48" s="509"/>
      <c r="D48" s="509"/>
      <c r="E48" s="509"/>
    </row>
    <row r="49" spans="1:5" ht="11.25" customHeight="1" x14ac:dyDescent="0.15">
      <c r="A49" s="507"/>
      <c r="B49" s="509"/>
      <c r="C49" s="509"/>
      <c r="D49" s="509"/>
      <c r="E49" s="509"/>
    </row>
  </sheetData>
  <sheetProtection password="CA39" sheet="1" objects="1" scenarios="1"/>
  <mergeCells count="18">
    <mergeCell ref="A8:E8"/>
    <mergeCell ref="A10:E10"/>
    <mergeCell ref="A41:E41"/>
    <mergeCell ref="A36:E36"/>
    <mergeCell ref="A37:E37"/>
    <mergeCell ref="A12:E12"/>
    <mergeCell ref="A38:E38"/>
    <mergeCell ref="A28:E28"/>
    <mergeCell ref="A30:E30"/>
    <mergeCell ref="A31:E31"/>
    <mergeCell ref="A45:E45"/>
    <mergeCell ref="A47:E47"/>
    <mergeCell ref="A44:E44"/>
    <mergeCell ref="A14:E14"/>
    <mergeCell ref="A40:E40"/>
    <mergeCell ref="A18:E18"/>
    <mergeCell ref="A16:E16"/>
    <mergeCell ref="A39:E39"/>
  </mergeCells>
  <phoneticPr fontId="17" type="noConversion"/>
  <pageMargins left="0.39370078740157483" right="0.39370078740157483" top="0.39370078740157483" bottom="0.39370078740157483" header="0.51181102362204722" footer="0.51181102362204722"/>
  <pageSetup paperSize="9" orientation="landscape" horizontalDpi="300" verticalDpi="300" r:id="rId1"/>
  <headerFooter alignWithMargins="0"/>
  <rowBreaks count="1" manualBreakCount="1">
    <brk id="31" max="4" man="1"/>
  </rowBreaks>
  <drawing r:id="rId2"/>
  <legacyDrawing r:id="rId3"/>
  <oleObjects>
    <mc:AlternateContent xmlns:mc="http://schemas.openxmlformats.org/markup-compatibility/2006">
      <mc:Choice Requires="x14">
        <oleObject progId="MSPhotoEd.3" shapeId="83984" r:id="rId4">
          <objectPr defaultSize="0" autoPict="0" r:id="rId5">
            <anchor moveWithCells="1" sizeWithCells="1">
              <from>
                <xdr:col>2</xdr:col>
                <xdr:colOff>752475</xdr:colOff>
                <xdr:row>5</xdr:row>
                <xdr:rowOff>0</xdr:rowOff>
              </from>
              <to>
                <xdr:col>4</xdr:col>
                <xdr:colOff>9525</xdr:colOff>
                <xdr:row>5</xdr:row>
                <xdr:rowOff>0</xdr:rowOff>
              </to>
            </anchor>
          </objectPr>
        </oleObject>
      </mc:Choice>
      <mc:Fallback>
        <oleObject progId="MSPhotoEd.3" shapeId="83984" r:id="rId4"/>
      </mc:Fallback>
    </mc:AlternateContent>
    <mc:AlternateContent xmlns:mc="http://schemas.openxmlformats.org/markup-compatibility/2006">
      <mc:Choice Requires="x14">
        <oleObject progId="MSPhotoEd.3" shapeId="83985" r:id="rId6">
          <objectPr defaultSize="0" autoPict="0" r:id="rId5">
            <anchor moveWithCells="1" sizeWithCells="1">
              <from>
                <xdr:col>2</xdr:col>
                <xdr:colOff>762000</xdr:colOff>
                <xdr:row>1</xdr:row>
                <xdr:rowOff>47625</xdr:rowOff>
              </from>
              <to>
                <xdr:col>4</xdr:col>
                <xdr:colOff>19050</xdr:colOff>
                <xdr:row>1</xdr:row>
                <xdr:rowOff>190500</xdr:rowOff>
              </to>
            </anchor>
          </objectPr>
        </oleObject>
      </mc:Choice>
      <mc:Fallback>
        <oleObject progId="MSPhotoEd.3" shapeId="83985" r:id="rId6"/>
      </mc:Fallback>
    </mc:AlternateContent>
    <mc:AlternateContent xmlns:mc="http://schemas.openxmlformats.org/markup-compatibility/2006">
      <mc:Choice Requires="x14">
        <oleObject progId="MSPhotoEd.3" shapeId="83986" r:id="rId7">
          <objectPr defaultSize="0" autoPict="0" r:id="rId5">
            <anchor moveWithCells="1" sizeWithCells="1">
              <from>
                <xdr:col>2</xdr:col>
                <xdr:colOff>714375</xdr:colOff>
                <xdr:row>32</xdr:row>
                <xdr:rowOff>38100</xdr:rowOff>
              </from>
              <to>
                <xdr:col>3</xdr:col>
                <xdr:colOff>819150</xdr:colOff>
                <xdr:row>33</xdr:row>
                <xdr:rowOff>38100</xdr:rowOff>
              </to>
            </anchor>
          </objectPr>
        </oleObject>
      </mc:Choice>
      <mc:Fallback>
        <oleObject progId="MSPhotoEd.3" shapeId="83986" r:id="rId7"/>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7">
    <pageSetUpPr autoPageBreaks="0" fitToPage="1"/>
  </sheetPr>
  <dimension ref="A1:R39"/>
  <sheetViews>
    <sheetView showGridLines="0" showZeros="0" showOutlineSymbols="0" zoomScaleNormal="86" workbookViewId="0">
      <selection activeCell="F24" sqref="F24"/>
    </sheetView>
  </sheetViews>
  <sheetFormatPr defaultRowHeight="11.25" x14ac:dyDescent="0.15"/>
  <cols>
    <col min="1" max="1" width="6.28515625" style="581" customWidth="1"/>
    <col min="2" max="2" width="25.7109375" style="524" customWidth="1"/>
    <col min="3" max="3" width="43.85546875" style="634" customWidth="1"/>
    <col min="4" max="4" width="39.7109375" style="509" customWidth="1"/>
    <col min="5" max="5" width="16.7109375" style="524" customWidth="1"/>
    <col min="6" max="6" width="15.85546875" style="524" customWidth="1"/>
    <col min="7" max="7" width="3.42578125" style="524" customWidth="1"/>
    <col min="8" max="8" width="9" style="527" bestFit="1" customWidth="1"/>
    <col min="9" max="16384" width="9.140625" style="524"/>
  </cols>
  <sheetData>
    <row r="1" spans="1:11" ht="15.95" customHeight="1" x14ac:dyDescent="0.15">
      <c r="A1" s="507"/>
      <c r="B1" s="509"/>
      <c r="C1" s="509"/>
      <c r="D1" s="640"/>
      <c r="E1" s="829"/>
      <c r="F1" s="641"/>
      <c r="G1" s="620"/>
      <c r="H1" s="509"/>
      <c r="K1" s="523"/>
    </row>
    <row r="2" spans="1:11" s="582" customFormat="1" ht="15.75" customHeight="1" x14ac:dyDescent="0.2">
      <c r="A2" s="657" t="str">
        <f>CONCATENATE("Vaststelling Transitiebedrag ",Voorblad!K4)</f>
        <v>Vaststelling Transitiebedrag 2013</v>
      </c>
      <c r="C2" s="639"/>
      <c r="D2" s="650" t="b">
        <f>'Bijlage 2 Rentecalc.'!D27</f>
        <v>1</v>
      </c>
      <c r="E2" s="659">
        <f>toelichting!E33+1</f>
        <v>3</v>
      </c>
    </row>
    <row r="3" spans="1:11" s="523" customFormat="1" x14ac:dyDescent="0.15">
      <c r="A3" s="620"/>
      <c r="B3" s="598"/>
      <c r="C3" s="598"/>
      <c r="D3" s="578"/>
      <c r="E3" s="598"/>
      <c r="F3" s="641"/>
      <c r="G3" s="620"/>
      <c r="H3" s="598"/>
    </row>
    <row r="4" spans="1:11" ht="12.75" customHeight="1" x14ac:dyDescent="0.15">
      <c r="A4" s="507"/>
      <c r="B4" s="621"/>
      <c r="C4" s="621"/>
      <c r="D4" s="621"/>
      <c r="E4" s="622"/>
      <c r="F4" s="828"/>
      <c r="G4" s="622"/>
      <c r="H4" s="622"/>
    </row>
    <row r="5" spans="1:11" ht="12.75" customHeight="1" x14ac:dyDescent="0.15">
      <c r="A5" s="513" t="s">
        <v>410</v>
      </c>
      <c r="C5" s="524"/>
      <c r="D5" s="524"/>
      <c r="G5" s="623"/>
      <c r="H5" s="624"/>
    </row>
    <row r="6" spans="1:11" s="605" customFormat="1" ht="12.75" customHeight="1" x14ac:dyDescent="0.15">
      <c r="A6" s="524"/>
      <c r="B6" s="524"/>
      <c r="C6" s="524"/>
      <c r="D6" s="524"/>
      <c r="E6" s="524"/>
      <c r="F6" s="524"/>
      <c r="G6" s="623"/>
      <c r="H6" s="624"/>
    </row>
    <row r="7" spans="1:11" ht="12.75" customHeight="1" x14ac:dyDescent="0.2">
      <c r="A7" s="1213" t="str">
        <f>IF(Voorblad!$F$9&lt;1,"Vul het NZa-nummer in op het voorblad","")</f>
        <v>Vul het NZa-nummer in op het voorblad</v>
      </c>
      <c r="B7" s="1214"/>
      <c r="C7" s="1214"/>
      <c r="E7" s="625" t="s">
        <v>321</v>
      </c>
    </row>
    <row r="8" spans="1:11" ht="12.75" customHeight="1" x14ac:dyDescent="0.15">
      <c r="A8" s="830" t="s">
        <v>331</v>
      </c>
      <c r="C8" s="533"/>
      <c r="E8" s="626"/>
    </row>
    <row r="9" spans="1:11" ht="12.75" customHeight="1" x14ac:dyDescent="0.15">
      <c r="A9" s="638">
        <f>(E2*100)+1</f>
        <v>301</v>
      </c>
      <c r="B9" s="831" t="str">
        <f>CONCATENATE('A-G'!B8," (regel ",'A-G'!A23," bijlage ",LEFT('A-G'!A8,1),")")</f>
        <v>Boekwaarde investeringen waarvoor vergunning is verleend (regel 415 bijlage A)</v>
      </c>
      <c r="C9" s="832"/>
      <c r="D9" s="627"/>
      <c r="E9" s="628">
        <f>'A-G'!G23</f>
        <v>0</v>
      </c>
    </row>
    <row r="10" spans="1:11" ht="12.75" customHeight="1" x14ac:dyDescent="0.15">
      <c r="A10" s="812">
        <f t="shared" ref="A10:A15" si="0">A9+1</f>
        <v>302</v>
      </c>
      <c r="B10" s="833" t="str">
        <f>CONCATENATE('A-G'!B31," (regel ",'A-G'!A45," bijlage ",LEFT('A-G'!A31,1),")")</f>
        <v>Onderhanden bouwprojecten  met WZV/WTZi vergunning (geen investeringen meldingsregeling) (regel 431 bijlage B)</v>
      </c>
      <c r="C10" s="833"/>
      <c r="D10" s="834"/>
      <c r="E10" s="628">
        <f>'A-G'!G45</f>
        <v>0</v>
      </c>
    </row>
    <row r="11" spans="1:11" ht="12.75" customHeight="1" x14ac:dyDescent="0.15">
      <c r="A11" s="812">
        <f t="shared" si="0"/>
        <v>303</v>
      </c>
      <c r="B11" s="833" t="str">
        <f>CONCATENATE('A-G'!B53," (regel ",'A-G'!A71," bijlage ",LEFT('A-G'!A53,1),")")</f>
        <v>Werkelijke boekwaarde instandhoudingsinvesteringen (inclusief onderhanden werk) (regel 518 bijlage C)</v>
      </c>
      <c r="C11" s="833"/>
      <c r="D11" s="834"/>
      <c r="E11" s="628">
        <f>'A-G'!G71</f>
        <v>0</v>
      </c>
    </row>
    <row r="12" spans="1:11" ht="12.75" customHeight="1" x14ac:dyDescent="0.15">
      <c r="A12" s="812">
        <f t="shared" si="0"/>
        <v>304</v>
      </c>
      <c r="B12" s="833" t="str">
        <f>CONCATENATE('A-G'!B76," (regel ",'A-G'!A88," bijlage ",LEFT('A-G'!A76,1),")")</f>
        <v>Werkelijke boekwaarde medische en overige inventarissen (regel 530 bijlage D)</v>
      </c>
      <c r="C12" s="833"/>
      <c r="D12" s="834"/>
      <c r="E12" s="628">
        <f>'A-G'!G88</f>
        <v>0</v>
      </c>
    </row>
    <row r="13" spans="1:11" ht="12.75" customHeight="1" x14ac:dyDescent="0.15">
      <c r="A13" s="812">
        <f t="shared" si="0"/>
        <v>305</v>
      </c>
      <c r="B13" s="833" t="str">
        <f>CONCATENATE('A-G'!B91," (regel ",'A-G'!A94," bijlage ",LEFT('A-G'!A91,1),")")</f>
        <v>Normatief werkkapitaal (regel 533 bijlage F)</v>
      </c>
      <c r="C13" s="835"/>
      <c r="D13" s="773"/>
      <c r="E13" s="629">
        <f>'A-G'!G94</f>
        <v>0</v>
      </c>
    </row>
    <row r="14" spans="1:11" ht="12.75" customHeight="1" x14ac:dyDescent="0.15">
      <c r="A14" s="812">
        <f t="shared" si="0"/>
        <v>306</v>
      </c>
      <c r="B14" s="833" t="str">
        <f>CONCATENATE('A-G'!B99," (regel ",'A-G'!A123,")")</f>
        <v>Nog in tarieven te verrekenen kosten/opbrengsten (regel 619)</v>
      </c>
      <c r="C14" s="835"/>
      <c r="D14" s="773"/>
      <c r="E14" s="629">
        <f>'A-G'!G123</f>
        <v>0</v>
      </c>
    </row>
    <row r="15" spans="1:11" ht="12.75" customHeight="1" x14ac:dyDescent="0.15">
      <c r="A15" s="812">
        <f t="shared" si="0"/>
        <v>307</v>
      </c>
      <c r="B15" s="836" t="str">
        <f>CONCATENATE("Totaal in aanmerking te nemen activa (regel ",A9," t/m ",A14,")")</f>
        <v>Totaal in aanmerking te nemen activa (regel 301 t/m 306)</v>
      </c>
      <c r="C15" s="719"/>
      <c r="D15" s="837"/>
      <c r="E15" s="532">
        <f>SUM(E9:E14)</f>
        <v>0</v>
      </c>
    </row>
    <row r="16" spans="1:11" ht="12.75" customHeight="1" x14ac:dyDescent="0.15">
      <c r="A16" s="830" t="s">
        <v>332</v>
      </c>
      <c r="C16" s="630"/>
      <c r="D16" s="630"/>
      <c r="E16" s="630"/>
    </row>
    <row r="17" spans="1:18" ht="12.75" customHeight="1" x14ac:dyDescent="0.15">
      <c r="A17" s="812">
        <f>A15+1</f>
        <v>308</v>
      </c>
      <c r="B17" s="831" t="str">
        <f>CONCATENATE(H!B7," (regel ",H!A41," bijlage ",LEFT(H!A7,1),")")</f>
        <v>Langlopende leningen (incl. langlopende leasecontracten) (regel 734 bijlage H)</v>
      </c>
      <c r="C17" s="832"/>
      <c r="D17" s="627"/>
      <c r="E17" s="628">
        <f>H!R41</f>
        <v>0</v>
      </c>
    </row>
    <row r="18" spans="1:18" ht="12.75" customHeight="1" x14ac:dyDescent="0.15">
      <c r="A18" s="812">
        <f>A17+1</f>
        <v>309</v>
      </c>
      <c r="B18" s="838" t="str">
        <f>CONCATENATE('I-J'!B6," (regel ",'I-J'!A21," bijlage ",LEFT('I-J'!A6,1),")")</f>
        <v>Eigen vermogen (regel 915 bijlage I)</v>
      </c>
      <c r="C18" s="838"/>
      <c r="D18" s="839"/>
      <c r="E18" s="629">
        <f>'I-J'!E21</f>
        <v>0</v>
      </c>
    </row>
    <row r="19" spans="1:18" ht="12.75" customHeight="1" x14ac:dyDescent="0.15">
      <c r="A19" s="812">
        <f>A18+1</f>
        <v>310</v>
      </c>
      <c r="B19" s="840" t="str">
        <f>CONCATENATE("Totaal in aanmerking te nemen passiva (regel ",A17," + ",A18,")")</f>
        <v>Totaal in aanmerking te nemen passiva (regel 308 + 309)</v>
      </c>
      <c r="C19" s="746"/>
      <c r="D19" s="837"/>
      <c r="E19" s="593">
        <f>E17+E18</f>
        <v>0</v>
      </c>
    </row>
    <row r="20" spans="1:18" ht="12.75" customHeight="1" x14ac:dyDescent="0.15">
      <c r="A20" s="523"/>
      <c r="B20" s="523"/>
      <c r="C20" s="630"/>
      <c r="D20" s="630"/>
      <c r="E20" s="630"/>
    </row>
    <row r="21" spans="1:18" ht="12.75" customHeight="1" x14ac:dyDescent="0.15">
      <c r="A21" s="812">
        <f>A19+1</f>
        <v>311</v>
      </c>
      <c r="B21" s="841" t="str">
        <f>CONCATENATE("Verschil tussen activa en passiva (regel ",A15," -/- ",A19,")")</f>
        <v>Verschil tussen activa en passiva (regel 307 -/- 310)</v>
      </c>
      <c r="C21" s="746"/>
      <c r="D21" s="837"/>
      <c r="E21" s="532">
        <f>E15-E19</f>
        <v>0</v>
      </c>
    </row>
    <row r="22" spans="1:18" ht="12.75" customHeight="1" x14ac:dyDescent="0.15">
      <c r="A22" s="812">
        <f>A21+1</f>
        <v>312</v>
      </c>
      <c r="B22" s="623" t="s">
        <v>134</v>
      </c>
      <c r="C22" s="842"/>
      <c r="D22" s="842"/>
      <c r="E22" s="631">
        <f>IF(E18&gt;E13,80%*(E9+SUM(E11:E13)-E18),0.8*(E9+SUM(E11:E12)))</f>
        <v>0</v>
      </c>
      <c r="F22" s="527"/>
    </row>
    <row r="23" spans="1:18" ht="12.75" customHeight="1" x14ac:dyDescent="0.15">
      <c r="A23" s="812">
        <f>A22+1</f>
        <v>313</v>
      </c>
      <c r="B23" s="843" t="s">
        <v>108</v>
      </c>
      <c r="C23" s="746"/>
      <c r="D23" s="837"/>
      <c r="E23" s="632">
        <f>IF(E22&gt;E17,E22-E17,0)</f>
        <v>0</v>
      </c>
      <c r="F23" s="527"/>
    </row>
    <row r="24" spans="1:18" ht="12.75" customHeight="1" x14ac:dyDescent="0.15">
      <c r="A24" s="812">
        <f>A23+1</f>
        <v>314</v>
      </c>
      <c r="B24" s="831" t="s">
        <v>100</v>
      </c>
      <c r="C24" s="844"/>
      <c r="D24" s="845"/>
      <c r="E24" s="633"/>
      <c r="F24" s="605"/>
    </row>
    <row r="25" spans="1:18" ht="12.75" customHeight="1" x14ac:dyDescent="0.15">
      <c r="A25" s="527" t="s">
        <v>317</v>
      </c>
      <c r="C25" s="523"/>
      <c r="D25" s="524"/>
    </row>
    <row r="26" spans="1:18" ht="12.75" customHeight="1" x14ac:dyDescent="0.15">
      <c r="A26" s="812">
        <f>A24+1</f>
        <v>315</v>
      </c>
      <c r="B26" s="833" t="str">
        <f>CONCATENATE('I-J'!B25," (regel ",'I-J'!A28," bijlage ",LEFT('I-J'!A25,1),")")</f>
        <v>Rentekosten langlopende leningen (regel 918 bijlage J)</v>
      </c>
      <c r="C26" s="832"/>
      <c r="D26" s="846"/>
      <c r="E26" s="628">
        <f>'I-J'!E28</f>
        <v>0</v>
      </c>
    </row>
    <row r="27" spans="1:18" ht="12.75" customHeight="1" x14ac:dyDescent="0.15">
      <c r="A27" s="812">
        <f>A26+1</f>
        <v>316</v>
      </c>
      <c r="B27" s="833" t="str">
        <f>CONCATENATE("Normrente over verschil activa en passiva (",E35*100,"% van regel ",A21,")")</f>
        <v>Normrente over verschil activa en passiva (0,88% van regel 311)</v>
      </c>
      <c r="C27" s="832"/>
      <c r="D27" s="846"/>
      <c r="E27" s="628">
        <f>E35*(E21)</f>
        <v>0</v>
      </c>
    </row>
    <row r="28" spans="1:18" s="605" customFormat="1" ht="12.75" customHeight="1" x14ac:dyDescent="0.15">
      <c r="A28" s="812">
        <f>A27+1</f>
        <v>317</v>
      </c>
      <c r="B28" s="838" t="str">
        <f>CONCATENATE("Inflatievergoeding over eigen vermogen ",E36*100,"% over regel ",'I-J'!A21," bijlage ",LEFT('I-J'!A6,1)," (exclusief instandhoudingsreserve)*")</f>
        <v>Inflatievergoeding over eigen vermogen 2,88% over regel 915 bijlage I (exclusief instandhoudingsreserve)*</v>
      </c>
      <c r="C28" s="833"/>
      <c r="D28" s="834"/>
      <c r="E28" s="1038">
        <f>IF(('I-J'!E21-'I-J'!E13)&gt;0,E36*('I-J'!E21-'I-J'!E13),0)</f>
        <v>0</v>
      </c>
      <c r="F28" s="1039"/>
      <c r="H28" s="1039"/>
    </row>
    <row r="29" spans="1:18" ht="12.75" customHeight="1" x14ac:dyDescent="0.15">
      <c r="A29" s="812">
        <f>A28+1</f>
        <v>318</v>
      </c>
      <c r="B29" s="840" t="str">
        <f>CONCATENATE("Totaal aanvaardbare rentekosten (regel ",A26," tot en met ",A28,")")</f>
        <v>Totaal aanvaardbare rentekosten (regel 315 tot en met 317)</v>
      </c>
      <c r="C29" s="746"/>
      <c r="D29" s="837"/>
      <c r="E29" s="532">
        <f>E26+E27+E28</f>
        <v>0</v>
      </c>
    </row>
    <row r="31" spans="1:18" ht="11.25" customHeight="1" x14ac:dyDescent="0.2">
      <c r="A31" s="812">
        <f>A29+1</f>
        <v>319</v>
      </c>
      <c r="B31" s="840" t="s">
        <v>418</v>
      </c>
      <c r="C31" s="746"/>
      <c r="D31" s="837"/>
      <c r="E31" s="633"/>
      <c r="F31" s="1010"/>
      <c r="G31" s="1010"/>
      <c r="H31" s="1010"/>
      <c r="I31" s="1010"/>
      <c r="J31" s="1010"/>
      <c r="K31" s="1010"/>
    </row>
    <row r="32" spans="1:18" s="1119" customFormat="1" ht="12" x14ac:dyDescent="0.2">
      <c r="A32" s="1122"/>
      <c r="B32" s="1123"/>
      <c r="C32" s="1123"/>
      <c r="D32" s="1123"/>
      <c r="E32" s="1124"/>
      <c r="F32" s="1118"/>
      <c r="G32" s="484"/>
      <c r="H32" s="484"/>
      <c r="I32" s="484"/>
      <c r="J32" s="484"/>
      <c r="K32" s="484"/>
      <c r="L32" s="484"/>
      <c r="M32" s="484"/>
      <c r="N32" s="484"/>
      <c r="O32" s="484"/>
      <c r="P32" s="484"/>
      <c r="Q32" s="484"/>
      <c r="R32" s="484"/>
    </row>
    <row r="33" spans="1:18" s="1121" customFormat="1" ht="12" x14ac:dyDescent="0.2">
      <c r="A33" s="1125"/>
      <c r="B33" s="1126" t="s">
        <v>437</v>
      </c>
      <c r="C33" s="1127"/>
      <c r="D33" s="1127"/>
      <c r="E33" s="1128" t="s">
        <v>269</v>
      </c>
      <c r="F33" s="1120"/>
      <c r="G33" s="472"/>
      <c r="H33" s="472"/>
      <c r="I33" s="472"/>
      <c r="J33" s="472"/>
      <c r="K33" s="472"/>
      <c r="L33" s="472"/>
      <c r="M33" s="472"/>
      <c r="N33" s="472"/>
      <c r="O33" s="472"/>
      <c r="P33" s="472"/>
      <c r="Q33" s="472"/>
      <c r="R33" s="472"/>
    </row>
    <row r="34" spans="1:18" s="1121" customFormat="1" ht="12.75" customHeight="1" x14ac:dyDescent="0.2">
      <c r="A34" s="1125"/>
      <c r="C34" s="147"/>
      <c r="D34" s="42"/>
      <c r="F34" s="1120"/>
      <c r="G34" s="472"/>
      <c r="H34" s="472"/>
      <c r="I34" s="472"/>
      <c r="J34" s="472"/>
      <c r="K34" s="472"/>
      <c r="L34" s="472"/>
      <c r="M34" s="472"/>
      <c r="N34" s="472"/>
      <c r="O34" s="472"/>
      <c r="P34" s="472"/>
      <c r="Q34" s="472"/>
      <c r="R34" s="472"/>
    </row>
    <row r="35" spans="1:18" s="1121" customFormat="1" ht="12" x14ac:dyDescent="0.2">
      <c r="A35" s="1129">
        <f>A31+1</f>
        <v>320</v>
      </c>
      <c r="B35" s="1130" t="s">
        <v>438</v>
      </c>
      <c r="C35" s="1131"/>
      <c r="D35" s="1132"/>
      <c r="E35" s="1136">
        <v>8.8000000000000005E-3</v>
      </c>
      <c r="F35" s="1120"/>
      <c r="G35" s="472"/>
      <c r="H35" s="472"/>
      <c r="I35" s="472"/>
      <c r="J35" s="472"/>
      <c r="K35" s="472"/>
      <c r="L35" s="472"/>
      <c r="M35" s="472"/>
      <c r="N35" s="472"/>
      <c r="O35" s="472"/>
      <c r="P35" s="472"/>
      <c r="Q35" s="472"/>
      <c r="R35" s="472"/>
    </row>
    <row r="36" spans="1:18" s="1121" customFormat="1" ht="12" x14ac:dyDescent="0.2">
      <c r="A36" s="1129">
        <f>A35+1</f>
        <v>321</v>
      </c>
      <c r="B36" s="1133" t="s">
        <v>452</v>
      </c>
      <c r="C36" s="1134"/>
      <c r="D36" s="1135"/>
      <c r="E36" s="1136">
        <v>2.8799999999999999E-2</v>
      </c>
      <c r="F36" s="1120"/>
      <c r="G36" s="472"/>
      <c r="H36" s="472"/>
      <c r="I36" s="472"/>
      <c r="J36" s="472"/>
      <c r="K36" s="472"/>
      <c r="L36" s="472"/>
      <c r="M36" s="472"/>
      <c r="N36" s="472"/>
      <c r="O36" s="472"/>
      <c r="P36" s="472"/>
      <c r="Q36" s="472"/>
      <c r="R36" s="472"/>
    </row>
    <row r="37" spans="1:18" ht="11.25" customHeight="1" x14ac:dyDescent="0.2">
      <c r="A37" s="1319" t="s">
        <v>451</v>
      </c>
      <c r="B37" s="1319"/>
      <c r="C37" s="1319"/>
      <c r="D37" s="1319"/>
      <c r="E37" s="1319"/>
      <c r="F37" s="1010"/>
      <c r="G37" s="1010"/>
      <c r="H37" s="1010"/>
      <c r="I37" s="1010"/>
      <c r="J37" s="1010"/>
      <c r="K37" s="1010"/>
    </row>
    <row r="38" spans="1:18" ht="11.25" customHeight="1" x14ac:dyDescent="0.2">
      <c r="A38" s="1319"/>
      <c r="B38" s="1319"/>
      <c r="C38" s="1319"/>
      <c r="D38" s="1319"/>
      <c r="E38" s="1319"/>
      <c r="F38" s="1010"/>
      <c r="G38" s="1010"/>
      <c r="H38" s="1010"/>
      <c r="I38" s="1010"/>
      <c r="J38" s="1010"/>
      <c r="K38" s="1010"/>
    </row>
    <row r="39" spans="1:18" x14ac:dyDescent="0.15">
      <c r="A39" s="1319"/>
      <c r="B39" s="1319"/>
      <c r="C39" s="1319"/>
      <c r="D39" s="1319"/>
      <c r="E39" s="1319"/>
    </row>
  </sheetData>
  <sheetProtection password="CA39" sheet="1" objects="1" scenarios="1"/>
  <mergeCells count="2">
    <mergeCell ref="A37:E39"/>
    <mergeCell ref="A7:C7"/>
  </mergeCells>
  <phoneticPr fontId="17" type="noConversion"/>
  <conditionalFormatting sqref="G8:G12">
    <cfRule type="expression" dxfId="10" priority="1" stopIfTrue="1">
      <formula>$E$2=TRUE</formula>
    </cfRule>
  </conditionalFormatting>
  <conditionalFormatting sqref="E24 E31">
    <cfRule type="expression" dxfId="9" priority="2" stopIfTrue="1">
      <formula>$D$2=TRUE</formula>
    </cfRule>
  </conditionalFormatting>
  <conditionalFormatting sqref="A7">
    <cfRule type="cellIs" dxfId="8" priority="4" stopIfTrue="1" operator="equal">
      <formula>"Vul het Nza-nummer in op het voorblad"</formula>
    </cfRule>
  </conditionalFormatting>
  <pageMargins left="0.39370078740157483" right="0.39370078740157483" top="0.39370078740157483" bottom="0.39370078740157483" header="0.51181102362204722" footer="0.51181102362204722"/>
  <pageSetup paperSize="9" scale="94" orientation="landscape" horizontalDpi="300" verticalDpi="300" r:id="rId1"/>
  <headerFooter alignWithMargins="0"/>
  <drawing r:id="rId2"/>
  <legacyDrawing r:id="rId3"/>
  <oleObjects>
    <mc:AlternateContent xmlns:mc="http://schemas.openxmlformats.org/markup-compatibility/2006">
      <mc:Choice Requires="x14">
        <oleObject progId="MSPhotoEd.3" shapeId="25675" r:id="rId4">
          <objectPr defaultSize="0" autoPict="0" r:id="rId5">
            <anchor moveWithCells="1" sizeWithCells="1">
              <from>
                <xdr:col>3</xdr:col>
                <xdr:colOff>1533525</xdr:colOff>
                <xdr:row>1</xdr:row>
                <xdr:rowOff>47625</xdr:rowOff>
              </from>
              <to>
                <xdr:col>4</xdr:col>
                <xdr:colOff>419100</xdr:colOff>
                <xdr:row>1</xdr:row>
                <xdr:rowOff>190500</xdr:rowOff>
              </to>
            </anchor>
          </objectPr>
        </oleObject>
      </mc:Choice>
      <mc:Fallback>
        <oleObject progId="MSPhotoEd.3" shapeId="25675" r:id="rId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8">
    <pageSetUpPr autoPageBreaks="0"/>
  </sheetPr>
  <dimension ref="A1:L147"/>
  <sheetViews>
    <sheetView showGridLines="0" showZeros="0" showOutlineSymbols="0" zoomScaleNormal="100" zoomScaleSheetLayoutView="100" workbookViewId="0">
      <selection activeCell="O97" sqref="O97"/>
    </sheetView>
  </sheetViews>
  <sheetFormatPr defaultRowHeight="11.25" x14ac:dyDescent="0.15"/>
  <cols>
    <col min="1" max="1" width="6.7109375" style="581" customWidth="1"/>
    <col min="2" max="2" width="61.5703125" style="524" customWidth="1"/>
    <col min="3" max="3" width="21" style="509" customWidth="1"/>
    <col min="4" max="4" width="16.28515625" style="509" customWidth="1"/>
    <col min="5" max="5" width="16.7109375" style="509" customWidth="1"/>
    <col min="6" max="6" width="22.85546875" style="509" customWidth="1"/>
    <col min="7" max="7" width="17.7109375" style="524" customWidth="1"/>
    <col min="8" max="8" width="1.7109375" style="524" customWidth="1"/>
    <col min="9" max="9" width="10.7109375" style="524" customWidth="1"/>
    <col min="10" max="10" width="10.7109375" style="523" customWidth="1"/>
    <col min="11" max="15" width="10.7109375" style="524" customWidth="1"/>
    <col min="16" max="23" width="9.140625" style="524"/>
    <col min="24" max="24" width="1.7109375" style="524" customWidth="1"/>
    <col min="25" max="16384" width="9.140625" style="524"/>
  </cols>
  <sheetData>
    <row r="1" spans="1:10" ht="27.6" customHeight="1" x14ac:dyDescent="0.15">
      <c r="G1" s="523"/>
    </row>
    <row r="2" spans="1:10" s="582" customFormat="1" ht="15.75" customHeight="1" x14ac:dyDescent="0.2">
      <c r="A2" s="657" t="str">
        <f>CONCATENATE("Vaststelling Transitiebedrag ",Voorblad!K4)</f>
        <v>Vaststelling Transitiebedrag 2013</v>
      </c>
      <c r="C2" s="639"/>
      <c r="D2" s="639"/>
      <c r="E2" s="650" t="b">
        <f>'Bijlage 2 Rentecalc.'!D27</f>
        <v>1</v>
      </c>
      <c r="F2" s="650"/>
      <c r="G2" s="659">
        <f>Rentecalc.!E2+1</f>
        <v>4</v>
      </c>
    </row>
    <row r="3" spans="1:10" s="523" customFormat="1" ht="12.75" customHeight="1" x14ac:dyDescent="0.15">
      <c r="A3" s="599"/>
      <c r="C3" s="598"/>
      <c r="D3" s="598"/>
      <c r="E3" s="598"/>
      <c r="F3" s="598"/>
    </row>
    <row r="4" spans="1:10" ht="12.75" customHeight="1" x14ac:dyDescent="0.15">
      <c r="A4" s="513" t="s">
        <v>138</v>
      </c>
    </row>
    <row r="5" spans="1:10" ht="12.75" customHeight="1" x14ac:dyDescent="0.15">
      <c r="A5" s="639"/>
      <c r="B5" s="761"/>
      <c r="C5" s="762" t="s">
        <v>341</v>
      </c>
      <c r="D5" s="763" t="s">
        <v>305</v>
      </c>
      <c r="E5" s="762" t="s">
        <v>304</v>
      </c>
      <c r="F5" s="1326" t="s">
        <v>272</v>
      </c>
      <c r="G5" s="1327"/>
      <c r="H5" s="544"/>
      <c r="I5" s="544"/>
      <c r="J5" s="544"/>
    </row>
    <row r="6" spans="1:10" s="544" customFormat="1" ht="12.75" customHeight="1" x14ac:dyDescent="0.2">
      <c r="A6" s="639"/>
      <c r="B6" s="761"/>
      <c r="C6" s="757"/>
      <c r="D6" s="757"/>
      <c r="E6" s="757"/>
      <c r="F6" s="764" t="s">
        <v>296</v>
      </c>
      <c r="G6" s="754" t="s">
        <v>292</v>
      </c>
    </row>
    <row r="7" spans="1:10" s="544" customFormat="1" ht="12.75" customHeight="1" x14ac:dyDescent="0.2">
      <c r="A7" s="1213" t="str">
        <f>IF(Voorblad!$F$9&lt;1,"Vul het NZa-nummer in op het voorblad","")</f>
        <v>Vul het NZa-nummer in op het voorblad</v>
      </c>
      <c r="B7" s="1214"/>
      <c r="C7" s="1214"/>
      <c r="D7" s="644"/>
      <c r="E7" s="643"/>
      <c r="F7" s="766"/>
      <c r="G7" s="643"/>
      <c r="H7" s="523"/>
      <c r="I7" s="523"/>
      <c r="J7" s="523"/>
    </row>
    <row r="8" spans="1:10" s="523" customFormat="1" ht="12.75" customHeight="1" x14ac:dyDescent="0.15">
      <c r="A8" s="513" t="s">
        <v>345</v>
      </c>
      <c r="B8" s="720" t="s">
        <v>42</v>
      </c>
      <c r="C8" s="767"/>
      <c r="D8" s="533"/>
      <c r="E8" s="621"/>
      <c r="F8" s="768"/>
      <c r="G8" s="533"/>
      <c r="I8" s="524"/>
      <c r="J8" s="524"/>
    </row>
    <row r="9" spans="1:10" ht="12.75" customHeight="1" x14ac:dyDescent="0.15">
      <c r="A9" s="638">
        <f>(100*G2)+1</f>
        <v>401</v>
      </c>
      <c r="B9" s="769" t="str">
        <f>CONCATENATE("Stand per 31-12-",Voorblad!K4-1)</f>
        <v>Stand per 31-12-2012</v>
      </c>
      <c r="C9" s="583"/>
      <c r="D9" s="584"/>
      <c r="E9" s="585">
        <f>C9-D9</f>
        <v>0</v>
      </c>
      <c r="F9" s="770">
        <v>1</v>
      </c>
      <c r="G9" s="526">
        <f>E9*F9</f>
        <v>0</v>
      </c>
      <c r="J9" s="524"/>
    </row>
    <row r="10" spans="1:10" ht="12.75" customHeight="1" x14ac:dyDescent="0.15">
      <c r="A10" s="638">
        <f t="shared" ref="A10:A25" si="0">A9+1</f>
        <v>402</v>
      </c>
      <c r="B10" s="769" t="str">
        <f>CONCATENATE("Geheel afgeschreven in ",Voorblad!K4)</f>
        <v>Geheel afgeschreven in 2013</v>
      </c>
      <c r="C10" s="586"/>
      <c r="D10" s="583"/>
      <c r="E10" s="585">
        <f t="shared" ref="E10:E22" si="1">C10-D10</f>
        <v>0</v>
      </c>
      <c r="F10" s="771"/>
      <c r="G10" s="526"/>
      <c r="J10" s="524"/>
    </row>
    <row r="11" spans="1:10" ht="12.75" customHeight="1" x14ac:dyDescent="0.15">
      <c r="A11" s="638">
        <f t="shared" si="0"/>
        <v>403</v>
      </c>
      <c r="B11" s="769" t="s">
        <v>143</v>
      </c>
      <c r="C11" s="583"/>
      <c r="D11" s="584"/>
      <c r="E11" s="585">
        <f t="shared" si="1"/>
        <v>0</v>
      </c>
      <c r="F11" s="770">
        <v>0.95830000000000004</v>
      </c>
      <c r="G11" s="526">
        <f t="shared" ref="G11:G21" si="2">E11*F11</f>
        <v>0</v>
      </c>
      <c r="J11" s="524"/>
    </row>
    <row r="12" spans="1:10" ht="12.75" customHeight="1" x14ac:dyDescent="0.15">
      <c r="A12" s="638">
        <f t="shared" si="0"/>
        <v>404</v>
      </c>
      <c r="B12" s="769" t="s">
        <v>144</v>
      </c>
      <c r="C12" s="583"/>
      <c r="D12" s="584"/>
      <c r="E12" s="585">
        <f t="shared" si="1"/>
        <v>0</v>
      </c>
      <c r="F12" s="770">
        <v>0.875</v>
      </c>
      <c r="G12" s="526">
        <f t="shared" si="2"/>
        <v>0</v>
      </c>
      <c r="J12" s="524"/>
    </row>
    <row r="13" spans="1:10" ht="12.75" customHeight="1" x14ac:dyDescent="0.15">
      <c r="A13" s="638">
        <f t="shared" si="0"/>
        <v>405</v>
      </c>
      <c r="B13" s="769" t="s">
        <v>145</v>
      </c>
      <c r="C13" s="583"/>
      <c r="D13" s="584"/>
      <c r="E13" s="585">
        <f t="shared" si="1"/>
        <v>0</v>
      </c>
      <c r="F13" s="770">
        <v>0.79169999999999996</v>
      </c>
      <c r="G13" s="526">
        <f>E13*F13</f>
        <v>0</v>
      </c>
      <c r="J13" s="524"/>
    </row>
    <row r="14" spans="1:10" ht="12.75" customHeight="1" x14ac:dyDescent="0.15">
      <c r="A14" s="638">
        <f t="shared" si="0"/>
        <v>406</v>
      </c>
      <c r="B14" s="769" t="s">
        <v>146</v>
      </c>
      <c r="C14" s="583"/>
      <c r="D14" s="584"/>
      <c r="E14" s="585">
        <f t="shared" si="1"/>
        <v>0</v>
      </c>
      <c r="F14" s="770">
        <v>0.70830000000000004</v>
      </c>
      <c r="G14" s="526">
        <f t="shared" si="2"/>
        <v>0</v>
      </c>
      <c r="J14" s="524"/>
    </row>
    <row r="15" spans="1:10" ht="12.75" customHeight="1" x14ac:dyDescent="0.15">
      <c r="A15" s="638">
        <f t="shared" si="0"/>
        <v>407</v>
      </c>
      <c r="B15" s="769" t="s">
        <v>147</v>
      </c>
      <c r="C15" s="583"/>
      <c r="D15" s="584"/>
      <c r="E15" s="585">
        <f t="shared" si="1"/>
        <v>0</v>
      </c>
      <c r="F15" s="770">
        <v>0.625</v>
      </c>
      <c r="G15" s="526">
        <f t="shared" si="2"/>
        <v>0</v>
      </c>
      <c r="J15" s="524"/>
    </row>
    <row r="16" spans="1:10" ht="12.75" customHeight="1" x14ac:dyDescent="0.15">
      <c r="A16" s="638">
        <f t="shared" si="0"/>
        <v>408</v>
      </c>
      <c r="B16" s="769" t="s">
        <v>148</v>
      </c>
      <c r="C16" s="583"/>
      <c r="D16" s="584"/>
      <c r="E16" s="585">
        <f>C16-D16</f>
        <v>0</v>
      </c>
      <c r="F16" s="770">
        <v>0.54169999999999996</v>
      </c>
      <c r="G16" s="526">
        <f t="shared" si="2"/>
        <v>0</v>
      </c>
      <c r="J16" s="524"/>
    </row>
    <row r="17" spans="1:10" ht="12.75" customHeight="1" x14ac:dyDescent="0.15">
      <c r="A17" s="638">
        <f t="shared" si="0"/>
        <v>409</v>
      </c>
      <c r="B17" s="769" t="s">
        <v>149</v>
      </c>
      <c r="C17" s="583"/>
      <c r="D17" s="584"/>
      <c r="E17" s="585">
        <f t="shared" si="1"/>
        <v>0</v>
      </c>
      <c r="F17" s="770">
        <v>0.45829999999999999</v>
      </c>
      <c r="G17" s="526">
        <f t="shared" si="2"/>
        <v>0</v>
      </c>
      <c r="J17" s="524"/>
    </row>
    <row r="18" spans="1:10" ht="12.75" customHeight="1" x14ac:dyDescent="0.15">
      <c r="A18" s="638">
        <f t="shared" si="0"/>
        <v>410</v>
      </c>
      <c r="B18" s="769" t="s">
        <v>150</v>
      </c>
      <c r="C18" s="583"/>
      <c r="D18" s="584"/>
      <c r="E18" s="585">
        <f t="shared" si="1"/>
        <v>0</v>
      </c>
      <c r="F18" s="770">
        <v>0.375</v>
      </c>
      <c r="G18" s="526">
        <f t="shared" si="2"/>
        <v>0</v>
      </c>
      <c r="J18" s="524"/>
    </row>
    <row r="19" spans="1:10" ht="12.75" customHeight="1" x14ac:dyDescent="0.15">
      <c r="A19" s="638">
        <f t="shared" si="0"/>
        <v>411</v>
      </c>
      <c r="B19" s="769" t="s">
        <v>151</v>
      </c>
      <c r="C19" s="583"/>
      <c r="D19" s="584"/>
      <c r="E19" s="585">
        <f t="shared" si="1"/>
        <v>0</v>
      </c>
      <c r="F19" s="770">
        <v>0.29170000000000001</v>
      </c>
      <c r="G19" s="526">
        <f t="shared" si="2"/>
        <v>0</v>
      </c>
      <c r="J19" s="524"/>
    </row>
    <row r="20" spans="1:10" ht="12.75" customHeight="1" x14ac:dyDescent="0.15">
      <c r="A20" s="638">
        <f t="shared" si="0"/>
        <v>412</v>
      </c>
      <c r="B20" s="769" t="s">
        <v>152</v>
      </c>
      <c r="C20" s="583"/>
      <c r="D20" s="584"/>
      <c r="E20" s="585">
        <f t="shared" si="1"/>
        <v>0</v>
      </c>
      <c r="F20" s="770">
        <v>0.20830000000000001</v>
      </c>
      <c r="G20" s="526">
        <f t="shared" si="2"/>
        <v>0</v>
      </c>
      <c r="J20" s="524"/>
    </row>
    <row r="21" spans="1:10" ht="12.75" customHeight="1" x14ac:dyDescent="0.15">
      <c r="A21" s="638">
        <f t="shared" si="0"/>
        <v>413</v>
      </c>
      <c r="B21" s="769" t="s">
        <v>153</v>
      </c>
      <c r="C21" s="583"/>
      <c r="D21" s="584"/>
      <c r="E21" s="585">
        <f t="shared" si="1"/>
        <v>0</v>
      </c>
      <c r="F21" s="770">
        <v>0.125</v>
      </c>
      <c r="G21" s="526">
        <f t="shared" si="2"/>
        <v>0</v>
      </c>
      <c r="J21" s="524"/>
    </row>
    <row r="22" spans="1:10" ht="12.75" customHeight="1" x14ac:dyDescent="0.15">
      <c r="A22" s="638">
        <f t="shared" si="0"/>
        <v>414</v>
      </c>
      <c r="B22" s="772" t="s">
        <v>154</v>
      </c>
      <c r="C22" s="587"/>
      <c r="D22" s="584"/>
      <c r="E22" s="588">
        <f t="shared" si="1"/>
        <v>0</v>
      </c>
      <c r="F22" s="774">
        <v>4.1700000000000001E-2</v>
      </c>
      <c r="G22" s="589">
        <f>E22*F22</f>
        <v>0</v>
      </c>
      <c r="J22" s="524"/>
    </row>
    <row r="23" spans="1:10" ht="12.75" customHeight="1" x14ac:dyDescent="0.15">
      <c r="A23" s="638">
        <f t="shared" si="0"/>
        <v>415</v>
      </c>
      <c r="B23" s="775" t="str">
        <f>CONCATENATE("Stand per 31-12-",Voorblad!$K$4," (",A9," t/m ",A22,")")</f>
        <v>Stand per 31-12-2013 (401 t/m 414)</v>
      </c>
      <c r="C23" s="590">
        <f>C9-C10+SUM(C11:C22)</f>
        <v>0</v>
      </c>
      <c r="D23" s="591">
        <f>D9-D10+SUM(D11:D22)</f>
        <v>0</v>
      </c>
      <c r="E23" s="543">
        <f>SUM(E9:E22)</f>
        <v>0</v>
      </c>
      <c r="F23" s="592"/>
      <c r="G23" s="593">
        <f>SUM(G9:G22)</f>
        <v>0</v>
      </c>
    </row>
    <row r="24" spans="1:10" ht="12.75" customHeight="1" x14ac:dyDescent="0.15">
      <c r="A24" s="638">
        <f t="shared" si="0"/>
        <v>416</v>
      </c>
      <c r="B24" s="776" t="s">
        <v>414</v>
      </c>
      <c r="C24" s="594"/>
      <c r="D24" s="635">
        <f>Afschrijvingen!G19+D9-D10</f>
        <v>0</v>
      </c>
      <c r="E24" s="527"/>
      <c r="F24" s="527"/>
      <c r="G24" s="527"/>
      <c r="H24" s="595"/>
      <c r="I24" s="527"/>
      <c r="J24" s="524"/>
    </row>
    <row r="25" spans="1:10" s="527" customFormat="1" ht="12.75" customHeight="1" x14ac:dyDescent="0.15">
      <c r="A25" s="638">
        <f t="shared" si="0"/>
        <v>417</v>
      </c>
      <c r="B25" s="775" t="s">
        <v>96</v>
      </c>
      <c r="C25" s="596"/>
      <c r="D25" s="777">
        <f>D23-D24</f>
        <v>0</v>
      </c>
      <c r="E25" s="509"/>
      <c r="F25" s="524"/>
      <c r="G25" s="524"/>
      <c r="H25" s="524"/>
      <c r="I25" s="523"/>
    </row>
    <row r="26" spans="1:10" ht="12.75" customHeight="1" x14ac:dyDescent="0.15">
      <c r="A26" s="524"/>
      <c r="G26" s="778"/>
    </row>
    <row r="27" spans="1:10" ht="12.75" customHeight="1" x14ac:dyDescent="0.15">
      <c r="A27" s="639"/>
      <c r="B27" s="761"/>
      <c r="C27" s="779" t="s">
        <v>157</v>
      </c>
      <c r="D27" s="779" t="s">
        <v>299</v>
      </c>
      <c r="E27" s="1329" t="s">
        <v>275</v>
      </c>
      <c r="F27" s="1330"/>
      <c r="G27" s="1331"/>
    </row>
    <row r="28" spans="1:10" ht="12.75" customHeight="1" x14ac:dyDescent="0.15">
      <c r="A28" s="639"/>
      <c r="B28" s="761"/>
      <c r="C28" s="780" t="s">
        <v>170</v>
      </c>
      <c r="D28" s="780" t="s">
        <v>302</v>
      </c>
      <c r="E28" s="1332"/>
      <c r="F28" s="1333"/>
      <c r="G28" s="1334"/>
    </row>
    <row r="29" spans="1:10" ht="12.75" customHeight="1" x14ac:dyDescent="0.15">
      <c r="A29" s="639"/>
      <c r="B29" s="761"/>
      <c r="C29" s="737" t="s">
        <v>303</v>
      </c>
      <c r="D29" s="737" t="s">
        <v>307</v>
      </c>
      <c r="E29" s="764" t="s">
        <v>155</v>
      </c>
      <c r="F29" s="764" t="s">
        <v>156</v>
      </c>
      <c r="G29" s="781" t="s">
        <v>292</v>
      </c>
    </row>
    <row r="30" spans="1:10" ht="12.75" customHeight="1" x14ac:dyDescent="0.15">
      <c r="A30" s="599"/>
      <c r="B30" s="765"/>
      <c r="C30" s="644"/>
      <c r="D30" s="644"/>
      <c r="E30" s="643"/>
      <c r="F30" s="766"/>
      <c r="G30" s="643"/>
    </row>
    <row r="31" spans="1:10" ht="12.75" customHeight="1" x14ac:dyDescent="0.15">
      <c r="A31" s="513" t="s">
        <v>346</v>
      </c>
      <c r="B31" s="765" t="s">
        <v>16</v>
      </c>
      <c r="C31" s="767"/>
      <c r="D31" s="533"/>
      <c r="E31" s="533"/>
      <c r="F31" s="768"/>
      <c r="G31" s="533"/>
    </row>
    <row r="32" spans="1:10" ht="12.75" customHeight="1" x14ac:dyDescent="0.15">
      <c r="A32" s="638">
        <f>A25+1</f>
        <v>418</v>
      </c>
      <c r="B32" s="769" t="str">
        <f>CONCATENATE("Stand per 31-12-",Voorblad!K4-1)</f>
        <v>Stand per 31-12-2012</v>
      </c>
      <c r="C32" s="583"/>
      <c r="D32" s="524"/>
      <c r="E32" s="782">
        <v>1</v>
      </c>
      <c r="F32" s="783"/>
      <c r="G32" s="526">
        <f>C32*E32</f>
        <v>0</v>
      </c>
    </row>
    <row r="33" spans="1:7" ht="12.75" customHeight="1" x14ac:dyDescent="0.15">
      <c r="A33" s="638">
        <f>A32+1</f>
        <v>419</v>
      </c>
      <c r="B33" s="769" t="s">
        <v>158</v>
      </c>
      <c r="C33" s="583"/>
      <c r="D33" s="584"/>
      <c r="E33" s="782">
        <f>10.5/12</f>
        <v>0.875</v>
      </c>
      <c r="F33" s="782">
        <v>0.95830000000000004</v>
      </c>
      <c r="G33" s="526">
        <f>C33*E33-D33*F33</f>
        <v>0</v>
      </c>
    </row>
    <row r="34" spans="1:7" ht="12.75" customHeight="1" x14ac:dyDescent="0.15">
      <c r="A34" s="638">
        <f t="shared" ref="A34:A45" si="3">A33+1</f>
        <v>420</v>
      </c>
      <c r="B34" s="769" t="s">
        <v>159</v>
      </c>
      <c r="C34" s="583"/>
      <c r="D34" s="584"/>
      <c r="E34" s="782">
        <f>9.5/12</f>
        <v>0.79166666666666663</v>
      </c>
      <c r="F34" s="782">
        <v>0.875</v>
      </c>
      <c r="G34" s="526">
        <f t="shared" ref="G34:G44" si="4">C34*E34-D34*F34</f>
        <v>0</v>
      </c>
    </row>
    <row r="35" spans="1:7" ht="12.75" customHeight="1" x14ac:dyDescent="0.15">
      <c r="A35" s="638">
        <f t="shared" si="3"/>
        <v>421</v>
      </c>
      <c r="B35" s="769" t="s">
        <v>160</v>
      </c>
      <c r="C35" s="583"/>
      <c r="D35" s="584"/>
      <c r="E35" s="782">
        <f>8.5/12</f>
        <v>0.70833333333333337</v>
      </c>
      <c r="F35" s="782">
        <v>0.79169999999999996</v>
      </c>
      <c r="G35" s="526">
        <f t="shared" si="4"/>
        <v>0</v>
      </c>
    </row>
    <row r="36" spans="1:7" ht="12.75" customHeight="1" x14ac:dyDescent="0.15">
      <c r="A36" s="638">
        <f t="shared" si="3"/>
        <v>422</v>
      </c>
      <c r="B36" s="769" t="s">
        <v>161</v>
      </c>
      <c r="C36" s="583"/>
      <c r="D36" s="584"/>
      <c r="E36" s="782">
        <f>7.5/12</f>
        <v>0.625</v>
      </c>
      <c r="F36" s="782">
        <v>0.70830000000000004</v>
      </c>
      <c r="G36" s="526">
        <f t="shared" si="4"/>
        <v>0</v>
      </c>
    </row>
    <row r="37" spans="1:7" ht="12.75" customHeight="1" x14ac:dyDescent="0.15">
      <c r="A37" s="638">
        <f t="shared" si="3"/>
        <v>423</v>
      </c>
      <c r="B37" s="769" t="s">
        <v>162</v>
      </c>
      <c r="C37" s="583"/>
      <c r="D37" s="584"/>
      <c r="E37" s="782">
        <f>6.5/12</f>
        <v>0.54166666666666663</v>
      </c>
      <c r="F37" s="782">
        <v>0.625</v>
      </c>
      <c r="G37" s="526">
        <f t="shared" si="4"/>
        <v>0</v>
      </c>
    </row>
    <row r="38" spans="1:7" ht="12.75" customHeight="1" x14ac:dyDescent="0.15">
      <c r="A38" s="638">
        <f t="shared" si="3"/>
        <v>424</v>
      </c>
      <c r="B38" s="769" t="s">
        <v>163</v>
      </c>
      <c r="C38" s="583"/>
      <c r="D38" s="584"/>
      <c r="E38" s="782">
        <f>5.5/12</f>
        <v>0.45833333333333331</v>
      </c>
      <c r="F38" s="782">
        <v>0.54169999999999996</v>
      </c>
      <c r="G38" s="526">
        <f t="shared" si="4"/>
        <v>0</v>
      </c>
    </row>
    <row r="39" spans="1:7" ht="12.75" customHeight="1" x14ac:dyDescent="0.15">
      <c r="A39" s="638">
        <f t="shared" si="3"/>
        <v>425</v>
      </c>
      <c r="B39" s="769" t="s">
        <v>164</v>
      </c>
      <c r="C39" s="583"/>
      <c r="D39" s="584"/>
      <c r="E39" s="782">
        <f>4.5/12</f>
        <v>0.375</v>
      </c>
      <c r="F39" s="782">
        <v>0.45829999999999999</v>
      </c>
      <c r="G39" s="526">
        <f t="shared" si="4"/>
        <v>0</v>
      </c>
    </row>
    <row r="40" spans="1:7" ht="12.75" customHeight="1" x14ac:dyDescent="0.15">
      <c r="A40" s="638">
        <f t="shared" si="3"/>
        <v>426</v>
      </c>
      <c r="B40" s="769" t="s">
        <v>165</v>
      </c>
      <c r="C40" s="583"/>
      <c r="D40" s="584"/>
      <c r="E40" s="782">
        <f>3.5/12</f>
        <v>0.29166666666666669</v>
      </c>
      <c r="F40" s="782">
        <v>0.375</v>
      </c>
      <c r="G40" s="526">
        <f t="shared" si="4"/>
        <v>0</v>
      </c>
    </row>
    <row r="41" spans="1:7" ht="12.75" customHeight="1" x14ac:dyDescent="0.15">
      <c r="A41" s="638">
        <f t="shared" si="3"/>
        <v>427</v>
      </c>
      <c r="B41" s="769" t="s">
        <v>166</v>
      </c>
      <c r="C41" s="583"/>
      <c r="D41" s="584"/>
      <c r="E41" s="782">
        <f>2.5/12</f>
        <v>0.20833333333333334</v>
      </c>
      <c r="F41" s="782">
        <v>0.29170000000000001</v>
      </c>
      <c r="G41" s="526">
        <f t="shared" si="4"/>
        <v>0</v>
      </c>
    </row>
    <row r="42" spans="1:7" ht="12.75" customHeight="1" x14ac:dyDescent="0.15">
      <c r="A42" s="638">
        <f t="shared" si="3"/>
        <v>428</v>
      </c>
      <c r="B42" s="769" t="s">
        <v>167</v>
      </c>
      <c r="C42" s="583"/>
      <c r="D42" s="584"/>
      <c r="E42" s="782">
        <f>1.5/12</f>
        <v>0.125</v>
      </c>
      <c r="F42" s="782">
        <v>0.20830000000000001</v>
      </c>
      <c r="G42" s="526">
        <f t="shared" si="4"/>
        <v>0</v>
      </c>
    </row>
    <row r="43" spans="1:7" ht="12.75" customHeight="1" x14ac:dyDescent="0.15">
      <c r="A43" s="638">
        <f t="shared" si="3"/>
        <v>429</v>
      </c>
      <c r="B43" s="769" t="s">
        <v>168</v>
      </c>
      <c r="C43" s="583"/>
      <c r="D43" s="584"/>
      <c r="E43" s="782">
        <f>0.5/12</f>
        <v>4.1666666666666664E-2</v>
      </c>
      <c r="F43" s="782">
        <v>0.125</v>
      </c>
      <c r="G43" s="526">
        <f t="shared" si="4"/>
        <v>0</v>
      </c>
    </row>
    <row r="44" spans="1:7" ht="12.75" customHeight="1" x14ac:dyDescent="0.15">
      <c r="A44" s="638">
        <f t="shared" si="3"/>
        <v>430</v>
      </c>
      <c r="B44" s="769" t="s">
        <v>169</v>
      </c>
      <c r="C44" s="583"/>
      <c r="D44" s="584"/>
      <c r="E44" s="597">
        <f>-0.5/12</f>
        <v>-4.1666666666666664E-2</v>
      </c>
      <c r="F44" s="782">
        <v>4.1700000000000001E-2</v>
      </c>
      <c r="G44" s="526">
        <f t="shared" si="4"/>
        <v>0</v>
      </c>
    </row>
    <row r="45" spans="1:7" ht="12.75" customHeight="1" x14ac:dyDescent="0.15">
      <c r="A45" s="638">
        <f t="shared" si="3"/>
        <v>431</v>
      </c>
      <c r="B45" s="775" t="str">
        <f>CONCATENATE("Stand per 31-12-",Voorblad!$K$4," (",A32," t/m ",A44,")")</f>
        <v>Stand per 31-12-2013 (418 t/m 430)</v>
      </c>
      <c r="C45" s="532">
        <f>SUM(C32:C44)</f>
        <v>0</v>
      </c>
      <c r="D45" s="591">
        <f>SUM(D33:D44)</f>
        <v>0</v>
      </c>
      <c r="E45" s="524"/>
      <c r="F45" s="524"/>
      <c r="G45" s="532">
        <f>SUM(G32:G44)</f>
        <v>0</v>
      </c>
    </row>
    <row r="46" spans="1:7" ht="12.75" customHeight="1" x14ac:dyDescent="0.15">
      <c r="A46" s="638">
        <f>A45+1</f>
        <v>432</v>
      </c>
      <c r="B46" s="775" t="str">
        <f>CONCATENATE("Saldo per 31-12-",Voorblad!$K$4,)</f>
        <v>Saldo per 31-12-2013</v>
      </c>
      <c r="C46" s="532">
        <f>C45-D45</f>
        <v>0</v>
      </c>
      <c r="D46" s="524"/>
      <c r="E46" s="598"/>
    </row>
    <row r="47" spans="1:7" ht="12.75" customHeight="1" x14ac:dyDescent="0.15">
      <c r="A47" s="599"/>
      <c r="B47" s="523"/>
      <c r="C47" s="598"/>
      <c r="D47" s="598"/>
      <c r="E47" s="598"/>
    </row>
    <row r="48" spans="1:7" s="523" customFormat="1" ht="12.75" customHeight="1" x14ac:dyDescent="0.15">
      <c r="A48" s="657" t="str">
        <f>Inhoud!$A$2</f>
        <v>Vaststelling Transitiebedrag 2013</v>
      </c>
      <c r="B48" s="582"/>
      <c r="C48" s="639"/>
      <c r="D48" s="639"/>
      <c r="E48" s="712">
        <f>Voorblad!D39</f>
        <v>0</v>
      </c>
      <c r="F48" s="650"/>
      <c r="G48" s="659">
        <f>G2+1</f>
        <v>5</v>
      </c>
    </row>
    <row r="49" spans="1:7" ht="12.75" customHeight="1" x14ac:dyDescent="0.15">
      <c r="B49" s="533"/>
      <c r="C49" s="533"/>
      <c r="D49" s="533"/>
      <c r="E49" s="524"/>
      <c r="F49" s="768"/>
      <c r="G49" s="533"/>
    </row>
    <row r="50" spans="1:7" ht="12.75" customHeight="1" x14ac:dyDescent="0.15">
      <c r="A50" s="639"/>
      <c r="B50" s="761"/>
      <c r="C50" s="779" t="s">
        <v>341</v>
      </c>
      <c r="D50" s="779" t="s">
        <v>342</v>
      </c>
      <c r="E50" s="730" t="s">
        <v>304</v>
      </c>
      <c r="F50" s="1328" t="s">
        <v>272</v>
      </c>
      <c r="G50" s="1327"/>
    </row>
    <row r="51" spans="1:7" ht="12.75" customHeight="1" x14ac:dyDescent="0.15">
      <c r="A51" s="639"/>
      <c r="B51" s="761"/>
      <c r="C51" s="737"/>
      <c r="D51" s="784"/>
      <c r="E51" s="737"/>
      <c r="F51" s="785" t="s">
        <v>296</v>
      </c>
      <c r="G51" s="781" t="s">
        <v>292</v>
      </c>
    </row>
    <row r="52" spans="1:7" ht="12.75" customHeight="1" x14ac:dyDescent="0.15">
      <c r="A52" s="599"/>
      <c r="B52" s="523"/>
    </row>
    <row r="53" spans="1:7" ht="12.75" customHeight="1" x14ac:dyDescent="0.15">
      <c r="A53" s="513" t="s">
        <v>23</v>
      </c>
      <c r="B53" s="720" t="s">
        <v>135</v>
      </c>
      <c r="C53" s="767"/>
      <c r="D53" s="533"/>
      <c r="E53" s="533"/>
      <c r="F53" s="768"/>
      <c r="G53" s="533"/>
    </row>
    <row r="54" spans="1:7" ht="12.75" customHeight="1" x14ac:dyDescent="0.15">
      <c r="A54" s="638">
        <f>G48*100+1</f>
        <v>501</v>
      </c>
      <c r="B54" s="769" t="str">
        <f>CONCATENATE("Geactiveerd per 31-12-",Voorblad!K4-1)</f>
        <v>Geactiveerd per 31-12-2012</v>
      </c>
      <c r="C54" s="583"/>
      <c r="D54" s="586"/>
      <c r="E54" s="600">
        <f>C54-D54</f>
        <v>0</v>
      </c>
      <c r="F54" s="786">
        <v>1</v>
      </c>
      <c r="G54" s="526">
        <f>E54*F54</f>
        <v>0</v>
      </c>
    </row>
    <row r="55" spans="1:7" ht="12.75" customHeight="1" x14ac:dyDescent="0.15">
      <c r="A55" s="638">
        <f t="shared" ref="A55:A71" si="5">A54+1</f>
        <v>502</v>
      </c>
      <c r="B55" s="769" t="str">
        <f>CONCATENATE("Geheel afgeschreven in ",Voorblad!K4-1)</f>
        <v>Geheel afgeschreven in 2012</v>
      </c>
      <c r="C55" s="586"/>
      <c r="D55" s="583"/>
      <c r="E55" s="585">
        <f>C55-D55</f>
        <v>0</v>
      </c>
      <c r="F55" s="786"/>
      <c r="G55" s="526"/>
    </row>
    <row r="56" spans="1:7" ht="12.75" customHeight="1" x14ac:dyDescent="0.15">
      <c r="A56" s="638">
        <f t="shared" si="5"/>
        <v>503</v>
      </c>
      <c r="B56" s="769" t="str">
        <f>CONCATENATE("Onderhanden werk per  31-12-",Voorblad!K4-1)</f>
        <v>Onderhanden werk per  31-12-2012</v>
      </c>
      <c r="C56" s="583"/>
      <c r="D56" s="524"/>
      <c r="E56" s="600">
        <f>C56</f>
        <v>0</v>
      </c>
      <c r="F56" s="786">
        <v>1</v>
      </c>
      <c r="G56" s="526">
        <f>E56*F56</f>
        <v>0</v>
      </c>
    </row>
    <row r="57" spans="1:7" ht="12.75" customHeight="1" x14ac:dyDescent="0.15">
      <c r="A57" s="638">
        <f t="shared" si="5"/>
        <v>504</v>
      </c>
      <c r="B57" s="769" t="s">
        <v>208</v>
      </c>
      <c r="C57" s="583"/>
      <c r="D57" s="524"/>
      <c r="E57" s="600">
        <f t="shared" ref="E57:E68" si="6">C57</f>
        <v>0</v>
      </c>
      <c r="F57" s="782">
        <f>10.5/12</f>
        <v>0.875</v>
      </c>
      <c r="G57" s="526">
        <f t="shared" ref="G57:G67" si="7">E57*F57</f>
        <v>0</v>
      </c>
    </row>
    <row r="58" spans="1:7" ht="12.75" customHeight="1" x14ac:dyDescent="0.15">
      <c r="A58" s="638">
        <f t="shared" si="5"/>
        <v>505</v>
      </c>
      <c r="B58" s="769" t="s">
        <v>209</v>
      </c>
      <c r="C58" s="583"/>
      <c r="D58" s="524"/>
      <c r="E58" s="600">
        <f t="shared" si="6"/>
        <v>0</v>
      </c>
      <c r="F58" s="782">
        <f>9.5/12</f>
        <v>0.79166666666666663</v>
      </c>
      <c r="G58" s="526">
        <f t="shared" si="7"/>
        <v>0</v>
      </c>
    </row>
    <row r="59" spans="1:7" ht="12.75" customHeight="1" x14ac:dyDescent="0.15">
      <c r="A59" s="638">
        <f t="shared" si="5"/>
        <v>506</v>
      </c>
      <c r="B59" s="769" t="s">
        <v>210</v>
      </c>
      <c r="C59" s="583"/>
      <c r="D59" s="524"/>
      <c r="E59" s="600">
        <f t="shared" si="6"/>
        <v>0</v>
      </c>
      <c r="F59" s="782">
        <f>8.5/12</f>
        <v>0.70833333333333337</v>
      </c>
      <c r="G59" s="526">
        <f t="shared" si="7"/>
        <v>0</v>
      </c>
    </row>
    <row r="60" spans="1:7" ht="12.75" customHeight="1" x14ac:dyDescent="0.15">
      <c r="A60" s="638">
        <f t="shared" si="5"/>
        <v>507</v>
      </c>
      <c r="B60" s="769" t="s">
        <v>215</v>
      </c>
      <c r="C60" s="583"/>
      <c r="D60" s="524"/>
      <c r="E60" s="600">
        <f t="shared" si="6"/>
        <v>0</v>
      </c>
      <c r="F60" s="782">
        <f>7.5/12</f>
        <v>0.625</v>
      </c>
      <c r="G60" s="526">
        <f>E60*F60</f>
        <v>0</v>
      </c>
    </row>
    <row r="61" spans="1:7" ht="12.75" customHeight="1" x14ac:dyDescent="0.15">
      <c r="A61" s="638">
        <f t="shared" si="5"/>
        <v>508</v>
      </c>
      <c r="B61" s="769" t="s">
        <v>216</v>
      </c>
      <c r="C61" s="583"/>
      <c r="D61" s="524"/>
      <c r="E61" s="600">
        <f t="shared" si="6"/>
        <v>0</v>
      </c>
      <c r="F61" s="782">
        <f>6.5/12</f>
        <v>0.54166666666666663</v>
      </c>
      <c r="G61" s="526">
        <f t="shared" si="7"/>
        <v>0</v>
      </c>
    </row>
    <row r="62" spans="1:7" ht="12.75" customHeight="1" x14ac:dyDescent="0.15">
      <c r="A62" s="638">
        <f t="shared" si="5"/>
        <v>509</v>
      </c>
      <c r="B62" s="769" t="s">
        <v>217</v>
      </c>
      <c r="C62" s="583"/>
      <c r="D62" s="524"/>
      <c r="E62" s="600">
        <f t="shared" si="6"/>
        <v>0</v>
      </c>
      <c r="F62" s="782">
        <f>5.5/12</f>
        <v>0.45833333333333331</v>
      </c>
      <c r="G62" s="526">
        <f t="shared" si="7"/>
        <v>0</v>
      </c>
    </row>
    <row r="63" spans="1:7" ht="12.75" customHeight="1" x14ac:dyDescent="0.15">
      <c r="A63" s="638">
        <f t="shared" si="5"/>
        <v>510</v>
      </c>
      <c r="B63" s="769" t="s">
        <v>218</v>
      </c>
      <c r="C63" s="583"/>
      <c r="D63" s="524"/>
      <c r="E63" s="600">
        <f t="shared" si="6"/>
        <v>0</v>
      </c>
      <c r="F63" s="782">
        <f>4.5/12</f>
        <v>0.375</v>
      </c>
      <c r="G63" s="526">
        <f t="shared" si="7"/>
        <v>0</v>
      </c>
    </row>
    <row r="64" spans="1:7" ht="12.75" customHeight="1" x14ac:dyDescent="0.15">
      <c r="A64" s="638">
        <f t="shared" si="5"/>
        <v>511</v>
      </c>
      <c r="B64" s="769" t="s">
        <v>219</v>
      </c>
      <c r="C64" s="583"/>
      <c r="D64" s="524"/>
      <c r="E64" s="600">
        <f t="shared" si="6"/>
        <v>0</v>
      </c>
      <c r="F64" s="782">
        <f>3.5/12</f>
        <v>0.29166666666666669</v>
      </c>
      <c r="G64" s="526">
        <f t="shared" si="7"/>
        <v>0</v>
      </c>
    </row>
    <row r="65" spans="1:12" ht="12.75" customHeight="1" x14ac:dyDescent="0.15">
      <c r="A65" s="638">
        <f t="shared" si="5"/>
        <v>512</v>
      </c>
      <c r="B65" s="769" t="s">
        <v>220</v>
      </c>
      <c r="C65" s="583"/>
      <c r="D65" s="524"/>
      <c r="E65" s="600">
        <f t="shared" si="6"/>
        <v>0</v>
      </c>
      <c r="F65" s="782">
        <f>2.5/12</f>
        <v>0.20833333333333334</v>
      </c>
      <c r="G65" s="526">
        <f t="shared" si="7"/>
        <v>0</v>
      </c>
    </row>
    <row r="66" spans="1:12" ht="12.75" customHeight="1" x14ac:dyDescent="0.15">
      <c r="A66" s="638">
        <f t="shared" si="5"/>
        <v>513</v>
      </c>
      <c r="B66" s="769" t="s">
        <v>221</v>
      </c>
      <c r="C66" s="583"/>
      <c r="D66" s="524"/>
      <c r="E66" s="600">
        <f t="shared" si="6"/>
        <v>0</v>
      </c>
      <c r="F66" s="782">
        <f>1.5/12</f>
        <v>0.125</v>
      </c>
      <c r="G66" s="526">
        <f t="shared" si="7"/>
        <v>0</v>
      </c>
    </row>
    <row r="67" spans="1:12" ht="12.75" customHeight="1" x14ac:dyDescent="0.15">
      <c r="A67" s="638">
        <f t="shared" si="5"/>
        <v>514</v>
      </c>
      <c r="B67" s="769" t="s">
        <v>222</v>
      </c>
      <c r="C67" s="583"/>
      <c r="D67" s="524"/>
      <c r="E67" s="600">
        <f t="shared" si="6"/>
        <v>0</v>
      </c>
      <c r="F67" s="782">
        <f>0.5/12</f>
        <v>4.1666666666666664E-2</v>
      </c>
      <c r="G67" s="526">
        <f t="shared" si="7"/>
        <v>0</v>
      </c>
      <c r="I67" s="523"/>
    </row>
    <row r="68" spans="1:12" ht="12.75" customHeight="1" x14ac:dyDescent="0.15">
      <c r="A68" s="638">
        <f t="shared" si="5"/>
        <v>515</v>
      </c>
      <c r="B68" s="769" t="s">
        <v>223</v>
      </c>
      <c r="C68" s="583"/>
      <c r="D68" s="524"/>
      <c r="E68" s="600">
        <f t="shared" si="6"/>
        <v>0</v>
      </c>
      <c r="F68" s="597">
        <f>-0.5/12</f>
        <v>-4.1666666666666664E-2</v>
      </c>
      <c r="G68" s="526">
        <f>E68*F68</f>
        <v>0</v>
      </c>
    </row>
    <row r="69" spans="1:12" ht="12.75" customHeight="1" x14ac:dyDescent="0.15">
      <c r="A69" s="638">
        <f t="shared" si="5"/>
        <v>516</v>
      </c>
      <c r="B69" s="769" t="str">
        <f>CONCATENATE("Afschrijving ",Voorblad!K4)</f>
        <v>Afschrijving 2013</v>
      </c>
      <c r="C69" s="524"/>
      <c r="D69" s="586"/>
      <c r="E69" s="601">
        <f>D69</f>
        <v>0</v>
      </c>
      <c r="F69" s="786">
        <v>0.5</v>
      </c>
      <c r="G69" s="601">
        <f>E69*F69</f>
        <v>0</v>
      </c>
    </row>
    <row r="70" spans="1:12" ht="12.75" customHeight="1" x14ac:dyDescent="0.15">
      <c r="A70" s="638">
        <f t="shared" si="5"/>
        <v>517</v>
      </c>
      <c r="B70" s="769" t="str">
        <f>CONCATENATE("Onderhanden werk per  31-12-",Voorblad!K4)</f>
        <v>Onderhanden werk per  31-12-2013</v>
      </c>
      <c r="C70" s="586">
        <v>0</v>
      </c>
      <c r="D70" s="524"/>
      <c r="E70" s="601">
        <f>C70</f>
        <v>0</v>
      </c>
      <c r="F70" s="524"/>
    </row>
    <row r="71" spans="1:12" ht="12.75" customHeight="1" x14ac:dyDescent="0.15">
      <c r="A71" s="638">
        <f t="shared" si="5"/>
        <v>518</v>
      </c>
      <c r="B71" s="775" t="str">
        <f>CONCATENATE("Geactiveerd per 31-12-",Voorblad!K4," (",A54," t/m ",A70,")")</f>
        <v>Geactiveerd per 31-12-2013 (501 t/m 517)</v>
      </c>
      <c r="C71" s="532">
        <f>C54-C55+SUM(C56:C68)-C70</f>
        <v>0</v>
      </c>
      <c r="D71" s="602">
        <f>D54-D55+D69</f>
        <v>0</v>
      </c>
      <c r="E71" s="532">
        <f>E54+SUM(E56:E68)-E69-E70</f>
        <v>0</v>
      </c>
      <c r="F71" s="524"/>
      <c r="G71" s="532">
        <f>SUM(G54:G68)-G69</f>
        <v>0</v>
      </c>
      <c r="I71" s="509"/>
    </row>
    <row r="72" spans="1:12" ht="12.75" customHeight="1" x14ac:dyDescent="0.15">
      <c r="A72" s="787"/>
      <c r="B72" s="788"/>
      <c r="C72" s="603"/>
      <c r="D72" s="789"/>
      <c r="E72" s="603"/>
    </row>
    <row r="73" spans="1:12" ht="12.75" customHeight="1" x14ac:dyDescent="0.15">
      <c r="A73" s="524"/>
      <c r="C73" s="524"/>
      <c r="D73" s="524"/>
      <c r="E73" s="524"/>
      <c r="F73" s="524"/>
    </row>
    <row r="74" spans="1:12" ht="12.75" customHeight="1" x14ac:dyDescent="0.15">
      <c r="A74" s="790"/>
      <c r="C74" s="779" t="s">
        <v>73</v>
      </c>
      <c r="D74" s="779" t="s">
        <v>192</v>
      </c>
      <c r="E74" s="779" t="s">
        <v>191</v>
      </c>
      <c r="F74" s="779" t="s">
        <v>273</v>
      </c>
      <c r="G74" s="779" t="s">
        <v>350</v>
      </c>
      <c r="I74" s="604"/>
      <c r="J74" s="604"/>
      <c r="K74" s="605"/>
      <c r="L74" s="523"/>
    </row>
    <row r="75" spans="1:12" ht="12.75" customHeight="1" x14ac:dyDescent="0.15">
      <c r="A75" s="790"/>
      <c r="C75" s="791" t="s">
        <v>97</v>
      </c>
      <c r="D75" s="791"/>
      <c r="E75" s="791" t="s">
        <v>351</v>
      </c>
      <c r="F75" s="791"/>
      <c r="G75" s="791" t="s">
        <v>98</v>
      </c>
      <c r="I75" s="604"/>
      <c r="J75" s="604"/>
      <c r="K75" s="605"/>
      <c r="L75" s="523"/>
    </row>
    <row r="76" spans="1:12" ht="12.75" customHeight="1" x14ac:dyDescent="0.15">
      <c r="A76" s="507" t="s">
        <v>373</v>
      </c>
      <c r="B76" s="512" t="s">
        <v>348</v>
      </c>
      <c r="C76" s="622"/>
      <c r="D76" s="622"/>
      <c r="E76" s="622"/>
      <c r="G76" s="509"/>
      <c r="I76" s="604"/>
      <c r="J76" s="604"/>
      <c r="K76" s="605"/>
      <c r="L76" s="523"/>
    </row>
    <row r="77" spans="1:12" ht="12.75" customHeight="1" x14ac:dyDescent="0.15">
      <c r="A77" s="638">
        <f>A71+1</f>
        <v>519</v>
      </c>
      <c r="B77" s="792">
        <f>Voorblad!K4</f>
        <v>2013</v>
      </c>
      <c r="C77" s="525"/>
      <c r="D77" s="793">
        <f>D78+1</f>
        <v>2023</v>
      </c>
      <c r="E77" s="525"/>
      <c r="F77" s="794">
        <v>9.5</v>
      </c>
      <c r="G77" s="526">
        <f>(C77+E77)*F77</f>
        <v>0</v>
      </c>
      <c r="I77" s="604"/>
      <c r="J77" s="604"/>
      <c r="K77" s="605"/>
      <c r="L77" s="523"/>
    </row>
    <row r="78" spans="1:12" ht="12.75" customHeight="1" x14ac:dyDescent="0.15">
      <c r="A78" s="638">
        <f>A77+1</f>
        <v>520</v>
      </c>
      <c r="B78" s="792">
        <f>B77-1</f>
        <v>2012</v>
      </c>
      <c r="C78" s="525"/>
      <c r="D78" s="793">
        <f t="shared" ref="D78:D85" si="8">D79+1</f>
        <v>2022</v>
      </c>
      <c r="E78" s="525"/>
      <c r="F78" s="794">
        <v>8.5</v>
      </c>
      <c r="G78" s="526">
        <f t="shared" ref="G78:G86" si="9">(C78+E78)*F78</f>
        <v>0</v>
      </c>
      <c r="I78" s="604"/>
      <c r="J78" s="604"/>
      <c r="K78" s="605"/>
      <c r="L78" s="523"/>
    </row>
    <row r="79" spans="1:12" ht="12.75" customHeight="1" x14ac:dyDescent="0.15">
      <c r="A79" s="638">
        <f>A78+1</f>
        <v>521</v>
      </c>
      <c r="B79" s="792">
        <f t="shared" ref="B79:B86" si="10">B78-1</f>
        <v>2011</v>
      </c>
      <c r="C79" s="525"/>
      <c r="D79" s="793">
        <f t="shared" si="8"/>
        <v>2021</v>
      </c>
      <c r="E79" s="525"/>
      <c r="F79" s="794">
        <v>7.5</v>
      </c>
      <c r="G79" s="526">
        <f t="shared" si="9"/>
        <v>0</v>
      </c>
      <c r="I79" s="604"/>
      <c r="J79" s="604"/>
      <c r="K79" s="605"/>
      <c r="L79" s="523"/>
    </row>
    <row r="80" spans="1:12" ht="12.75" customHeight="1" x14ac:dyDescent="0.15">
      <c r="A80" s="638">
        <f>A79+1</f>
        <v>522</v>
      </c>
      <c r="B80" s="792">
        <f t="shared" si="10"/>
        <v>2010</v>
      </c>
      <c r="C80" s="525"/>
      <c r="D80" s="793">
        <f t="shared" si="8"/>
        <v>2020</v>
      </c>
      <c r="E80" s="525"/>
      <c r="F80" s="794">
        <v>6.5</v>
      </c>
      <c r="G80" s="526">
        <f t="shared" si="9"/>
        <v>0</v>
      </c>
      <c r="I80" s="604"/>
      <c r="J80" s="604"/>
      <c r="K80" s="605"/>
      <c r="L80" s="523"/>
    </row>
    <row r="81" spans="1:12" ht="12.75" customHeight="1" x14ac:dyDescent="0.15">
      <c r="A81" s="638">
        <f t="shared" ref="A81:A87" si="11">A80+1</f>
        <v>523</v>
      </c>
      <c r="B81" s="792">
        <f t="shared" si="10"/>
        <v>2009</v>
      </c>
      <c r="C81" s="525"/>
      <c r="D81" s="793">
        <f t="shared" si="8"/>
        <v>2019</v>
      </c>
      <c r="E81" s="525"/>
      <c r="F81" s="794">
        <v>5.5</v>
      </c>
      <c r="G81" s="526">
        <f t="shared" si="9"/>
        <v>0</v>
      </c>
      <c r="J81" s="524"/>
      <c r="K81" s="523"/>
      <c r="L81" s="523"/>
    </row>
    <row r="82" spans="1:12" ht="12.75" customHeight="1" x14ac:dyDescent="0.15">
      <c r="A82" s="638">
        <f t="shared" si="11"/>
        <v>524</v>
      </c>
      <c r="B82" s="792">
        <f t="shared" si="10"/>
        <v>2008</v>
      </c>
      <c r="C82" s="525"/>
      <c r="D82" s="793">
        <f t="shared" si="8"/>
        <v>2018</v>
      </c>
      <c r="E82" s="525"/>
      <c r="F82" s="794">
        <v>4.5</v>
      </c>
      <c r="G82" s="526">
        <f t="shared" si="9"/>
        <v>0</v>
      </c>
      <c r="J82" s="509"/>
      <c r="K82" s="598"/>
      <c r="L82" s="523"/>
    </row>
    <row r="83" spans="1:12" ht="12.75" customHeight="1" x14ac:dyDescent="0.15">
      <c r="A83" s="638">
        <f t="shared" si="11"/>
        <v>525</v>
      </c>
      <c r="B83" s="792">
        <f t="shared" si="10"/>
        <v>2007</v>
      </c>
      <c r="C83" s="525"/>
      <c r="D83" s="793">
        <f t="shared" si="8"/>
        <v>2017</v>
      </c>
      <c r="E83" s="525"/>
      <c r="F83" s="794">
        <v>3.5</v>
      </c>
      <c r="G83" s="526">
        <f t="shared" si="9"/>
        <v>0</v>
      </c>
      <c r="J83" s="509"/>
      <c r="K83" s="598"/>
      <c r="L83" s="523"/>
    </row>
    <row r="84" spans="1:12" ht="12.75" customHeight="1" x14ac:dyDescent="0.15">
      <c r="A84" s="638">
        <f t="shared" si="11"/>
        <v>526</v>
      </c>
      <c r="B84" s="792">
        <f t="shared" si="10"/>
        <v>2006</v>
      </c>
      <c r="C84" s="525"/>
      <c r="D84" s="793">
        <f t="shared" si="8"/>
        <v>2016</v>
      </c>
      <c r="E84" s="525"/>
      <c r="F84" s="794">
        <v>2.5</v>
      </c>
      <c r="G84" s="526">
        <f t="shared" si="9"/>
        <v>0</v>
      </c>
      <c r="J84" s="524"/>
      <c r="K84" s="523"/>
      <c r="L84" s="523"/>
    </row>
    <row r="85" spans="1:12" ht="12.75" customHeight="1" x14ac:dyDescent="0.15">
      <c r="A85" s="638">
        <f t="shared" si="11"/>
        <v>527</v>
      </c>
      <c r="B85" s="792">
        <f t="shared" si="10"/>
        <v>2005</v>
      </c>
      <c r="C85" s="525"/>
      <c r="D85" s="793">
        <f t="shared" si="8"/>
        <v>2015</v>
      </c>
      <c r="E85" s="525"/>
      <c r="F85" s="794">
        <v>1.5</v>
      </c>
      <c r="G85" s="526">
        <f t="shared" si="9"/>
        <v>0</v>
      </c>
      <c r="J85" s="524"/>
      <c r="K85" s="523"/>
      <c r="L85" s="523"/>
    </row>
    <row r="86" spans="1:12" ht="12.75" customHeight="1" x14ac:dyDescent="0.15">
      <c r="A86" s="638">
        <f t="shared" si="11"/>
        <v>528</v>
      </c>
      <c r="B86" s="792">
        <f t="shared" si="10"/>
        <v>2004</v>
      </c>
      <c r="C86" s="540"/>
      <c r="D86" s="795">
        <f>Voorblad!K4+1</f>
        <v>2014</v>
      </c>
      <c r="E86" s="540"/>
      <c r="F86" s="796">
        <v>0.5</v>
      </c>
      <c r="G86" s="526">
        <f t="shared" si="9"/>
        <v>0</v>
      </c>
      <c r="J86" s="524"/>
      <c r="K86" s="523"/>
      <c r="L86" s="523"/>
    </row>
    <row r="87" spans="1:12" ht="12.75" customHeight="1" x14ac:dyDescent="0.15">
      <c r="A87" s="638">
        <f t="shared" si="11"/>
        <v>529</v>
      </c>
      <c r="B87" s="1335" t="s">
        <v>413</v>
      </c>
      <c r="C87" s="1336"/>
      <c r="D87" s="1336"/>
      <c r="E87" s="1336"/>
      <c r="F87" s="1337"/>
      <c r="G87" s="606">
        <f>0.27*10*C77</f>
        <v>0</v>
      </c>
      <c r="I87" s="523"/>
    </row>
    <row r="88" spans="1:12" ht="12.75" customHeight="1" x14ac:dyDescent="0.15">
      <c r="A88" s="638">
        <f>A87+1</f>
        <v>530</v>
      </c>
      <c r="B88" s="797" t="str">
        <f>CONCATENATE("Totaal (regel ",A77," t/m ",A87,")")</f>
        <v>Totaal (regel 519 t/m 529)</v>
      </c>
      <c r="C88" s="607">
        <f>SUM(C77:C86)</f>
        <v>0</v>
      </c>
      <c r="D88" s="608"/>
      <c r="E88" s="607">
        <f>SUM(E77:E87)</f>
        <v>0</v>
      </c>
      <c r="F88" s="609"/>
      <c r="G88" s="610">
        <f>SUM(G77:G87)</f>
        <v>0</v>
      </c>
      <c r="I88" s="523"/>
    </row>
    <row r="89" spans="1:12" ht="12.75" customHeight="1" x14ac:dyDescent="0.15">
      <c r="A89" s="798" t="s">
        <v>349</v>
      </c>
      <c r="C89" s="524"/>
      <c r="D89" s="524"/>
      <c r="E89" s="524"/>
      <c r="F89" s="524"/>
      <c r="I89" s="523"/>
    </row>
    <row r="90" spans="1:12" ht="6.75" customHeight="1" x14ac:dyDescent="0.15">
      <c r="A90" s="657"/>
      <c r="B90" s="582"/>
      <c r="C90" s="639"/>
      <c r="D90" s="639"/>
      <c r="E90" s="611"/>
      <c r="F90" s="650"/>
      <c r="G90" s="659"/>
      <c r="H90" s="544"/>
      <c r="I90" s="544"/>
      <c r="J90" s="582"/>
    </row>
    <row r="91" spans="1:12" ht="12.75" customHeight="1" x14ac:dyDescent="0.15">
      <c r="A91" s="639" t="s">
        <v>195</v>
      </c>
      <c r="B91" s="799" t="s">
        <v>31</v>
      </c>
      <c r="C91" s="639"/>
      <c r="D91" s="639"/>
      <c r="E91" s="611"/>
      <c r="F91" s="650"/>
      <c r="G91" s="659"/>
      <c r="H91" s="544"/>
      <c r="I91" s="544"/>
      <c r="J91" s="582"/>
    </row>
    <row r="92" spans="1:12" ht="12.75" customHeight="1" x14ac:dyDescent="0.15">
      <c r="A92" s="800">
        <f>+A88+1</f>
        <v>531</v>
      </c>
      <c r="B92" s="801" t="s">
        <v>422</v>
      </c>
      <c r="C92" s="802"/>
      <c r="D92" s="802"/>
      <c r="E92" s="803"/>
      <c r="F92" s="627"/>
      <c r="G92" s="635">
        <f>Mutaties!E16</f>
        <v>0</v>
      </c>
    </row>
    <row r="93" spans="1:12" ht="12.75" customHeight="1" x14ac:dyDescent="0.15">
      <c r="A93" s="800">
        <f>A92+1</f>
        <v>532</v>
      </c>
      <c r="B93" s="538" t="s">
        <v>69</v>
      </c>
      <c r="C93" s="804"/>
      <c r="D93" s="804"/>
      <c r="E93" s="805"/>
      <c r="F93" s="806"/>
      <c r="G93" s="612"/>
    </row>
    <row r="94" spans="1:12" ht="12.75" customHeight="1" x14ac:dyDescent="0.15">
      <c r="A94" s="800">
        <f>A93+1</f>
        <v>533</v>
      </c>
      <c r="B94" s="807" t="s">
        <v>415</v>
      </c>
      <c r="C94" s="808"/>
      <c r="D94" s="808"/>
      <c r="E94" s="571"/>
      <c r="F94" s="572"/>
      <c r="G94" s="613">
        <f>G93+(0.068*G92)</f>
        <v>0</v>
      </c>
      <c r="I94" s="614"/>
    </row>
    <row r="95" spans="1:12" ht="12.75" customHeight="1" x14ac:dyDescent="0.15">
      <c r="A95" s="605"/>
      <c r="C95" s="524"/>
      <c r="D95" s="524"/>
      <c r="E95" s="524"/>
      <c r="F95" s="524"/>
    </row>
    <row r="96" spans="1:12" ht="12.75" customHeight="1" x14ac:dyDescent="0.15"/>
    <row r="97" spans="1:10" s="523" customFormat="1" ht="12.75" customHeight="1" x14ac:dyDescent="0.15">
      <c r="A97" s="657" t="str">
        <f>Inhoud!$A$2</f>
        <v>Vaststelling Transitiebedrag 2013</v>
      </c>
      <c r="B97" s="582"/>
      <c r="C97" s="639"/>
      <c r="D97" s="639"/>
      <c r="E97" s="650"/>
      <c r="F97" s="650"/>
      <c r="G97" s="659">
        <f>+G48+1</f>
        <v>6</v>
      </c>
      <c r="H97" s="582"/>
      <c r="I97" s="582"/>
      <c r="J97" s="582"/>
    </row>
    <row r="98" spans="1:10" ht="12.75" customHeight="1" x14ac:dyDescent="0.15">
      <c r="A98" s="657"/>
      <c r="B98" s="582"/>
      <c r="C98" s="639"/>
      <c r="D98" s="639"/>
      <c r="E98" s="650"/>
      <c r="F98" s="650"/>
      <c r="G98" s="659"/>
      <c r="H98" s="544"/>
      <c r="I98" s="544"/>
      <c r="J98" s="582"/>
    </row>
    <row r="99" spans="1:10" ht="12.75" customHeight="1" x14ac:dyDescent="0.15">
      <c r="A99" s="581" t="s">
        <v>34</v>
      </c>
      <c r="B99" s="527" t="s">
        <v>196</v>
      </c>
    </row>
    <row r="100" spans="1:10" ht="12.75" customHeight="1" x14ac:dyDescent="0.15">
      <c r="A100" s="524"/>
      <c r="C100" s="809" t="str">
        <f>CONCATENATE("saldo voor ",Voorblad!K4-2)</f>
        <v>saldo voor 2011</v>
      </c>
      <c r="D100" s="810">
        <f>Voorblad!K4-2</f>
        <v>2011</v>
      </c>
      <c r="E100" s="811">
        <f>Voorblad!K4-1</f>
        <v>2012</v>
      </c>
      <c r="F100" s="810" t="str">
        <f>CONCATENATE("t/m ",Voorblad!K4-1)</f>
        <v>t/m 2012</v>
      </c>
    </row>
    <row r="101" spans="1:10" ht="12.75" customHeight="1" x14ac:dyDescent="0.15">
      <c r="A101" s="812">
        <f>(100*G97)+1</f>
        <v>601</v>
      </c>
      <c r="B101" s="813" t="s">
        <v>121</v>
      </c>
      <c r="C101" s="540"/>
      <c r="D101" s="540"/>
      <c r="E101" s="540"/>
      <c r="F101" s="814">
        <f>C101+D101+E101</f>
        <v>0</v>
      </c>
    </row>
    <row r="102" spans="1:10" ht="12.75" customHeight="1" x14ac:dyDescent="0.15">
      <c r="A102" s="812">
        <f>A101+1</f>
        <v>602</v>
      </c>
      <c r="B102" s="1348" t="s">
        <v>429</v>
      </c>
      <c r="C102" s="813"/>
      <c r="D102" s="540"/>
      <c r="E102" s="540"/>
      <c r="F102" s="814">
        <f>D102+E102</f>
        <v>0</v>
      </c>
    </row>
    <row r="103" spans="1:10" ht="12.75" customHeight="1" x14ac:dyDescent="0.15">
      <c r="A103" s="812">
        <f>A102+1</f>
        <v>603</v>
      </c>
      <c r="B103" s="813" t="s">
        <v>425</v>
      </c>
      <c r="C103" s="815"/>
      <c r="D103" s="540"/>
      <c r="E103" s="540"/>
      <c r="F103" s="816">
        <f>C103+D103+E103</f>
        <v>0</v>
      </c>
    </row>
    <row r="104" spans="1:10" ht="12.75" customHeight="1" x14ac:dyDescent="0.15">
      <c r="A104" s="812">
        <f>A103+1</f>
        <v>604</v>
      </c>
      <c r="B104" s="817" t="s">
        <v>239</v>
      </c>
      <c r="C104" s="615">
        <f>C101-C103</f>
        <v>0</v>
      </c>
      <c r="D104" s="615">
        <f>D101-D103-D102</f>
        <v>0</v>
      </c>
      <c r="E104" s="615">
        <f>E101-E103-E102</f>
        <v>0</v>
      </c>
      <c r="F104" s="818">
        <f>F101-F103-F102</f>
        <v>0</v>
      </c>
    </row>
    <row r="105" spans="1:10" ht="12.75" customHeight="1" x14ac:dyDescent="0.15">
      <c r="A105" s="1338" t="s">
        <v>430</v>
      </c>
      <c r="B105" s="1338"/>
      <c r="C105" s="1338"/>
      <c r="D105" s="1338"/>
      <c r="E105" s="1338"/>
      <c r="F105" s="1338"/>
      <c r="G105" s="1338"/>
    </row>
    <row r="106" spans="1:10" ht="12.75" customHeight="1" x14ac:dyDescent="0.15">
      <c r="A106" s="1338"/>
      <c r="B106" s="1338"/>
      <c r="C106" s="1338"/>
      <c r="D106" s="1338"/>
      <c r="E106" s="1338"/>
      <c r="F106" s="1338"/>
      <c r="G106" s="1338"/>
    </row>
    <row r="107" spans="1:10" ht="12.75" customHeight="1" x14ac:dyDescent="0.15">
      <c r="A107" s="524"/>
      <c r="C107" s="819"/>
      <c r="D107" s="819"/>
      <c r="E107" s="819"/>
      <c r="F107" s="819"/>
    </row>
    <row r="108" spans="1:10" ht="12.75" customHeight="1" x14ac:dyDescent="0.15">
      <c r="A108" s="595"/>
      <c r="B108" s="765"/>
      <c r="C108" s="820" t="s">
        <v>198</v>
      </c>
      <c r="D108" s="821" t="s">
        <v>199</v>
      </c>
      <c r="E108" s="821" t="s">
        <v>337</v>
      </c>
      <c r="F108" s="821" t="s">
        <v>273</v>
      </c>
      <c r="G108" s="822" t="s">
        <v>92</v>
      </c>
      <c r="H108" s="523"/>
    </row>
    <row r="109" spans="1:10" ht="12.75" customHeight="1" x14ac:dyDescent="0.15">
      <c r="A109" s="823">
        <f>A104+1</f>
        <v>605</v>
      </c>
      <c r="B109" s="824" t="str">
        <f>CONCATENATE("Nog te verrekenen per 31-12-",Voorblad!K4-1)</f>
        <v>Nog te verrekenen per 31-12-2012</v>
      </c>
      <c r="C109" s="1320"/>
      <c r="D109" s="1321"/>
      <c r="E109" s="1321"/>
      <c r="F109" s="1322"/>
      <c r="G109" s="635">
        <f>F104</f>
        <v>0</v>
      </c>
      <c r="H109" s="760"/>
    </row>
    <row r="110" spans="1:10" ht="12.75" customHeight="1" x14ac:dyDescent="0.15">
      <c r="A110" s="823">
        <f>A109+1</f>
        <v>606</v>
      </c>
      <c r="B110" s="1035" t="s">
        <v>197</v>
      </c>
      <c r="C110" s="1323"/>
      <c r="D110" s="1324"/>
      <c r="E110" s="1324"/>
      <c r="F110" s="1325"/>
      <c r="G110" s="612"/>
      <c r="H110" s="523"/>
    </row>
    <row r="111" spans="1:10" ht="12.75" customHeight="1" x14ac:dyDescent="0.15">
      <c r="A111" s="823">
        <f t="shared" ref="A111:A124" si="12">A110+1</f>
        <v>607</v>
      </c>
      <c r="B111" s="824" t="s">
        <v>240</v>
      </c>
      <c r="C111" s="616">
        <f>G$92/12</f>
        <v>0</v>
      </c>
      <c r="D111" s="540"/>
      <c r="E111" s="635">
        <f t="shared" ref="E111:E122" si="13">C111-D111</f>
        <v>0</v>
      </c>
      <c r="F111" s="825">
        <v>0.95830000000000004</v>
      </c>
      <c r="G111" s="635">
        <f>ROUND(E111*F111,0)</f>
        <v>0</v>
      </c>
      <c r="H111" s="523"/>
      <c r="J111" s="524"/>
    </row>
    <row r="112" spans="1:10" ht="12.75" customHeight="1" x14ac:dyDescent="0.15">
      <c r="A112" s="823">
        <f t="shared" si="12"/>
        <v>608</v>
      </c>
      <c r="B112" s="824" t="s">
        <v>241</v>
      </c>
      <c r="C112" s="616">
        <f t="shared" ref="C112:C122" si="14">G$92/12</f>
        <v>0</v>
      </c>
      <c r="D112" s="540"/>
      <c r="E112" s="635">
        <f t="shared" si="13"/>
        <v>0</v>
      </c>
      <c r="F112" s="825">
        <v>0.875</v>
      </c>
      <c r="G112" s="635">
        <f t="shared" ref="G112:G122" si="15">ROUND(E112*F112,0)</f>
        <v>0</v>
      </c>
      <c r="H112" s="523"/>
      <c r="J112" s="524"/>
    </row>
    <row r="113" spans="1:10" ht="12.75" customHeight="1" x14ac:dyDescent="0.15">
      <c r="A113" s="823">
        <f t="shared" si="12"/>
        <v>609</v>
      </c>
      <c r="B113" s="824" t="s">
        <v>242</v>
      </c>
      <c r="C113" s="616">
        <f t="shared" si="14"/>
        <v>0</v>
      </c>
      <c r="D113" s="540"/>
      <c r="E113" s="635">
        <f t="shared" si="13"/>
        <v>0</v>
      </c>
      <c r="F113" s="825">
        <v>0.79169999999999996</v>
      </c>
      <c r="G113" s="635">
        <f t="shared" si="15"/>
        <v>0</v>
      </c>
      <c r="H113" s="523"/>
      <c r="J113" s="524"/>
    </row>
    <row r="114" spans="1:10" ht="12.75" customHeight="1" x14ac:dyDescent="0.15">
      <c r="A114" s="823">
        <f t="shared" si="12"/>
        <v>610</v>
      </c>
      <c r="B114" s="824" t="s">
        <v>243</v>
      </c>
      <c r="C114" s="616">
        <f t="shared" si="14"/>
        <v>0</v>
      </c>
      <c r="D114" s="540"/>
      <c r="E114" s="635">
        <f t="shared" si="13"/>
        <v>0</v>
      </c>
      <c r="F114" s="825">
        <v>0.70830000000000004</v>
      </c>
      <c r="G114" s="635">
        <f t="shared" si="15"/>
        <v>0</v>
      </c>
      <c r="H114" s="523"/>
      <c r="J114" s="617"/>
    </row>
    <row r="115" spans="1:10" ht="12.75" customHeight="1" x14ac:dyDescent="0.15">
      <c r="A115" s="823">
        <f t="shared" si="12"/>
        <v>611</v>
      </c>
      <c r="B115" s="824" t="s">
        <v>244</v>
      </c>
      <c r="C115" s="616">
        <f t="shared" si="14"/>
        <v>0</v>
      </c>
      <c r="D115" s="540"/>
      <c r="E115" s="635">
        <f t="shared" si="13"/>
        <v>0</v>
      </c>
      <c r="F115" s="825">
        <v>0.625</v>
      </c>
      <c r="G115" s="635">
        <f t="shared" si="15"/>
        <v>0</v>
      </c>
      <c r="H115" s="523"/>
      <c r="J115" s="509"/>
    </row>
    <row r="116" spans="1:10" ht="12.75" customHeight="1" x14ac:dyDescent="0.15">
      <c r="A116" s="823">
        <f t="shared" si="12"/>
        <v>612</v>
      </c>
      <c r="B116" s="824" t="s">
        <v>245</v>
      </c>
      <c r="C116" s="616">
        <f t="shared" si="14"/>
        <v>0</v>
      </c>
      <c r="D116" s="540"/>
      <c r="E116" s="635">
        <f t="shared" si="13"/>
        <v>0</v>
      </c>
      <c r="F116" s="825">
        <v>0.54169999999999996</v>
      </c>
      <c r="G116" s="635">
        <f t="shared" si="15"/>
        <v>0</v>
      </c>
      <c r="H116" s="523"/>
    </row>
    <row r="117" spans="1:10" ht="12.75" customHeight="1" x14ac:dyDescent="0.15">
      <c r="A117" s="823">
        <f t="shared" si="12"/>
        <v>613</v>
      </c>
      <c r="B117" s="824" t="s">
        <v>246</v>
      </c>
      <c r="C117" s="616">
        <f t="shared" si="14"/>
        <v>0</v>
      </c>
      <c r="D117" s="540"/>
      <c r="E117" s="635">
        <f t="shared" si="13"/>
        <v>0</v>
      </c>
      <c r="F117" s="825">
        <v>0.45829999999999999</v>
      </c>
      <c r="G117" s="635">
        <f t="shared" si="15"/>
        <v>0</v>
      </c>
      <c r="H117" s="523"/>
    </row>
    <row r="118" spans="1:10" ht="12.75" customHeight="1" x14ac:dyDescent="0.15">
      <c r="A118" s="823">
        <f t="shared" si="12"/>
        <v>614</v>
      </c>
      <c r="B118" s="824" t="s">
        <v>247</v>
      </c>
      <c r="C118" s="616">
        <f t="shared" si="14"/>
        <v>0</v>
      </c>
      <c r="D118" s="540"/>
      <c r="E118" s="635">
        <f t="shared" si="13"/>
        <v>0</v>
      </c>
      <c r="F118" s="825">
        <v>0.375</v>
      </c>
      <c r="G118" s="635">
        <f t="shared" si="15"/>
        <v>0</v>
      </c>
      <c r="H118" s="523"/>
    </row>
    <row r="119" spans="1:10" ht="12.75" customHeight="1" x14ac:dyDescent="0.15">
      <c r="A119" s="823">
        <f t="shared" si="12"/>
        <v>615</v>
      </c>
      <c r="B119" s="824" t="s">
        <v>248</v>
      </c>
      <c r="C119" s="616">
        <f t="shared" si="14"/>
        <v>0</v>
      </c>
      <c r="D119" s="540"/>
      <c r="E119" s="635">
        <f t="shared" si="13"/>
        <v>0</v>
      </c>
      <c r="F119" s="825">
        <v>0.29170000000000001</v>
      </c>
      <c r="G119" s="635">
        <f t="shared" si="15"/>
        <v>0</v>
      </c>
      <c r="H119" s="523"/>
    </row>
    <row r="120" spans="1:10" ht="12.75" customHeight="1" x14ac:dyDescent="0.15">
      <c r="A120" s="823">
        <f t="shared" si="12"/>
        <v>616</v>
      </c>
      <c r="B120" s="824" t="s">
        <v>249</v>
      </c>
      <c r="C120" s="616">
        <f t="shared" si="14"/>
        <v>0</v>
      </c>
      <c r="D120" s="540"/>
      <c r="E120" s="635">
        <f t="shared" si="13"/>
        <v>0</v>
      </c>
      <c r="F120" s="825">
        <v>0.20830000000000001</v>
      </c>
      <c r="G120" s="635">
        <f>ROUND(E120*F120,0)</f>
        <v>0</v>
      </c>
      <c r="H120" s="523"/>
      <c r="J120" s="524"/>
    </row>
    <row r="121" spans="1:10" ht="12.75" customHeight="1" x14ac:dyDescent="0.15">
      <c r="A121" s="823">
        <f t="shared" si="12"/>
        <v>617</v>
      </c>
      <c r="B121" s="824" t="s">
        <v>250</v>
      </c>
      <c r="C121" s="616">
        <f t="shared" si="14"/>
        <v>0</v>
      </c>
      <c r="D121" s="540"/>
      <c r="E121" s="635">
        <f t="shared" si="13"/>
        <v>0</v>
      </c>
      <c r="F121" s="825">
        <v>0.125</v>
      </c>
      <c r="G121" s="635">
        <f t="shared" si="15"/>
        <v>0</v>
      </c>
      <c r="H121" s="523"/>
      <c r="J121" s="524"/>
    </row>
    <row r="122" spans="1:10" ht="12.75" customHeight="1" x14ac:dyDescent="0.15">
      <c r="A122" s="823">
        <f t="shared" si="12"/>
        <v>618</v>
      </c>
      <c r="B122" s="824" t="s">
        <v>251</v>
      </c>
      <c r="C122" s="616">
        <f t="shared" si="14"/>
        <v>0</v>
      </c>
      <c r="D122" s="540"/>
      <c r="E122" s="635">
        <f t="shared" si="13"/>
        <v>0</v>
      </c>
      <c r="F122" s="825">
        <v>4.1700000000000001E-2</v>
      </c>
      <c r="G122" s="635">
        <f t="shared" si="15"/>
        <v>0</v>
      </c>
      <c r="H122" s="523"/>
      <c r="J122" s="524"/>
    </row>
    <row r="123" spans="1:10" s="527" customFormat="1" ht="12.75" customHeight="1" x14ac:dyDescent="0.15">
      <c r="A123" s="823">
        <f t="shared" si="12"/>
        <v>619</v>
      </c>
      <c r="B123" s="775" t="s">
        <v>475</v>
      </c>
      <c r="C123" s="618">
        <f>SUM(C111:C122)</f>
        <v>0</v>
      </c>
      <c r="D123" s="619">
        <f>SUM(D111:D122)</f>
        <v>0</v>
      </c>
      <c r="E123" s="619">
        <f>SUM(E111:E122)</f>
        <v>0</v>
      </c>
      <c r="F123" s="826"/>
      <c r="G123" s="619">
        <f>SUM(G109:G122)</f>
        <v>0</v>
      </c>
      <c r="H123" s="595"/>
    </row>
    <row r="124" spans="1:10" ht="12.75" customHeight="1" x14ac:dyDescent="0.15">
      <c r="A124" s="823">
        <f t="shared" si="12"/>
        <v>620</v>
      </c>
      <c r="B124" s="719" t="s">
        <v>416</v>
      </c>
      <c r="C124" s="837"/>
      <c r="D124" s="525"/>
      <c r="E124" s="933"/>
      <c r="F124" s="934"/>
      <c r="G124" s="935"/>
      <c r="H124" s="523"/>
      <c r="J124" s="524"/>
    </row>
    <row r="125" spans="1:10" ht="12.75" customHeight="1" x14ac:dyDescent="0.15">
      <c r="A125" s="524" t="s">
        <v>476</v>
      </c>
      <c r="B125" s="630"/>
      <c r="C125" s="630"/>
      <c r="D125" s="630"/>
      <c r="E125" s="630"/>
      <c r="F125" s="827"/>
      <c r="G125" s="828"/>
      <c r="H125" s="523"/>
      <c r="J125" s="524"/>
    </row>
    <row r="126" spans="1:10" ht="12.6" customHeight="1" x14ac:dyDescent="0.15">
      <c r="A126" s="760"/>
      <c r="D126" s="630"/>
      <c r="E126" s="630"/>
      <c r="F126" s="827"/>
      <c r="G126" s="828"/>
      <c r="H126" s="523"/>
      <c r="J126" s="524"/>
    </row>
    <row r="127" spans="1:10" ht="12.6" customHeight="1" x14ac:dyDescent="0.15">
      <c r="A127" s="760"/>
      <c r="B127" s="630"/>
      <c r="C127" s="630"/>
      <c r="D127" s="630"/>
      <c r="E127" s="630"/>
      <c r="F127" s="827"/>
      <c r="G127" s="828"/>
      <c r="H127" s="523"/>
      <c r="J127" s="524"/>
    </row>
    <row r="128" spans="1:10" ht="12.6" customHeight="1" x14ac:dyDescent="0.15">
      <c r="A128" s="760"/>
      <c r="B128" s="630"/>
      <c r="C128" s="630"/>
      <c r="D128" s="630"/>
      <c r="E128" s="630"/>
      <c r="F128" s="827"/>
      <c r="G128" s="828"/>
      <c r="H128" s="523"/>
      <c r="J128" s="524"/>
    </row>
    <row r="129" spans="1:10" ht="12.6" customHeight="1" x14ac:dyDescent="0.15">
      <c r="A129" s="760"/>
      <c r="B129" s="630"/>
      <c r="C129" s="630"/>
      <c r="D129" s="630"/>
      <c r="E129" s="630"/>
      <c r="F129" s="827"/>
      <c r="G129" s="828"/>
      <c r="H129" s="523"/>
      <c r="J129" s="509"/>
    </row>
    <row r="130" spans="1:10" ht="12.6" customHeight="1" x14ac:dyDescent="0.15">
      <c r="A130" s="760"/>
      <c r="B130" s="630"/>
      <c r="C130" s="630"/>
      <c r="D130" s="630"/>
      <c r="E130" s="630"/>
      <c r="F130" s="827"/>
      <c r="G130" s="828"/>
      <c r="H130" s="523"/>
      <c r="J130" s="509"/>
    </row>
    <row r="131" spans="1:10" ht="12.6" customHeight="1" x14ac:dyDescent="0.15">
      <c r="A131" s="760"/>
      <c r="B131" s="523"/>
      <c r="C131" s="630"/>
      <c r="D131" s="630"/>
      <c r="E131" s="630"/>
      <c r="F131" s="827"/>
      <c r="G131" s="828"/>
      <c r="H131" s="523"/>
      <c r="J131" s="524"/>
    </row>
    <row r="132" spans="1:10" ht="12.6" customHeight="1" x14ac:dyDescent="0.15">
      <c r="A132" s="760"/>
      <c r="B132" s="630"/>
      <c r="C132" s="523"/>
      <c r="D132" s="523"/>
      <c r="E132" s="523"/>
      <c r="F132" s="523"/>
      <c r="G132" s="523"/>
      <c r="H132" s="523"/>
      <c r="J132" s="524"/>
    </row>
    <row r="133" spans="1:10" ht="12.6" customHeight="1" x14ac:dyDescent="0.15">
      <c r="A133" s="523"/>
      <c r="B133" s="523"/>
      <c r="C133" s="523"/>
      <c r="D133" s="523"/>
      <c r="E133" s="523"/>
      <c r="F133" s="523"/>
      <c r="G133" s="523"/>
      <c r="H133" s="523"/>
      <c r="J133" s="524"/>
    </row>
    <row r="134" spans="1:10" ht="12.6" customHeight="1" x14ac:dyDescent="0.15">
      <c r="A134" s="523"/>
      <c r="J134" s="524"/>
    </row>
    <row r="135" spans="1:10" ht="12.6" customHeight="1" x14ac:dyDescent="0.15">
      <c r="J135" s="524"/>
    </row>
    <row r="136" spans="1:10" ht="12.6" customHeight="1" x14ac:dyDescent="0.15"/>
    <row r="143" spans="1:10" ht="12.6" customHeight="1" x14ac:dyDescent="0.15"/>
    <row r="144" spans="1:10" ht="12.6" customHeight="1" x14ac:dyDescent="0.15"/>
    <row r="145" ht="12.6" customHeight="1" x14ac:dyDescent="0.15"/>
    <row r="146" ht="12.6" customHeight="1" x14ac:dyDescent="0.15"/>
    <row r="147" ht="12.6" customHeight="1" x14ac:dyDescent="0.15"/>
  </sheetData>
  <sheetProtection password="CBD3" sheet="1" objects="1" scenarios="1"/>
  <mergeCells count="7">
    <mergeCell ref="C109:F110"/>
    <mergeCell ref="F5:G5"/>
    <mergeCell ref="F50:G50"/>
    <mergeCell ref="E27:G28"/>
    <mergeCell ref="B87:F87"/>
    <mergeCell ref="A105:G106"/>
    <mergeCell ref="A7:C7"/>
  </mergeCells>
  <phoneticPr fontId="17" type="noConversion"/>
  <conditionalFormatting sqref="D111:D122 D124 G110 C9:D22 D101:E103 G93 C77:C86 E77:E86 D69 C70 C56:C68 D33:D44 C54:D55 C32:C44 C101">
    <cfRule type="expression" dxfId="7" priority="1" stopIfTrue="1">
      <formula>$E$2=TRUE</formula>
    </cfRule>
  </conditionalFormatting>
  <conditionalFormatting sqref="C25">
    <cfRule type="cellIs" dxfId="6" priority="2" stopIfTrue="1" operator="notEqual">
      <formula>0</formula>
    </cfRule>
  </conditionalFormatting>
  <conditionalFormatting sqref="A7">
    <cfRule type="cellIs" dxfId="5" priority="3" stopIfTrue="1" operator="equal">
      <formula>"Vul het Nza-nummer in op het voorblad"</formula>
    </cfRule>
  </conditionalFormatting>
  <pageMargins left="0.39370078740157483" right="0.39370078740157483" top="0.39370078740157483" bottom="0.39370078740157483" header="0.51181102362204722" footer="0.51181102362204722"/>
  <pageSetup paperSize="9" scale="87" orientation="landscape" horizontalDpi="300" verticalDpi="300" r:id="rId1"/>
  <headerFooter alignWithMargins="0"/>
  <rowBreaks count="2" manualBreakCount="2">
    <brk id="46" max="6" man="1"/>
    <brk id="95" max="6" man="1"/>
  </rowBreaks>
  <ignoredErrors>
    <ignoredError sqref="E69" formula="1"/>
  </ignoredErrors>
  <drawing r:id="rId2"/>
  <legacyDrawing r:id="rId3"/>
  <oleObjects>
    <mc:AlternateContent xmlns:mc="http://schemas.openxmlformats.org/markup-compatibility/2006">
      <mc:Choice Requires="x14">
        <oleObject progId="MSPhotoEd.3" shapeId="11359" r:id="rId4">
          <objectPr defaultSize="0" autoPict="0" r:id="rId5">
            <anchor moveWithCells="1" sizeWithCells="1">
              <from>
                <xdr:col>5</xdr:col>
                <xdr:colOff>276225</xdr:colOff>
                <xdr:row>1</xdr:row>
                <xdr:rowOff>28575</xdr:rowOff>
              </from>
              <to>
                <xdr:col>6</xdr:col>
                <xdr:colOff>628650</xdr:colOff>
                <xdr:row>1</xdr:row>
                <xdr:rowOff>171450</xdr:rowOff>
              </to>
            </anchor>
          </objectPr>
        </oleObject>
      </mc:Choice>
      <mc:Fallback>
        <oleObject progId="MSPhotoEd.3" shapeId="11359" r:id="rId4"/>
      </mc:Fallback>
    </mc:AlternateContent>
    <mc:AlternateContent xmlns:mc="http://schemas.openxmlformats.org/markup-compatibility/2006">
      <mc:Choice Requires="x14">
        <oleObject progId="MSPhotoEd.3" shapeId="11361" r:id="rId6">
          <objectPr defaultSize="0" autoPict="0" r:id="rId5">
            <anchor moveWithCells="1" sizeWithCells="1">
              <from>
                <xdr:col>5</xdr:col>
                <xdr:colOff>466725</xdr:colOff>
                <xdr:row>47</xdr:row>
                <xdr:rowOff>19050</xdr:rowOff>
              </from>
              <to>
                <xdr:col>6</xdr:col>
                <xdr:colOff>819150</xdr:colOff>
                <xdr:row>48</xdr:row>
                <xdr:rowOff>0</xdr:rowOff>
              </to>
            </anchor>
          </objectPr>
        </oleObject>
      </mc:Choice>
      <mc:Fallback>
        <oleObject progId="MSPhotoEd.3" shapeId="11361" r:id="rId6"/>
      </mc:Fallback>
    </mc:AlternateContent>
    <mc:AlternateContent xmlns:mc="http://schemas.openxmlformats.org/markup-compatibility/2006">
      <mc:Choice Requires="x14">
        <oleObject progId="MSPhotoEd.3" shapeId="11362" r:id="rId7">
          <objectPr defaultSize="0" autoPict="0" r:id="rId5">
            <anchor moveWithCells="1" sizeWithCells="1">
              <from>
                <xdr:col>5</xdr:col>
                <xdr:colOff>304800</xdr:colOff>
                <xdr:row>96</xdr:row>
                <xdr:rowOff>57150</xdr:rowOff>
              </from>
              <to>
                <xdr:col>6</xdr:col>
                <xdr:colOff>657225</xdr:colOff>
                <xdr:row>97</xdr:row>
                <xdr:rowOff>38100</xdr:rowOff>
              </to>
            </anchor>
          </objectPr>
        </oleObject>
      </mc:Choice>
      <mc:Fallback>
        <oleObject progId="MSPhotoEd.3" shapeId="11362" r:id="rId7"/>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9">
    <pageSetUpPr autoPageBreaks="0"/>
  </sheetPr>
  <dimension ref="A1:AN81"/>
  <sheetViews>
    <sheetView showGridLines="0" showZeros="0" showOutlineSymbols="0" zoomScaleNormal="86" zoomScaleSheetLayoutView="100" workbookViewId="0"/>
  </sheetViews>
  <sheetFormatPr defaultRowHeight="11.25" x14ac:dyDescent="0.15"/>
  <cols>
    <col min="1" max="1" width="6.5703125" style="581" customWidth="1"/>
    <col min="2" max="2" width="12.7109375" style="524" customWidth="1"/>
    <col min="3" max="3" width="11.140625" style="524" bestFit="1" customWidth="1"/>
    <col min="4" max="4" width="14.140625" style="640" bestFit="1" customWidth="1"/>
    <col min="5" max="6" width="7" style="524" bestFit="1" customWidth="1"/>
    <col min="7" max="7" width="5.85546875" style="524" customWidth="1"/>
    <col min="8" max="8" width="14" style="509" bestFit="1" customWidth="1"/>
    <col min="9" max="9" width="12.42578125" style="509" customWidth="1"/>
    <col min="10" max="10" width="3.7109375" style="509" customWidth="1"/>
    <col min="11" max="16" width="2.7109375" style="509" customWidth="1"/>
    <col min="17" max="17" width="14" style="509" bestFit="1" customWidth="1"/>
    <col min="18" max="18" width="10.7109375" style="509" bestFit="1" customWidth="1"/>
    <col min="19" max="19" width="12.85546875" style="524" bestFit="1" customWidth="1"/>
    <col min="20" max="20" width="14.7109375" style="524" bestFit="1" customWidth="1"/>
    <col min="21" max="29" width="10.7109375" style="524" customWidth="1"/>
    <col min="30" max="30" width="13.7109375" style="524" customWidth="1"/>
    <col min="31" max="31" width="12.85546875" style="524" customWidth="1"/>
    <col min="32" max="32" width="13.28515625" style="524" customWidth="1"/>
    <col min="33" max="33" width="12.42578125" style="524" customWidth="1"/>
    <col min="34" max="34" width="12.85546875" style="524" customWidth="1"/>
    <col min="35" max="35" width="11.85546875" style="524" customWidth="1"/>
    <col min="36" max="40" width="10.28515625" style="524" customWidth="1"/>
    <col min="41" max="16384" width="9.140625" style="524"/>
  </cols>
  <sheetData>
    <row r="1" spans="1:39" ht="15.95" customHeight="1" x14ac:dyDescent="0.15">
      <c r="D1" s="509"/>
      <c r="E1" s="509"/>
      <c r="F1" s="509"/>
      <c r="G1" s="509"/>
      <c r="V1" s="523"/>
    </row>
    <row r="2" spans="1:39" s="582" customFormat="1" ht="15.75" customHeight="1" x14ac:dyDescent="0.2">
      <c r="A2" s="657" t="str">
        <f>CONCATENATE("Vaststelling Transitiebedrag ",Voorblad!K4)</f>
        <v>Vaststelling Transitiebedrag 2013</v>
      </c>
      <c r="E2" s="723" t="b">
        <f>'Bijlage 2 Rentecalc.'!D27</f>
        <v>1</v>
      </c>
      <c r="I2" s="712"/>
      <c r="J2" s="650"/>
      <c r="K2" s="650"/>
      <c r="L2" s="639"/>
      <c r="M2" s="639"/>
      <c r="N2" s="650"/>
      <c r="O2" s="639"/>
      <c r="P2" s="639"/>
      <c r="Q2" s="650"/>
      <c r="R2" s="639"/>
      <c r="S2" s="639"/>
      <c r="T2" s="659">
        <f>'A-G'!G97+1</f>
        <v>7</v>
      </c>
    </row>
    <row r="3" spans="1:39" s="523" customFormat="1" ht="12.75" customHeight="1" x14ac:dyDescent="0.15">
      <c r="A3" s="599"/>
      <c r="B3" s="724"/>
      <c r="C3" s="724"/>
      <c r="D3" s="725"/>
      <c r="E3" s="724"/>
      <c r="F3" s="724"/>
      <c r="G3" s="724"/>
      <c r="H3" s="726"/>
      <c r="I3" s="726"/>
      <c r="J3" s="726"/>
      <c r="K3" s="726"/>
      <c r="L3" s="726"/>
      <c r="M3" s="726"/>
      <c r="N3" s="726"/>
      <c r="O3" s="726"/>
      <c r="P3" s="726"/>
      <c r="Q3" s="726"/>
      <c r="R3" s="726"/>
    </row>
    <row r="4" spans="1:39" s="664" customFormat="1" ht="12.75" customHeight="1" x14ac:dyDescent="0.2">
      <c r="A4" s="727"/>
      <c r="B4" s="728" t="s">
        <v>274</v>
      </c>
      <c r="C4" s="728" t="s">
        <v>282</v>
      </c>
      <c r="D4" s="729" t="s">
        <v>101</v>
      </c>
      <c r="E4" s="729" t="s">
        <v>291</v>
      </c>
      <c r="F4" s="729" t="s">
        <v>269</v>
      </c>
      <c r="G4" s="729" t="s">
        <v>104</v>
      </c>
      <c r="H4" s="729" t="s">
        <v>275</v>
      </c>
      <c r="I4" s="1340" t="str">
        <f>CONCATENATE("Storting/Aflossing ",Voorblad!K4)</f>
        <v>Storting/Aflossing 2013</v>
      </c>
      <c r="J4" s="1343"/>
      <c r="K4" s="1343"/>
      <c r="L4" s="1343"/>
      <c r="M4" s="1343"/>
      <c r="N4" s="1343"/>
      <c r="O4" s="1343"/>
      <c r="P4" s="1344"/>
      <c r="Q4" s="728" t="s">
        <v>275</v>
      </c>
      <c r="R4" s="729" t="s">
        <v>295</v>
      </c>
      <c r="S4" s="729" t="s">
        <v>124</v>
      </c>
      <c r="T4" s="730" t="s">
        <v>107</v>
      </c>
      <c r="U4" s="663"/>
      <c r="V4" s="663"/>
      <c r="W4" s="663"/>
      <c r="X4" s="663"/>
      <c r="Y4" s="663"/>
      <c r="Z4" s="663"/>
      <c r="AA4" s="663"/>
      <c r="AB4" s="663"/>
      <c r="AC4" s="663"/>
      <c r="AD4" s="663"/>
      <c r="AE4" s="663"/>
      <c r="AF4" s="663"/>
      <c r="AG4" s="663"/>
      <c r="AH4" s="663"/>
      <c r="AI4" s="663"/>
      <c r="AJ4" s="663"/>
      <c r="AK4" s="663"/>
      <c r="AL4" s="663"/>
      <c r="AM4" s="663"/>
    </row>
    <row r="5" spans="1:39" s="664" customFormat="1" ht="12.75" customHeight="1" x14ac:dyDescent="0.2">
      <c r="A5" s="731"/>
      <c r="B5" s="732"/>
      <c r="C5" s="732" t="s">
        <v>128</v>
      </c>
      <c r="D5" s="733" t="s">
        <v>131</v>
      </c>
      <c r="E5" s="733" t="s">
        <v>102</v>
      </c>
      <c r="F5" s="733" t="s">
        <v>103</v>
      </c>
      <c r="G5" s="733" t="s">
        <v>105</v>
      </c>
      <c r="H5" s="734" t="str">
        <f>CONCATENATE("31-12-",Voorblad!K4-1," ")</f>
        <v xml:space="preserve">31-12-2012 </v>
      </c>
      <c r="I5" s="735" t="s">
        <v>193</v>
      </c>
      <c r="J5" s="736" t="s">
        <v>288</v>
      </c>
      <c r="K5" s="1340" t="s">
        <v>289</v>
      </c>
      <c r="L5" s="1341"/>
      <c r="M5" s="1341"/>
      <c r="N5" s="1341"/>
      <c r="O5" s="1341"/>
      <c r="P5" s="1342"/>
      <c r="Q5" s="734" t="str">
        <f>CONCATENATE("31-12-",Voorblad!K4," ")</f>
        <v xml:space="preserve">31-12-2013 </v>
      </c>
      <c r="R5" s="737" t="s">
        <v>129</v>
      </c>
      <c r="S5" s="737" t="s">
        <v>106</v>
      </c>
      <c r="T5" s="737" t="s">
        <v>106</v>
      </c>
      <c r="U5" s="663"/>
      <c r="V5" s="663"/>
      <c r="W5" s="663"/>
      <c r="X5" s="663"/>
      <c r="Y5" s="663"/>
      <c r="Z5" s="663"/>
      <c r="AA5" s="663"/>
      <c r="AB5" s="663"/>
      <c r="AC5" s="663"/>
      <c r="AD5" s="663"/>
      <c r="AE5" s="663"/>
      <c r="AF5" s="663"/>
      <c r="AG5" s="663"/>
      <c r="AH5" s="663"/>
      <c r="AI5" s="663"/>
      <c r="AJ5" s="663"/>
      <c r="AK5" s="663"/>
      <c r="AL5" s="663"/>
      <c r="AM5" s="663"/>
    </row>
    <row r="6" spans="1:39" s="544" customFormat="1" ht="12.75" customHeight="1" x14ac:dyDescent="0.2">
      <c r="A6" s="1266" t="str">
        <f>IF(Voorblad!$F$9&lt;1,"Vul het NZa-nummer in op het voorblad","")</f>
        <v>Vul het NZa-nummer in op het voorblad</v>
      </c>
      <c r="B6" s="1267"/>
      <c r="C6" s="1267"/>
      <c r="D6" s="1268"/>
      <c r="L6" s="582"/>
      <c r="T6" s="544" t="s">
        <v>132</v>
      </c>
    </row>
    <row r="7" spans="1:39" ht="12.75" customHeight="1" x14ac:dyDescent="0.15">
      <c r="A7" s="581" t="s">
        <v>35</v>
      </c>
      <c r="B7" s="715" t="s">
        <v>33</v>
      </c>
      <c r="C7" s="715"/>
      <c r="D7" s="738"/>
      <c r="E7" s="739"/>
      <c r="F7" s="739"/>
      <c r="G7" s="739"/>
      <c r="H7" s="716"/>
      <c r="I7" s="716"/>
      <c r="J7" s="716"/>
      <c r="K7" s="716"/>
      <c r="L7" s="716"/>
      <c r="M7" s="716"/>
      <c r="N7" s="716"/>
      <c r="O7" s="716"/>
      <c r="P7" s="716"/>
      <c r="Q7" s="716"/>
      <c r="R7" s="716"/>
    </row>
    <row r="8" spans="1:39" ht="12.75" customHeight="1" x14ac:dyDescent="0.15">
      <c r="A8" s="638">
        <f>T2*100+1</f>
        <v>701</v>
      </c>
      <c r="B8" s="545"/>
      <c r="C8" s="546"/>
      <c r="D8" s="546"/>
      <c r="E8" s="547"/>
      <c r="F8" s="554"/>
      <c r="G8" s="548"/>
      <c r="H8" s="549"/>
      <c r="I8" s="549"/>
      <c r="J8" s="550"/>
      <c r="K8" s="550"/>
      <c r="L8" s="550"/>
      <c r="M8" s="550"/>
      <c r="N8" s="550"/>
      <c r="O8" s="550"/>
      <c r="P8" s="550"/>
      <c r="Q8" s="551">
        <f t="shared" ref="Q8:Q37" si="0">H8-AB8</f>
        <v>0</v>
      </c>
      <c r="R8" s="551">
        <f t="shared" ref="R8:R28" si="1">R50</f>
        <v>0</v>
      </c>
      <c r="S8" s="551">
        <f t="shared" ref="S8:S28" si="2">R8*F8/100</f>
        <v>0</v>
      </c>
      <c r="T8" s="551">
        <f t="shared" ref="T8:T28" si="3">IF(G8="n",S8,E8/100*R8)</f>
        <v>0</v>
      </c>
      <c r="U8" s="552">
        <f t="shared" ref="U8:U29" si="4">IF(K8&gt;0,1,0)</f>
        <v>0</v>
      </c>
      <c r="V8" s="552">
        <f t="shared" ref="V8:V29" si="5">IF(L8&gt;0,1,0)</f>
        <v>0</v>
      </c>
      <c r="W8" s="552">
        <f t="shared" ref="W8:W29" si="6">IF(M8&gt;0,1,0)</f>
        <v>0</v>
      </c>
      <c r="X8" s="552">
        <f t="shared" ref="X8:X29" si="7">IF(N8&gt;0,1,0)</f>
        <v>0</v>
      </c>
      <c r="Y8" s="552">
        <f t="shared" ref="Y8:Y29" si="8">IF(O8&gt;0,1,0)</f>
        <v>0</v>
      </c>
      <c r="Z8" s="552">
        <f t="shared" ref="Z8:Z29" si="9">IF(P8&gt;0,1,0)</f>
        <v>0</v>
      </c>
      <c r="AA8" s="552">
        <f t="shared" ref="AA8:AA29" si="10">SUM(U8:Z8)</f>
        <v>0</v>
      </c>
      <c r="AB8" s="552">
        <f t="shared" ref="AB8:AB29" si="11">AA8*I8</f>
        <v>0</v>
      </c>
      <c r="AJ8" s="553"/>
      <c r="AK8" s="553"/>
      <c r="AL8" s="553"/>
      <c r="AM8" s="553"/>
    </row>
    <row r="9" spans="1:39" ht="12.75" customHeight="1" x14ac:dyDescent="0.15">
      <c r="A9" s="638">
        <f>A8+1</f>
        <v>702</v>
      </c>
      <c r="B9" s="545"/>
      <c r="C9" s="546"/>
      <c r="D9" s="546"/>
      <c r="E9" s="547"/>
      <c r="F9" s="554"/>
      <c r="G9" s="548"/>
      <c r="H9" s="549"/>
      <c r="I9" s="549"/>
      <c r="J9" s="550"/>
      <c r="K9" s="550"/>
      <c r="L9" s="550"/>
      <c r="M9" s="550"/>
      <c r="N9" s="550"/>
      <c r="O9" s="550"/>
      <c r="P9" s="550"/>
      <c r="Q9" s="551">
        <f t="shared" si="0"/>
        <v>0</v>
      </c>
      <c r="R9" s="551">
        <f t="shared" si="1"/>
        <v>0</v>
      </c>
      <c r="S9" s="551">
        <f t="shared" si="2"/>
        <v>0</v>
      </c>
      <c r="T9" s="551">
        <f t="shared" si="3"/>
        <v>0</v>
      </c>
      <c r="U9" s="552">
        <f t="shared" si="4"/>
        <v>0</v>
      </c>
      <c r="V9" s="552">
        <f t="shared" si="5"/>
        <v>0</v>
      </c>
      <c r="W9" s="552">
        <f t="shared" si="6"/>
        <v>0</v>
      </c>
      <c r="X9" s="552">
        <f t="shared" si="7"/>
        <v>0</v>
      </c>
      <c r="Y9" s="552">
        <f t="shared" si="8"/>
        <v>0</v>
      </c>
      <c r="Z9" s="552">
        <f t="shared" si="9"/>
        <v>0</v>
      </c>
      <c r="AA9" s="552">
        <f t="shared" si="10"/>
        <v>0</v>
      </c>
      <c r="AB9" s="552">
        <f t="shared" si="11"/>
        <v>0</v>
      </c>
      <c r="AJ9" s="553"/>
      <c r="AK9" s="553"/>
      <c r="AL9" s="553"/>
      <c r="AM9" s="553"/>
    </row>
    <row r="10" spans="1:39" ht="12.75" customHeight="1" x14ac:dyDescent="0.15">
      <c r="A10" s="638">
        <f>A9+1</f>
        <v>703</v>
      </c>
      <c r="B10" s="545"/>
      <c r="C10" s="546"/>
      <c r="D10" s="546"/>
      <c r="E10" s="547"/>
      <c r="F10" s="554"/>
      <c r="G10" s="548"/>
      <c r="H10" s="549"/>
      <c r="I10" s="549"/>
      <c r="J10" s="550"/>
      <c r="K10" s="550"/>
      <c r="L10" s="550"/>
      <c r="M10" s="550"/>
      <c r="N10" s="550"/>
      <c r="O10" s="550"/>
      <c r="P10" s="550"/>
      <c r="Q10" s="551">
        <f t="shared" si="0"/>
        <v>0</v>
      </c>
      <c r="R10" s="551">
        <f t="shared" si="1"/>
        <v>0</v>
      </c>
      <c r="S10" s="551">
        <f t="shared" si="2"/>
        <v>0</v>
      </c>
      <c r="T10" s="551">
        <f t="shared" si="3"/>
        <v>0</v>
      </c>
      <c r="U10" s="552">
        <f t="shared" si="4"/>
        <v>0</v>
      </c>
      <c r="V10" s="552">
        <f t="shared" si="5"/>
        <v>0</v>
      </c>
      <c r="W10" s="552">
        <f t="shared" si="6"/>
        <v>0</v>
      </c>
      <c r="X10" s="552">
        <f t="shared" si="7"/>
        <v>0</v>
      </c>
      <c r="Y10" s="552">
        <f t="shared" si="8"/>
        <v>0</v>
      </c>
      <c r="Z10" s="552">
        <f t="shared" si="9"/>
        <v>0</v>
      </c>
      <c r="AA10" s="552">
        <f t="shared" si="10"/>
        <v>0</v>
      </c>
      <c r="AB10" s="552">
        <f t="shared" si="11"/>
        <v>0</v>
      </c>
      <c r="AJ10" s="553"/>
      <c r="AK10" s="553"/>
      <c r="AL10" s="553"/>
      <c r="AM10" s="553"/>
    </row>
    <row r="11" spans="1:39" ht="12.75" customHeight="1" x14ac:dyDescent="0.15">
      <c r="A11" s="638">
        <f>A10+1</f>
        <v>704</v>
      </c>
      <c r="B11" s="545"/>
      <c r="C11" s="546"/>
      <c r="D11" s="546"/>
      <c r="E11" s="547"/>
      <c r="F11" s="554"/>
      <c r="G11" s="548"/>
      <c r="H11" s="549"/>
      <c r="I11" s="549"/>
      <c r="J11" s="550"/>
      <c r="K11" s="550"/>
      <c r="L11" s="550"/>
      <c r="M11" s="550"/>
      <c r="N11" s="550"/>
      <c r="O11" s="550"/>
      <c r="P11" s="550"/>
      <c r="Q11" s="551">
        <f t="shared" si="0"/>
        <v>0</v>
      </c>
      <c r="R11" s="551">
        <f t="shared" si="1"/>
        <v>0</v>
      </c>
      <c r="S11" s="551">
        <f t="shared" si="2"/>
        <v>0</v>
      </c>
      <c r="T11" s="551">
        <f t="shared" si="3"/>
        <v>0</v>
      </c>
      <c r="U11" s="552">
        <f t="shared" si="4"/>
        <v>0</v>
      </c>
      <c r="V11" s="552">
        <f t="shared" si="5"/>
        <v>0</v>
      </c>
      <c r="W11" s="552">
        <f t="shared" si="6"/>
        <v>0</v>
      </c>
      <c r="X11" s="552">
        <f t="shared" si="7"/>
        <v>0</v>
      </c>
      <c r="Y11" s="552">
        <f t="shared" si="8"/>
        <v>0</v>
      </c>
      <c r="Z11" s="552">
        <f t="shared" si="9"/>
        <v>0</v>
      </c>
      <c r="AA11" s="552">
        <f t="shared" si="10"/>
        <v>0</v>
      </c>
      <c r="AB11" s="552">
        <f t="shared" si="11"/>
        <v>0</v>
      </c>
      <c r="AJ11" s="553"/>
      <c r="AK11" s="553"/>
      <c r="AL11" s="553"/>
      <c r="AM11" s="553"/>
    </row>
    <row r="12" spans="1:39" ht="12.75" customHeight="1" x14ac:dyDescent="0.15">
      <c r="A12" s="638">
        <f>A11+1</f>
        <v>705</v>
      </c>
      <c r="B12" s="545"/>
      <c r="C12" s="546"/>
      <c r="D12" s="546"/>
      <c r="E12" s="547"/>
      <c r="F12" s="554"/>
      <c r="G12" s="548"/>
      <c r="H12" s="549"/>
      <c r="I12" s="549"/>
      <c r="J12" s="550"/>
      <c r="K12" s="550"/>
      <c r="L12" s="550"/>
      <c r="M12" s="550"/>
      <c r="N12" s="550"/>
      <c r="O12" s="550"/>
      <c r="P12" s="550"/>
      <c r="Q12" s="551">
        <f t="shared" si="0"/>
        <v>0</v>
      </c>
      <c r="R12" s="551">
        <f t="shared" si="1"/>
        <v>0</v>
      </c>
      <c r="S12" s="551">
        <f t="shared" si="2"/>
        <v>0</v>
      </c>
      <c r="T12" s="551">
        <f t="shared" si="3"/>
        <v>0</v>
      </c>
      <c r="U12" s="552">
        <f t="shared" si="4"/>
        <v>0</v>
      </c>
      <c r="V12" s="552">
        <f t="shared" si="5"/>
        <v>0</v>
      </c>
      <c r="W12" s="552">
        <f t="shared" si="6"/>
        <v>0</v>
      </c>
      <c r="X12" s="552">
        <f t="shared" si="7"/>
        <v>0</v>
      </c>
      <c r="Y12" s="552">
        <f t="shared" si="8"/>
        <v>0</v>
      </c>
      <c r="Z12" s="552">
        <f t="shared" si="9"/>
        <v>0</v>
      </c>
      <c r="AA12" s="552">
        <f t="shared" si="10"/>
        <v>0</v>
      </c>
      <c r="AB12" s="552">
        <f t="shared" si="11"/>
        <v>0</v>
      </c>
      <c r="AJ12" s="553"/>
      <c r="AK12" s="553"/>
      <c r="AL12" s="553"/>
      <c r="AM12" s="553"/>
    </row>
    <row r="13" spans="1:39" ht="12.75" customHeight="1" x14ac:dyDescent="0.15">
      <c r="A13" s="638">
        <f t="shared" ref="A13:A18" si="12">A12+1</f>
        <v>706</v>
      </c>
      <c r="B13" s="545"/>
      <c r="C13" s="546"/>
      <c r="D13" s="546"/>
      <c r="E13" s="547"/>
      <c r="F13" s="554"/>
      <c r="G13" s="548"/>
      <c r="H13" s="549"/>
      <c r="I13" s="549"/>
      <c r="J13" s="550"/>
      <c r="K13" s="550"/>
      <c r="L13" s="550"/>
      <c r="M13" s="550"/>
      <c r="N13" s="550"/>
      <c r="O13" s="550"/>
      <c r="P13" s="550"/>
      <c r="Q13" s="551">
        <f t="shared" si="0"/>
        <v>0</v>
      </c>
      <c r="R13" s="551">
        <f t="shared" si="1"/>
        <v>0</v>
      </c>
      <c r="S13" s="551">
        <f t="shared" si="2"/>
        <v>0</v>
      </c>
      <c r="T13" s="551">
        <f t="shared" si="3"/>
        <v>0</v>
      </c>
      <c r="U13" s="552">
        <f t="shared" si="4"/>
        <v>0</v>
      </c>
      <c r="V13" s="552">
        <f t="shared" si="5"/>
        <v>0</v>
      </c>
      <c r="W13" s="552">
        <f t="shared" si="6"/>
        <v>0</v>
      </c>
      <c r="X13" s="552">
        <f t="shared" si="7"/>
        <v>0</v>
      </c>
      <c r="Y13" s="552">
        <f t="shared" si="8"/>
        <v>0</v>
      </c>
      <c r="Z13" s="552">
        <f t="shared" si="9"/>
        <v>0</v>
      </c>
      <c r="AA13" s="552">
        <f t="shared" si="10"/>
        <v>0</v>
      </c>
      <c r="AB13" s="552">
        <f t="shared" si="11"/>
        <v>0</v>
      </c>
      <c r="AJ13" s="553"/>
      <c r="AK13" s="553"/>
      <c r="AL13" s="553"/>
      <c r="AM13" s="553"/>
    </row>
    <row r="14" spans="1:39" ht="12.75" customHeight="1" x14ac:dyDescent="0.15">
      <c r="A14" s="638">
        <f t="shared" si="12"/>
        <v>707</v>
      </c>
      <c r="B14" s="545"/>
      <c r="C14" s="546"/>
      <c r="D14" s="546"/>
      <c r="E14" s="547"/>
      <c r="F14" s="554"/>
      <c r="G14" s="548"/>
      <c r="H14" s="549"/>
      <c r="I14" s="549"/>
      <c r="J14" s="550"/>
      <c r="K14" s="550"/>
      <c r="L14" s="550"/>
      <c r="M14" s="550"/>
      <c r="N14" s="550"/>
      <c r="O14" s="550"/>
      <c r="P14" s="550"/>
      <c r="Q14" s="551">
        <f t="shared" si="0"/>
        <v>0</v>
      </c>
      <c r="R14" s="551">
        <f t="shared" si="1"/>
        <v>0</v>
      </c>
      <c r="S14" s="551">
        <f t="shared" si="2"/>
        <v>0</v>
      </c>
      <c r="T14" s="551">
        <f t="shared" si="3"/>
        <v>0</v>
      </c>
      <c r="U14" s="552">
        <f t="shared" si="4"/>
        <v>0</v>
      </c>
      <c r="V14" s="552">
        <f t="shared" si="5"/>
        <v>0</v>
      </c>
      <c r="W14" s="552">
        <f t="shared" si="6"/>
        <v>0</v>
      </c>
      <c r="X14" s="552">
        <f t="shared" si="7"/>
        <v>0</v>
      </c>
      <c r="Y14" s="552">
        <f t="shared" si="8"/>
        <v>0</v>
      </c>
      <c r="Z14" s="552">
        <f t="shared" si="9"/>
        <v>0</v>
      </c>
      <c r="AA14" s="552">
        <f t="shared" si="10"/>
        <v>0</v>
      </c>
      <c r="AB14" s="552">
        <f t="shared" si="11"/>
        <v>0</v>
      </c>
      <c r="AJ14" s="553"/>
      <c r="AK14" s="553"/>
      <c r="AL14" s="553"/>
      <c r="AM14" s="553"/>
    </row>
    <row r="15" spans="1:39" ht="12.75" customHeight="1" x14ac:dyDescent="0.15">
      <c r="A15" s="638">
        <f t="shared" si="12"/>
        <v>708</v>
      </c>
      <c r="B15" s="545"/>
      <c r="C15" s="546"/>
      <c r="D15" s="546"/>
      <c r="E15" s="547"/>
      <c r="F15" s="554"/>
      <c r="G15" s="548"/>
      <c r="H15" s="549"/>
      <c r="I15" s="549"/>
      <c r="J15" s="550"/>
      <c r="K15" s="550"/>
      <c r="L15" s="550"/>
      <c r="M15" s="550"/>
      <c r="N15" s="550"/>
      <c r="O15" s="550"/>
      <c r="P15" s="550"/>
      <c r="Q15" s="551">
        <f t="shared" si="0"/>
        <v>0</v>
      </c>
      <c r="R15" s="551">
        <f t="shared" si="1"/>
        <v>0</v>
      </c>
      <c r="S15" s="551">
        <f t="shared" si="2"/>
        <v>0</v>
      </c>
      <c r="T15" s="551">
        <f t="shared" si="3"/>
        <v>0</v>
      </c>
      <c r="U15" s="552">
        <f t="shared" si="4"/>
        <v>0</v>
      </c>
      <c r="V15" s="552">
        <f t="shared" si="5"/>
        <v>0</v>
      </c>
      <c r="W15" s="552">
        <f t="shared" si="6"/>
        <v>0</v>
      </c>
      <c r="X15" s="552">
        <f t="shared" si="7"/>
        <v>0</v>
      </c>
      <c r="Y15" s="552">
        <f t="shared" si="8"/>
        <v>0</v>
      </c>
      <c r="Z15" s="552">
        <f t="shared" si="9"/>
        <v>0</v>
      </c>
      <c r="AA15" s="552">
        <f t="shared" si="10"/>
        <v>0</v>
      </c>
      <c r="AB15" s="552">
        <f t="shared" si="11"/>
        <v>0</v>
      </c>
      <c r="AJ15" s="553"/>
      <c r="AK15" s="553"/>
      <c r="AL15" s="553"/>
      <c r="AM15" s="553"/>
    </row>
    <row r="16" spans="1:39" ht="12.75" customHeight="1" x14ac:dyDescent="0.15">
      <c r="A16" s="638">
        <f t="shared" si="12"/>
        <v>709</v>
      </c>
      <c r="B16" s="545"/>
      <c r="C16" s="546"/>
      <c r="D16" s="546"/>
      <c r="E16" s="547"/>
      <c r="F16" s="554"/>
      <c r="G16" s="548"/>
      <c r="H16" s="549"/>
      <c r="I16" s="549"/>
      <c r="J16" s="550"/>
      <c r="K16" s="550"/>
      <c r="L16" s="550"/>
      <c r="M16" s="550"/>
      <c r="N16" s="550"/>
      <c r="O16" s="550"/>
      <c r="P16" s="550"/>
      <c r="Q16" s="551">
        <f t="shared" si="0"/>
        <v>0</v>
      </c>
      <c r="R16" s="551">
        <f t="shared" si="1"/>
        <v>0</v>
      </c>
      <c r="S16" s="551">
        <f t="shared" si="2"/>
        <v>0</v>
      </c>
      <c r="T16" s="551">
        <f t="shared" si="3"/>
        <v>0</v>
      </c>
      <c r="U16" s="552">
        <f t="shared" si="4"/>
        <v>0</v>
      </c>
      <c r="V16" s="552">
        <f t="shared" si="5"/>
        <v>0</v>
      </c>
      <c r="W16" s="552">
        <f t="shared" si="6"/>
        <v>0</v>
      </c>
      <c r="X16" s="552">
        <f t="shared" si="7"/>
        <v>0</v>
      </c>
      <c r="Y16" s="552">
        <f t="shared" si="8"/>
        <v>0</v>
      </c>
      <c r="Z16" s="552">
        <f t="shared" si="9"/>
        <v>0</v>
      </c>
      <c r="AA16" s="552">
        <f t="shared" si="10"/>
        <v>0</v>
      </c>
      <c r="AB16" s="552">
        <f t="shared" si="11"/>
        <v>0</v>
      </c>
      <c r="AJ16" s="553"/>
      <c r="AK16" s="553"/>
      <c r="AL16" s="553"/>
      <c r="AM16" s="553"/>
    </row>
    <row r="17" spans="1:39" ht="12.75" customHeight="1" x14ac:dyDescent="0.15">
      <c r="A17" s="638">
        <f t="shared" si="12"/>
        <v>710</v>
      </c>
      <c r="B17" s="545"/>
      <c r="C17" s="546"/>
      <c r="D17" s="546"/>
      <c r="E17" s="547"/>
      <c r="F17" s="554"/>
      <c r="G17" s="548"/>
      <c r="H17" s="549"/>
      <c r="I17" s="549"/>
      <c r="J17" s="550"/>
      <c r="K17" s="550"/>
      <c r="L17" s="550"/>
      <c r="M17" s="550"/>
      <c r="N17" s="550"/>
      <c r="O17" s="550"/>
      <c r="P17" s="550"/>
      <c r="Q17" s="551">
        <f t="shared" si="0"/>
        <v>0</v>
      </c>
      <c r="R17" s="551">
        <f t="shared" si="1"/>
        <v>0</v>
      </c>
      <c r="S17" s="551">
        <f t="shared" si="2"/>
        <v>0</v>
      </c>
      <c r="T17" s="551">
        <f t="shared" si="3"/>
        <v>0</v>
      </c>
      <c r="U17" s="552">
        <f t="shared" si="4"/>
        <v>0</v>
      </c>
      <c r="V17" s="552">
        <f t="shared" si="5"/>
        <v>0</v>
      </c>
      <c r="W17" s="552">
        <f t="shared" si="6"/>
        <v>0</v>
      </c>
      <c r="X17" s="552">
        <f t="shared" si="7"/>
        <v>0</v>
      </c>
      <c r="Y17" s="552">
        <f t="shared" si="8"/>
        <v>0</v>
      </c>
      <c r="Z17" s="552">
        <f t="shared" si="9"/>
        <v>0</v>
      </c>
      <c r="AA17" s="552">
        <f t="shared" si="10"/>
        <v>0</v>
      </c>
      <c r="AB17" s="552">
        <f t="shared" si="11"/>
        <v>0</v>
      </c>
      <c r="AJ17" s="553"/>
      <c r="AK17" s="553"/>
      <c r="AL17" s="553"/>
      <c r="AM17" s="553"/>
    </row>
    <row r="18" spans="1:39" ht="12.75" customHeight="1" x14ac:dyDescent="0.15">
      <c r="A18" s="638">
        <f t="shared" si="12"/>
        <v>711</v>
      </c>
      <c r="B18" s="545"/>
      <c r="C18" s="546"/>
      <c r="D18" s="546"/>
      <c r="E18" s="547"/>
      <c r="F18" s="554"/>
      <c r="G18" s="548"/>
      <c r="H18" s="549"/>
      <c r="I18" s="549"/>
      <c r="J18" s="550"/>
      <c r="K18" s="550"/>
      <c r="L18" s="550"/>
      <c r="M18" s="550"/>
      <c r="N18" s="550"/>
      <c r="O18" s="550"/>
      <c r="P18" s="550"/>
      <c r="Q18" s="551">
        <f t="shared" si="0"/>
        <v>0</v>
      </c>
      <c r="R18" s="551">
        <f t="shared" si="1"/>
        <v>0</v>
      </c>
      <c r="S18" s="551">
        <f t="shared" si="2"/>
        <v>0</v>
      </c>
      <c r="T18" s="551">
        <f t="shared" si="3"/>
        <v>0</v>
      </c>
      <c r="U18" s="552">
        <f t="shared" si="4"/>
        <v>0</v>
      </c>
      <c r="V18" s="552">
        <f t="shared" si="5"/>
        <v>0</v>
      </c>
      <c r="W18" s="552">
        <f t="shared" si="6"/>
        <v>0</v>
      </c>
      <c r="X18" s="552">
        <f t="shared" si="7"/>
        <v>0</v>
      </c>
      <c r="Y18" s="552">
        <f t="shared" si="8"/>
        <v>0</v>
      </c>
      <c r="Z18" s="552">
        <f t="shared" si="9"/>
        <v>0</v>
      </c>
      <c r="AA18" s="552">
        <f t="shared" si="10"/>
        <v>0</v>
      </c>
      <c r="AB18" s="552">
        <f t="shared" si="11"/>
        <v>0</v>
      </c>
      <c r="AJ18" s="553"/>
      <c r="AK18" s="553"/>
      <c r="AL18" s="553"/>
      <c r="AM18" s="553"/>
    </row>
    <row r="19" spans="1:39" ht="12.75" customHeight="1" x14ac:dyDescent="0.15">
      <c r="A19" s="638">
        <f t="shared" ref="A19:A37" si="13">A18+1</f>
        <v>712</v>
      </c>
      <c r="B19" s="545"/>
      <c r="C19" s="546"/>
      <c r="D19" s="546"/>
      <c r="E19" s="547"/>
      <c r="F19" s="554"/>
      <c r="G19" s="548"/>
      <c r="H19" s="549"/>
      <c r="I19" s="549"/>
      <c r="J19" s="550"/>
      <c r="K19" s="550"/>
      <c r="L19" s="550"/>
      <c r="M19" s="550"/>
      <c r="N19" s="550"/>
      <c r="O19" s="550"/>
      <c r="P19" s="550"/>
      <c r="Q19" s="551">
        <f t="shared" si="0"/>
        <v>0</v>
      </c>
      <c r="R19" s="551">
        <f t="shared" si="1"/>
        <v>0</v>
      </c>
      <c r="S19" s="551">
        <f t="shared" si="2"/>
        <v>0</v>
      </c>
      <c r="T19" s="551">
        <f t="shared" si="3"/>
        <v>0</v>
      </c>
      <c r="U19" s="552">
        <f t="shared" si="4"/>
        <v>0</v>
      </c>
      <c r="V19" s="552">
        <f t="shared" si="5"/>
        <v>0</v>
      </c>
      <c r="W19" s="552">
        <f t="shared" si="6"/>
        <v>0</v>
      </c>
      <c r="X19" s="552">
        <f t="shared" si="7"/>
        <v>0</v>
      </c>
      <c r="Y19" s="552">
        <f t="shared" si="8"/>
        <v>0</v>
      </c>
      <c r="Z19" s="552">
        <f t="shared" si="9"/>
        <v>0</v>
      </c>
      <c r="AA19" s="552">
        <f t="shared" si="10"/>
        <v>0</v>
      </c>
      <c r="AB19" s="552">
        <f t="shared" si="11"/>
        <v>0</v>
      </c>
      <c r="AJ19" s="553"/>
      <c r="AK19" s="553"/>
      <c r="AL19" s="553"/>
      <c r="AM19" s="553"/>
    </row>
    <row r="20" spans="1:39" ht="12.75" customHeight="1" x14ac:dyDescent="0.15">
      <c r="A20" s="638">
        <f t="shared" si="13"/>
        <v>713</v>
      </c>
      <c r="B20" s="545"/>
      <c r="C20" s="546"/>
      <c r="D20" s="546"/>
      <c r="E20" s="547"/>
      <c r="F20" s="554"/>
      <c r="G20" s="548"/>
      <c r="H20" s="549"/>
      <c r="I20" s="549"/>
      <c r="J20" s="550"/>
      <c r="K20" s="550"/>
      <c r="L20" s="550"/>
      <c r="M20" s="550"/>
      <c r="N20" s="550"/>
      <c r="O20" s="550"/>
      <c r="P20" s="550"/>
      <c r="Q20" s="551">
        <f t="shared" si="0"/>
        <v>0</v>
      </c>
      <c r="R20" s="551">
        <f t="shared" si="1"/>
        <v>0</v>
      </c>
      <c r="S20" s="551">
        <f t="shared" si="2"/>
        <v>0</v>
      </c>
      <c r="T20" s="551">
        <f t="shared" si="3"/>
        <v>0</v>
      </c>
      <c r="U20" s="552">
        <f t="shared" si="4"/>
        <v>0</v>
      </c>
      <c r="V20" s="552">
        <f t="shared" si="5"/>
        <v>0</v>
      </c>
      <c r="W20" s="552">
        <f t="shared" si="6"/>
        <v>0</v>
      </c>
      <c r="X20" s="552">
        <f t="shared" si="7"/>
        <v>0</v>
      </c>
      <c r="Y20" s="552">
        <f t="shared" si="8"/>
        <v>0</v>
      </c>
      <c r="Z20" s="552">
        <f t="shared" si="9"/>
        <v>0</v>
      </c>
      <c r="AA20" s="552">
        <f t="shared" si="10"/>
        <v>0</v>
      </c>
      <c r="AB20" s="552">
        <f t="shared" si="11"/>
        <v>0</v>
      </c>
      <c r="AJ20" s="553"/>
      <c r="AK20" s="553"/>
      <c r="AL20" s="553"/>
      <c r="AM20" s="553"/>
    </row>
    <row r="21" spans="1:39" ht="12.75" customHeight="1" x14ac:dyDescent="0.15">
      <c r="A21" s="638">
        <f t="shared" si="13"/>
        <v>714</v>
      </c>
      <c r="B21" s="545"/>
      <c r="C21" s="546"/>
      <c r="D21" s="546"/>
      <c r="E21" s="547"/>
      <c r="F21" s="554"/>
      <c r="G21" s="548"/>
      <c r="H21" s="549"/>
      <c r="I21" s="549"/>
      <c r="J21" s="550"/>
      <c r="K21" s="550"/>
      <c r="L21" s="550"/>
      <c r="M21" s="550"/>
      <c r="N21" s="550"/>
      <c r="O21" s="550"/>
      <c r="P21" s="550"/>
      <c r="Q21" s="551">
        <f t="shared" si="0"/>
        <v>0</v>
      </c>
      <c r="R21" s="551">
        <f t="shared" si="1"/>
        <v>0</v>
      </c>
      <c r="S21" s="551">
        <f t="shared" si="2"/>
        <v>0</v>
      </c>
      <c r="T21" s="551">
        <f t="shared" si="3"/>
        <v>0</v>
      </c>
      <c r="U21" s="552">
        <f t="shared" si="4"/>
        <v>0</v>
      </c>
      <c r="V21" s="552">
        <f t="shared" si="5"/>
        <v>0</v>
      </c>
      <c r="W21" s="552">
        <f t="shared" si="6"/>
        <v>0</v>
      </c>
      <c r="X21" s="552">
        <f t="shared" si="7"/>
        <v>0</v>
      </c>
      <c r="Y21" s="552">
        <f t="shared" si="8"/>
        <v>0</v>
      </c>
      <c r="Z21" s="552">
        <f t="shared" si="9"/>
        <v>0</v>
      </c>
      <c r="AA21" s="552">
        <f t="shared" si="10"/>
        <v>0</v>
      </c>
      <c r="AB21" s="552">
        <f t="shared" si="11"/>
        <v>0</v>
      </c>
      <c r="AJ21" s="553"/>
      <c r="AK21" s="553"/>
      <c r="AL21" s="553"/>
      <c r="AM21" s="553"/>
    </row>
    <row r="22" spans="1:39" ht="12.75" customHeight="1" x14ac:dyDescent="0.15">
      <c r="A22" s="638">
        <f t="shared" si="13"/>
        <v>715</v>
      </c>
      <c r="B22" s="545"/>
      <c r="C22" s="546"/>
      <c r="D22" s="546"/>
      <c r="E22" s="547"/>
      <c r="F22" s="554"/>
      <c r="G22" s="548"/>
      <c r="H22" s="549"/>
      <c r="I22" s="549"/>
      <c r="J22" s="550"/>
      <c r="K22" s="550"/>
      <c r="L22" s="550"/>
      <c r="M22" s="550"/>
      <c r="N22" s="550"/>
      <c r="O22" s="550"/>
      <c r="P22" s="550"/>
      <c r="Q22" s="551">
        <f t="shared" si="0"/>
        <v>0</v>
      </c>
      <c r="R22" s="551">
        <f t="shared" si="1"/>
        <v>0</v>
      </c>
      <c r="S22" s="551">
        <f t="shared" si="2"/>
        <v>0</v>
      </c>
      <c r="T22" s="551">
        <f t="shared" si="3"/>
        <v>0</v>
      </c>
      <c r="U22" s="552">
        <f t="shared" si="4"/>
        <v>0</v>
      </c>
      <c r="V22" s="552">
        <f t="shared" si="5"/>
        <v>0</v>
      </c>
      <c r="W22" s="552">
        <f t="shared" si="6"/>
        <v>0</v>
      </c>
      <c r="X22" s="552">
        <f t="shared" si="7"/>
        <v>0</v>
      </c>
      <c r="Y22" s="552">
        <f t="shared" si="8"/>
        <v>0</v>
      </c>
      <c r="Z22" s="552">
        <f t="shared" si="9"/>
        <v>0</v>
      </c>
      <c r="AA22" s="552">
        <f t="shared" si="10"/>
        <v>0</v>
      </c>
      <c r="AB22" s="552">
        <f t="shared" si="11"/>
        <v>0</v>
      </c>
      <c r="AJ22" s="553"/>
      <c r="AK22" s="553"/>
      <c r="AL22" s="553"/>
      <c r="AM22" s="553"/>
    </row>
    <row r="23" spans="1:39" ht="12.75" customHeight="1" x14ac:dyDescent="0.15">
      <c r="A23" s="638">
        <f t="shared" si="13"/>
        <v>716</v>
      </c>
      <c r="B23" s="545"/>
      <c r="C23" s="546"/>
      <c r="D23" s="546"/>
      <c r="E23" s="547"/>
      <c r="F23" s="554"/>
      <c r="G23" s="548"/>
      <c r="H23" s="549"/>
      <c r="I23" s="549"/>
      <c r="J23" s="550"/>
      <c r="K23" s="550"/>
      <c r="L23" s="550"/>
      <c r="M23" s="550"/>
      <c r="N23" s="550"/>
      <c r="O23" s="550"/>
      <c r="P23" s="550"/>
      <c r="Q23" s="551">
        <f t="shared" si="0"/>
        <v>0</v>
      </c>
      <c r="R23" s="551">
        <f t="shared" si="1"/>
        <v>0</v>
      </c>
      <c r="S23" s="551">
        <f t="shared" si="2"/>
        <v>0</v>
      </c>
      <c r="T23" s="551">
        <f t="shared" si="3"/>
        <v>0</v>
      </c>
      <c r="U23" s="552">
        <f t="shared" si="4"/>
        <v>0</v>
      </c>
      <c r="V23" s="552">
        <f t="shared" si="5"/>
        <v>0</v>
      </c>
      <c r="W23" s="552">
        <f t="shared" si="6"/>
        <v>0</v>
      </c>
      <c r="X23" s="552">
        <f t="shared" si="7"/>
        <v>0</v>
      </c>
      <c r="Y23" s="552">
        <f t="shared" si="8"/>
        <v>0</v>
      </c>
      <c r="Z23" s="552">
        <f t="shared" si="9"/>
        <v>0</v>
      </c>
      <c r="AA23" s="552">
        <f t="shared" si="10"/>
        <v>0</v>
      </c>
      <c r="AB23" s="552">
        <f t="shared" si="11"/>
        <v>0</v>
      </c>
      <c r="AJ23" s="553"/>
      <c r="AK23" s="553"/>
      <c r="AL23" s="553"/>
      <c r="AM23" s="553"/>
    </row>
    <row r="24" spans="1:39" ht="12.75" customHeight="1" x14ac:dyDescent="0.15">
      <c r="A24" s="638">
        <f t="shared" si="13"/>
        <v>717</v>
      </c>
      <c r="B24" s="545"/>
      <c r="C24" s="546"/>
      <c r="D24" s="546"/>
      <c r="E24" s="547"/>
      <c r="F24" s="554"/>
      <c r="G24" s="548"/>
      <c r="H24" s="549"/>
      <c r="I24" s="549"/>
      <c r="J24" s="550"/>
      <c r="K24" s="550"/>
      <c r="L24" s="550"/>
      <c r="M24" s="550"/>
      <c r="N24" s="550"/>
      <c r="O24" s="550"/>
      <c r="P24" s="550"/>
      <c r="Q24" s="551">
        <f t="shared" si="0"/>
        <v>0</v>
      </c>
      <c r="R24" s="551">
        <f t="shared" si="1"/>
        <v>0</v>
      </c>
      <c r="S24" s="551">
        <f t="shared" si="2"/>
        <v>0</v>
      </c>
      <c r="T24" s="551">
        <f t="shared" si="3"/>
        <v>0</v>
      </c>
      <c r="U24" s="552">
        <f t="shared" si="4"/>
        <v>0</v>
      </c>
      <c r="V24" s="552">
        <f t="shared" si="5"/>
        <v>0</v>
      </c>
      <c r="W24" s="552">
        <f t="shared" si="6"/>
        <v>0</v>
      </c>
      <c r="X24" s="552">
        <f t="shared" si="7"/>
        <v>0</v>
      </c>
      <c r="Y24" s="552">
        <f t="shared" si="8"/>
        <v>0</v>
      </c>
      <c r="Z24" s="552">
        <f t="shared" si="9"/>
        <v>0</v>
      </c>
      <c r="AA24" s="552">
        <f t="shared" si="10"/>
        <v>0</v>
      </c>
      <c r="AB24" s="552">
        <f t="shared" si="11"/>
        <v>0</v>
      </c>
      <c r="AJ24" s="553"/>
      <c r="AK24" s="553"/>
      <c r="AL24" s="553"/>
      <c r="AM24" s="553"/>
    </row>
    <row r="25" spans="1:39" ht="12.75" customHeight="1" x14ac:dyDescent="0.15">
      <c r="A25" s="638">
        <f t="shared" si="13"/>
        <v>718</v>
      </c>
      <c r="B25" s="545"/>
      <c r="C25" s="546"/>
      <c r="D25" s="546"/>
      <c r="E25" s="547"/>
      <c r="F25" s="554"/>
      <c r="G25" s="548"/>
      <c r="H25" s="549"/>
      <c r="I25" s="549"/>
      <c r="J25" s="550"/>
      <c r="K25" s="550"/>
      <c r="L25" s="550"/>
      <c r="M25" s="550"/>
      <c r="N25" s="550"/>
      <c r="O25" s="550"/>
      <c r="P25" s="550"/>
      <c r="Q25" s="551">
        <f t="shared" si="0"/>
        <v>0</v>
      </c>
      <c r="R25" s="551">
        <f t="shared" si="1"/>
        <v>0</v>
      </c>
      <c r="S25" s="551">
        <f t="shared" si="2"/>
        <v>0</v>
      </c>
      <c r="T25" s="551">
        <f t="shared" si="3"/>
        <v>0</v>
      </c>
      <c r="U25" s="552">
        <f t="shared" ref="U25:Z26" si="14">IF(K25&gt;0,1,0)</f>
        <v>0</v>
      </c>
      <c r="V25" s="552">
        <f t="shared" si="14"/>
        <v>0</v>
      </c>
      <c r="W25" s="552">
        <f t="shared" si="14"/>
        <v>0</v>
      </c>
      <c r="X25" s="552">
        <f t="shared" si="14"/>
        <v>0</v>
      </c>
      <c r="Y25" s="552">
        <f t="shared" si="14"/>
        <v>0</v>
      </c>
      <c r="Z25" s="552">
        <f t="shared" si="14"/>
        <v>0</v>
      </c>
      <c r="AA25" s="552">
        <f>SUM(U25:Z25)</f>
        <v>0</v>
      </c>
      <c r="AB25" s="552">
        <f t="shared" si="11"/>
        <v>0</v>
      </c>
      <c r="AJ25" s="553"/>
      <c r="AK25" s="553"/>
      <c r="AL25" s="553"/>
      <c r="AM25" s="553"/>
    </row>
    <row r="26" spans="1:39" ht="12.75" customHeight="1" x14ac:dyDescent="0.15">
      <c r="A26" s="638">
        <f t="shared" si="13"/>
        <v>719</v>
      </c>
      <c r="B26" s="545"/>
      <c r="C26" s="546"/>
      <c r="D26" s="546"/>
      <c r="E26" s="547"/>
      <c r="F26" s="554"/>
      <c r="G26" s="548"/>
      <c r="H26" s="549"/>
      <c r="I26" s="549"/>
      <c r="J26" s="550"/>
      <c r="K26" s="550"/>
      <c r="L26" s="550"/>
      <c r="M26" s="550"/>
      <c r="N26" s="550"/>
      <c r="O26" s="550"/>
      <c r="P26" s="550"/>
      <c r="Q26" s="551">
        <f t="shared" si="0"/>
        <v>0</v>
      </c>
      <c r="R26" s="551">
        <f t="shared" si="1"/>
        <v>0</v>
      </c>
      <c r="S26" s="551">
        <f t="shared" si="2"/>
        <v>0</v>
      </c>
      <c r="T26" s="551">
        <f t="shared" si="3"/>
        <v>0</v>
      </c>
      <c r="U26" s="552">
        <f t="shared" si="14"/>
        <v>0</v>
      </c>
      <c r="V26" s="552">
        <f t="shared" si="14"/>
        <v>0</v>
      </c>
      <c r="W26" s="552">
        <f t="shared" si="14"/>
        <v>0</v>
      </c>
      <c r="X26" s="552">
        <f t="shared" si="14"/>
        <v>0</v>
      </c>
      <c r="Y26" s="552">
        <f t="shared" si="14"/>
        <v>0</v>
      </c>
      <c r="Z26" s="552">
        <f t="shared" si="14"/>
        <v>0</v>
      </c>
      <c r="AA26" s="552">
        <f>SUM(U26:Z26)</f>
        <v>0</v>
      </c>
      <c r="AB26" s="552">
        <f t="shared" si="11"/>
        <v>0</v>
      </c>
      <c r="AJ26" s="553"/>
      <c r="AK26" s="553"/>
      <c r="AL26" s="553"/>
      <c r="AM26" s="553"/>
    </row>
    <row r="27" spans="1:39" ht="12.75" customHeight="1" x14ac:dyDescent="0.15">
      <c r="A27" s="638">
        <f t="shared" si="13"/>
        <v>720</v>
      </c>
      <c r="B27" s="545"/>
      <c r="C27" s="546"/>
      <c r="D27" s="546"/>
      <c r="E27" s="547"/>
      <c r="F27" s="554"/>
      <c r="G27" s="548"/>
      <c r="H27" s="549"/>
      <c r="I27" s="549"/>
      <c r="J27" s="550"/>
      <c r="K27" s="550"/>
      <c r="L27" s="550"/>
      <c r="M27" s="550"/>
      <c r="N27" s="550"/>
      <c r="O27" s="550"/>
      <c r="P27" s="550"/>
      <c r="Q27" s="551">
        <f t="shared" si="0"/>
        <v>0</v>
      </c>
      <c r="R27" s="551">
        <f t="shared" si="1"/>
        <v>0</v>
      </c>
      <c r="S27" s="551">
        <f t="shared" si="2"/>
        <v>0</v>
      </c>
      <c r="T27" s="551">
        <f t="shared" si="3"/>
        <v>0</v>
      </c>
      <c r="U27" s="552">
        <f t="shared" si="4"/>
        <v>0</v>
      </c>
      <c r="V27" s="552">
        <f t="shared" si="5"/>
        <v>0</v>
      </c>
      <c r="W27" s="552">
        <f t="shared" si="6"/>
        <v>0</v>
      </c>
      <c r="X27" s="552">
        <f t="shared" si="7"/>
        <v>0</v>
      </c>
      <c r="Y27" s="552">
        <f t="shared" si="8"/>
        <v>0</v>
      </c>
      <c r="Z27" s="552">
        <f t="shared" si="9"/>
        <v>0</v>
      </c>
      <c r="AA27" s="552">
        <f t="shared" si="10"/>
        <v>0</v>
      </c>
      <c r="AB27" s="552">
        <f t="shared" si="11"/>
        <v>0</v>
      </c>
      <c r="AJ27" s="553"/>
      <c r="AK27" s="553"/>
      <c r="AL27" s="553"/>
      <c r="AM27" s="553"/>
    </row>
    <row r="28" spans="1:39" ht="12.75" customHeight="1" x14ac:dyDescent="0.15">
      <c r="A28" s="638">
        <f t="shared" si="13"/>
        <v>721</v>
      </c>
      <c r="B28" s="545"/>
      <c r="C28" s="546"/>
      <c r="D28" s="546"/>
      <c r="E28" s="547"/>
      <c r="F28" s="554"/>
      <c r="G28" s="548"/>
      <c r="H28" s="549"/>
      <c r="I28" s="549"/>
      <c r="J28" s="550"/>
      <c r="K28" s="550"/>
      <c r="L28" s="550"/>
      <c r="M28" s="550"/>
      <c r="N28" s="550"/>
      <c r="O28" s="550"/>
      <c r="P28" s="550"/>
      <c r="Q28" s="551">
        <f t="shared" si="0"/>
        <v>0</v>
      </c>
      <c r="R28" s="551">
        <f t="shared" si="1"/>
        <v>0</v>
      </c>
      <c r="S28" s="551">
        <f t="shared" si="2"/>
        <v>0</v>
      </c>
      <c r="T28" s="551">
        <f t="shared" si="3"/>
        <v>0</v>
      </c>
      <c r="U28" s="552">
        <f t="shared" si="4"/>
        <v>0</v>
      </c>
      <c r="V28" s="552">
        <f t="shared" si="5"/>
        <v>0</v>
      </c>
      <c r="W28" s="552">
        <f t="shared" si="6"/>
        <v>0</v>
      </c>
      <c r="X28" s="552">
        <f t="shared" si="7"/>
        <v>0</v>
      </c>
      <c r="Y28" s="552">
        <f t="shared" si="8"/>
        <v>0</v>
      </c>
      <c r="Z28" s="552">
        <f t="shared" si="9"/>
        <v>0</v>
      </c>
      <c r="AA28" s="552">
        <f t="shared" si="10"/>
        <v>0</v>
      </c>
      <c r="AB28" s="552">
        <f t="shared" si="11"/>
        <v>0</v>
      </c>
      <c r="AJ28" s="553"/>
      <c r="AK28" s="553"/>
      <c r="AL28" s="553"/>
      <c r="AM28" s="553"/>
    </row>
    <row r="29" spans="1:39" ht="12.75" customHeight="1" x14ac:dyDescent="0.15">
      <c r="A29" s="638">
        <f t="shared" si="13"/>
        <v>722</v>
      </c>
      <c r="B29" s="555"/>
      <c r="C29" s="556"/>
      <c r="D29" s="556"/>
      <c r="E29" s="557"/>
      <c r="F29" s="558"/>
      <c r="G29" s="559"/>
      <c r="H29" s="549"/>
      <c r="I29" s="549"/>
      <c r="J29" s="550"/>
      <c r="K29" s="550"/>
      <c r="L29" s="550"/>
      <c r="M29" s="550"/>
      <c r="N29" s="550"/>
      <c r="O29" s="550"/>
      <c r="P29" s="550"/>
      <c r="Q29" s="551">
        <f t="shared" si="0"/>
        <v>0</v>
      </c>
      <c r="R29" s="551">
        <f t="shared" ref="R29:R37" si="15">R71</f>
        <v>0</v>
      </c>
      <c r="S29" s="551">
        <f>R29*F29/100</f>
        <v>0</v>
      </c>
      <c r="T29" s="551">
        <f>IF(G29="n",S29,E29/100*R29)</f>
        <v>0</v>
      </c>
      <c r="U29" s="552">
        <f t="shared" si="4"/>
        <v>0</v>
      </c>
      <c r="V29" s="552">
        <f t="shared" si="5"/>
        <v>0</v>
      </c>
      <c r="W29" s="552">
        <f t="shared" si="6"/>
        <v>0</v>
      </c>
      <c r="X29" s="552">
        <f t="shared" si="7"/>
        <v>0</v>
      </c>
      <c r="Y29" s="552">
        <f t="shared" si="8"/>
        <v>0</v>
      </c>
      <c r="Z29" s="552">
        <f t="shared" si="9"/>
        <v>0</v>
      </c>
      <c r="AA29" s="552">
        <f t="shared" si="10"/>
        <v>0</v>
      </c>
      <c r="AB29" s="552">
        <f t="shared" si="11"/>
        <v>0</v>
      </c>
      <c r="AJ29" s="553"/>
      <c r="AK29" s="553"/>
      <c r="AL29" s="553"/>
      <c r="AM29" s="553"/>
    </row>
    <row r="30" spans="1:39" ht="12.75" customHeight="1" x14ac:dyDescent="0.15">
      <c r="A30" s="638">
        <f t="shared" si="13"/>
        <v>723</v>
      </c>
      <c r="B30" s="555"/>
      <c r="C30" s="556"/>
      <c r="D30" s="556"/>
      <c r="E30" s="557"/>
      <c r="F30" s="558"/>
      <c r="G30" s="559"/>
      <c r="H30" s="549"/>
      <c r="I30" s="549"/>
      <c r="J30" s="550"/>
      <c r="K30" s="550"/>
      <c r="L30" s="550"/>
      <c r="M30" s="550"/>
      <c r="N30" s="550"/>
      <c r="O30" s="550"/>
      <c r="P30" s="550"/>
      <c r="Q30" s="551">
        <f t="shared" si="0"/>
        <v>0</v>
      </c>
      <c r="R30" s="551">
        <f t="shared" si="15"/>
        <v>0</v>
      </c>
      <c r="S30" s="551">
        <f t="shared" ref="S30:S37" si="16">R30*F30/100</f>
        <v>0</v>
      </c>
      <c r="T30" s="551">
        <f t="shared" ref="T30:T37" si="17">IF(G30="n",S30,E30/100*R30)</f>
        <v>0</v>
      </c>
      <c r="U30" s="552"/>
      <c r="V30" s="552"/>
      <c r="W30" s="552"/>
      <c r="X30" s="552"/>
      <c r="Y30" s="552"/>
      <c r="Z30" s="552"/>
      <c r="AA30" s="552"/>
      <c r="AB30" s="552"/>
      <c r="AJ30" s="553"/>
      <c r="AK30" s="553"/>
      <c r="AL30" s="553"/>
      <c r="AM30" s="553"/>
    </row>
    <row r="31" spans="1:39" ht="12.75" customHeight="1" x14ac:dyDescent="0.15">
      <c r="A31" s="638">
        <f t="shared" si="13"/>
        <v>724</v>
      </c>
      <c r="B31" s="555"/>
      <c r="C31" s="556"/>
      <c r="D31" s="556"/>
      <c r="E31" s="557"/>
      <c r="F31" s="558"/>
      <c r="G31" s="559"/>
      <c r="H31" s="549"/>
      <c r="I31" s="549"/>
      <c r="J31" s="550"/>
      <c r="K31" s="550"/>
      <c r="L31" s="550"/>
      <c r="M31" s="550"/>
      <c r="N31" s="550"/>
      <c r="O31" s="550"/>
      <c r="P31" s="550"/>
      <c r="Q31" s="551">
        <f t="shared" si="0"/>
        <v>0</v>
      </c>
      <c r="R31" s="551">
        <f t="shared" si="15"/>
        <v>0</v>
      </c>
      <c r="S31" s="551">
        <f t="shared" si="16"/>
        <v>0</v>
      </c>
      <c r="T31" s="551">
        <f t="shared" si="17"/>
        <v>0</v>
      </c>
      <c r="U31" s="552"/>
      <c r="V31" s="552"/>
      <c r="W31" s="552"/>
      <c r="X31" s="552"/>
      <c r="Y31" s="552"/>
      <c r="Z31" s="552"/>
      <c r="AA31" s="552"/>
      <c r="AB31" s="552"/>
      <c r="AJ31" s="553"/>
      <c r="AK31" s="553"/>
      <c r="AL31" s="553"/>
      <c r="AM31" s="553"/>
    </row>
    <row r="32" spans="1:39" ht="12.75" customHeight="1" x14ac:dyDescent="0.15">
      <c r="A32" s="638">
        <f t="shared" si="13"/>
        <v>725</v>
      </c>
      <c r="B32" s="555"/>
      <c r="C32" s="556"/>
      <c r="D32" s="556"/>
      <c r="E32" s="557"/>
      <c r="F32" s="558"/>
      <c r="G32" s="559"/>
      <c r="H32" s="549"/>
      <c r="I32" s="549"/>
      <c r="J32" s="550"/>
      <c r="K32" s="550"/>
      <c r="L32" s="550"/>
      <c r="M32" s="550"/>
      <c r="N32" s="550"/>
      <c r="O32" s="550"/>
      <c r="P32" s="550"/>
      <c r="Q32" s="551">
        <f t="shared" si="0"/>
        <v>0</v>
      </c>
      <c r="R32" s="551">
        <f t="shared" si="15"/>
        <v>0</v>
      </c>
      <c r="S32" s="551">
        <f t="shared" si="16"/>
        <v>0</v>
      </c>
      <c r="T32" s="551">
        <f t="shared" si="17"/>
        <v>0</v>
      </c>
      <c r="U32" s="552"/>
      <c r="V32" s="552"/>
      <c r="W32" s="552"/>
      <c r="X32" s="552"/>
      <c r="Y32" s="552"/>
      <c r="Z32" s="552"/>
      <c r="AA32" s="552"/>
      <c r="AB32" s="552"/>
      <c r="AJ32" s="553"/>
      <c r="AK32" s="553"/>
      <c r="AL32" s="553"/>
      <c r="AM32" s="553"/>
    </row>
    <row r="33" spans="1:40" ht="12.75" customHeight="1" x14ac:dyDescent="0.15">
      <c r="A33" s="638">
        <f>A32+1</f>
        <v>726</v>
      </c>
      <c r="B33" s="555"/>
      <c r="C33" s="556"/>
      <c r="D33" s="556"/>
      <c r="E33" s="557"/>
      <c r="F33" s="558"/>
      <c r="G33" s="559"/>
      <c r="H33" s="549"/>
      <c r="I33" s="549"/>
      <c r="J33" s="550"/>
      <c r="K33" s="550"/>
      <c r="L33" s="550"/>
      <c r="M33" s="550"/>
      <c r="N33" s="550"/>
      <c r="O33" s="550"/>
      <c r="P33" s="550"/>
      <c r="Q33" s="551">
        <f t="shared" si="0"/>
        <v>0</v>
      </c>
      <c r="R33" s="551">
        <f t="shared" si="15"/>
        <v>0</v>
      </c>
      <c r="S33" s="551">
        <f t="shared" si="16"/>
        <v>0</v>
      </c>
      <c r="T33" s="551">
        <f t="shared" si="17"/>
        <v>0</v>
      </c>
      <c r="U33" s="552"/>
      <c r="V33" s="552"/>
      <c r="W33" s="552"/>
      <c r="X33" s="552"/>
      <c r="Y33" s="552"/>
      <c r="Z33" s="552"/>
      <c r="AA33" s="552"/>
      <c r="AB33" s="552"/>
      <c r="AJ33" s="553"/>
      <c r="AK33" s="553"/>
      <c r="AL33" s="553"/>
      <c r="AM33" s="553"/>
    </row>
    <row r="34" spans="1:40" ht="12.75" customHeight="1" x14ac:dyDescent="0.15">
      <c r="A34" s="638">
        <f t="shared" si="13"/>
        <v>727</v>
      </c>
      <c r="B34" s="555"/>
      <c r="C34" s="556"/>
      <c r="D34" s="556"/>
      <c r="E34" s="557"/>
      <c r="F34" s="558"/>
      <c r="G34" s="559"/>
      <c r="H34" s="549"/>
      <c r="I34" s="549"/>
      <c r="J34" s="550"/>
      <c r="K34" s="550"/>
      <c r="L34" s="550"/>
      <c r="M34" s="550"/>
      <c r="N34" s="550"/>
      <c r="O34" s="550"/>
      <c r="P34" s="550"/>
      <c r="Q34" s="551">
        <f t="shared" si="0"/>
        <v>0</v>
      </c>
      <c r="R34" s="551">
        <f t="shared" si="15"/>
        <v>0</v>
      </c>
      <c r="S34" s="551">
        <f t="shared" si="16"/>
        <v>0</v>
      </c>
      <c r="T34" s="551">
        <f t="shared" si="17"/>
        <v>0</v>
      </c>
      <c r="U34" s="552"/>
      <c r="V34" s="552"/>
      <c r="W34" s="552"/>
      <c r="X34" s="552"/>
      <c r="Y34" s="552"/>
      <c r="Z34" s="552"/>
      <c r="AA34" s="552"/>
      <c r="AB34" s="552"/>
      <c r="AJ34" s="553"/>
      <c r="AK34" s="553"/>
      <c r="AL34" s="553"/>
      <c r="AM34" s="553"/>
    </row>
    <row r="35" spans="1:40" ht="12.75" customHeight="1" x14ac:dyDescent="0.15">
      <c r="A35" s="638">
        <f t="shared" si="13"/>
        <v>728</v>
      </c>
      <c r="B35" s="555"/>
      <c r="C35" s="556"/>
      <c r="D35" s="556"/>
      <c r="E35" s="557"/>
      <c r="F35" s="558"/>
      <c r="G35" s="559"/>
      <c r="H35" s="549"/>
      <c r="I35" s="549"/>
      <c r="J35" s="550"/>
      <c r="K35" s="550"/>
      <c r="L35" s="550"/>
      <c r="M35" s="550"/>
      <c r="N35" s="550"/>
      <c r="O35" s="550"/>
      <c r="P35" s="550"/>
      <c r="Q35" s="551">
        <f t="shared" si="0"/>
        <v>0</v>
      </c>
      <c r="R35" s="551">
        <f t="shared" si="15"/>
        <v>0</v>
      </c>
      <c r="S35" s="551">
        <f t="shared" si="16"/>
        <v>0</v>
      </c>
      <c r="T35" s="551">
        <f t="shared" si="17"/>
        <v>0</v>
      </c>
      <c r="U35" s="552"/>
      <c r="V35" s="552"/>
      <c r="W35" s="552"/>
      <c r="X35" s="552"/>
      <c r="Y35" s="552"/>
      <c r="Z35" s="552"/>
      <c r="AA35" s="552"/>
      <c r="AB35" s="552"/>
      <c r="AJ35" s="553"/>
      <c r="AK35" s="553"/>
      <c r="AL35" s="553"/>
      <c r="AM35" s="553"/>
    </row>
    <row r="36" spans="1:40" ht="12.75" customHeight="1" x14ac:dyDescent="0.15">
      <c r="A36" s="638">
        <f t="shared" si="13"/>
        <v>729</v>
      </c>
      <c r="B36" s="555"/>
      <c r="C36" s="556"/>
      <c r="D36" s="556"/>
      <c r="E36" s="557"/>
      <c r="F36" s="558"/>
      <c r="G36" s="559"/>
      <c r="H36" s="549"/>
      <c r="I36" s="549"/>
      <c r="J36" s="550"/>
      <c r="K36" s="550"/>
      <c r="L36" s="550"/>
      <c r="M36" s="550"/>
      <c r="N36" s="550"/>
      <c r="O36" s="550"/>
      <c r="P36" s="550"/>
      <c r="Q36" s="551">
        <f t="shared" si="0"/>
        <v>0</v>
      </c>
      <c r="R36" s="551">
        <f t="shared" si="15"/>
        <v>0</v>
      </c>
      <c r="S36" s="551">
        <f t="shared" si="16"/>
        <v>0</v>
      </c>
      <c r="T36" s="551">
        <f t="shared" si="17"/>
        <v>0</v>
      </c>
      <c r="U36" s="552"/>
      <c r="V36" s="552"/>
      <c r="W36" s="552"/>
      <c r="X36" s="552"/>
      <c r="Y36" s="552"/>
      <c r="Z36" s="552"/>
      <c r="AA36" s="552"/>
      <c r="AB36" s="552"/>
      <c r="AJ36" s="553"/>
      <c r="AK36" s="553"/>
      <c r="AL36" s="553"/>
      <c r="AM36" s="553"/>
    </row>
    <row r="37" spans="1:40" ht="12.75" customHeight="1" x14ac:dyDescent="0.15">
      <c r="A37" s="638">
        <f t="shared" si="13"/>
        <v>730</v>
      </c>
      <c r="B37" s="555"/>
      <c r="C37" s="556"/>
      <c r="D37" s="556"/>
      <c r="E37" s="557"/>
      <c r="F37" s="558"/>
      <c r="G37" s="559"/>
      <c r="H37" s="549"/>
      <c r="I37" s="549"/>
      <c r="J37" s="550"/>
      <c r="K37" s="550"/>
      <c r="L37" s="550"/>
      <c r="M37" s="550"/>
      <c r="N37" s="550"/>
      <c r="O37" s="550"/>
      <c r="P37" s="550"/>
      <c r="Q37" s="551">
        <f t="shared" si="0"/>
        <v>0</v>
      </c>
      <c r="R37" s="551">
        <f t="shared" si="15"/>
        <v>0</v>
      </c>
      <c r="S37" s="551">
        <f t="shared" si="16"/>
        <v>0</v>
      </c>
      <c r="T37" s="551">
        <f t="shared" si="17"/>
        <v>0</v>
      </c>
      <c r="U37" s="552"/>
      <c r="V37" s="552"/>
      <c r="W37" s="552"/>
      <c r="X37" s="552"/>
      <c r="Y37" s="552"/>
      <c r="Z37" s="552"/>
      <c r="AA37" s="552"/>
      <c r="AB37" s="552"/>
      <c r="AJ37" s="553"/>
      <c r="AK37" s="553"/>
      <c r="AL37" s="553"/>
      <c r="AM37" s="553"/>
    </row>
    <row r="38" spans="1:40" ht="12.75" customHeight="1" x14ac:dyDescent="0.15">
      <c r="A38" s="638">
        <f>A37+1</f>
        <v>731</v>
      </c>
      <c r="B38" s="740" t="s">
        <v>417</v>
      </c>
      <c r="C38" s="740"/>
      <c r="D38" s="741"/>
      <c r="E38" s="541"/>
      <c r="F38" s="742"/>
      <c r="G38" s="743"/>
      <c r="H38" s="560">
        <f>SUM(H8:H37)</f>
        <v>0</v>
      </c>
      <c r="I38" s="561">
        <f>AB38</f>
        <v>0</v>
      </c>
      <c r="J38" s="562"/>
      <c r="K38" s="563"/>
      <c r="L38" s="563"/>
      <c r="M38" s="563"/>
      <c r="N38" s="563"/>
      <c r="O38" s="563"/>
      <c r="P38" s="564"/>
      <c r="Q38" s="565">
        <f>SUM(Q8:Q37)</f>
        <v>0</v>
      </c>
      <c r="R38" s="565">
        <f>SUM(R8:R37)</f>
        <v>0</v>
      </c>
      <c r="S38" s="565">
        <f>SUM(S8:S37)</f>
        <v>0</v>
      </c>
      <c r="T38" s="565">
        <f>SUM(T8:T37)</f>
        <v>0</v>
      </c>
      <c r="U38" s="552"/>
      <c r="V38" s="552"/>
      <c r="W38" s="552"/>
      <c r="X38" s="552"/>
      <c r="Y38" s="552"/>
      <c r="Z38" s="552"/>
      <c r="AA38" s="552"/>
      <c r="AB38" s="566">
        <f>SUM(AB8:AB37)</f>
        <v>0</v>
      </c>
      <c r="AC38" s="552"/>
      <c r="AD38" s="553"/>
      <c r="AE38" s="553"/>
      <c r="AF38" s="553"/>
      <c r="AG38" s="553"/>
      <c r="AH38" s="553"/>
      <c r="AI38" s="553"/>
      <c r="AJ38" s="553"/>
      <c r="AK38" s="553"/>
      <c r="AL38" s="553"/>
      <c r="AM38" s="553"/>
    </row>
    <row r="39" spans="1:40" ht="12.75" customHeight="1" x14ac:dyDescent="0.15">
      <c r="A39" s="638">
        <f>A38+1</f>
        <v>732</v>
      </c>
      <c r="B39" s="744" t="s">
        <v>290</v>
      </c>
      <c r="C39" s="567"/>
      <c r="D39" s="567"/>
      <c r="E39" s="567"/>
      <c r="F39" s="567"/>
      <c r="G39" s="567"/>
      <c r="H39" s="567"/>
      <c r="I39" s="567"/>
      <c r="J39" s="567"/>
      <c r="K39" s="567"/>
      <c r="L39" s="567"/>
      <c r="M39" s="567"/>
      <c r="N39" s="567"/>
      <c r="O39" s="567"/>
      <c r="P39" s="568"/>
      <c r="Q39" s="569"/>
      <c r="R39" s="570"/>
      <c r="S39" s="552"/>
      <c r="T39" s="553"/>
      <c r="U39" s="552"/>
      <c r="V39" s="553"/>
      <c r="W39" s="553"/>
      <c r="X39" s="553"/>
      <c r="Y39" s="553"/>
      <c r="Z39" s="553"/>
      <c r="AA39" s="553"/>
      <c r="AB39" s="553"/>
      <c r="AC39" s="552"/>
      <c r="AD39" s="553"/>
      <c r="AE39" s="553"/>
      <c r="AF39" s="553"/>
      <c r="AG39" s="553"/>
      <c r="AH39" s="553"/>
      <c r="AI39" s="553"/>
      <c r="AJ39" s="553"/>
      <c r="AK39" s="553"/>
      <c r="AL39" s="553"/>
      <c r="AM39" s="553"/>
      <c r="AN39" s="553"/>
    </row>
    <row r="40" spans="1:40" ht="12.75" customHeight="1" x14ac:dyDescent="0.15">
      <c r="A40" s="638">
        <f>A39+1</f>
        <v>733</v>
      </c>
      <c r="B40" s="745" t="s">
        <v>276</v>
      </c>
      <c r="C40" s="571"/>
      <c r="D40" s="567"/>
      <c r="E40" s="571"/>
      <c r="F40" s="571"/>
      <c r="G40" s="571"/>
      <c r="H40" s="571"/>
      <c r="I40" s="571"/>
      <c r="J40" s="571"/>
      <c r="K40" s="571"/>
      <c r="L40" s="571"/>
      <c r="M40" s="571"/>
      <c r="N40" s="571"/>
      <c r="O40" s="571"/>
      <c r="P40" s="572"/>
      <c r="Q40" s="573"/>
      <c r="R40" s="570"/>
      <c r="S40" s="553"/>
      <c r="T40" s="553"/>
      <c r="U40" s="553"/>
      <c r="V40" s="553"/>
      <c r="W40" s="553"/>
      <c r="X40" s="553"/>
      <c r="Y40" s="553"/>
      <c r="Z40" s="553"/>
      <c r="AA40" s="553"/>
      <c r="AB40" s="553"/>
      <c r="AC40" s="553"/>
      <c r="AD40" s="553"/>
      <c r="AE40" s="553"/>
      <c r="AF40" s="553"/>
      <c r="AG40" s="553"/>
      <c r="AH40" s="553"/>
      <c r="AI40" s="553"/>
      <c r="AJ40" s="553"/>
      <c r="AK40" s="553"/>
      <c r="AL40" s="553"/>
      <c r="AM40" s="553"/>
      <c r="AN40" s="553"/>
    </row>
    <row r="41" spans="1:40" s="527" customFormat="1" ht="12.75" customHeight="1" x14ac:dyDescent="0.15">
      <c r="A41" s="638">
        <f>A40+1</f>
        <v>734</v>
      </c>
      <c r="B41" s="719" t="str">
        <f>CONCATENATE("Totaal regel ",A38," t/m ",A40)</f>
        <v>Totaal regel 731 t/m 733</v>
      </c>
      <c r="C41" s="746"/>
      <c r="D41" s="574"/>
      <c r="E41" s="574"/>
      <c r="F41" s="574"/>
      <c r="G41" s="574"/>
      <c r="H41" s="574"/>
      <c r="I41" s="574"/>
      <c r="J41" s="574"/>
      <c r="K41" s="574"/>
      <c r="L41" s="574"/>
      <c r="M41" s="574"/>
      <c r="N41" s="574"/>
      <c r="O41" s="574"/>
      <c r="P41" s="575"/>
      <c r="Q41" s="576"/>
      <c r="R41" s="565">
        <f>R38-R39+R40</f>
        <v>0</v>
      </c>
      <c r="S41" s="577"/>
      <c r="T41" s="577"/>
      <c r="U41" s="577"/>
      <c r="V41" s="577"/>
      <c r="W41" s="577"/>
      <c r="X41" s="577"/>
      <c r="Y41" s="577"/>
      <c r="Z41" s="577"/>
      <c r="AA41" s="577"/>
      <c r="AB41" s="577"/>
      <c r="AC41" s="577"/>
      <c r="AD41" s="577"/>
      <c r="AE41" s="577"/>
      <c r="AF41" s="577"/>
      <c r="AG41" s="577"/>
      <c r="AH41" s="577"/>
      <c r="AI41" s="577"/>
      <c r="AJ41" s="577"/>
      <c r="AK41" s="577"/>
      <c r="AL41" s="577"/>
      <c r="AM41" s="577"/>
      <c r="AN41" s="577"/>
    </row>
    <row r="42" spans="1:40" ht="12.75" customHeight="1" x14ac:dyDescent="0.15">
      <c r="A42" s="665" t="s">
        <v>139</v>
      </c>
      <c r="B42" s="523"/>
      <c r="C42" s="523"/>
      <c r="D42" s="578"/>
      <c r="E42" s="523"/>
      <c r="F42" s="523"/>
      <c r="G42" s="523"/>
      <c r="H42" s="579"/>
      <c r="I42" s="579"/>
      <c r="J42" s="579"/>
      <c r="K42" s="579"/>
      <c r="L42" s="579"/>
      <c r="M42" s="579"/>
      <c r="N42" s="579"/>
      <c r="O42" s="579"/>
      <c r="P42" s="579"/>
      <c r="Q42" s="579"/>
      <c r="R42" s="580"/>
    </row>
    <row r="43" spans="1:40" ht="15.95" customHeight="1" x14ac:dyDescent="0.15">
      <c r="A43" s="666" t="s">
        <v>194</v>
      </c>
      <c r="D43" s="509"/>
      <c r="E43" s="509"/>
      <c r="F43" s="509"/>
      <c r="G43" s="509"/>
      <c r="V43" s="523"/>
    </row>
    <row r="44" spans="1:40" ht="15.95" customHeight="1" x14ac:dyDescent="0.15">
      <c r="A44" s="666"/>
      <c r="D44" s="509"/>
      <c r="E44" s="509"/>
      <c r="F44" s="509"/>
      <c r="G44" s="509"/>
      <c r="V44" s="523"/>
    </row>
    <row r="45" spans="1:40" s="582" customFormat="1" ht="15.75" customHeight="1" x14ac:dyDescent="0.2">
      <c r="A45" s="657" t="str">
        <f>A2</f>
        <v>Vaststelling Transitiebedrag 2013</v>
      </c>
      <c r="H45" s="650"/>
      <c r="I45" s="639"/>
      <c r="J45" s="650"/>
      <c r="K45" s="650"/>
      <c r="L45" s="639"/>
      <c r="M45" s="639"/>
      <c r="N45" s="650"/>
      <c r="O45" s="639"/>
      <c r="P45" s="639"/>
      <c r="Q45" s="650"/>
      <c r="R45" s="639"/>
      <c r="T45" s="659">
        <f>T2+1</f>
        <v>8</v>
      </c>
    </row>
    <row r="46" spans="1:40" ht="12.75" customHeight="1" x14ac:dyDescent="0.15">
      <c r="B46" s="739"/>
      <c r="C46" s="739"/>
      <c r="D46" s="738"/>
      <c r="E46" s="739"/>
      <c r="F46" s="739"/>
      <c r="G46" s="739"/>
      <c r="H46" s="716"/>
      <c r="I46" s="716"/>
      <c r="J46" s="716"/>
      <c r="K46" s="716"/>
      <c r="L46" s="716"/>
      <c r="M46" s="716"/>
      <c r="N46" s="716"/>
      <c r="O46" s="716"/>
      <c r="P46" s="716"/>
      <c r="Q46" s="716"/>
      <c r="R46" s="716"/>
    </row>
    <row r="47" spans="1:40" ht="12.75" customHeight="1" x14ac:dyDescent="0.15">
      <c r="A47" s="599"/>
      <c r="B47" s="747" t="s">
        <v>126</v>
      </c>
      <c r="C47" s="748"/>
      <c r="D47" s="749"/>
      <c r="E47" s="750"/>
      <c r="F47" s="751"/>
      <c r="G47" s="751"/>
      <c r="H47" s="752"/>
      <c r="I47" s="752"/>
      <c r="J47" s="752"/>
      <c r="K47" s="752"/>
      <c r="L47" s="752"/>
      <c r="M47" s="752"/>
      <c r="N47" s="752"/>
      <c r="O47" s="752"/>
      <c r="P47" s="752"/>
      <c r="Q47" s="753"/>
      <c r="R47" s="754" t="s">
        <v>321</v>
      </c>
      <c r="S47" s="755" t="s">
        <v>122</v>
      </c>
    </row>
    <row r="48" spans="1:40" ht="12.75" customHeight="1" x14ac:dyDescent="0.15">
      <c r="A48" s="599"/>
      <c r="B48" s="523"/>
      <c r="C48" s="523"/>
      <c r="D48" s="578"/>
      <c r="E48" s="523"/>
      <c r="F48" s="668"/>
      <c r="G48" s="668"/>
      <c r="H48" s="579"/>
      <c r="I48" s="579"/>
      <c r="J48" s="579"/>
      <c r="K48" s="579"/>
      <c r="L48" s="579"/>
      <c r="M48" s="579"/>
      <c r="N48" s="579"/>
      <c r="O48" s="579"/>
      <c r="P48" s="579"/>
      <c r="Q48" s="579"/>
      <c r="R48" s="756"/>
      <c r="S48" s="757" t="s">
        <v>123</v>
      </c>
    </row>
    <row r="49" spans="1:28" s="523" customFormat="1" ht="12.75" customHeight="1" x14ac:dyDescent="0.15">
      <c r="A49" s="758"/>
      <c r="B49" s="641" t="s">
        <v>127</v>
      </c>
      <c r="C49" s="641"/>
      <c r="D49" s="759"/>
      <c r="E49" s="598"/>
      <c r="F49" s="760"/>
      <c r="G49" s="760"/>
      <c r="H49" s="598"/>
      <c r="I49" s="1345"/>
      <c r="J49" s="1346"/>
      <c r="K49" s="1345"/>
      <c r="L49" s="1346"/>
      <c r="M49" s="1346"/>
      <c r="N49" s="1346"/>
      <c r="O49" s="1346"/>
      <c r="P49" s="1346"/>
      <c r="Q49" s="760"/>
    </row>
    <row r="50" spans="1:28" s="523" customFormat="1" ht="12.75" customHeight="1" x14ac:dyDescent="0.15">
      <c r="A50" s="638">
        <f>T45*100+1</f>
        <v>801</v>
      </c>
      <c r="B50" s="1347">
        <f>IF(I8=0,H8,(((DATE(Voorblad!$K$4,K8,J8)-DATE(Voorblad!$K$4,1,1))*H8)/365))</f>
        <v>0</v>
      </c>
      <c r="C50" s="1347"/>
      <c r="D50" s="1339">
        <f>IF(K8=0,0,(IF(L8=0,((DATE(Voorblad!$K$4+1,1,1)-DATE(Voorblad!$K$4,(K8),J8))*(H8-(1*I8)))/365,((DATE(Voorblad!$K$4,(L8),J8)-DATE(Voorblad!$K$4,(K8),J8))*(H8-(1*I8)))/365)))</f>
        <v>0</v>
      </c>
      <c r="E50" s="1339"/>
      <c r="F50" s="1339">
        <f>IF(L8=0,0,(IF(M8=0,((DATE(Voorblad!$K$4+1,1,1)-DATE(Voorblad!$K$4,(L8),J8))*(H8-(2*I8)))/365,((DATE(Voorblad!$K$4,(M8),J8)-DATE(Voorblad!$K$4,(L8),J8))*(H8-(2*I8)))/365)))</f>
        <v>0</v>
      </c>
      <c r="G50" s="1339"/>
      <c r="H50" s="1036">
        <f>IF(M8=0,0,(IF(N8=0,((DATE(Voorblad!$K$4+1,1,1)-DATE(Voorblad!$K$4,(M8),J8))*(H8-(3*I8)))/365,((DATE(Voorblad!$K$4,(N8),J8)-DATE(Voorblad!$K$4,(M8),J8))*(H8-(3*I8)))/365)))</f>
        <v>0</v>
      </c>
      <c r="I50" s="1339">
        <f>IF(N8=0,0,(IF(O8=0,((DATE(Voorblad!$K$4+1,1,1)-DATE(Voorblad!$K$4,(N8),J8))*(H8-(4*I8)))/365,((DATE(Voorblad!$K$4,(O8),J8)-DATE(Voorblad!$K$4,(N8),J8))*(H8-(4*I8)))/365)))</f>
        <v>0</v>
      </c>
      <c r="J50" s="1339"/>
      <c r="K50" s="1339">
        <f>IF(O8=0,0,(IF(P8=0,((DATE(Voorblad!$K$4+1,1,1)-DATE(Voorblad!$K$4,(O8),J8))*(H8-(5*I8)))/365,((DATE(Voorblad!$K$4,(P8),J8)-DATE(Voorblad!$K$4,(O8),J8))*(H8-(5*I8)))/365)))</f>
        <v>0</v>
      </c>
      <c r="L50" s="1339"/>
      <c r="M50" s="1339"/>
      <c r="N50" s="1339"/>
      <c r="O50" s="1339"/>
      <c r="P50" s="1339"/>
      <c r="Q50" s="1036">
        <f>IF(P8=0,0,((DATE(Voorblad!$K$4+1,1,1)-DATE(Voorblad!$K$4,(P8),J8))*(H8-(6*I8)))/365)</f>
        <v>0</v>
      </c>
      <c r="R50" s="667">
        <f t="shared" ref="R50:R59" si="18">SUM(B50:Q50)</f>
        <v>0</v>
      </c>
      <c r="S50" s="551">
        <f t="shared" ref="S50:S79" si="19">IF(G8="n",R50*(F8/100),R50*(E8/100))</f>
        <v>0</v>
      </c>
      <c r="T50" s="524"/>
      <c r="U50" s="524"/>
      <c r="V50" s="524"/>
      <c r="W50" s="524"/>
      <c r="X50" s="524"/>
      <c r="Y50" s="524"/>
      <c r="Z50" s="524"/>
      <c r="AA50" s="668">
        <f t="shared" ref="AA50:AA71" si="20">Q50</f>
        <v>0</v>
      </c>
      <c r="AB50" s="668">
        <f t="shared" ref="AB50:AB71" si="21">L50</f>
        <v>0</v>
      </c>
    </row>
    <row r="51" spans="1:28" s="523" customFormat="1" ht="12.75" customHeight="1" x14ac:dyDescent="0.15">
      <c r="A51" s="638">
        <f t="shared" ref="A51:A71" si="22">A50+1</f>
        <v>802</v>
      </c>
      <c r="B51" s="1347">
        <f>IF(I9=0,H9,(((DATE(Voorblad!$K$4,K9,J9)-DATE(Voorblad!$K$4,1,1))*H9)/365))</f>
        <v>0</v>
      </c>
      <c r="C51" s="1347"/>
      <c r="D51" s="1339">
        <f>IF(K9=0,0,(IF(L9=0,((DATE(Voorblad!$K$4+1,1,1)-DATE(Voorblad!$K$4,(K9),J9))*(H9-(1*I9)))/365,((DATE(Voorblad!$K$4,(L9),J9)-DATE(Voorblad!$K$4,(K9),J9))*(H9-(1*I9)))/365)))</f>
        <v>0</v>
      </c>
      <c r="E51" s="1339"/>
      <c r="F51" s="1339">
        <f>IF(L9=0,0,(IF(M9=0,((DATE(Voorblad!$K$4+1,1,1)-DATE(Voorblad!$K$4,(L9),J9))*(H9-(2*I9)))/365,((DATE(Voorblad!$K$4,(M9),J9)-DATE(Voorblad!$K$4,(L9),J9))*(H9-(2*I9)))/365)))</f>
        <v>0</v>
      </c>
      <c r="G51" s="1339"/>
      <c r="H51" s="1036">
        <f>IF(M9=0,0,(IF(N9=0,((DATE(Voorblad!$K$4+1,1,1)-DATE(Voorblad!$K$4,(M9),J9))*(H9-(3*I9)))/365,((DATE(Voorblad!$K$4,(N9),J9)-DATE(Voorblad!$K$4,(M9),J9))*(H9-(3*I9)))/365)))</f>
        <v>0</v>
      </c>
      <c r="I51" s="1339">
        <f>IF(N9=0,0,(IF(O9=0,((DATE(Voorblad!$K$4+1,1,1)-DATE(Voorblad!$K$4,(N9),J9))*(H9-(4*I9)))/365,((DATE(Voorblad!$K$4,(O9),J9)-DATE(Voorblad!$K$4,(N9),J9))*(H9-(4*I9)))/365)))</f>
        <v>0</v>
      </c>
      <c r="J51" s="1339"/>
      <c r="K51" s="1339">
        <f>IF(O9=0,0,(IF(P9=0,((DATE(Voorblad!$K$4+1,1,1)-DATE(Voorblad!$K$4,(O9),J9))*(H9-(5*I9)))/365,((DATE(Voorblad!$K$4,(P9),J9)-DATE(Voorblad!$K$4,(O9),J9))*(H9-(5*I9)))/365)))</f>
        <v>0</v>
      </c>
      <c r="L51" s="1339"/>
      <c r="M51" s="1339"/>
      <c r="N51" s="1339"/>
      <c r="O51" s="1339"/>
      <c r="P51" s="1339"/>
      <c r="Q51" s="1036">
        <f>IF(P9=0,0,((DATE(Voorblad!$K$4+1,1,1)-DATE(Voorblad!$K$4,(P9),J9))*(H9-(6*I9)))/365)</f>
        <v>0</v>
      </c>
      <c r="R51" s="667">
        <f t="shared" si="18"/>
        <v>0</v>
      </c>
      <c r="S51" s="551">
        <f t="shared" si="19"/>
        <v>0</v>
      </c>
      <c r="T51" s="524"/>
      <c r="U51" s="524"/>
      <c r="V51" s="524"/>
      <c r="W51" s="524"/>
      <c r="X51" s="524"/>
      <c r="Y51" s="524"/>
      <c r="Z51" s="524"/>
      <c r="AA51" s="668">
        <f t="shared" si="20"/>
        <v>0</v>
      </c>
      <c r="AB51" s="668">
        <f t="shared" si="21"/>
        <v>0</v>
      </c>
    </row>
    <row r="52" spans="1:28" s="523" customFormat="1" ht="12.75" customHeight="1" x14ac:dyDescent="0.15">
      <c r="A52" s="638">
        <f t="shared" si="22"/>
        <v>803</v>
      </c>
      <c r="B52" s="1347">
        <f>IF(I10=0,H10,(((DATE(Voorblad!$K$4,K10,J10)-DATE(Voorblad!$K$4,1,1))*H10)/365))</f>
        <v>0</v>
      </c>
      <c r="C52" s="1347"/>
      <c r="D52" s="1339">
        <f>IF(K10=0,0,(IF(L10=0,((DATE(Voorblad!$K$4+1,1,1)-DATE(Voorblad!$K$4,(K10),J10))*(H10-(1*I10)))/365,((DATE(Voorblad!$K$4,(L10),J10)-DATE(Voorblad!$K$4,(K10),J10))*(H10-(1*I10)))/365)))</f>
        <v>0</v>
      </c>
      <c r="E52" s="1339"/>
      <c r="F52" s="1339">
        <f>IF(L10=0,0,(IF(M10=0,((DATE(Voorblad!$K$4+1,1,1)-DATE(Voorblad!$K$4,(L10),J10))*(H10-(2*I10)))/365,((DATE(Voorblad!$K$4,(M10),J10)-DATE(Voorblad!$K$4,(L10),J10))*(H10-(2*I10)))/365)))</f>
        <v>0</v>
      </c>
      <c r="G52" s="1339"/>
      <c r="H52" s="1036">
        <f>IF(M10=0,0,(IF(N10=0,((DATE(Voorblad!$K$4+1,1,1)-DATE(Voorblad!$K$4,(M10),J10))*(H10-(3*I10)))/365,((DATE(Voorblad!$K$4,(N10),J10)-DATE(Voorblad!$K$4,(M10),J10))*(H10-(3*I10)))/365)))</f>
        <v>0</v>
      </c>
      <c r="I52" s="1339">
        <f>IF(N10=0,0,(IF(O10=0,((DATE(Voorblad!$K$4+1,1,1)-DATE(Voorblad!$K$4,(N10),J10))*(H10-(4*I10)))/365,((DATE(Voorblad!$K$4,(O10),J10)-DATE(Voorblad!$K$4,(N10),J10))*(H10-(4*I10)))/365)))</f>
        <v>0</v>
      </c>
      <c r="J52" s="1339"/>
      <c r="K52" s="1339">
        <f>IF(O10=0,0,(IF(P10=0,((DATE(Voorblad!$K$4+1,1,1)-DATE(Voorblad!$K$4,(O10),J10))*(H10-(5*I10)))/365,((DATE(Voorblad!$K$4,(P10),J10)-DATE(Voorblad!$K$4,(O10),J10))*(H10-(5*I10)))/365)))</f>
        <v>0</v>
      </c>
      <c r="L52" s="1339"/>
      <c r="M52" s="1339"/>
      <c r="N52" s="1339"/>
      <c r="O52" s="1339"/>
      <c r="P52" s="1339"/>
      <c r="Q52" s="1036">
        <f>IF(P10=0,0,((DATE(Voorblad!$K$4+1,1,1)-DATE(Voorblad!$K$4,(P10),J10))*(H10-(6*I10)))/365)</f>
        <v>0</v>
      </c>
      <c r="R52" s="667">
        <f t="shared" si="18"/>
        <v>0</v>
      </c>
      <c r="S52" s="551">
        <f t="shared" si="19"/>
        <v>0</v>
      </c>
      <c r="T52" s="524"/>
      <c r="U52" s="524"/>
      <c r="V52" s="524"/>
      <c r="W52" s="524"/>
      <c r="X52" s="524"/>
      <c r="Y52" s="524"/>
      <c r="Z52" s="524"/>
      <c r="AA52" s="668">
        <f t="shared" si="20"/>
        <v>0</v>
      </c>
      <c r="AB52" s="668">
        <f t="shared" si="21"/>
        <v>0</v>
      </c>
    </row>
    <row r="53" spans="1:28" s="523" customFormat="1" ht="12.75" customHeight="1" x14ac:dyDescent="0.15">
      <c r="A53" s="638">
        <f t="shared" si="22"/>
        <v>804</v>
      </c>
      <c r="B53" s="1347">
        <f>IF(I11=0,H11,(((DATE(Voorblad!$K$4,K11,J11)-DATE(Voorblad!$K$4,1,1))*H11)/365))</f>
        <v>0</v>
      </c>
      <c r="C53" s="1347"/>
      <c r="D53" s="1339">
        <f>IF(K11=0,0,(IF(L11=0,((DATE(Voorblad!$K$4+1,1,1)-DATE(Voorblad!$K$4,(K11),J11))*(H11-(1*I11)))/365,((DATE(Voorblad!$K$4,(L11),J11)-DATE(Voorblad!$K$4,(K11),J11))*(H11-(1*I11)))/365)))</f>
        <v>0</v>
      </c>
      <c r="E53" s="1339"/>
      <c r="F53" s="1339">
        <f>IF(L11=0,0,(IF(M11=0,((DATE(Voorblad!$K$4+1,1,1)-DATE(Voorblad!$K$4,(L11),J11))*(H11-(2*I11)))/365,((DATE(Voorblad!$K$4,(M11),J11)-DATE(Voorblad!$K$4,(L11),J11))*(H11-(2*I11)))/365)))</f>
        <v>0</v>
      </c>
      <c r="G53" s="1339"/>
      <c r="H53" s="1036">
        <f>IF(M11=0,0,(IF(N11=0,((DATE(Voorblad!$K$4+1,1,1)-DATE(Voorblad!$K$4,(M11),J11))*(H11-(3*I11)))/365,((DATE(Voorblad!$K$4,(N11),J11)-DATE(Voorblad!$K$4,(M11),J11))*(H11-(3*I11)))/365)))</f>
        <v>0</v>
      </c>
      <c r="I53" s="1339">
        <f>IF(N11=0,0,(IF(O11=0,((DATE(Voorblad!$K$4+1,1,1)-DATE(Voorblad!$K$4,(N11),J11))*(H11-(4*I11)))/365,((DATE(Voorblad!$K$4,(O11),J11)-DATE(Voorblad!$K$4,(N11),J11))*(H11-(4*I11)))/365)))</f>
        <v>0</v>
      </c>
      <c r="J53" s="1339"/>
      <c r="K53" s="1339">
        <f>IF(O11=0,0,(IF(P11=0,((DATE(Voorblad!$K$4+1,1,1)-DATE(Voorblad!$K$4,(O11),J11))*(H11-(5*I11)))/365,((DATE(Voorblad!$K$4,(P11),J11)-DATE(Voorblad!$K$4,(O11),J11))*(H11-(5*I11)))/365)))</f>
        <v>0</v>
      </c>
      <c r="L53" s="1339"/>
      <c r="M53" s="1339"/>
      <c r="N53" s="1339"/>
      <c r="O53" s="1339"/>
      <c r="P53" s="1339"/>
      <c r="Q53" s="1036">
        <f>IF(P11=0,0,((DATE(Voorblad!$K$4+1,1,1)-DATE(Voorblad!$K$4,(P11),J11))*(H11-(6*I11)))/365)</f>
        <v>0</v>
      </c>
      <c r="R53" s="667">
        <f t="shared" si="18"/>
        <v>0</v>
      </c>
      <c r="S53" s="551">
        <f t="shared" si="19"/>
        <v>0</v>
      </c>
      <c r="T53" s="524"/>
      <c r="U53" s="524"/>
      <c r="V53" s="524"/>
      <c r="W53" s="524"/>
      <c r="X53" s="524"/>
      <c r="Y53" s="524"/>
      <c r="Z53" s="524"/>
      <c r="AA53" s="668"/>
      <c r="AB53" s="668"/>
    </row>
    <row r="54" spans="1:28" s="523" customFormat="1" ht="12.75" customHeight="1" x14ac:dyDescent="0.15">
      <c r="A54" s="638">
        <f t="shared" si="22"/>
        <v>805</v>
      </c>
      <c r="B54" s="1347">
        <f>IF(I12=0,H12,(((DATE(Voorblad!$K$4,K12,J12)-DATE(Voorblad!$K$4,1,1))*H12)/365))</f>
        <v>0</v>
      </c>
      <c r="C54" s="1347"/>
      <c r="D54" s="1339">
        <f>IF(K12=0,0,(IF(L12=0,((DATE(Voorblad!$K$4+1,1,1)-DATE(Voorblad!$K$4,(K12),J12))*(H12-(1*I12)))/365,((DATE(Voorblad!$K$4,(L12),J12)-DATE(Voorblad!$K$4,(K12),J12))*(H12-(1*I12)))/365)))</f>
        <v>0</v>
      </c>
      <c r="E54" s="1339"/>
      <c r="F54" s="1339">
        <f>IF(L12=0,0,(IF(M12=0,((DATE(Voorblad!$K$4+1,1,1)-DATE(Voorblad!$K$4,(L12),J12))*(H12-(2*I12)))/365,((DATE(Voorblad!$K$4,(M12),J12)-DATE(Voorblad!$K$4,(L12),J12))*(H12-(2*I12)))/365)))</f>
        <v>0</v>
      </c>
      <c r="G54" s="1339"/>
      <c r="H54" s="1036">
        <f>IF(M12=0,0,(IF(N12=0,((DATE(Voorblad!$K$4+1,1,1)-DATE(Voorblad!$K$4,(M12),J12))*(H12-(3*I12)))/365,((DATE(Voorblad!$K$4,(N12),J12)-DATE(Voorblad!$K$4,(M12),J12))*(H12-(3*I12)))/365)))</f>
        <v>0</v>
      </c>
      <c r="I54" s="1339">
        <f>IF(N12=0,0,(IF(O12=0,((DATE(Voorblad!$K$4+1,1,1)-DATE(Voorblad!$K$4,(N12),J12))*(H12-(4*I12)))/365,((DATE(Voorblad!$K$4,(O12),J12)-DATE(Voorblad!$K$4,(N12),J12))*(H12-(4*I12)))/365)))</f>
        <v>0</v>
      </c>
      <c r="J54" s="1339"/>
      <c r="K54" s="1339">
        <f>IF(O12=0,0,(IF(P12=0,((DATE(Voorblad!$K$4+1,1,1)-DATE(Voorblad!$K$4,(O12),J12))*(H12-(5*I12)))/365,((DATE(Voorblad!$K$4,(P12),J12)-DATE(Voorblad!$K$4,(O12),J12))*(H12-(5*I12)))/365)))</f>
        <v>0</v>
      </c>
      <c r="L54" s="1339"/>
      <c r="M54" s="1339"/>
      <c r="N54" s="1339"/>
      <c r="O54" s="1339"/>
      <c r="P54" s="1339"/>
      <c r="Q54" s="1036">
        <f>IF(P12=0,0,((DATE(Voorblad!$K$4+1,1,1)-DATE(Voorblad!$K$4,(P12),J12))*(H12-(6*I12)))/365)</f>
        <v>0</v>
      </c>
      <c r="R54" s="667">
        <f t="shared" si="18"/>
        <v>0</v>
      </c>
      <c r="S54" s="551">
        <f t="shared" si="19"/>
        <v>0</v>
      </c>
      <c r="T54" s="524"/>
      <c r="U54" s="524"/>
      <c r="V54" s="524"/>
      <c r="W54" s="524"/>
      <c r="X54" s="524"/>
      <c r="Y54" s="524"/>
      <c r="Z54" s="524"/>
      <c r="AA54" s="668"/>
      <c r="AB54" s="668"/>
    </row>
    <row r="55" spans="1:28" s="523" customFormat="1" ht="12.75" customHeight="1" x14ac:dyDescent="0.15">
      <c r="A55" s="638">
        <f t="shared" si="22"/>
        <v>806</v>
      </c>
      <c r="B55" s="1347">
        <f>IF(I13=0,H13,(((DATE(Voorblad!$K$4,K13,J13)-DATE(Voorblad!$K$4,1,1))*H13)/365))</f>
        <v>0</v>
      </c>
      <c r="C55" s="1347"/>
      <c r="D55" s="1339">
        <f>IF(K13=0,0,(IF(L13=0,((DATE(Voorblad!$K$4+1,1,1)-DATE(Voorblad!$K$4,(K13),J13))*(H13-(1*I13)))/365,((DATE(Voorblad!$K$4,(L13),J13)-DATE(Voorblad!$K$4,(K13),J13))*(H13-(1*I13)))/365)))</f>
        <v>0</v>
      </c>
      <c r="E55" s="1339"/>
      <c r="F55" s="1339">
        <f>IF(L13=0,0,(IF(M13=0,((DATE(Voorblad!$K$4+1,1,1)-DATE(Voorblad!$K$4,(L13),J13))*(H13-(2*I13)))/365,((DATE(Voorblad!$K$4,(M13),J13)-DATE(Voorblad!$K$4,(L13),J13))*(H13-(2*I13)))/365)))</f>
        <v>0</v>
      </c>
      <c r="G55" s="1339"/>
      <c r="H55" s="1036">
        <f>IF(M13=0,0,(IF(N13=0,((DATE(Voorblad!$K$4+1,1,1)-DATE(Voorblad!$K$4,(M13),J13))*(H13-(3*I13)))/365,((DATE(Voorblad!$K$4,(N13),J13)-DATE(Voorblad!$K$4,(M13),J13))*(H13-(3*I13)))/365)))</f>
        <v>0</v>
      </c>
      <c r="I55" s="1339">
        <f>IF(N13=0,0,(IF(O13=0,((DATE(Voorblad!$K$4+1,1,1)-DATE(Voorblad!$K$4,(N13),J13))*(H13-(4*I13)))/365,((DATE(Voorblad!$K$4,(O13),J13)-DATE(Voorblad!$K$4,(N13),J13))*(H13-(4*I13)))/365)))</f>
        <v>0</v>
      </c>
      <c r="J55" s="1339"/>
      <c r="K55" s="1339">
        <f>IF(O13=0,0,(IF(P13=0,((DATE(Voorblad!$K$4+1,1,1)-DATE(Voorblad!$K$4,(O13),J13))*(H13-(5*I13)))/365,((DATE(Voorblad!$K$4,(P13),J13)-DATE(Voorblad!$K$4,(O13),J13))*(H13-(5*I13)))/365)))</f>
        <v>0</v>
      </c>
      <c r="L55" s="1339"/>
      <c r="M55" s="1339"/>
      <c r="N55" s="1339"/>
      <c r="O55" s="1339"/>
      <c r="P55" s="1339"/>
      <c r="Q55" s="1036">
        <f>IF(P13=0,0,((DATE(Voorblad!$K$4+1,1,1)-DATE(Voorblad!$K$4,(P13),J13))*(H13-(6*I13)))/365)</f>
        <v>0</v>
      </c>
      <c r="R55" s="667">
        <f t="shared" si="18"/>
        <v>0</v>
      </c>
      <c r="S55" s="551">
        <f t="shared" si="19"/>
        <v>0</v>
      </c>
      <c r="T55" s="524"/>
      <c r="U55" s="524"/>
      <c r="V55" s="524"/>
      <c r="W55" s="524"/>
      <c r="X55" s="524"/>
      <c r="Y55" s="524"/>
      <c r="Z55" s="524"/>
      <c r="AA55" s="668"/>
      <c r="AB55" s="668"/>
    </row>
    <row r="56" spans="1:28" s="523" customFormat="1" ht="12.75" customHeight="1" x14ac:dyDescent="0.15">
      <c r="A56" s="638">
        <f t="shared" si="22"/>
        <v>807</v>
      </c>
      <c r="B56" s="1347">
        <f>IF(I14=0,H14,(((DATE(Voorblad!$K$4,K14,J14)-DATE(Voorblad!$K$4,1,1))*H14)/365))</f>
        <v>0</v>
      </c>
      <c r="C56" s="1347"/>
      <c r="D56" s="1339">
        <f>IF(K14=0,0,(IF(L14=0,((DATE(Voorblad!$K$4+1,1,1)-DATE(Voorblad!$K$4,(K14),J14))*(H14-(1*I14)))/365,((DATE(Voorblad!$K$4,(L14),J14)-DATE(Voorblad!$K$4,(K14),J14))*(H14-(1*I14)))/365)))</f>
        <v>0</v>
      </c>
      <c r="E56" s="1339"/>
      <c r="F56" s="1339">
        <f>IF(L14=0,0,(IF(M14=0,((DATE(Voorblad!$K$4+1,1,1)-DATE(Voorblad!$K$4,(L14),J14))*(H14-(2*I14)))/365,((DATE(Voorblad!$K$4,(M14),J14)-DATE(Voorblad!$K$4,(L14),J14))*(H14-(2*I14)))/365)))</f>
        <v>0</v>
      </c>
      <c r="G56" s="1339"/>
      <c r="H56" s="1036">
        <f>IF(M14=0,0,(IF(N14=0,((DATE(Voorblad!$K$4+1,1,1)-DATE(Voorblad!$K$4,(M14),J14))*(H14-(3*I14)))/365,((DATE(Voorblad!$K$4,(N14),J14)-DATE(Voorblad!$K$4,(M14),J14))*(H14-(3*I14)))/365)))</f>
        <v>0</v>
      </c>
      <c r="I56" s="1339">
        <f>IF(N14=0,0,(IF(O14=0,((DATE(Voorblad!$K$4+1,1,1)-DATE(Voorblad!$K$4,(N14),J14))*(H14-(4*I14)))/365,((DATE(Voorblad!$K$4,(O14),J14)-DATE(Voorblad!$K$4,(N14),J14))*(H14-(4*I14)))/365)))</f>
        <v>0</v>
      </c>
      <c r="J56" s="1339"/>
      <c r="K56" s="1339">
        <f>IF(O14=0,0,(IF(P14=0,((DATE(Voorblad!$K$4+1,1,1)-DATE(Voorblad!$K$4,(O14),J14))*(H14-(5*I14)))/365,((DATE(Voorblad!$K$4,(P14),J14)-DATE(Voorblad!$K$4,(O14),J14))*(H14-(5*I14)))/365)))</f>
        <v>0</v>
      </c>
      <c r="L56" s="1339"/>
      <c r="M56" s="1339"/>
      <c r="N56" s="1339"/>
      <c r="O56" s="1339"/>
      <c r="P56" s="1339"/>
      <c r="Q56" s="1036">
        <f>IF(P14=0,0,((DATE(Voorblad!$K$4+1,1,1)-DATE(Voorblad!$K$4,(P14),J14))*(H14-(6*I14)))/365)</f>
        <v>0</v>
      </c>
      <c r="R56" s="667">
        <f t="shared" si="18"/>
        <v>0</v>
      </c>
      <c r="S56" s="551">
        <f t="shared" si="19"/>
        <v>0</v>
      </c>
      <c r="T56" s="524"/>
      <c r="U56" s="524"/>
      <c r="V56" s="524"/>
      <c r="W56" s="524"/>
      <c r="X56" s="524"/>
      <c r="Y56" s="524"/>
      <c r="Z56" s="524"/>
      <c r="AA56" s="668"/>
      <c r="AB56" s="668"/>
    </row>
    <row r="57" spans="1:28" s="523" customFormat="1" ht="12.75" customHeight="1" x14ac:dyDescent="0.15">
      <c r="A57" s="638">
        <f t="shared" si="22"/>
        <v>808</v>
      </c>
      <c r="B57" s="1347">
        <f>IF(I15=0,H15,(((DATE(Voorblad!$K$4,K15,J15)-DATE(Voorblad!$K$4,1,1))*H15)/365))</f>
        <v>0</v>
      </c>
      <c r="C57" s="1347"/>
      <c r="D57" s="1339">
        <f>IF(K15=0,0,(IF(L15=0,((DATE(Voorblad!$K$4+1,1,1)-DATE(Voorblad!$K$4,(K15),J15))*(H15-(1*I15)))/365,((DATE(Voorblad!$K$4,(L15),J15)-DATE(Voorblad!$K$4,(K15),J15))*(H15-(1*I15)))/365)))</f>
        <v>0</v>
      </c>
      <c r="E57" s="1339"/>
      <c r="F57" s="1339">
        <f>IF(L15=0,0,(IF(M15=0,((DATE(Voorblad!$K$4+1,1,1)-DATE(Voorblad!$K$4,(L15),J15))*(H15-(2*I15)))/365,((DATE(Voorblad!$K$4,(M15),J15)-DATE(Voorblad!$K$4,(L15),J15))*(H15-(2*I15)))/365)))</f>
        <v>0</v>
      </c>
      <c r="G57" s="1339"/>
      <c r="H57" s="1036">
        <f>IF(M15=0,0,(IF(N15=0,((DATE(Voorblad!$K$4+1,1,1)-DATE(Voorblad!$K$4,(M15),J15))*(H15-(3*I15)))/365,((DATE(Voorblad!$K$4,(N15),J15)-DATE(Voorblad!$K$4,(M15),J15))*(H15-(3*I15)))/365)))</f>
        <v>0</v>
      </c>
      <c r="I57" s="1339">
        <f>IF(N15=0,0,(IF(O15=0,((DATE(Voorblad!$K$4+1,1,1)-DATE(Voorblad!$K$4,(N15),J15))*(H15-(4*I15)))/365,((DATE(Voorblad!$K$4,(O15),J15)-DATE(Voorblad!$K$4,(N15),J15))*(H15-(4*I15)))/365)))</f>
        <v>0</v>
      </c>
      <c r="J57" s="1339"/>
      <c r="K57" s="1339">
        <f>IF(O15=0,0,(IF(P15=0,((DATE(Voorblad!$K$4+1,1,1)-DATE(Voorblad!$K$4,(O15),J15))*(H15-(5*I15)))/365,((DATE(Voorblad!$K$4,(P15),J15)-DATE(Voorblad!$K$4,(O15),J15))*(H15-(5*I15)))/365)))</f>
        <v>0</v>
      </c>
      <c r="L57" s="1339"/>
      <c r="M57" s="1339"/>
      <c r="N57" s="1339"/>
      <c r="O57" s="1339"/>
      <c r="P57" s="1339"/>
      <c r="Q57" s="1036">
        <f>IF(P15=0,0,((DATE(Voorblad!$K$4+1,1,1)-DATE(Voorblad!$K$4,(P15),J15))*(H15-(6*I15)))/365)</f>
        <v>0</v>
      </c>
      <c r="R57" s="667">
        <f t="shared" si="18"/>
        <v>0</v>
      </c>
      <c r="S57" s="551">
        <f t="shared" si="19"/>
        <v>0</v>
      </c>
      <c r="T57" s="524"/>
      <c r="U57" s="524"/>
      <c r="V57" s="524"/>
      <c r="W57" s="524"/>
      <c r="X57" s="524"/>
      <c r="Y57" s="524"/>
      <c r="Z57" s="524"/>
      <c r="AA57" s="668"/>
      <c r="AB57" s="668"/>
    </row>
    <row r="58" spans="1:28" s="523" customFormat="1" ht="12.75" customHeight="1" x14ac:dyDescent="0.15">
      <c r="A58" s="638">
        <f t="shared" si="22"/>
        <v>809</v>
      </c>
      <c r="B58" s="1347">
        <f>IF(I16=0,H16,(((DATE(Voorblad!$K$4,K16,J16)-DATE(Voorblad!$K$4,1,1))*H16)/365))</f>
        <v>0</v>
      </c>
      <c r="C58" s="1347"/>
      <c r="D58" s="1339">
        <f>IF(K16=0,0,(IF(L16=0,((DATE(Voorblad!$K$4+1,1,1)-DATE(Voorblad!$K$4,(K16),J16))*(H16-(1*I16)))/365,((DATE(Voorblad!$K$4,(L16),J16)-DATE(Voorblad!$K$4,(K16),J16))*(H16-(1*I16)))/365)))</f>
        <v>0</v>
      </c>
      <c r="E58" s="1339"/>
      <c r="F58" s="1339">
        <f>IF(L16=0,0,(IF(M16=0,((DATE(Voorblad!$K$4+1,1,1)-DATE(Voorblad!$K$4,(L16),J16))*(H16-(2*I16)))/365,((DATE(Voorblad!$K$4,(M16),J16)-DATE(Voorblad!$K$4,(L16),J16))*(H16-(2*I16)))/365)))</f>
        <v>0</v>
      </c>
      <c r="G58" s="1339"/>
      <c r="H58" s="1036">
        <f>IF(M16=0,0,(IF(N16=0,((DATE(Voorblad!$K$4+1,1,1)-DATE(Voorblad!$K$4,(M16),J16))*(H16-(3*I16)))/365,((DATE(Voorblad!$K$4,(N16),J16)-DATE(Voorblad!$K$4,(M16),J16))*(H16-(3*I16)))/365)))</f>
        <v>0</v>
      </c>
      <c r="I58" s="1339">
        <f>IF(N16=0,0,(IF(O16=0,((DATE(Voorblad!$K$4+1,1,1)-DATE(Voorblad!$K$4,(N16),J16))*(H16-(4*I16)))/365,((DATE(Voorblad!$K$4,(O16),J16)-DATE(Voorblad!$K$4,(N16),J16))*(H16-(4*I16)))/365)))</f>
        <v>0</v>
      </c>
      <c r="J58" s="1339"/>
      <c r="K58" s="1339">
        <f>IF(O16=0,0,(IF(P16=0,((DATE(Voorblad!$K$4+1,1,1)-DATE(Voorblad!$K$4,(O16),J16))*(H16-(5*I16)))/365,((DATE(Voorblad!$K$4,(P16),J16)-DATE(Voorblad!$K$4,(O16),J16))*(H16-(5*I16)))/365)))</f>
        <v>0</v>
      </c>
      <c r="L58" s="1339"/>
      <c r="M58" s="1339"/>
      <c r="N58" s="1339"/>
      <c r="O58" s="1339"/>
      <c r="P58" s="1339"/>
      <c r="Q58" s="1036">
        <f>IF(P16=0,0,((DATE(Voorblad!$K$4+1,1,1)-DATE(Voorblad!$K$4,(P16),J16))*(H16-(6*I16)))/365)</f>
        <v>0</v>
      </c>
      <c r="R58" s="667">
        <f t="shared" si="18"/>
        <v>0</v>
      </c>
      <c r="S58" s="551">
        <f t="shared" si="19"/>
        <v>0</v>
      </c>
      <c r="T58" s="524"/>
      <c r="U58" s="524"/>
      <c r="V58" s="524"/>
      <c r="W58" s="524"/>
      <c r="X58" s="524"/>
      <c r="Y58" s="524"/>
      <c r="Z58" s="524"/>
      <c r="AA58" s="668"/>
      <c r="AB58" s="668"/>
    </row>
    <row r="59" spans="1:28" s="523" customFormat="1" ht="12.75" customHeight="1" x14ac:dyDescent="0.15">
      <c r="A59" s="638">
        <f t="shared" si="22"/>
        <v>810</v>
      </c>
      <c r="B59" s="1347">
        <f>IF(I17=0,H17,(((DATE(Voorblad!$K$4,K17,J17)-DATE(Voorblad!$K$4,1,1))*H17)/365))</f>
        <v>0</v>
      </c>
      <c r="C59" s="1347"/>
      <c r="D59" s="1339">
        <f>IF(K17=0,0,(IF(L17=0,((DATE(Voorblad!$K$4+1,1,1)-DATE(Voorblad!$K$4,(K17),J17))*(H17-(1*I17)))/365,((DATE(Voorblad!$K$4,(L17),J17)-DATE(Voorblad!$K$4,(K17),J17))*(H17-(1*I17)))/365)))</f>
        <v>0</v>
      </c>
      <c r="E59" s="1339"/>
      <c r="F59" s="1339">
        <f>IF(L17=0,0,(IF(M17=0,((DATE(Voorblad!$K$4+1,1,1)-DATE(Voorblad!$K$4,(L17),J17))*(H17-(2*I17)))/365,((DATE(Voorblad!$K$4,(M17),J17)-DATE(Voorblad!$K$4,(L17),J17))*(H17-(2*I17)))/365)))</f>
        <v>0</v>
      </c>
      <c r="G59" s="1339"/>
      <c r="H59" s="1036">
        <f>IF(M17=0,0,(IF(N17=0,((DATE(Voorblad!$K$4+1,1,1)-DATE(Voorblad!$K$4,(M17),J17))*(H17-(3*I17)))/365,((DATE(Voorblad!$K$4,(N17),J17)-DATE(Voorblad!$K$4,(M17),J17))*(H17-(3*I17)))/365)))</f>
        <v>0</v>
      </c>
      <c r="I59" s="1339">
        <f>IF(N17=0,0,(IF(O17=0,((DATE(Voorblad!$K$4+1,1,1)-DATE(Voorblad!$K$4,(N17),J17))*(H17-(4*I17)))/365,((DATE(Voorblad!$K$4,(O17),J17)-DATE(Voorblad!$K$4,(N17),J17))*(H17-(4*I17)))/365)))</f>
        <v>0</v>
      </c>
      <c r="J59" s="1339"/>
      <c r="K59" s="1339">
        <f>IF(O17=0,0,(IF(P17=0,((DATE(Voorblad!$K$4+1,1,1)-DATE(Voorblad!$K$4,(O17),J17))*(H17-(5*I17)))/365,((DATE(Voorblad!$K$4,(P17),J17)-DATE(Voorblad!$K$4,(O17),J17))*(H17-(5*I17)))/365)))</f>
        <v>0</v>
      </c>
      <c r="L59" s="1339"/>
      <c r="M59" s="1339"/>
      <c r="N59" s="1339"/>
      <c r="O59" s="1339"/>
      <c r="P59" s="1339"/>
      <c r="Q59" s="1036">
        <f>IF(P17=0,0,((DATE(Voorblad!$K$4+1,1,1)-DATE(Voorblad!$K$4,(P17),J17))*(H17-(6*I17)))/365)</f>
        <v>0</v>
      </c>
      <c r="R59" s="667">
        <f t="shared" si="18"/>
        <v>0</v>
      </c>
      <c r="S59" s="551">
        <f t="shared" si="19"/>
        <v>0</v>
      </c>
      <c r="T59" s="524"/>
      <c r="U59" s="524"/>
      <c r="V59" s="524"/>
      <c r="W59" s="524"/>
      <c r="X59" s="524"/>
      <c r="Y59" s="524"/>
      <c r="Z59" s="524"/>
      <c r="AA59" s="668"/>
      <c r="AB59" s="668"/>
    </row>
    <row r="60" spans="1:28" s="523" customFormat="1" ht="12.75" customHeight="1" x14ac:dyDescent="0.15">
      <c r="A60" s="638">
        <f t="shared" si="22"/>
        <v>811</v>
      </c>
      <c r="B60" s="1347">
        <f>IF(I18=0,H18,(((DATE(Voorblad!$K$4,K18,J18)-DATE(Voorblad!$K$4,1,1))*H18)/365))</f>
        <v>0</v>
      </c>
      <c r="C60" s="1347"/>
      <c r="D60" s="1339">
        <f>IF(K18=0,0,(IF(L18=0,((DATE(Voorblad!$K$4+1,1,1)-DATE(Voorblad!$K$4,(K18),J18))*(H18-(1*I18)))/365,((DATE(Voorblad!$K$4,(L18),J18)-DATE(Voorblad!$K$4,(K18),J18))*(H18-(1*I18)))/365)))</f>
        <v>0</v>
      </c>
      <c r="E60" s="1339"/>
      <c r="F60" s="1339">
        <f>IF(L18=0,0,(IF(M18=0,((DATE(Voorblad!$K$4+1,1,1)-DATE(Voorblad!$K$4,(L18),J18))*(H18-(2*I18)))/365,((DATE(Voorblad!$K$4,(M18),J18)-DATE(Voorblad!$K$4,(L18),J18))*(H18-(2*I18)))/365)))</f>
        <v>0</v>
      </c>
      <c r="G60" s="1339"/>
      <c r="H60" s="1036">
        <f>IF(M18=0,0,(IF(N18=0,((DATE(Voorblad!$K$4+1,1,1)-DATE(Voorblad!$K$4,(M18),J18))*(H18-(3*I18)))/365,((DATE(Voorblad!$K$4,(N18),J18)-DATE(Voorblad!$K$4,(M18),J18))*(H18-(3*I18)))/365)))</f>
        <v>0</v>
      </c>
      <c r="I60" s="1339">
        <f>IF(N18=0,0,(IF(O18=0,((DATE(Voorblad!$K$4+1,1,1)-DATE(Voorblad!$K$4,(N18),J18))*(H18-(4*I18)))/365,((DATE(Voorblad!$K$4,(O18),J18)-DATE(Voorblad!$K$4,(N18),J18))*(H18-(4*I18)))/365)))</f>
        <v>0</v>
      </c>
      <c r="J60" s="1339"/>
      <c r="K60" s="1339">
        <f>IF(O18=0,0,(IF(P18=0,((DATE(Voorblad!$K$4+1,1,1)-DATE(Voorblad!$K$4,(O18),J18))*(H18-(5*I18)))/365,((DATE(Voorblad!$K$4,(P18),J18)-DATE(Voorblad!$K$4,(O18),J18))*(H18-(5*I18)))/365)))</f>
        <v>0</v>
      </c>
      <c r="L60" s="1339"/>
      <c r="M60" s="1339"/>
      <c r="N60" s="1339"/>
      <c r="O60" s="1339"/>
      <c r="P60" s="1339"/>
      <c r="Q60" s="1036">
        <f>IF(P18=0,0,((DATE(Voorblad!$K$4+1,1,1)-DATE(Voorblad!$K$4,(P18),J18))*(H18-(6*I18)))/365)</f>
        <v>0</v>
      </c>
      <c r="R60" s="667">
        <f t="shared" ref="R60:R71" si="23">SUM(B60:Q60)</f>
        <v>0</v>
      </c>
      <c r="S60" s="551">
        <f t="shared" si="19"/>
        <v>0</v>
      </c>
      <c r="T60" s="524"/>
      <c r="U60" s="524"/>
      <c r="V60" s="524"/>
      <c r="W60" s="524"/>
      <c r="X60" s="524"/>
      <c r="Y60" s="524"/>
      <c r="Z60" s="524"/>
      <c r="AA60" s="668">
        <f t="shared" si="20"/>
        <v>0</v>
      </c>
      <c r="AB60" s="668">
        <f t="shared" si="21"/>
        <v>0</v>
      </c>
    </row>
    <row r="61" spans="1:28" s="523" customFormat="1" ht="12.75" customHeight="1" x14ac:dyDescent="0.15">
      <c r="A61" s="638">
        <f t="shared" si="22"/>
        <v>812</v>
      </c>
      <c r="B61" s="1347">
        <f>IF(I19=0,H19,(((DATE(Voorblad!$K$4,K19,J19)-DATE(Voorblad!$K$4,1,1))*H19)/365))</f>
        <v>0</v>
      </c>
      <c r="C61" s="1347"/>
      <c r="D61" s="1339">
        <f>IF(K19=0,0,(IF(L19=0,((DATE(Voorblad!$K$4+1,1,1)-DATE(Voorblad!$K$4,(K19),J19))*(H19-(1*I19)))/365,((DATE(Voorblad!$K$4,(L19),J19)-DATE(Voorblad!$K$4,(K19),J19))*(H19-(1*I19)))/365)))</f>
        <v>0</v>
      </c>
      <c r="E61" s="1339"/>
      <c r="F61" s="1339">
        <f>IF(L19=0,0,(IF(M19=0,((DATE(Voorblad!$K$4+1,1,1)-DATE(Voorblad!$K$4,(L19),J19))*(H19-(2*I19)))/365,((DATE(Voorblad!$K$4,(M19),J19)-DATE(Voorblad!$K$4,(L19),J19))*(H19-(2*I19)))/365)))</f>
        <v>0</v>
      </c>
      <c r="G61" s="1339"/>
      <c r="H61" s="1036">
        <f>IF(M19=0,0,(IF(N19=0,((DATE(Voorblad!$K$4+1,1,1)-DATE(Voorblad!$K$4,(M19),J19))*(H19-(3*I19)))/365,((DATE(Voorblad!$K$4,(N19),J19)-DATE(Voorblad!$K$4,(M19),J19))*(H19-(3*I19)))/365)))</f>
        <v>0</v>
      </c>
      <c r="I61" s="1339">
        <f>IF(N19=0,0,(IF(O19=0,((DATE(Voorblad!$K$4+1,1,1)-DATE(Voorblad!$K$4,(N19),J19))*(H19-(4*I19)))/365,((DATE(Voorblad!$K$4,(O19),J19)-DATE(Voorblad!$K$4,(N19),J19))*(H19-(4*I19)))/365)))</f>
        <v>0</v>
      </c>
      <c r="J61" s="1339"/>
      <c r="K61" s="1339">
        <f>IF(O19=0,0,(IF(P19=0,((DATE(Voorblad!$K$4+1,1,1)-DATE(Voorblad!$K$4,(O19),J19))*(H19-(5*I19)))/365,((DATE(Voorblad!$K$4,(P19),J19)-DATE(Voorblad!$K$4,(O19),J19))*(H19-(5*I19)))/365)))</f>
        <v>0</v>
      </c>
      <c r="L61" s="1339"/>
      <c r="M61" s="1339"/>
      <c r="N61" s="1339"/>
      <c r="O61" s="1339"/>
      <c r="P61" s="1339"/>
      <c r="Q61" s="1036">
        <f>IF(P19=0,0,((DATE(Voorblad!$K$4+1,1,1)-DATE(Voorblad!$K$4,(P19),J19))*(H19-(6*I19)))/365)</f>
        <v>0</v>
      </c>
      <c r="R61" s="667">
        <f t="shared" si="23"/>
        <v>0</v>
      </c>
      <c r="S61" s="551">
        <f t="shared" si="19"/>
        <v>0</v>
      </c>
      <c r="T61" s="524"/>
      <c r="U61" s="524"/>
      <c r="V61" s="524"/>
      <c r="W61" s="524"/>
      <c r="X61" s="524"/>
      <c r="Y61" s="524"/>
      <c r="Z61" s="524"/>
      <c r="AA61" s="668">
        <f t="shared" si="20"/>
        <v>0</v>
      </c>
      <c r="AB61" s="668">
        <f t="shared" si="21"/>
        <v>0</v>
      </c>
    </row>
    <row r="62" spans="1:28" s="523" customFormat="1" ht="12.75" customHeight="1" x14ac:dyDescent="0.15">
      <c r="A62" s="638">
        <f t="shared" si="22"/>
        <v>813</v>
      </c>
      <c r="B62" s="1347">
        <f>IF(I20=0,H20,(((DATE(Voorblad!$K$4,K20,J20)-DATE(Voorblad!$K$4,1,1))*H20)/365))</f>
        <v>0</v>
      </c>
      <c r="C62" s="1347"/>
      <c r="D62" s="1339">
        <f>IF(K20=0,0,(IF(L20=0,((DATE(Voorblad!$K$4+1,1,1)-DATE(Voorblad!$K$4,(K20),J20))*(H20-(1*I20)))/365,((DATE(Voorblad!$K$4,(L20),J20)-DATE(Voorblad!$K$4,(K20),J20))*(H20-(1*I20)))/365)))</f>
        <v>0</v>
      </c>
      <c r="E62" s="1339"/>
      <c r="F62" s="1339">
        <f>IF(L20=0,0,(IF(M20=0,((DATE(Voorblad!$K$4+1,1,1)-DATE(Voorblad!$K$4,(L20),J20))*(H20-(2*I20)))/365,((DATE(Voorblad!$K$4,(M20),J20)-DATE(Voorblad!$K$4,(L20),J20))*(H20-(2*I20)))/365)))</f>
        <v>0</v>
      </c>
      <c r="G62" s="1339"/>
      <c r="H62" s="1036">
        <f>IF(M20=0,0,(IF(N20=0,((DATE(Voorblad!$K$4+1,1,1)-DATE(Voorblad!$K$4,(M20),J20))*(H20-(3*I20)))/365,((DATE(Voorblad!$K$4,(N20),J20)-DATE(Voorblad!$K$4,(M20),J20))*(H20-(3*I20)))/365)))</f>
        <v>0</v>
      </c>
      <c r="I62" s="1339">
        <f>IF(N20=0,0,(IF(O20=0,((DATE(Voorblad!$K$4+1,1,1)-DATE(Voorblad!$K$4,(N20),J20))*(H20-(4*I20)))/365,((DATE(Voorblad!$K$4,(O20),J20)-DATE(Voorblad!$K$4,(N20),J20))*(H20-(4*I20)))/365)))</f>
        <v>0</v>
      </c>
      <c r="J62" s="1339"/>
      <c r="K62" s="1339">
        <f>IF(O20=0,0,(IF(P20=0,((DATE(Voorblad!$K$4+1,1,1)-DATE(Voorblad!$K$4,(O20),J20))*(H20-(5*I20)))/365,((DATE(Voorblad!$K$4,(P20),J20)-DATE(Voorblad!$K$4,(O20),J20))*(H20-(5*I20)))/365)))</f>
        <v>0</v>
      </c>
      <c r="L62" s="1339"/>
      <c r="M62" s="1339"/>
      <c r="N62" s="1339"/>
      <c r="O62" s="1339"/>
      <c r="P62" s="1339"/>
      <c r="Q62" s="1036">
        <f>IF(P20=0,0,((DATE(Voorblad!$K$4+1,1,1)-DATE(Voorblad!$K$4,(P20),J20))*(H20-(6*I20)))/365)</f>
        <v>0</v>
      </c>
      <c r="R62" s="667">
        <f t="shared" si="23"/>
        <v>0</v>
      </c>
      <c r="S62" s="551">
        <f t="shared" si="19"/>
        <v>0</v>
      </c>
      <c r="T62" s="524"/>
      <c r="U62" s="524"/>
      <c r="V62" s="524"/>
      <c r="W62" s="524"/>
      <c r="X62" s="524"/>
      <c r="Y62" s="524"/>
      <c r="Z62" s="524"/>
      <c r="AA62" s="668">
        <f t="shared" si="20"/>
        <v>0</v>
      </c>
      <c r="AB62" s="668">
        <f t="shared" si="21"/>
        <v>0</v>
      </c>
    </row>
    <row r="63" spans="1:28" s="523" customFormat="1" ht="12.75" customHeight="1" x14ac:dyDescent="0.15">
      <c r="A63" s="638">
        <f t="shared" si="22"/>
        <v>814</v>
      </c>
      <c r="B63" s="1347">
        <f>IF(I21=0,H21,(((DATE(Voorblad!$K$4,K21,J21)-DATE(Voorblad!$K$4,1,1))*H21)/365))</f>
        <v>0</v>
      </c>
      <c r="C63" s="1347"/>
      <c r="D63" s="1339">
        <f>IF(K21=0,0,(IF(L21=0,((DATE(Voorblad!$K$4+1,1,1)-DATE(Voorblad!$K$4,(K21),J21))*(H21-(1*I21)))/365,((DATE(Voorblad!$K$4,(L21),J21)-DATE(Voorblad!$K$4,(K21),J21))*(H21-(1*I21)))/365)))</f>
        <v>0</v>
      </c>
      <c r="E63" s="1339"/>
      <c r="F63" s="1339">
        <f>IF(L21=0,0,(IF(M21=0,((DATE(Voorblad!$K$4+1,1,1)-DATE(Voorblad!$K$4,(L21),J21))*(H21-(2*I21)))/365,((DATE(Voorblad!$K$4,(M21),J21)-DATE(Voorblad!$K$4,(L21),J21))*(H21-(2*I21)))/365)))</f>
        <v>0</v>
      </c>
      <c r="G63" s="1339"/>
      <c r="H63" s="1036">
        <f>IF(M21=0,0,(IF(N21=0,((DATE(Voorblad!$K$4+1,1,1)-DATE(Voorblad!$K$4,(M21),J21))*(H21-(3*I21)))/365,((DATE(Voorblad!$K$4,(N21),J21)-DATE(Voorblad!$K$4,(M21),J21))*(H21-(3*I21)))/365)))</f>
        <v>0</v>
      </c>
      <c r="I63" s="1339">
        <f>IF(N21=0,0,(IF(O21=0,((DATE(Voorblad!$K$4+1,1,1)-DATE(Voorblad!$K$4,(N21),J21))*(H21-(4*I21)))/365,((DATE(Voorblad!$K$4,(O21),J21)-DATE(Voorblad!$K$4,(N21),J21))*(H21-(4*I21)))/365)))</f>
        <v>0</v>
      </c>
      <c r="J63" s="1339"/>
      <c r="K63" s="1339">
        <f>IF(O21=0,0,(IF(P21=0,((DATE(Voorblad!$K$4+1,1,1)-DATE(Voorblad!$K$4,(O21),J21))*(H21-(5*I21)))/365,((DATE(Voorblad!$K$4,(P21),J21)-DATE(Voorblad!$K$4,(O21),J21))*(H21-(5*I21)))/365)))</f>
        <v>0</v>
      </c>
      <c r="L63" s="1339"/>
      <c r="M63" s="1339"/>
      <c r="N63" s="1339"/>
      <c r="O63" s="1339"/>
      <c r="P63" s="1339"/>
      <c r="Q63" s="1036">
        <f>IF(P21=0,0,((DATE(Voorblad!$K$4+1,1,1)-DATE(Voorblad!$K$4,(P21),J21))*(H21-(6*I21)))/365)</f>
        <v>0</v>
      </c>
      <c r="R63" s="667">
        <f t="shared" si="23"/>
        <v>0</v>
      </c>
      <c r="S63" s="551">
        <f t="shared" si="19"/>
        <v>0</v>
      </c>
      <c r="T63" s="524"/>
      <c r="U63" s="524"/>
      <c r="V63" s="524"/>
      <c r="W63" s="524"/>
      <c r="X63" s="524"/>
      <c r="Y63" s="524"/>
      <c r="Z63" s="524"/>
      <c r="AA63" s="668">
        <f t="shared" si="20"/>
        <v>0</v>
      </c>
      <c r="AB63" s="668">
        <f t="shared" si="21"/>
        <v>0</v>
      </c>
    </row>
    <row r="64" spans="1:28" s="523" customFormat="1" ht="12.75" customHeight="1" x14ac:dyDescent="0.15">
      <c r="A64" s="638">
        <f t="shared" si="22"/>
        <v>815</v>
      </c>
      <c r="B64" s="1347">
        <f>IF(I22=0,H22,(((DATE(Voorblad!$K$4,K22,J22)-DATE(Voorblad!$K$4,1,1))*H22)/365))</f>
        <v>0</v>
      </c>
      <c r="C64" s="1347"/>
      <c r="D64" s="1339">
        <f>IF(K22=0,0,(IF(L22=0,((DATE(Voorblad!$K$4+1,1,1)-DATE(Voorblad!$K$4,(K22),J22))*(H22-(1*I22)))/365,((DATE(Voorblad!$K$4,(L22),J22)-DATE(Voorblad!$K$4,(K22),J22))*(H22-(1*I22)))/365)))</f>
        <v>0</v>
      </c>
      <c r="E64" s="1339"/>
      <c r="F64" s="1339">
        <f>IF(L22=0,0,(IF(M22=0,((DATE(Voorblad!$K$4+1,1,1)-DATE(Voorblad!$K$4,(L22),J22))*(H22-(2*I22)))/365,((DATE(Voorblad!$K$4,(M22),J22)-DATE(Voorblad!$K$4,(L22),J22))*(H22-(2*I22)))/365)))</f>
        <v>0</v>
      </c>
      <c r="G64" s="1339"/>
      <c r="H64" s="1036">
        <f>IF(M22=0,0,(IF(N22=0,((DATE(Voorblad!$K$4+1,1,1)-DATE(Voorblad!$K$4,(M22),J22))*(H22-(3*I22)))/365,((DATE(Voorblad!$K$4,(N22),J22)-DATE(Voorblad!$K$4,(M22),J22))*(H22-(3*I22)))/365)))</f>
        <v>0</v>
      </c>
      <c r="I64" s="1339">
        <f>IF(N22=0,0,(IF(O22=0,((DATE(Voorblad!$K$4+1,1,1)-DATE(Voorblad!$K$4,(N22),J22))*(H22-(4*I22)))/365,((DATE(Voorblad!$K$4,(O22),J22)-DATE(Voorblad!$K$4,(N22),J22))*(H22-(4*I22)))/365)))</f>
        <v>0</v>
      </c>
      <c r="J64" s="1339"/>
      <c r="K64" s="1339">
        <f>IF(O22=0,0,(IF(P22=0,((DATE(Voorblad!$K$4+1,1,1)-DATE(Voorblad!$K$4,(O22),J22))*(H22-(5*I22)))/365,((DATE(Voorblad!$K$4,(P22),J22)-DATE(Voorblad!$K$4,(O22),J22))*(H22-(5*I22)))/365)))</f>
        <v>0</v>
      </c>
      <c r="L64" s="1339"/>
      <c r="M64" s="1339"/>
      <c r="N64" s="1339"/>
      <c r="O64" s="1339"/>
      <c r="P64" s="1339"/>
      <c r="Q64" s="1036">
        <f>IF(P22=0,0,((DATE(Voorblad!$K$4+1,1,1)-DATE(Voorblad!$K$4,(P22),J22))*(H22-(6*I22)))/365)</f>
        <v>0</v>
      </c>
      <c r="R64" s="667">
        <f t="shared" si="23"/>
        <v>0</v>
      </c>
      <c r="S64" s="551">
        <f t="shared" si="19"/>
        <v>0</v>
      </c>
      <c r="T64" s="524"/>
      <c r="U64" s="524"/>
      <c r="V64" s="524"/>
      <c r="W64" s="524"/>
      <c r="X64" s="524"/>
      <c r="Y64" s="524"/>
      <c r="Z64" s="524"/>
      <c r="AA64" s="668">
        <f t="shared" si="20"/>
        <v>0</v>
      </c>
      <c r="AB64" s="668">
        <f t="shared" si="21"/>
        <v>0</v>
      </c>
    </row>
    <row r="65" spans="1:28" s="523" customFormat="1" ht="12.75" customHeight="1" x14ac:dyDescent="0.15">
      <c r="A65" s="638">
        <f t="shared" si="22"/>
        <v>816</v>
      </c>
      <c r="B65" s="1347">
        <f>IF(I23=0,H23,(((DATE(Voorblad!$K$4,K23,J23)-DATE(Voorblad!$K$4,1,1))*H23)/365))</f>
        <v>0</v>
      </c>
      <c r="C65" s="1347"/>
      <c r="D65" s="1339">
        <f>IF(K23=0,0,(IF(L23=0,((DATE(Voorblad!$K$4+1,1,1)-DATE(Voorblad!$K$4,(K23),J23))*(H23-(1*I23)))/365,((DATE(Voorblad!$K$4,(L23),J23)-DATE(Voorblad!$K$4,(K23),J23))*(H23-(1*I23)))/365)))</f>
        <v>0</v>
      </c>
      <c r="E65" s="1339"/>
      <c r="F65" s="1339">
        <f>IF(L23=0,0,(IF(M23=0,((DATE(Voorblad!$K$4+1,1,1)-DATE(Voorblad!$K$4,(L23),J23))*(H23-(2*I23)))/365,((DATE(Voorblad!$K$4,(M23),J23)-DATE(Voorblad!$K$4,(L23),J23))*(H23-(2*I23)))/365)))</f>
        <v>0</v>
      </c>
      <c r="G65" s="1339"/>
      <c r="H65" s="1036">
        <f>IF(M23=0,0,(IF(N23=0,((DATE(Voorblad!$K$4+1,1,1)-DATE(Voorblad!$K$4,(M23),J23))*(H23-(3*I23)))/365,((DATE(Voorblad!$K$4,(N23),J23)-DATE(Voorblad!$K$4,(M23),J23))*(H23-(3*I23)))/365)))</f>
        <v>0</v>
      </c>
      <c r="I65" s="1339">
        <f>IF(N23=0,0,(IF(O23=0,((DATE(Voorblad!$K$4+1,1,1)-DATE(Voorblad!$K$4,(N23),J23))*(H23-(4*I23)))/365,((DATE(Voorblad!$K$4,(O23),J23)-DATE(Voorblad!$K$4,(N23),J23))*(H23-(4*I23)))/365)))</f>
        <v>0</v>
      </c>
      <c r="J65" s="1339"/>
      <c r="K65" s="1339">
        <f>IF(O23=0,0,(IF(P23=0,((DATE(Voorblad!$K$4+1,1,1)-DATE(Voorblad!$K$4,(O23),J23))*(H23-(5*I23)))/365,((DATE(Voorblad!$K$4,(P23),J23)-DATE(Voorblad!$K$4,(O23),J23))*(H23-(5*I23)))/365)))</f>
        <v>0</v>
      </c>
      <c r="L65" s="1339"/>
      <c r="M65" s="1339"/>
      <c r="N65" s="1339"/>
      <c r="O65" s="1339"/>
      <c r="P65" s="1339"/>
      <c r="Q65" s="1036">
        <f>IF(P23=0,0,((DATE(Voorblad!$K$4+1,1,1)-DATE(Voorblad!$K$4,(P23),J23))*(H23-(6*I23)))/365)</f>
        <v>0</v>
      </c>
      <c r="R65" s="667">
        <f t="shared" si="23"/>
        <v>0</v>
      </c>
      <c r="S65" s="551">
        <f t="shared" si="19"/>
        <v>0</v>
      </c>
      <c r="T65" s="524"/>
      <c r="U65" s="524"/>
      <c r="V65" s="524"/>
      <c r="W65" s="524"/>
      <c r="X65" s="524"/>
      <c r="Y65" s="524"/>
      <c r="Z65" s="524"/>
      <c r="AA65" s="668">
        <f t="shared" si="20"/>
        <v>0</v>
      </c>
      <c r="AB65" s="668">
        <f t="shared" si="21"/>
        <v>0</v>
      </c>
    </row>
    <row r="66" spans="1:28" s="523" customFormat="1" ht="12.75" customHeight="1" x14ac:dyDescent="0.15">
      <c r="A66" s="638">
        <f t="shared" si="22"/>
        <v>817</v>
      </c>
      <c r="B66" s="1347">
        <f>IF(I24=0,H24,(((DATE(Voorblad!$K$4,K24,J24)-DATE(Voorblad!$K$4,1,1))*H24)/365))</f>
        <v>0</v>
      </c>
      <c r="C66" s="1347"/>
      <c r="D66" s="1339">
        <f>IF(K24=0,0,(IF(L24=0,((DATE(Voorblad!$K$4+1,1,1)-DATE(Voorblad!$K$4,(K24),J24))*(H24-(1*I24)))/365,((DATE(Voorblad!$K$4,(L24),J24)-DATE(Voorblad!$K$4,(K24),J24))*(H24-(1*I24)))/365)))</f>
        <v>0</v>
      </c>
      <c r="E66" s="1339"/>
      <c r="F66" s="1339">
        <f>IF(L24=0,0,(IF(M24=0,((DATE(Voorblad!$K$4+1,1,1)-DATE(Voorblad!$K$4,(L24),J24))*(H24-(2*I24)))/365,((DATE(Voorblad!$K$4,(M24),J24)-DATE(Voorblad!$K$4,(L24),J24))*(H24-(2*I24)))/365)))</f>
        <v>0</v>
      </c>
      <c r="G66" s="1339"/>
      <c r="H66" s="1036">
        <f>IF(M24=0,0,(IF(N24=0,((DATE(Voorblad!$K$4+1,1,1)-DATE(Voorblad!$K$4,(M24),J24))*(H24-(3*I24)))/365,((DATE(Voorblad!$K$4,(N24),J24)-DATE(Voorblad!$K$4,(M24),J24))*(H24-(3*I24)))/365)))</f>
        <v>0</v>
      </c>
      <c r="I66" s="1339">
        <f>IF(N24=0,0,(IF(O24=0,((DATE(Voorblad!$K$4+1,1,1)-DATE(Voorblad!$K$4,(N24),J24))*(H24-(4*I24)))/365,((DATE(Voorblad!$K$4,(O24),J24)-DATE(Voorblad!$K$4,(N24),J24))*(H24-(4*I24)))/365)))</f>
        <v>0</v>
      </c>
      <c r="J66" s="1339"/>
      <c r="K66" s="1339">
        <f>IF(O24=0,0,(IF(P24=0,((DATE(Voorblad!$K$4+1,1,1)-DATE(Voorblad!$K$4,(O24),J24))*(H24-(5*I24)))/365,((DATE(Voorblad!$K$4,(P24),J24)-DATE(Voorblad!$K$4,(O24),J24))*(H24-(5*I24)))/365)))</f>
        <v>0</v>
      </c>
      <c r="L66" s="1339"/>
      <c r="M66" s="1339"/>
      <c r="N66" s="1339"/>
      <c r="O66" s="1339"/>
      <c r="P66" s="1339"/>
      <c r="Q66" s="1036">
        <f>IF(P24=0,0,((DATE(Voorblad!$K$4+1,1,1)-DATE(Voorblad!$K$4,(P24),J24))*(H24-(6*I24)))/365)</f>
        <v>0</v>
      </c>
      <c r="R66" s="667">
        <f t="shared" si="23"/>
        <v>0</v>
      </c>
      <c r="S66" s="551">
        <f t="shared" si="19"/>
        <v>0</v>
      </c>
      <c r="T66" s="524"/>
      <c r="U66" s="524"/>
      <c r="V66" s="524"/>
      <c r="W66" s="524"/>
      <c r="X66" s="524"/>
      <c r="Y66" s="524"/>
      <c r="Z66" s="524"/>
      <c r="AA66" s="668">
        <f t="shared" si="20"/>
        <v>0</v>
      </c>
      <c r="AB66" s="668">
        <f t="shared" si="21"/>
        <v>0</v>
      </c>
    </row>
    <row r="67" spans="1:28" s="523" customFormat="1" ht="12.75" customHeight="1" x14ac:dyDescent="0.15">
      <c r="A67" s="638">
        <f t="shared" si="22"/>
        <v>818</v>
      </c>
      <c r="B67" s="1347">
        <f>IF(I25=0,H25,(((DATE(Voorblad!$K$4,K25,J25)-DATE(Voorblad!$K$4,1,1))*H25)/365))</f>
        <v>0</v>
      </c>
      <c r="C67" s="1347"/>
      <c r="D67" s="1339">
        <f>IF(K25=0,0,(IF(L25=0,((DATE(Voorblad!$K$4+1,1,1)-DATE(Voorblad!$K$4,(K25),J25))*(H25-(1*I25)))/365,((DATE(Voorblad!$K$4,(L25),J25)-DATE(Voorblad!$K$4,(K25),J25))*(H25-(1*I25)))/365)))</f>
        <v>0</v>
      </c>
      <c r="E67" s="1339"/>
      <c r="F67" s="1339">
        <f>IF(L25=0,0,(IF(M25=0,((DATE(Voorblad!$K$4+1,1,1)-DATE(Voorblad!$K$4,(L25),J25))*(H25-(2*I25)))/365,((DATE(Voorblad!$K$4,(M25),J25)-DATE(Voorblad!$K$4,(L25),J25))*(H25-(2*I25)))/365)))</f>
        <v>0</v>
      </c>
      <c r="G67" s="1339"/>
      <c r="H67" s="1036">
        <f>IF(M25=0,0,(IF(N25=0,((DATE(Voorblad!$K$4+1,1,1)-DATE(Voorblad!$K$4,(M25),J25))*(H25-(3*I25)))/365,((DATE(Voorblad!$K$4,(N25),J25)-DATE(Voorblad!$K$4,(M25),J25))*(H25-(3*I25)))/365)))</f>
        <v>0</v>
      </c>
      <c r="I67" s="1339">
        <f>IF(N25=0,0,(IF(O25=0,((DATE(Voorblad!$K$4+1,1,1)-DATE(Voorblad!$K$4,(N25),J25))*(H25-(4*I25)))/365,((DATE(Voorblad!$K$4,(O25),J25)-DATE(Voorblad!$K$4,(N25),J25))*(H25-(4*I25)))/365)))</f>
        <v>0</v>
      </c>
      <c r="J67" s="1339"/>
      <c r="K67" s="1339">
        <f>IF(O25=0,0,(IF(P25=0,((DATE(Voorblad!$K$4+1,1,1)-DATE(Voorblad!$K$4,(O25),J25))*(H25-(5*I25)))/365,((DATE(Voorblad!$K$4,(P25),J25)-DATE(Voorblad!$K$4,(O25),J25))*(H25-(5*I25)))/365)))</f>
        <v>0</v>
      </c>
      <c r="L67" s="1339"/>
      <c r="M67" s="1339"/>
      <c r="N67" s="1339"/>
      <c r="O67" s="1339"/>
      <c r="P67" s="1339"/>
      <c r="Q67" s="1036">
        <f>IF(P25=0,0,((DATE(Voorblad!$K$4+1,1,1)-DATE(Voorblad!$K$4,(P25),J25))*(H25-(6*I25)))/365)</f>
        <v>0</v>
      </c>
      <c r="R67" s="667">
        <f t="shared" si="23"/>
        <v>0</v>
      </c>
      <c r="S67" s="551">
        <f t="shared" si="19"/>
        <v>0</v>
      </c>
      <c r="T67" s="524"/>
      <c r="U67" s="524"/>
      <c r="V67" s="524"/>
      <c r="W67" s="524"/>
      <c r="X67" s="524"/>
      <c r="Y67" s="524"/>
      <c r="Z67" s="524"/>
      <c r="AA67" s="668">
        <f t="shared" si="20"/>
        <v>0</v>
      </c>
      <c r="AB67" s="668">
        <f t="shared" si="21"/>
        <v>0</v>
      </c>
    </row>
    <row r="68" spans="1:28" s="523" customFormat="1" ht="12.75" customHeight="1" x14ac:dyDescent="0.15">
      <c r="A68" s="638">
        <f t="shared" si="22"/>
        <v>819</v>
      </c>
      <c r="B68" s="1347">
        <f>IF(I26=0,H26,(((DATE(Voorblad!$K$4,K26,J26)-DATE(Voorblad!$K$4,1,1))*H26)/365))</f>
        <v>0</v>
      </c>
      <c r="C68" s="1347"/>
      <c r="D68" s="1339">
        <f>IF(K26=0,0,(IF(L26=0,((DATE(Voorblad!$K$4+1,1,1)-DATE(Voorblad!$K$4,(K26),J26))*(H26-(1*I26)))/365,((DATE(Voorblad!$K$4,(L26),J26)-DATE(Voorblad!$K$4,(K26),J26))*(H26-(1*I26)))/365)))</f>
        <v>0</v>
      </c>
      <c r="E68" s="1339"/>
      <c r="F68" s="1339">
        <f>IF(L26=0,0,(IF(M26=0,((DATE(Voorblad!$K$4+1,1,1)-DATE(Voorblad!$K$4,(L26),J26))*(H26-(2*I26)))/365,((DATE(Voorblad!$K$4,(M26),J26)-DATE(Voorblad!$K$4,(L26),J26))*(H26-(2*I26)))/365)))</f>
        <v>0</v>
      </c>
      <c r="G68" s="1339"/>
      <c r="H68" s="1036">
        <f>IF(M26=0,0,(IF(N26=0,((DATE(Voorblad!$K$4+1,1,1)-DATE(Voorblad!$K$4,(M26),J26))*(H26-(3*I26)))/365,((DATE(Voorblad!$K$4,(N26),J26)-DATE(Voorblad!$K$4,(M26),J26))*(H26-(3*I26)))/365)))</f>
        <v>0</v>
      </c>
      <c r="I68" s="1339">
        <f>IF(N26=0,0,(IF(O26=0,((DATE(Voorblad!$K$4+1,1,1)-DATE(Voorblad!$K$4,(N26),J26))*(H26-(4*I26)))/365,((DATE(Voorblad!$K$4,(O26),J26)-DATE(Voorblad!$K$4,(N26),J26))*(H26-(4*I26)))/365)))</f>
        <v>0</v>
      </c>
      <c r="J68" s="1339"/>
      <c r="K68" s="1339">
        <f>IF(O26=0,0,(IF(P26=0,((DATE(Voorblad!$K$4+1,1,1)-DATE(Voorblad!$K$4,(O26),J26))*(H26-(5*I26)))/365,((DATE(Voorblad!$K$4,(P26),J26)-DATE(Voorblad!$K$4,(O26),J26))*(H26-(5*I26)))/365)))</f>
        <v>0</v>
      </c>
      <c r="L68" s="1339"/>
      <c r="M68" s="1339"/>
      <c r="N68" s="1339"/>
      <c r="O68" s="1339"/>
      <c r="P68" s="1339"/>
      <c r="Q68" s="1036">
        <f>IF(P26=0,0,((DATE(Voorblad!$K$4+1,1,1)-DATE(Voorblad!$K$4,(P26),J26))*(H26-(6*I26)))/365)</f>
        <v>0</v>
      </c>
      <c r="R68" s="667">
        <f t="shared" si="23"/>
        <v>0</v>
      </c>
      <c r="S68" s="551">
        <f t="shared" si="19"/>
        <v>0</v>
      </c>
      <c r="T68" s="524"/>
      <c r="U68" s="524"/>
      <c r="V68" s="524"/>
      <c r="W68" s="524"/>
      <c r="X68" s="524"/>
      <c r="Y68" s="524"/>
      <c r="Z68" s="524"/>
      <c r="AA68" s="668">
        <f t="shared" si="20"/>
        <v>0</v>
      </c>
      <c r="AB68" s="668">
        <f t="shared" si="21"/>
        <v>0</v>
      </c>
    </row>
    <row r="69" spans="1:28" s="523" customFormat="1" ht="12.75" customHeight="1" x14ac:dyDescent="0.15">
      <c r="A69" s="638">
        <f t="shared" si="22"/>
        <v>820</v>
      </c>
      <c r="B69" s="1347">
        <f>IF(I27=0,H27,(((DATE(Voorblad!$K$4,K27,J27)-DATE(Voorblad!$K$4,1,1))*H27)/365))</f>
        <v>0</v>
      </c>
      <c r="C69" s="1347"/>
      <c r="D69" s="1339">
        <f>IF(K27=0,0,(IF(L27=0,((DATE(Voorblad!$K$4+1,1,1)-DATE(Voorblad!$K$4,(K27),J27))*(H27-(1*I27)))/365,((DATE(Voorblad!$K$4,(L27),J27)-DATE(Voorblad!$K$4,(K27),J27))*(H27-(1*I27)))/365)))</f>
        <v>0</v>
      </c>
      <c r="E69" s="1339"/>
      <c r="F69" s="1339">
        <f>IF(L27=0,0,(IF(M27=0,((DATE(Voorblad!$K$4+1,1,1)-DATE(Voorblad!$K$4,(L27),J27))*(H27-(2*I27)))/365,((DATE(Voorblad!$K$4,(M27),J27)-DATE(Voorblad!$K$4,(L27),J27))*(H27-(2*I27)))/365)))</f>
        <v>0</v>
      </c>
      <c r="G69" s="1339"/>
      <c r="H69" s="1036">
        <f>IF(M27=0,0,(IF(N27=0,((DATE(Voorblad!$K$4+1,1,1)-DATE(Voorblad!$K$4,(M27),J27))*(H27-(3*I27)))/365,((DATE(Voorblad!$K$4,(N27),J27)-DATE(Voorblad!$K$4,(M27),J27))*(H27-(3*I27)))/365)))</f>
        <v>0</v>
      </c>
      <c r="I69" s="1339">
        <f>IF(N27=0,0,(IF(O27=0,((DATE(Voorblad!$K$4+1,1,1)-DATE(Voorblad!$K$4,(N27),J27))*(H27-(4*I27)))/365,((DATE(Voorblad!$K$4,(O27),J27)-DATE(Voorblad!$K$4,(N27),J27))*(H27-(4*I27)))/365)))</f>
        <v>0</v>
      </c>
      <c r="J69" s="1339"/>
      <c r="K69" s="1339">
        <f>IF(O27=0,0,(IF(P27=0,((DATE(Voorblad!$K$4+1,1,1)-DATE(Voorblad!$K$4,(O27),J27))*(H27-(5*I27)))/365,((DATE(Voorblad!$K$4,(P27),J27)-DATE(Voorblad!$K$4,(O27),J27))*(H27-(5*I27)))/365)))</f>
        <v>0</v>
      </c>
      <c r="L69" s="1339"/>
      <c r="M69" s="1339"/>
      <c r="N69" s="1339"/>
      <c r="O69" s="1339"/>
      <c r="P69" s="1339"/>
      <c r="Q69" s="1036">
        <f>IF(P27=0,0,((DATE(Voorblad!$K$4+1,1,1)-DATE(Voorblad!$K$4,(P27),J27))*(H27-(6*I27)))/365)</f>
        <v>0</v>
      </c>
      <c r="R69" s="667">
        <f t="shared" si="23"/>
        <v>0</v>
      </c>
      <c r="S69" s="551">
        <f t="shared" si="19"/>
        <v>0</v>
      </c>
      <c r="T69" s="524"/>
      <c r="U69" s="524"/>
      <c r="V69" s="524"/>
      <c r="W69" s="524"/>
      <c r="X69" s="524"/>
      <c r="Y69" s="524"/>
      <c r="Z69" s="524"/>
      <c r="AA69" s="668">
        <f t="shared" si="20"/>
        <v>0</v>
      </c>
      <c r="AB69" s="668">
        <f t="shared" si="21"/>
        <v>0</v>
      </c>
    </row>
    <row r="70" spans="1:28" s="523" customFormat="1" ht="12.75" customHeight="1" x14ac:dyDescent="0.15">
      <c r="A70" s="638">
        <f t="shared" si="22"/>
        <v>821</v>
      </c>
      <c r="B70" s="1347">
        <f>IF(I28=0,H28,(((DATE(Voorblad!$K$4,K28,J28)-DATE(Voorblad!$K$4,1,1))*H28)/365))</f>
        <v>0</v>
      </c>
      <c r="C70" s="1347"/>
      <c r="D70" s="1339">
        <f>IF(K28=0,0,(IF(L28=0,((DATE(Voorblad!$K$4+1,1,1)-DATE(Voorblad!$K$4,(K28),J28))*(H28-(1*I28)))/365,((DATE(Voorblad!$K$4,(L28),J28)-DATE(Voorblad!$K$4,(K28),J28))*(H28-(1*I28)))/365)))</f>
        <v>0</v>
      </c>
      <c r="E70" s="1339"/>
      <c r="F70" s="1339">
        <f>IF(L28=0,0,(IF(M28=0,((DATE(Voorblad!$K$4+1,1,1)-DATE(Voorblad!$K$4,(L28),J28))*(H28-(2*I28)))/365,((DATE(Voorblad!$K$4,(M28),J28)-DATE(Voorblad!$K$4,(L28),J28))*(H28-(2*I28)))/365)))</f>
        <v>0</v>
      </c>
      <c r="G70" s="1339"/>
      <c r="H70" s="1036">
        <f>IF(M28=0,0,(IF(N28=0,((DATE(Voorblad!$K$4+1,1,1)-DATE(Voorblad!$K$4,(M28),J28))*(H28-(3*I28)))/365,((DATE(Voorblad!$K$4,(N28),J28)-DATE(Voorblad!$K$4,(M28),J28))*(H28-(3*I28)))/365)))</f>
        <v>0</v>
      </c>
      <c r="I70" s="1339">
        <f>IF(N28=0,0,(IF(O28=0,((DATE(Voorblad!$K$4+1,1,1)-DATE(Voorblad!$K$4,(N28),J28))*(H28-(4*I28)))/365,((DATE(Voorblad!$K$4,(O28),J28)-DATE(Voorblad!$K$4,(N28),J28))*(H28-(4*I28)))/365)))</f>
        <v>0</v>
      </c>
      <c r="J70" s="1339"/>
      <c r="K70" s="1339">
        <f>IF(O28=0,0,(IF(P28=0,((DATE(Voorblad!$K$4+1,1,1)-DATE(Voorblad!$K$4,(O28),J28))*(H28-(5*I28)))/365,((DATE(Voorblad!$K$4,(P28),J28)-DATE(Voorblad!$K$4,(O28),J28))*(H28-(5*I28)))/365)))</f>
        <v>0</v>
      </c>
      <c r="L70" s="1339"/>
      <c r="M70" s="1339"/>
      <c r="N70" s="1339"/>
      <c r="O70" s="1339"/>
      <c r="P70" s="1339"/>
      <c r="Q70" s="1036">
        <f>IF(P28=0,0,((DATE(Voorblad!$K$4+1,1,1)-DATE(Voorblad!$K$4,(P28),J28))*(H28-(6*I28)))/365)</f>
        <v>0</v>
      </c>
      <c r="R70" s="667">
        <f t="shared" si="23"/>
        <v>0</v>
      </c>
      <c r="S70" s="551">
        <f t="shared" si="19"/>
        <v>0</v>
      </c>
      <c r="T70" s="524"/>
      <c r="U70" s="524"/>
      <c r="V70" s="524"/>
      <c r="W70" s="524"/>
      <c r="X70" s="524"/>
      <c r="Y70" s="524"/>
      <c r="Z70" s="524"/>
      <c r="AA70" s="668">
        <f t="shared" si="20"/>
        <v>0</v>
      </c>
      <c r="AB70" s="668">
        <f t="shared" si="21"/>
        <v>0</v>
      </c>
    </row>
    <row r="71" spans="1:28" s="523" customFormat="1" ht="12.75" customHeight="1" x14ac:dyDescent="0.15">
      <c r="A71" s="638">
        <f t="shared" si="22"/>
        <v>822</v>
      </c>
      <c r="B71" s="1347">
        <f>IF(I29=0,H29,(((DATE(Voorblad!$K$4,K29,J29)-DATE(Voorblad!$K$4,1,1))*H29)/365))</f>
        <v>0</v>
      </c>
      <c r="C71" s="1347"/>
      <c r="D71" s="1339">
        <f>IF(K29=0,0,(IF(L29=0,((DATE(Voorblad!$K$4+1,1,1)-DATE(Voorblad!$K$4,(K29),J29))*(H29-(1*I29)))/365,((DATE(Voorblad!$K$4,(L29),J29)-DATE(Voorblad!$K$4,(K29),J29))*(H29-(1*I29)))/365)))</f>
        <v>0</v>
      </c>
      <c r="E71" s="1339"/>
      <c r="F71" s="1339">
        <f>IF(L29=0,0,(IF(M29=0,((DATE(Voorblad!$K$4+1,1,1)-DATE(Voorblad!$K$4,(L29),J29))*(H29-(2*I29)))/365,((DATE(Voorblad!$K$4,(M29),J29)-DATE(Voorblad!$K$4,(L29),J29))*(H29-(2*I29)))/365)))</f>
        <v>0</v>
      </c>
      <c r="G71" s="1339"/>
      <c r="H71" s="1036">
        <f>IF(M29=0,0,(IF(N29=0,((DATE(Voorblad!$K$4+1,1,1)-DATE(Voorblad!$K$4,(M29),J29))*(H29-(3*I29)))/365,((DATE(Voorblad!$K$4,(N29),J29)-DATE(Voorblad!$K$4,(M29),J29))*(H29-(3*I29)))/365)))</f>
        <v>0</v>
      </c>
      <c r="I71" s="1339">
        <f>IF(N29=0,0,(IF(O29=0,((DATE(Voorblad!$K$4+1,1,1)-DATE(Voorblad!$K$4,(N29),J29))*(H29-(4*I29)))/365,((DATE(Voorblad!$K$4,(O29),J29)-DATE(Voorblad!$K$4,(N29),J29))*(H29-(4*I29)))/365)))</f>
        <v>0</v>
      </c>
      <c r="J71" s="1339"/>
      <c r="K71" s="1339">
        <f>IF(O29=0,0,(IF(P29=0,((DATE(Voorblad!$K$4+1,1,1)-DATE(Voorblad!$K$4,(O29),J29))*(H29-(5*I29)))/365,((DATE(Voorblad!$K$4,(P29),J29)-DATE(Voorblad!$K$4,(O29),J29))*(H29-(5*I29)))/365)))</f>
        <v>0</v>
      </c>
      <c r="L71" s="1339"/>
      <c r="M71" s="1339"/>
      <c r="N71" s="1339"/>
      <c r="O71" s="1339"/>
      <c r="P71" s="1339"/>
      <c r="Q71" s="1036">
        <f>IF(P29=0,0,((DATE(Voorblad!$K$4+1,1,1)-DATE(Voorblad!$K$4,(P29),J29))*(H29-(6*I29)))/365)</f>
        <v>0</v>
      </c>
      <c r="R71" s="669">
        <f t="shared" si="23"/>
        <v>0</v>
      </c>
      <c r="S71" s="551">
        <f t="shared" si="19"/>
        <v>0</v>
      </c>
      <c r="T71" s="524"/>
      <c r="U71" s="524"/>
      <c r="V71" s="524"/>
      <c r="W71" s="524"/>
      <c r="X71" s="524"/>
      <c r="Y71" s="524"/>
      <c r="Z71" s="524"/>
      <c r="AA71" s="668">
        <f t="shared" si="20"/>
        <v>0</v>
      </c>
      <c r="AB71" s="668">
        <f t="shared" si="21"/>
        <v>0</v>
      </c>
    </row>
    <row r="72" spans="1:28" s="523" customFormat="1" ht="12.75" customHeight="1" x14ac:dyDescent="0.15">
      <c r="A72" s="638">
        <f t="shared" ref="A72:A80" si="24">A71+1</f>
        <v>823</v>
      </c>
      <c r="B72" s="1347">
        <f>IF(I30=0,H30,(((DATE(Voorblad!$K$4,K30,J30)-DATE(Voorblad!$K$4,1,1))*H30)/365))</f>
        <v>0</v>
      </c>
      <c r="C72" s="1347"/>
      <c r="D72" s="1339">
        <f>IF(K30=0,0,(IF(L30=0,((DATE(Voorblad!$K$4+1,1,1)-DATE(Voorblad!$K$4,(K30),J30))*(H30-(1*I30)))/365,((DATE(Voorblad!$K$4,(L30),J30)-DATE(Voorblad!$K$4,(K30),J30))*(H30-(1*I30)))/365)))</f>
        <v>0</v>
      </c>
      <c r="E72" s="1339"/>
      <c r="F72" s="1339">
        <f>IF(L30=0,0,(IF(M30=0,((DATE(Voorblad!$K$4+1,1,1)-DATE(Voorblad!$K$4,(L30),J30))*(H30-(2*I30)))/365,((DATE(Voorblad!$K$4,(M30),J30)-DATE(Voorblad!$K$4,(L30),J30))*(H30-(2*I30)))/365)))</f>
        <v>0</v>
      </c>
      <c r="G72" s="1339"/>
      <c r="H72" s="1036">
        <f>IF(M30=0,0,(IF(N30=0,((DATE(Voorblad!$K$4+1,1,1)-DATE(Voorblad!$K$4,(M30),J30))*(H30-(3*I30)))/365,((DATE(Voorblad!$K$4,(N30),J30)-DATE(Voorblad!$K$4,(M30),J30))*(H30-(3*I30)))/365)))</f>
        <v>0</v>
      </c>
      <c r="I72" s="1339">
        <f>IF(N30=0,0,(IF(O30=0,((DATE(Voorblad!$K$4+1,1,1)-DATE(Voorblad!$K$4,(N30),J30))*(H30-(4*I30)))/365,((DATE(Voorblad!$K$4,(O30),J30)-DATE(Voorblad!$K$4,(N30),J30))*(H30-(4*I30)))/365)))</f>
        <v>0</v>
      </c>
      <c r="J72" s="1339"/>
      <c r="K72" s="1339">
        <f>IF(O30=0,0,(IF(P30=0,((DATE(Voorblad!$K$4+1,1,1)-DATE(Voorblad!$K$4,(O30),J30))*(H30-(5*I30)))/365,((DATE(Voorblad!$K$4,(P30),J30)-DATE(Voorblad!$K$4,(O30),J30))*(H30-(5*I30)))/365)))</f>
        <v>0</v>
      </c>
      <c r="L72" s="1339"/>
      <c r="M72" s="1339"/>
      <c r="N72" s="1339"/>
      <c r="O72" s="1339"/>
      <c r="P72" s="1339"/>
      <c r="Q72" s="1036">
        <f>IF(P30=0,0,((DATE(Voorblad!$K$4+1,1,1)-DATE(Voorblad!$K$4,(P30),J30))*(H30-(6*I30)))/365)</f>
        <v>0</v>
      </c>
      <c r="R72" s="669">
        <f t="shared" ref="R72:R79" si="25">SUM(B72:Q72)</f>
        <v>0</v>
      </c>
      <c r="S72" s="551">
        <f t="shared" si="19"/>
        <v>0</v>
      </c>
      <c r="T72" s="524"/>
      <c r="U72" s="524"/>
      <c r="V72" s="524"/>
      <c r="W72" s="524"/>
      <c r="X72" s="524"/>
      <c r="Y72" s="524"/>
      <c r="Z72" s="524"/>
      <c r="AA72" s="668"/>
      <c r="AB72" s="668"/>
    </row>
    <row r="73" spans="1:28" s="523" customFormat="1" ht="12.75" customHeight="1" x14ac:dyDescent="0.15">
      <c r="A73" s="638">
        <f t="shared" si="24"/>
        <v>824</v>
      </c>
      <c r="B73" s="1347">
        <f>IF(I31=0,H31,(((DATE(Voorblad!$K$4,K31,J31)-DATE(Voorblad!$K$4,1,1))*H31)/365))</f>
        <v>0</v>
      </c>
      <c r="C73" s="1347"/>
      <c r="D73" s="1339">
        <f>IF(K31=0,0,(IF(L31=0,((DATE(Voorblad!$K$4+1,1,1)-DATE(Voorblad!$K$4,(K31),J31))*(H31-(1*I31)))/365,((DATE(Voorblad!$K$4,(L31),J31)-DATE(Voorblad!$K$4,(K31),J31))*(H31-(1*I31)))/365)))</f>
        <v>0</v>
      </c>
      <c r="E73" s="1339"/>
      <c r="F73" s="1339">
        <f>IF(L31=0,0,(IF(M31=0,((DATE(Voorblad!$K$4+1,1,1)-DATE(Voorblad!$K$4,(L31),J31))*(H31-(2*I31)))/365,((DATE(Voorblad!$K$4,(M31),J31)-DATE(Voorblad!$K$4,(L31),J31))*(H31-(2*I31)))/365)))</f>
        <v>0</v>
      </c>
      <c r="G73" s="1339"/>
      <c r="H73" s="1036">
        <f>IF(M31=0,0,(IF(N31=0,((DATE(Voorblad!$K$4+1,1,1)-DATE(Voorblad!$K$4,(M31),J31))*(H31-(3*I31)))/365,((DATE(Voorblad!$K$4,(N31),J31)-DATE(Voorblad!$K$4,(M31),J31))*(H31-(3*I31)))/365)))</f>
        <v>0</v>
      </c>
      <c r="I73" s="1339">
        <f>IF(N31=0,0,(IF(O31=0,((DATE(Voorblad!$K$4+1,1,1)-DATE(Voorblad!$K$4,(N31),J31))*(H31-(4*I31)))/365,((DATE(Voorblad!$K$4,(O31),J31)-DATE(Voorblad!$K$4,(N31),J31))*(H31-(4*I31)))/365)))</f>
        <v>0</v>
      </c>
      <c r="J73" s="1339"/>
      <c r="K73" s="1339">
        <f>IF(O31=0,0,(IF(P31=0,((DATE(Voorblad!$K$4+1,1,1)-DATE(Voorblad!$K$4,(O31),J31))*(H31-(5*I31)))/365,((DATE(Voorblad!$K$4,(P31),J31)-DATE(Voorblad!$K$4,(O31),J31))*(H31-(5*I31)))/365)))</f>
        <v>0</v>
      </c>
      <c r="L73" s="1339"/>
      <c r="M73" s="1339"/>
      <c r="N73" s="1339"/>
      <c r="O73" s="1339"/>
      <c r="P73" s="1339"/>
      <c r="Q73" s="1036">
        <f>IF(P31=0,0,((DATE(Voorblad!$K$4+1,1,1)-DATE(Voorblad!$K$4,(P31),J31))*(H31-(6*I31)))/365)</f>
        <v>0</v>
      </c>
      <c r="R73" s="669">
        <f t="shared" si="25"/>
        <v>0</v>
      </c>
      <c r="S73" s="551">
        <f t="shared" si="19"/>
        <v>0</v>
      </c>
      <c r="T73" s="524"/>
      <c r="U73" s="524"/>
      <c r="V73" s="524"/>
      <c r="W73" s="524"/>
      <c r="X73" s="524"/>
      <c r="Y73" s="524"/>
      <c r="Z73" s="524"/>
      <c r="AA73" s="668"/>
      <c r="AB73" s="668"/>
    </row>
    <row r="74" spans="1:28" s="523" customFormat="1" ht="12.75" customHeight="1" x14ac:dyDescent="0.15">
      <c r="A74" s="638">
        <f t="shared" si="24"/>
        <v>825</v>
      </c>
      <c r="B74" s="1347">
        <f>IF(I32=0,H32,(((DATE(Voorblad!$K$4,K32,J32)-DATE(Voorblad!$K$4,1,1))*H32)/365))</f>
        <v>0</v>
      </c>
      <c r="C74" s="1347"/>
      <c r="D74" s="1339">
        <f>IF(K32=0,0,(IF(L32=0,((DATE(Voorblad!$K$4+1,1,1)-DATE(Voorblad!$K$4,(K32),J32))*(H32-(1*I32)))/365,((DATE(Voorblad!$K$4,(L32),J32)-DATE(Voorblad!$K$4,(K32),J32))*(H32-(1*I32)))/365)))</f>
        <v>0</v>
      </c>
      <c r="E74" s="1339"/>
      <c r="F74" s="1339">
        <f>IF(L32=0,0,(IF(M32=0,((DATE(Voorblad!$K$4+1,1,1)-DATE(Voorblad!$K$4,(L32),J32))*(H32-(2*I32)))/365,((DATE(Voorblad!$K$4,(M32),J32)-DATE(Voorblad!$K$4,(L32),J32))*(H32-(2*I32)))/365)))</f>
        <v>0</v>
      </c>
      <c r="G74" s="1339"/>
      <c r="H74" s="1036">
        <f>IF(M32=0,0,(IF(N32=0,((DATE(Voorblad!$K$4+1,1,1)-DATE(Voorblad!$K$4,(M32),J32))*(H32-(3*I32)))/365,((DATE(Voorblad!$K$4,(N32),J32)-DATE(Voorblad!$K$4,(M32),J32))*(H32-(3*I32)))/365)))</f>
        <v>0</v>
      </c>
      <c r="I74" s="1339">
        <f>IF(N32=0,0,(IF(O32=0,((DATE(Voorblad!$K$4+1,1,1)-DATE(Voorblad!$K$4,(N32),J32))*(H32-(4*I32)))/365,((DATE(Voorblad!$K$4,(O32),J32)-DATE(Voorblad!$K$4,(N32),J32))*(H32-(4*I32)))/365)))</f>
        <v>0</v>
      </c>
      <c r="J74" s="1339"/>
      <c r="K74" s="1339">
        <f>IF(O32=0,0,(IF(P32=0,((DATE(Voorblad!$K$4+1,1,1)-DATE(Voorblad!$K$4,(O32),J32))*(H32-(5*I32)))/365,((DATE(Voorblad!$K$4,(P32),J32)-DATE(Voorblad!$K$4,(O32),J32))*(H32-(5*I32)))/365)))</f>
        <v>0</v>
      </c>
      <c r="L74" s="1339"/>
      <c r="M74" s="1339"/>
      <c r="N74" s="1339"/>
      <c r="O74" s="1339"/>
      <c r="P74" s="1339"/>
      <c r="Q74" s="1036">
        <f>IF(P32=0,0,((DATE(Voorblad!$K$4+1,1,1)-DATE(Voorblad!$K$4,(P32),J32))*(H32-(6*I32)))/365)</f>
        <v>0</v>
      </c>
      <c r="R74" s="669">
        <f t="shared" si="25"/>
        <v>0</v>
      </c>
      <c r="S74" s="551">
        <f t="shared" si="19"/>
        <v>0</v>
      </c>
      <c r="T74" s="524"/>
      <c r="U74" s="524"/>
      <c r="V74" s="524"/>
      <c r="W74" s="524"/>
      <c r="X74" s="524"/>
      <c r="Y74" s="524"/>
      <c r="Z74" s="524"/>
      <c r="AA74" s="668"/>
      <c r="AB74" s="668"/>
    </row>
    <row r="75" spans="1:28" s="523" customFormat="1" ht="12.75" customHeight="1" x14ac:dyDescent="0.15">
      <c r="A75" s="638">
        <f t="shared" si="24"/>
        <v>826</v>
      </c>
      <c r="B75" s="1347">
        <f>IF(I33=0,H33,(((DATE(Voorblad!$K$4,K33,J33)-DATE(Voorblad!$K$4,1,1))*H33)/365))</f>
        <v>0</v>
      </c>
      <c r="C75" s="1347"/>
      <c r="D75" s="1339">
        <f>IF(K33=0,0,(IF(L33=0,((DATE(Voorblad!$K$4+1,1,1)-DATE(Voorblad!$K$4,(K33),J33))*(H33-(1*I33)))/365,((DATE(Voorblad!$K$4,(L33),J33)-DATE(Voorblad!$K$4,(K33),J33))*(H33-(1*I33)))/365)))</f>
        <v>0</v>
      </c>
      <c r="E75" s="1339"/>
      <c r="F75" s="1339">
        <f>IF(L33=0,0,(IF(M33=0,((DATE(Voorblad!$K$4+1,1,1)-DATE(Voorblad!$K$4,(L33),J33))*(H33-(2*I33)))/365,((DATE(Voorblad!$K$4,(M33),J33)-DATE(Voorblad!$K$4,(L33),J33))*(H33-(2*I33)))/365)))</f>
        <v>0</v>
      </c>
      <c r="G75" s="1339"/>
      <c r="H75" s="1036">
        <f>IF(M33=0,0,(IF(N33=0,((DATE(Voorblad!$K$4+1,1,1)-DATE(Voorblad!$K$4,(M33),J33))*(H33-(3*I33)))/365,((DATE(Voorblad!$K$4,(N33),J33)-DATE(Voorblad!$K$4,(M33),J33))*(H33-(3*I33)))/365)))</f>
        <v>0</v>
      </c>
      <c r="I75" s="1339">
        <f>IF(N33=0,0,(IF(O33=0,((DATE(Voorblad!$K$4+1,1,1)-DATE(Voorblad!$K$4,(N33),J33))*(H33-(4*I33)))/365,((DATE(Voorblad!$K$4,(O33),J33)-DATE(Voorblad!$K$4,(N33),J33))*(H33-(4*I33)))/365)))</f>
        <v>0</v>
      </c>
      <c r="J75" s="1339"/>
      <c r="K75" s="1339">
        <f>IF(O33=0,0,(IF(P33=0,((DATE(Voorblad!$K$4+1,1,1)-DATE(Voorblad!$K$4,(O33),J33))*(H33-(5*I33)))/365,((DATE(Voorblad!$K$4,(P33),J33)-DATE(Voorblad!$K$4,(O33),J33))*(H33-(5*I33)))/365)))</f>
        <v>0</v>
      </c>
      <c r="L75" s="1339"/>
      <c r="M75" s="1339"/>
      <c r="N75" s="1339"/>
      <c r="O75" s="1339"/>
      <c r="P75" s="1339"/>
      <c r="Q75" s="1036">
        <f>IF(P33=0,0,((DATE(Voorblad!$K$4+1,1,1)-DATE(Voorblad!$K$4,(P33),J33))*(H33-(6*I33)))/365)</f>
        <v>0</v>
      </c>
      <c r="R75" s="669">
        <f t="shared" si="25"/>
        <v>0</v>
      </c>
      <c r="S75" s="551">
        <f t="shared" si="19"/>
        <v>0</v>
      </c>
      <c r="T75" s="524"/>
      <c r="U75" s="524"/>
      <c r="V75" s="524"/>
      <c r="W75" s="524"/>
      <c r="X75" s="524"/>
      <c r="Y75" s="524"/>
      <c r="Z75" s="524"/>
      <c r="AA75" s="668"/>
      <c r="AB75" s="668"/>
    </row>
    <row r="76" spans="1:28" s="523" customFormat="1" ht="12.75" customHeight="1" x14ac:dyDescent="0.15">
      <c r="A76" s="638">
        <f t="shared" si="24"/>
        <v>827</v>
      </c>
      <c r="B76" s="1347">
        <f>IF(I34=0,H34,(((DATE(Voorblad!$K$4,K34,J34)-DATE(Voorblad!$K$4,1,1))*H34)/365))</f>
        <v>0</v>
      </c>
      <c r="C76" s="1347"/>
      <c r="D76" s="1339">
        <f>IF(K34=0,0,(IF(L34=0,((DATE(Voorblad!$K$4+1,1,1)-DATE(Voorblad!$K$4,(K34),J34))*(H34-(1*I34)))/365,((DATE(Voorblad!$K$4,(L34),J34)-DATE(Voorblad!$K$4,(K34),J34))*(H34-(1*I34)))/365)))</f>
        <v>0</v>
      </c>
      <c r="E76" s="1339"/>
      <c r="F76" s="1339">
        <f>IF(L34=0,0,(IF(M34=0,((DATE(Voorblad!$K$4+1,1,1)-DATE(Voorblad!$K$4,(L34),J34))*(H34-(2*I34)))/365,((DATE(Voorblad!$K$4,(M34),J34)-DATE(Voorblad!$K$4,(L34),J34))*(H34-(2*I34)))/365)))</f>
        <v>0</v>
      </c>
      <c r="G76" s="1339"/>
      <c r="H76" s="1036">
        <f>IF(M34=0,0,(IF(N34=0,((DATE(Voorblad!$K$4+1,1,1)-DATE(Voorblad!$K$4,(M34),J34))*(H34-(3*I34)))/365,((DATE(Voorblad!$K$4,(N34),J34)-DATE(Voorblad!$K$4,(M34),J34))*(H34-(3*I34)))/365)))</f>
        <v>0</v>
      </c>
      <c r="I76" s="1339">
        <f>IF(N34=0,0,(IF(O34=0,((DATE(Voorblad!$K$4+1,1,1)-DATE(Voorblad!$K$4,(N34),J34))*(H34-(4*I34)))/365,((DATE(Voorblad!$K$4,(O34),J34)-DATE(Voorblad!$K$4,(N34),J34))*(H34-(4*I34)))/365)))</f>
        <v>0</v>
      </c>
      <c r="J76" s="1339"/>
      <c r="K76" s="1339">
        <f>IF(O34=0,0,(IF(P34=0,((DATE(Voorblad!$K$4+1,1,1)-DATE(Voorblad!$K$4,(O34),J34))*(H34-(5*I34)))/365,((DATE(Voorblad!$K$4,(P34),J34)-DATE(Voorblad!$K$4,(O34),J34))*(H34-(5*I34)))/365)))</f>
        <v>0</v>
      </c>
      <c r="L76" s="1339"/>
      <c r="M76" s="1339"/>
      <c r="N76" s="1339"/>
      <c r="O76" s="1339"/>
      <c r="P76" s="1339"/>
      <c r="Q76" s="1036">
        <f>IF(P34=0,0,((DATE(Voorblad!$K$4+1,1,1)-DATE(Voorblad!$K$4,(P34),J34))*(H34-(6*I34)))/365)</f>
        <v>0</v>
      </c>
      <c r="R76" s="669">
        <f t="shared" si="25"/>
        <v>0</v>
      </c>
      <c r="S76" s="551">
        <f t="shared" si="19"/>
        <v>0</v>
      </c>
      <c r="T76" s="524"/>
      <c r="U76" s="524"/>
      <c r="V76" s="524"/>
      <c r="W76" s="524"/>
      <c r="X76" s="524"/>
      <c r="Y76" s="524"/>
      <c r="Z76" s="524"/>
      <c r="AA76" s="668"/>
      <c r="AB76" s="668"/>
    </row>
    <row r="77" spans="1:28" s="523" customFormat="1" ht="12.75" customHeight="1" x14ac:dyDescent="0.15">
      <c r="A77" s="638">
        <f t="shared" si="24"/>
        <v>828</v>
      </c>
      <c r="B77" s="1347">
        <f>IF(I35=0,H35,(((DATE(Voorblad!$K$4,K35,J35)-DATE(Voorblad!$K$4,1,1))*H35)/365))</f>
        <v>0</v>
      </c>
      <c r="C77" s="1347"/>
      <c r="D77" s="1339">
        <f>IF(K35=0,0,(IF(L35=0,((DATE(Voorblad!$K$4+1,1,1)-DATE(Voorblad!$K$4,(K35),J35))*(H35-(1*I35)))/365,((DATE(Voorblad!$K$4,(L35),J35)-DATE(Voorblad!$K$4,(K35),J35))*(H35-(1*I35)))/365)))</f>
        <v>0</v>
      </c>
      <c r="E77" s="1339"/>
      <c r="F77" s="1339">
        <f>IF(L35=0,0,(IF(M35=0,((DATE(Voorblad!$K$4+1,1,1)-DATE(Voorblad!$K$4,(L35),J35))*(H35-(2*I35)))/365,((DATE(Voorblad!$K$4,(M35),J35)-DATE(Voorblad!$K$4,(L35),J35))*(H35-(2*I35)))/365)))</f>
        <v>0</v>
      </c>
      <c r="G77" s="1339"/>
      <c r="H77" s="1036">
        <f>IF(M35=0,0,(IF(N35=0,((DATE(Voorblad!$K$4+1,1,1)-DATE(Voorblad!$K$4,(M35),J35))*(H35-(3*I35)))/365,((DATE(Voorblad!$K$4,(N35),J35)-DATE(Voorblad!$K$4,(M35),J35))*(H35-(3*I35)))/365)))</f>
        <v>0</v>
      </c>
      <c r="I77" s="1339">
        <f>IF(N35=0,0,(IF(O35=0,((DATE(Voorblad!$K$4+1,1,1)-DATE(Voorblad!$K$4,(N35),J35))*(H35-(4*I35)))/365,((DATE(Voorblad!$K$4,(O35),J35)-DATE(Voorblad!$K$4,(N35),J35))*(H35-(4*I35)))/365)))</f>
        <v>0</v>
      </c>
      <c r="J77" s="1339"/>
      <c r="K77" s="1339">
        <f>IF(O35=0,0,(IF(P35=0,((DATE(Voorblad!$K$4+1,1,1)-DATE(Voorblad!$K$4,(O35),J35))*(H35-(5*I35)))/365,((DATE(Voorblad!$K$4,(P35),J35)-DATE(Voorblad!$K$4,(O35),J35))*(H35-(5*I35)))/365)))</f>
        <v>0</v>
      </c>
      <c r="L77" s="1339"/>
      <c r="M77" s="1339"/>
      <c r="N77" s="1339"/>
      <c r="O77" s="1339"/>
      <c r="P77" s="1339"/>
      <c r="Q77" s="1036">
        <f>IF(P35=0,0,((DATE(Voorblad!$K$4+1,1,1)-DATE(Voorblad!$K$4,(P35),J35))*(H35-(6*I35)))/365)</f>
        <v>0</v>
      </c>
      <c r="R77" s="669">
        <f t="shared" si="25"/>
        <v>0</v>
      </c>
      <c r="S77" s="551">
        <f t="shared" si="19"/>
        <v>0</v>
      </c>
      <c r="T77" s="524"/>
      <c r="U77" s="524"/>
      <c r="V77" s="524"/>
      <c r="W77" s="524"/>
      <c r="X77" s="524"/>
      <c r="Y77" s="524"/>
      <c r="Z77" s="524"/>
      <c r="AA77" s="668"/>
      <c r="AB77" s="668"/>
    </row>
    <row r="78" spans="1:28" s="523" customFormat="1" ht="12.75" customHeight="1" x14ac:dyDescent="0.15">
      <c r="A78" s="638">
        <f t="shared" si="24"/>
        <v>829</v>
      </c>
      <c r="B78" s="1347">
        <f>IF(I36=0,H36,(((DATE(Voorblad!$K$4,K36,J36)-DATE(Voorblad!$K$4,1,1))*H36)/365))</f>
        <v>0</v>
      </c>
      <c r="C78" s="1347"/>
      <c r="D78" s="1339">
        <f>IF(K36=0,0,(IF(L36=0,((DATE(Voorblad!$K$4+1,1,1)-DATE(Voorblad!$K$4,(K36),J36))*(H36-(1*I36)))/365,((DATE(Voorblad!$K$4,(L36),J36)-DATE(Voorblad!$K$4,(K36),J36))*(H36-(1*I36)))/365)))</f>
        <v>0</v>
      </c>
      <c r="E78" s="1339"/>
      <c r="F78" s="1339">
        <f>IF(L36=0,0,(IF(M36=0,((DATE(Voorblad!$K$4+1,1,1)-DATE(Voorblad!$K$4,(L36),J36))*(H36-(2*I36)))/365,((DATE(Voorblad!$K$4,(M36),J36)-DATE(Voorblad!$K$4,(L36),J36))*(H36-(2*I36)))/365)))</f>
        <v>0</v>
      </c>
      <c r="G78" s="1339"/>
      <c r="H78" s="1036">
        <f>IF(M36=0,0,(IF(N36=0,((DATE(Voorblad!$K$4+1,1,1)-DATE(Voorblad!$K$4,(M36),J36))*(H36-(3*I36)))/365,((DATE(Voorblad!$K$4,(N36),J36)-DATE(Voorblad!$K$4,(M36),J36))*(H36-(3*I36)))/365)))</f>
        <v>0</v>
      </c>
      <c r="I78" s="1339">
        <f>IF(N36=0,0,(IF(O36=0,((DATE(Voorblad!$K$4+1,1,1)-DATE(Voorblad!$K$4,(N36),J36))*(H36-(4*I36)))/365,((DATE(Voorblad!$K$4,(O36),J36)-DATE(Voorblad!$K$4,(N36),J36))*(H36-(4*I36)))/365)))</f>
        <v>0</v>
      </c>
      <c r="J78" s="1339"/>
      <c r="K78" s="1339">
        <f>IF(O36=0,0,(IF(P36=0,((DATE(Voorblad!$K$4+1,1,1)-DATE(Voorblad!$K$4,(O36),J36))*(H36-(5*I36)))/365,((DATE(Voorblad!$K$4,(P36),J36)-DATE(Voorblad!$K$4,(O36),J36))*(H36-(5*I36)))/365)))</f>
        <v>0</v>
      </c>
      <c r="L78" s="1339"/>
      <c r="M78" s="1339"/>
      <c r="N78" s="1339"/>
      <c r="O78" s="1339"/>
      <c r="P78" s="1339"/>
      <c r="Q78" s="1036">
        <f>IF(P36=0,0,((DATE(Voorblad!$K$4+1,1,1)-DATE(Voorblad!$K$4,(P36),J36))*(H36-(6*I36)))/365)</f>
        <v>0</v>
      </c>
      <c r="R78" s="669">
        <f t="shared" si="25"/>
        <v>0</v>
      </c>
      <c r="S78" s="551">
        <f t="shared" si="19"/>
        <v>0</v>
      </c>
      <c r="T78" s="524"/>
      <c r="U78" s="524"/>
      <c r="V78" s="524"/>
      <c r="W78" s="524"/>
      <c r="X78" s="524"/>
      <c r="Y78" s="524"/>
      <c r="Z78" s="524"/>
      <c r="AA78" s="668"/>
      <c r="AB78" s="668"/>
    </row>
    <row r="79" spans="1:28" s="523" customFormat="1" ht="12.75" customHeight="1" x14ac:dyDescent="0.15">
      <c r="A79" s="638">
        <f t="shared" si="24"/>
        <v>830</v>
      </c>
      <c r="B79" s="1347">
        <f>IF(I37=0,H37,(((DATE(Voorblad!$K$4,K37,J37)-DATE(Voorblad!$K$4,1,1))*H37)/365))</f>
        <v>0</v>
      </c>
      <c r="C79" s="1347"/>
      <c r="D79" s="1339">
        <f>IF(K37=0,0,(IF(L37=0,((DATE(Voorblad!$K$4+1,1,1)-DATE(Voorblad!$K$4,(K37),J37))*(H37-(1*I37)))/365,((DATE(Voorblad!$K$4,(L37),J37)-DATE(Voorblad!$K$4,(K37),J37))*(H37-(1*I37)))/365)))</f>
        <v>0</v>
      </c>
      <c r="E79" s="1339"/>
      <c r="F79" s="1339">
        <f>IF(L37=0,0,(IF(M37=0,((DATE(Voorblad!$K$4+1,1,1)-DATE(Voorblad!$K$4,(L37),J37))*(H37-(2*I37)))/365,((DATE(Voorblad!$K$4,(M37),J37)-DATE(Voorblad!$K$4,(L37),J37))*(H37-(2*I37)))/365)))</f>
        <v>0</v>
      </c>
      <c r="G79" s="1339"/>
      <c r="H79" s="1036">
        <f>IF(M37=0,0,(IF(N37=0,((DATE(Voorblad!$K$4+1,1,1)-DATE(Voorblad!$K$4,(M37),J37))*(H37-(3*I37)))/365,((DATE(Voorblad!$K$4,(N37),J37)-DATE(Voorblad!$K$4,(M37),J37))*(H37-(3*I37)))/365)))</f>
        <v>0</v>
      </c>
      <c r="I79" s="1339">
        <f>IF(N37=0,0,(IF(O37=0,((DATE(Voorblad!$K$4+1,1,1)-DATE(Voorblad!$K$4,(N37),J37))*(H37-(4*I37)))/365,((DATE(Voorblad!$K$4,(O37),J37)-DATE(Voorblad!$K$4,(N37),J37))*(H37-(4*I37)))/365)))</f>
        <v>0</v>
      </c>
      <c r="J79" s="1339"/>
      <c r="K79" s="1339">
        <f>IF(O37=0,0,(IF(P37=0,((DATE(Voorblad!$K$4+1,1,1)-DATE(Voorblad!$K$4,(O37),J37))*(H37-(5*I37)))/365,((DATE(Voorblad!$K$4,(P37),J37)-DATE(Voorblad!$K$4,(O37),J37))*(H37-(5*I37)))/365)))</f>
        <v>0</v>
      </c>
      <c r="L79" s="1339"/>
      <c r="M79" s="1339"/>
      <c r="N79" s="1339"/>
      <c r="O79" s="1339"/>
      <c r="P79" s="1339"/>
      <c r="Q79" s="1036">
        <f>IF(P37=0,0,((DATE(Voorblad!$K$4+1,1,1)-DATE(Voorblad!$K$4,(P37),J37))*(H37-(6*I37)))/365)</f>
        <v>0</v>
      </c>
      <c r="R79" s="669">
        <f t="shared" si="25"/>
        <v>0</v>
      </c>
      <c r="S79" s="551">
        <f t="shared" si="19"/>
        <v>0</v>
      </c>
      <c r="T79" s="524"/>
      <c r="U79" s="524"/>
      <c r="V79" s="524"/>
      <c r="W79" s="524"/>
      <c r="X79" s="524"/>
      <c r="Y79" s="524"/>
      <c r="Z79" s="524"/>
      <c r="AA79" s="668"/>
      <c r="AB79" s="668"/>
    </row>
    <row r="80" spans="1:28" s="523" customFormat="1" ht="12.75" customHeight="1" x14ac:dyDescent="0.15">
      <c r="A80" s="638">
        <f t="shared" si="24"/>
        <v>831</v>
      </c>
      <c r="B80" s="683" t="s">
        <v>317</v>
      </c>
      <c r="C80" s="670"/>
      <c r="D80" s="670"/>
      <c r="E80" s="670"/>
      <c r="F80" s="670"/>
      <c r="G80" s="670"/>
      <c r="H80" s="670"/>
      <c r="I80" s="670"/>
      <c r="J80" s="670"/>
      <c r="K80" s="670"/>
      <c r="L80" s="670"/>
      <c r="M80" s="670"/>
      <c r="N80" s="670"/>
      <c r="O80" s="670"/>
      <c r="P80" s="670"/>
      <c r="Q80" s="671"/>
      <c r="R80" s="565">
        <f>SUM(R50:R79)</f>
        <v>0</v>
      </c>
      <c r="S80" s="565">
        <f>SUM(S50:S79)</f>
        <v>0</v>
      </c>
      <c r="T80" s="524"/>
      <c r="U80" s="524"/>
      <c r="V80" s="524"/>
      <c r="W80" s="524"/>
      <c r="X80" s="524"/>
      <c r="Y80" s="524"/>
      <c r="Z80" s="524"/>
      <c r="AA80" s="668"/>
      <c r="AB80" s="668"/>
    </row>
    <row r="81" spans="1:1" x14ac:dyDescent="0.15">
      <c r="A81" s="665"/>
    </row>
  </sheetData>
  <sheetProtection password="CA39" sheet="1" objects="1" scenarios="1"/>
  <mergeCells count="155">
    <mergeCell ref="B79:C79"/>
    <mergeCell ref="D79:E79"/>
    <mergeCell ref="F79:G79"/>
    <mergeCell ref="I79:J79"/>
    <mergeCell ref="K79:P79"/>
    <mergeCell ref="B78:C78"/>
    <mergeCell ref="D78:E78"/>
    <mergeCell ref="F78:G78"/>
    <mergeCell ref="I78:J78"/>
    <mergeCell ref="A6:D6"/>
    <mergeCell ref="K78:P78"/>
    <mergeCell ref="K75:P75"/>
    <mergeCell ref="B74:C74"/>
    <mergeCell ref="D74:E74"/>
    <mergeCell ref="F74:G74"/>
    <mergeCell ref="B77:C77"/>
    <mergeCell ref="D77:E77"/>
    <mergeCell ref="F77:G77"/>
    <mergeCell ref="I77:J77"/>
    <mergeCell ref="D71:E71"/>
    <mergeCell ref="K73:P73"/>
    <mergeCell ref="K77:P77"/>
    <mergeCell ref="B76:C76"/>
    <mergeCell ref="D76:E76"/>
    <mergeCell ref="F76:G76"/>
    <mergeCell ref="B72:C72"/>
    <mergeCell ref="D72:E72"/>
    <mergeCell ref="F72:G72"/>
    <mergeCell ref="I76:J76"/>
    <mergeCell ref="D68:E68"/>
    <mergeCell ref="B75:C75"/>
    <mergeCell ref="D75:E75"/>
    <mergeCell ref="F75:G75"/>
    <mergeCell ref="I75:J75"/>
    <mergeCell ref="K76:P76"/>
    <mergeCell ref="B68:C68"/>
    <mergeCell ref="I70:J70"/>
    <mergeCell ref="I71:J71"/>
    <mergeCell ref="D70:E70"/>
    <mergeCell ref="I74:J74"/>
    <mergeCell ref="K72:P72"/>
    <mergeCell ref="B73:C73"/>
    <mergeCell ref="D73:E73"/>
    <mergeCell ref="F73:G73"/>
    <mergeCell ref="I73:J73"/>
    <mergeCell ref="K74:P74"/>
    <mergeCell ref="B63:C63"/>
    <mergeCell ref="B64:C64"/>
    <mergeCell ref="B69:C69"/>
    <mergeCell ref="I72:J72"/>
    <mergeCell ref="B70:C70"/>
    <mergeCell ref="B71:C71"/>
    <mergeCell ref="B65:C65"/>
    <mergeCell ref="B66:C66"/>
    <mergeCell ref="B67:C67"/>
    <mergeCell ref="F66:G66"/>
    <mergeCell ref="D63:E63"/>
    <mergeCell ref="D64:E64"/>
    <mergeCell ref="D65:E65"/>
    <mergeCell ref="D66:E66"/>
    <mergeCell ref="F63:G63"/>
    <mergeCell ref="F64:G64"/>
    <mergeCell ref="B58:C58"/>
    <mergeCell ref="B59:C59"/>
    <mergeCell ref="B60:C60"/>
    <mergeCell ref="B61:C61"/>
    <mergeCell ref="D59:E59"/>
    <mergeCell ref="F59:G59"/>
    <mergeCell ref="I59:J59"/>
    <mergeCell ref="F61:G61"/>
    <mergeCell ref="B62:C62"/>
    <mergeCell ref="D62:E62"/>
    <mergeCell ref="D60:E60"/>
    <mergeCell ref="I60:J60"/>
    <mergeCell ref="B50:C50"/>
    <mergeCell ref="B51:C51"/>
    <mergeCell ref="B52:C52"/>
    <mergeCell ref="B53:C53"/>
    <mergeCell ref="B54:C54"/>
    <mergeCell ref="B55:C55"/>
    <mergeCell ref="D57:E57"/>
    <mergeCell ref="F57:G57"/>
    <mergeCell ref="I57:J57"/>
    <mergeCell ref="D55:E55"/>
    <mergeCell ref="F55:G55"/>
    <mergeCell ref="I55:J55"/>
    <mergeCell ref="D56:E56"/>
    <mergeCell ref="F56:G56"/>
    <mergeCell ref="I56:J56"/>
    <mergeCell ref="I53:J53"/>
    <mergeCell ref="B56:C56"/>
    <mergeCell ref="B57:C57"/>
    <mergeCell ref="F50:G50"/>
    <mergeCell ref="D54:E54"/>
    <mergeCell ref="K65:P65"/>
    <mergeCell ref="K66:P66"/>
    <mergeCell ref="F65:G65"/>
    <mergeCell ref="K62:P62"/>
    <mergeCell ref="K63:P63"/>
    <mergeCell ref="F71:G71"/>
    <mergeCell ref="I69:J69"/>
    <mergeCell ref="K70:P70"/>
    <mergeCell ref="K71:P71"/>
    <mergeCell ref="F62:G62"/>
    <mergeCell ref="I67:J67"/>
    <mergeCell ref="I68:J68"/>
    <mergeCell ref="K67:P67"/>
    <mergeCell ref="K68:P68"/>
    <mergeCell ref="K69:P69"/>
    <mergeCell ref="F70:G70"/>
    <mergeCell ref="F67:G67"/>
    <mergeCell ref="F68:G68"/>
    <mergeCell ref="F69:G69"/>
    <mergeCell ref="K64:P64"/>
    <mergeCell ref="K5:P5"/>
    <mergeCell ref="I4:P4"/>
    <mergeCell ref="I49:J49"/>
    <mergeCell ref="K49:P49"/>
    <mergeCell ref="D69:E69"/>
    <mergeCell ref="I65:J65"/>
    <mergeCell ref="I66:J66"/>
    <mergeCell ref="I62:J62"/>
    <mergeCell ref="I63:J63"/>
    <mergeCell ref="D67:E67"/>
    <mergeCell ref="D51:E51"/>
    <mergeCell ref="I51:J51"/>
    <mergeCell ref="K51:P51"/>
    <mergeCell ref="D52:E52"/>
    <mergeCell ref="I52:J52"/>
    <mergeCell ref="K52:P52"/>
    <mergeCell ref="F51:G51"/>
    <mergeCell ref="F52:G52"/>
    <mergeCell ref="D53:E53"/>
    <mergeCell ref="F53:G53"/>
    <mergeCell ref="I64:J64"/>
    <mergeCell ref="D61:E61"/>
    <mergeCell ref="I61:J61"/>
    <mergeCell ref="K61:P61"/>
    <mergeCell ref="K60:P60"/>
    <mergeCell ref="D50:E50"/>
    <mergeCell ref="I50:J50"/>
    <mergeCell ref="K50:P50"/>
    <mergeCell ref="F60:G60"/>
    <mergeCell ref="F54:G54"/>
    <mergeCell ref="I54:J54"/>
    <mergeCell ref="K54:P54"/>
    <mergeCell ref="K53:P53"/>
    <mergeCell ref="K59:P59"/>
    <mergeCell ref="K57:P57"/>
    <mergeCell ref="D58:E58"/>
    <mergeCell ref="F58:G58"/>
    <mergeCell ref="I58:J58"/>
    <mergeCell ref="K58:P58"/>
    <mergeCell ref="K55:P55"/>
    <mergeCell ref="K56:P56"/>
  </mergeCells>
  <phoneticPr fontId="17" type="noConversion"/>
  <conditionalFormatting sqref="A50:A80">
    <cfRule type="cellIs" dxfId="4" priority="1" stopIfTrue="1" operator="equal">
      <formula>0</formula>
    </cfRule>
  </conditionalFormatting>
  <conditionalFormatting sqref="R39:R40 B8:P37">
    <cfRule type="expression" dxfId="3" priority="2" stopIfTrue="1">
      <formula>$E$2=TRUE</formula>
    </cfRule>
  </conditionalFormatting>
  <conditionalFormatting sqref="A6">
    <cfRule type="cellIs" dxfId="2" priority="3" stopIfTrue="1" operator="equal">
      <formula>"Vul het Nza-nummer in op het voorblad"</formula>
    </cfRule>
  </conditionalFormatting>
  <pageMargins left="0.19685039370078741" right="0.19685039370078741" top="0.39370078740157483" bottom="0.39370078740157483" header="0.51181102362204722" footer="0.51181102362204722"/>
  <pageSetup paperSize="9" scale="75" orientation="landscape" horizontalDpi="300" verticalDpi="300" r:id="rId1"/>
  <headerFooter alignWithMargins="0"/>
  <rowBreaks count="1" manualBreakCount="1">
    <brk id="43" max="19" man="1"/>
  </rowBreaks>
  <colBreaks count="1" manualBreakCount="1">
    <brk id="20" max="1048575" man="1"/>
  </colBreaks>
  <ignoredErrors>
    <ignoredError sqref="T8:T28" unlockedFormula="1"/>
  </ignoredErrors>
  <drawing r:id="rId2"/>
  <legacyDrawing r:id="rId3"/>
  <oleObjects>
    <mc:AlternateContent xmlns:mc="http://schemas.openxmlformats.org/markup-compatibility/2006">
      <mc:Choice Requires="x14">
        <oleObject progId="MSPhotoEd.3" shapeId="16440" r:id="rId4">
          <objectPr defaultSize="0" autoPict="0" r:id="rId5">
            <anchor moveWithCells="1" sizeWithCells="1">
              <from>
                <xdr:col>17</xdr:col>
                <xdr:colOff>381000</xdr:colOff>
                <xdr:row>1</xdr:row>
                <xdr:rowOff>28575</xdr:rowOff>
              </from>
              <to>
                <xdr:col>19</xdr:col>
                <xdr:colOff>161925</xdr:colOff>
                <xdr:row>1</xdr:row>
                <xdr:rowOff>171450</xdr:rowOff>
              </to>
            </anchor>
          </objectPr>
        </oleObject>
      </mc:Choice>
      <mc:Fallback>
        <oleObject progId="MSPhotoEd.3" shapeId="16440" r:id="rId4"/>
      </mc:Fallback>
    </mc:AlternateContent>
    <mc:AlternateContent xmlns:mc="http://schemas.openxmlformats.org/markup-compatibility/2006">
      <mc:Choice Requires="x14">
        <oleObject progId="MSPhotoEd.3" shapeId="16441" r:id="rId6">
          <objectPr defaultSize="0" autoPict="0" r:id="rId5">
            <anchor moveWithCells="1" sizeWithCells="1">
              <from>
                <xdr:col>17</xdr:col>
                <xdr:colOff>304800</xdr:colOff>
                <xdr:row>44</xdr:row>
                <xdr:rowOff>47625</xdr:rowOff>
              </from>
              <to>
                <xdr:col>19</xdr:col>
                <xdr:colOff>85725</xdr:colOff>
                <xdr:row>44</xdr:row>
                <xdr:rowOff>190500</xdr:rowOff>
              </to>
            </anchor>
          </objectPr>
        </oleObject>
      </mc:Choice>
      <mc:Fallback>
        <oleObject progId="MSPhotoEd.3" shapeId="16441" r:id="rId6"/>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0">
    <pageSetUpPr autoPageBreaks="0" fitToPage="1"/>
  </sheetPr>
  <dimension ref="A1:Q38"/>
  <sheetViews>
    <sheetView showGridLines="0" showZeros="0" showOutlineSymbols="0" zoomScaleNormal="100" zoomScaleSheetLayoutView="100" workbookViewId="0"/>
  </sheetViews>
  <sheetFormatPr defaultRowHeight="11.25" x14ac:dyDescent="0.15"/>
  <cols>
    <col min="1" max="1" width="7" style="581" customWidth="1"/>
    <col min="2" max="2" width="73.28515625" style="524" customWidth="1"/>
    <col min="3" max="4" width="20.7109375" style="509" customWidth="1"/>
    <col min="5" max="5" width="20.7109375" style="524" customWidth="1"/>
    <col min="6" max="6" width="9.140625" style="524"/>
    <col min="7" max="7" width="10.7109375" style="524" customWidth="1"/>
    <col min="8" max="8" width="10.7109375" style="523" customWidth="1"/>
    <col min="9" max="13" width="10.7109375" style="524" customWidth="1"/>
    <col min="14" max="21" width="9.140625" style="524"/>
    <col min="22" max="22" width="1.7109375" style="524" customWidth="1"/>
    <col min="23" max="16384" width="9.140625" style="524"/>
  </cols>
  <sheetData>
    <row r="1" spans="1:17" ht="15.95" customHeight="1" x14ac:dyDescent="0.15"/>
    <row r="2" spans="1:17" s="582" customFormat="1" ht="15.75" customHeight="1" x14ac:dyDescent="0.2">
      <c r="A2" s="657" t="str">
        <f>CONCATENATE("Vaststelling Transitiebedrag ",Voorblad!K4)</f>
        <v>Vaststelling Transitiebedrag 2013</v>
      </c>
      <c r="C2" s="712" t="b">
        <f>'Bijlage 2 Rentecalc.'!D27</f>
        <v>1</v>
      </c>
      <c r="D2" s="650"/>
      <c r="E2" s="659">
        <f>H!T45+1</f>
        <v>9</v>
      </c>
    </row>
    <row r="3" spans="1:17" s="523" customFormat="1" ht="12.75" customHeight="1" x14ac:dyDescent="0.15">
      <c r="A3" s="599"/>
      <c r="C3" s="598"/>
      <c r="D3" s="598"/>
    </row>
    <row r="4" spans="1:17" s="544" customFormat="1" ht="12.75" customHeight="1" x14ac:dyDescent="0.2">
      <c r="A4" s="639"/>
      <c r="B4" s="713"/>
      <c r="C4" s="714" t="str">
        <f>CONCATENATE("31-12-",Voorblad!K4-1," ")</f>
        <v xml:space="preserve">31-12-2012 </v>
      </c>
      <c r="D4" s="714" t="str">
        <f>CONCATENATE("31-12-",Voorblad!K4," ")</f>
        <v xml:space="preserve">31-12-2013 </v>
      </c>
      <c r="E4" s="714" t="str">
        <f>CONCATENATE("Gemiddeld ",Voorblad!K4," ")</f>
        <v xml:space="preserve">Gemiddeld 2013 </v>
      </c>
    </row>
    <row r="5" spans="1:17" ht="12.75" customHeight="1" x14ac:dyDescent="0.2">
      <c r="A5" s="1266" t="str">
        <f>IF(Voorblad!$F$9&lt;1,"Vul het NZa-nummer in op het voorblad","")</f>
        <v>Vul het NZa-nummer in op het voorblad</v>
      </c>
      <c r="B5" s="1267"/>
      <c r="C5" s="1267"/>
      <c r="D5" s="1268"/>
      <c r="H5" s="524"/>
    </row>
    <row r="6" spans="1:17" ht="12.75" customHeight="1" x14ac:dyDescent="0.15">
      <c r="A6" s="581" t="s">
        <v>37</v>
      </c>
      <c r="B6" s="715" t="s">
        <v>36</v>
      </c>
      <c r="C6" s="716"/>
      <c r="D6" s="716"/>
    </row>
    <row r="7" spans="1:17" ht="12.75" customHeight="1" x14ac:dyDescent="0.15">
      <c r="A7" s="638">
        <f>(100*E2)+1</f>
        <v>901</v>
      </c>
      <c r="B7" s="717" t="s">
        <v>277</v>
      </c>
      <c r="C7" s="525"/>
      <c r="D7" s="525"/>
      <c r="E7" s="526">
        <f>(C7+D7)/2</f>
        <v>0</v>
      </c>
      <c r="H7" s="524"/>
    </row>
    <row r="8" spans="1:17" ht="12.75" customHeight="1" x14ac:dyDescent="0.15">
      <c r="A8" s="638">
        <f>A7+1</f>
        <v>902</v>
      </c>
      <c r="B8" s="717" t="s">
        <v>279</v>
      </c>
      <c r="C8" s="525"/>
      <c r="D8" s="525"/>
      <c r="E8" s="526">
        <f t="shared" ref="E8:E16" si="0">(C8+D8)/2</f>
        <v>0</v>
      </c>
      <c r="H8" s="524"/>
    </row>
    <row r="9" spans="1:17" ht="12.75" customHeight="1" x14ac:dyDescent="0.15">
      <c r="A9" s="638">
        <f t="shared" ref="A9:A19" si="1">A8+1</f>
        <v>903</v>
      </c>
      <c r="B9" s="524" t="s">
        <v>278</v>
      </c>
      <c r="C9" s="525"/>
      <c r="D9" s="525"/>
      <c r="E9" s="526">
        <f t="shared" si="0"/>
        <v>0</v>
      </c>
      <c r="H9" s="524"/>
    </row>
    <row r="10" spans="1:17" ht="12.75" customHeight="1" x14ac:dyDescent="0.15">
      <c r="A10" s="638">
        <f t="shared" si="1"/>
        <v>904</v>
      </c>
      <c r="B10" s="717" t="s">
        <v>200</v>
      </c>
      <c r="C10" s="525"/>
      <c r="D10" s="525"/>
      <c r="E10" s="526">
        <f t="shared" si="0"/>
        <v>0</v>
      </c>
      <c r="H10" s="524"/>
      <c r="Q10" s="527"/>
    </row>
    <row r="11" spans="1:17" ht="12.75" customHeight="1" x14ac:dyDescent="0.15">
      <c r="A11" s="638">
        <f t="shared" si="1"/>
        <v>905</v>
      </c>
      <c r="B11" s="717" t="s">
        <v>201</v>
      </c>
      <c r="C11" s="525"/>
      <c r="D11" s="525"/>
      <c r="E11" s="526">
        <f t="shared" si="0"/>
        <v>0</v>
      </c>
      <c r="H11" s="524"/>
    </row>
    <row r="12" spans="1:17" ht="12.75" customHeight="1" x14ac:dyDescent="0.15">
      <c r="A12" s="638">
        <f t="shared" si="1"/>
        <v>906</v>
      </c>
      <c r="B12" s="717" t="s">
        <v>202</v>
      </c>
      <c r="C12" s="525"/>
      <c r="D12" s="525"/>
      <c r="E12" s="526">
        <f t="shared" si="0"/>
        <v>0</v>
      </c>
      <c r="H12" s="524"/>
    </row>
    <row r="13" spans="1:17" ht="12.75" customHeight="1" x14ac:dyDescent="0.15">
      <c r="A13" s="638">
        <f t="shared" si="1"/>
        <v>907</v>
      </c>
      <c r="B13" s="717" t="s">
        <v>203</v>
      </c>
      <c r="C13" s="525"/>
      <c r="D13" s="525"/>
      <c r="E13" s="526">
        <f t="shared" si="0"/>
        <v>0</v>
      </c>
      <c r="H13" s="524"/>
    </row>
    <row r="14" spans="1:17" ht="12.75" customHeight="1" x14ac:dyDescent="0.15">
      <c r="A14" s="638">
        <f t="shared" si="1"/>
        <v>908</v>
      </c>
      <c r="B14" s="717" t="s">
        <v>204</v>
      </c>
      <c r="C14" s="525"/>
      <c r="D14" s="525"/>
      <c r="E14" s="526">
        <f t="shared" si="0"/>
        <v>0</v>
      </c>
      <c r="H14" s="524"/>
    </row>
    <row r="15" spans="1:17" ht="12.75" customHeight="1" x14ac:dyDescent="0.15">
      <c r="A15" s="638">
        <f t="shared" si="1"/>
        <v>909</v>
      </c>
      <c r="B15" s="717" t="s">
        <v>205</v>
      </c>
      <c r="C15" s="525"/>
      <c r="D15" s="525"/>
      <c r="E15" s="526">
        <f t="shared" si="0"/>
        <v>0</v>
      </c>
      <c r="H15" s="524"/>
    </row>
    <row r="16" spans="1:17" ht="12.75" customHeight="1" x14ac:dyDescent="0.15">
      <c r="A16" s="638">
        <f t="shared" si="1"/>
        <v>910</v>
      </c>
      <c r="B16" s="717" t="s">
        <v>206</v>
      </c>
      <c r="C16" s="525"/>
      <c r="D16" s="525"/>
      <c r="E16" s="526">
        <f t="shared" si="0"/>
        <v>0</v>
      </c>
      <c r="H16" s="524"/>
    </row>
    <row r="17" spans="1:11" ht="12.75" customHeight="1" x14ac:dyDescent="0.15">
      <c r="A17" s="638">
        <f t="shared" si="1"/>
        <v>911</v>
      </c>
      <c r="B17" s="717" t="s">
        <v>280</v>
      </c>
      <c r="C17" s="525"/>
      <c r="D17" s="525"/>
      <c r="E17" s="526">
        <f>(C17+D17)/2</f>
        <v>0</v>
      </c>
      <c r="H17" s="524"/>
    </row>
    <row r="18" spans="1:11" ht="12.75" customHeight="1" x14ac:dyDescent="0.15">
      <c r="A18" s="638">
        <f t="shared" si="1"/>
        <v>912</v>
      </c>
      <c r="B18" s="638" t="str">
        <f>CONCATENATE("Totaal eigen vermogen conform jaarrekening"," (regels ",A7," tm ",A17,")")</f>
        <v>Totaal eigen vermogen conform jaarrekening (regels 901 tm 911)</v>
      </c>
      <c r="C18" s="1023">
        <f>SUM(C7:C17)</f>
        <v>0</v>
      </c>
      <c r="D18" s="1023">
        <f>SUM(D7:D17)</f>
        <v>0</v>
      </c>
      <c r="E18" s="1023">
        <f>SUM(E7:E17)</f>
        <v>0</v>
      </c>
      <c r="H18" s="524"/>
    </row>
    <row r="19" spans="1:11" ht="12.75" customHeight="1" x14ac:dyDescent="0.15">
      <c r="A19" s="638">
        <f t="shared" si="1"/>
        <v>913</v>
      </c>
      <c r="B19" s="718" t="s">
        <v>419</v>
      </c>
      <c r="C19" s="528"/>
      <c r="D19" s="529"/>
      <c r="E19" s="530">
        <f>(C19+D19)/2</f>
        <v>0</v>
      </c>
      <c r="H19" s="524"/>
    </row>
    <row r="20" spans="1:11" ht="12.75" customHeight="1" x14ac:dyDescent="0.15">
      <c r="A20" s="638">
        <f>A19+1</f>
        <v>914</v>
      </c>
      <c r="B20" s="539" t="s">
        <v>294</v>
      </c>
      <c r="C20" s="531"/>
      <c r="D20" s="529"/>
      <c r="E20" s="530">
        <f>(C20+D20)/2</f>
        <v>0</v>
      </c>
      <c r="H20" s="524"/>
    </row>
    <row r="21" spans="1:11" ht="12.75" customHeight="1" x14ac:dyDescent="0.15">
      <c r="A21" s="638">
        <f>A20+1</f>
        <v>915</v>
      </c>
      <c r="B21" s="719" t="str">
        <f>CONCATENATE("In aanmerking te nemen eigen vermogen (",A18," -/- ",A19," -/- ",A20,")")</f>
        <v>In aanmerking te nemen eigen vermogen (912 -/- 913 -/- 914)</v>
      </c>
      <c r="C21" s="532">
        <f>SUM(C7:C17)-C19-C20</f>
        <v>0</v>
      </c>
      <c r="D21" s="532">
        <f>SUM(D7:D17)-D19-D20</f>
        <v>0</v>
      </c>
      <c r="E21" s="532">
        <f>SUM(E7:E17)-E19-E20</f>
        <v>0</v>
      </c>
      <c r="H21" s="524"/>
    </row>
    <row r="22" spans="1:11" ht="12.75" customHeight="1" x14ac:dyDescent="0.15">
      <c r="H22" s="524"/>
    </row>
    <row r="23" spans="1:11" ht="12.75" customHeight="1" x14ac:dyDescent="0.15">
      <c r="A23" s="524"/>
      <c r="B23" s="533"/>
      <c r="C23" s="533"/>
      <c r="D23" s="524"/>
      <c r="H23" s="524"/>
    </row>
    <row r="24" spans="1:11" ht="12.75" customHeight="1" x14ac:dyDescent="0.15">
      <c r="A24" s="535"/>
      <c r="B24" s="534"/>
      <c r="C24" s="534"/>
      <c r="D24" s="535"/>
      <c r="E24" s="625" t="s">
        <v>321</v>
      </c>
    </row>
    <row r="25" spans="1:11" ht="12.75" customHeight="1" x14ac:dyDescent="0.15">
      <c r="A25" s="581" t="s">
        <v>214</v>
      </c>
      <c r="B25" s="720" t="s">
        <v>125</v>
      </c>
      <c r="C25" s="533"/>
      <c r="D25" s="524"/>
      <c r="E25" s="509"/>
      <c r="H25" s="524"/>
      <c r="I25" s="509"/>
    </row>
    <row r="26" spans="1:11" ht="12.75" customHeight="1" x14ac:dyDescent="0.15">
      <c r="A26" s="638">
        <f>A21+1</f>
        <v>916</v>
      </c>
      <c r="B26" s="721" t="str">
        <f>CONCATENATE("Rente lange leningen bijlage ",LEFT(H!A7)," (exclusief eventuele boeterente van conversies)")</f>
        <v>Rente lange leningen bijlage H (exclusief eventuele boeterente van conversies)</v>
      </c>
      <c r="C26" s="536"/>
      <c r="D26" s="537"/>
      <c r="E26" s="526">
        <f>H!T38</f>
        <v>0</v>
      </c>
      <c r="F26" s="535"/>
      <c r="G26" s="535"/>
      <c r="H26" s="535"/>
      <c r="I26" s="535"/>
    </row>
    <row r="27" spans="1:11" s="509" customFormat="1" ht="12.75" customHeight="1" x14ac:dyDescent="0.15">
      <c r="A27" s="638">
        <f>A26+1</f>
        <v>917</v>
      </c>
      <c r="B27" s="722" t="s">
        <v>281</v>
      </c>
      <c r="C27" s="538"/>
      <c r="D27" s="539"/>
      <c r="E27" s="540"/>
    </row>
    <row r="28" spans="1:11" s="509" customFormat="1" ht="12.75" customHeight="1" x14ac:dyDescent="0.15">
      <c r="A28" s="638">
        <f>A27+1</f>
        <v>918</v>
      </c>
      <c r="B28" s="719" t="str">
        <f>CONCATENATE("Totaal regels ",A26," t/m ",A27)</f>
        <v>Totaal regels 916 t/m 917</v>
      </c>
      <c r="C28" s="541"/>
      <c r="D28" s="542"/>
      <c r="E28" s="543">
        <f>SUM(E26:E27)</f>
        <v>0</v>
      </c>
    </row>
    <row r="29" spans="1:11" s="509" customFormat="1" ht="12.75" customHeight="1" x14ac:dyDescent="0.15">
      <c r="A29" s="524"/>
      <c r="B29" s="524"/>
      <c r="C29" s="524"/>
      <c r="D29" s="524"/>
      <c r="E29" s="524"/>
    </row>
    <row r="30" spans="1:11" s="509" customFormat="1" ht="12.75" customHeight="1" x14ac:dyDescent="0.15">
      <c r="A30" s="523"/>
      <c r="B30" s="523"/>
      <c r="C30" s="523"/>
      <c r="D30" s="523"/>
      <c r="E30" s="523"/>
    </row>
    <row r="31" spans="1:11" s="509" customFormat="1" x14ac:dyDescent="0.15">
      <c r="A31" s="523"/>
      <c r="B31" s="523"/>
      <c r="C31" s="523"/>
      <c r="D31" s="523"/>
      <c r="E31" s="523"/>
      <c r="F31" s="524"/>
      <c r="G31" s="524"/>
      <c r="H31" s="524"/>
      <c r="I31" s="524"/>
      <c r="J31" s="524"/>
      <c r="K31" s="524"/>
    </row>
    <row r="32" spans="1:11" ht="12.75" customHeight="1" x14ac:dyDescent="0.15">
      <c r="A32" s="523"/>
      <c r="B32" s="523"/>
      <c r="C32" s="523"/>
      <c r="D32" s="523"/>
      <c r="E32" s="523"/>
      <c r="H32" s="524"/>
    </row>
    <row r="33" spans="1:8" ht="12.75" customHeight="1" x14ac:dyDescent="0.15">
      <c r="A33" s="523"/>
      <c r="B33" s="523"/>
      <c r="C33" s="523"/>
      <c r="D33" s="523"/>
      <c r="E33" s="523"/>
      <c r="H33" s="524"/>
    </row>
    <row r="34" spans="1:8" ht="12.75" customHeight="1" x14ac:dyDescent="0.15">
      <c r="A34" s="523"/>
      <c r="B34" s="523"/>
      <c r="C34" s="523"/>
      <c r="D34" s="523"/>
      <c r="E34" s="523"/>
      <c r="H34" s="524"/>
    </row>
    <row r="35" spans="1:8" ht="12.75" customHeight="1" x14ac:dyDescent="0.15">
      <c r="A35" s="523"/>
      <c r="B35" s="523"/>
      <c r="C35" s="523"/>
      <c r="D35" s="523"/>
      <c r="E35" s="523"/>
      <c r="H35" s="524"/>
    </row>
    <row r="36" spans="1:8" ht="12.75" customHeight="1" x14ac:dyDescent="0.15">
      <c r="A36" s="523"/>
      <c r="B36" s="523"/>
      <c r="C36" s="523"/>
      <c r="D36" s="523"/>
      <c r="E36" s="523"/>
      <c r="H36" s="524"/>
    </row>
    <row r="37" spans="1:8" ht="12.75" customHeight="1" x14ac:dyDescent="0.15">
      <c r="A37" s="599"/>
      <c r="B37" s="523"/>
      <c r="C37" s="598"/>
      <c r="D37" s="598"/>
      <c r="E37" s="523"/>
      <c r="H37" s="524"/>
    </row>
    <row r="38" spans="1:8" x14ac:dyDescent="0.15">
      <c r="H38" s="524"/>
    </row>
  </sheetData>
  <sheetProtection password="CA39" sheet="1" objects="1" scenarios="1"/>
  <mergeCells count="1">
    <mergeCell ref="A5:D5"/>
  </mergeCells>
  <phoneticPr fontId="17" type="noConversion"/>
  <conditionalFormatting sqref="E27 C20:D20 D19 C7:D17">
    <cfRule type="expression" dxfId="1" priority="1" stopIfTrue="1">
      <formula>$C$2=TRUE</formula>
    </cfRule>
  </conditionalFormatting>
  <conditionalFormatting sqref="A5">
    <cfRule type="cellIs" dxfId="0" priority="2" stopIfTrue="1" operator="equal">
      <formula>"Vul het Nza-nummer in op het voorblad"</formula>
    </cfRule>
  </conditionalFormatting>
  <pageMargins left="0.39370078740157483" right="0.39370078740157483" top="0.39370078740157483" bottom="0.39370078740157483" header="0.51181102362204722" footer="0.51181102362204722"/>
  <pageSetup paperSize="9" orientation="landscape" horizontalDpi="300" verticalDpi="300" r:id="rId1"/>
  <headerFooter alignWithMargins="0"/>
  <ignoredErrors>
    <ignoredError sqref="E18" formula="1"/>
  </ignoredErrors>
  <drawing r:id="rId2"/>
  <legacyDrawing r:id="rId3"/>
  <oleObjects>
    <mc:AlternateContent xmlns:mc="http://schemas.openxmlformats.org/markup-compatibility/2006">
      <mc:Choice Requires="x14">
        <oleObject progId="MSPhotoEd.3" shapeId="5153" r:id="rId4">
          <objectPr defaultSize="0" autoPict="0" r:id="rId5">
            <anchor moveWithCells="1" sizeWithCells="1">
              <from>
                <xdr:col>3</xdr:col>
                <xdr:colOff>1247775</xdr:colOff>
                <xdr:row>1</xdr:row>
                <xdr:rowOff>28575</xdr:rowOff>
              </from>
              <to>
                <xdr:col>4</xdr:col>
                <xdr:colOff>723900</xdr:colOff>
                <xdr:row>1</xdr:row>
                <xdr:rowOff>171450</xdr:rowOff>
              </to>
            </anchor>
          </objectPr>
        </oleObject>
      </mc:Choice>
      <mc:Fallback>
        <oleObject progId="MSPhotoEd.3" shapeId="5153" r:id="rId4"/>
      </mc:Fallback>
    </mc:AlternateContent>
  </oleObjec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heetViews>
  <sheetFormatPr defaultRowHeight="12.75" x14ac:dyDescent="0.2"/>
  <sheetData/>
  <sheetProtection password="CA39" sheet="1" objects="1" scenarios="1"/>
  <phoneticPr fontId="17"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4"/>
  <dimension ref="A1:R116"/>
  <sheetViews>
    <sheetView showGridLines="0" showZeros="0" showOutlineSymbols="0" zoomScaleNormal="100" zoomScaleSheetLayoutView="100" workbookViewId="0">
      <selection activeCell="G15" sqref="G15"/>
    </sheetView>
  </sheetViews>
  <sheetFormatPr defaultRowHeight="12.75" x14ac:dyDescent="0.2"/>
  <cols>
    <col min="1" max="1" width="15.7109375" style="1112" customWidth="1"/>
    <col min="2" max="2" width="69" style="1113" customWidth="1"/>
    <col min="3" max="3" width="11.85546875" style="1111" customWidth="1"/>
    <col min="4" max="4" width="12.5703125" style="1109" customWidth="1"/>
    <col min="5" max="16384" width="9.140625" style="1059"/>
  </cols>
  <sheetData>
    <row r="1" spans="1:18" s="1050" customFormat="1" ht="15.95" customHeight="1" x14ac:dyDescent="0.2">
      <c r="A1" s="1046"/>
      <c r="B1" s="1047"/>
      <c r="C1" s="1048"/>
      <c r="D1" s="1049"/>
      <c r="E1" s="444"/>
      <c r="F1" s="446"/>
      <c r="G1" s="446"/>
      <c r="H1" s="446"/>
      <c r="I1" s="446"/>
      <c r="J1" s="446"/>
      <c r="K1" s="446"/>
      <c r="L1" s="446"/>
      <c r="M1" s="446"/>
      <c r="N1" s="446"/>
      <c r="O1" s="446"/>
      <c r="P1" s="446"/>
      <c r="Q1" s="446"/>
      <c r="R1" s="446"/>
    </row>
    <row r="2" spans="1:18" s="1056" customFormat="1" ht="15.75" customHeight="1" x14ac:dyDescent="0.2">
      <c r="A2" s="1051" t="str">
        <f>'I-J'!A2</f>
        <v>Vaststelling Transitiebedrag 2013</v>
      </c>
      <c r="B2" s="1052"/>
      <c r="C2" s="1053"/>
      <c r="D2" s="1054"/>
      <c r="E2" s="1055"/>
      <c r="F2" s="1055"/>
      <c r="G2" s="1055"/>
      <c r="H2" s="1055"/>
      <c r="I2" s="1055"/>
      <c r="J2" s="1055"/>
      <c r="K2" s="1055"/>
      <c r="L2" s="1055"/>
      <c r="M2" s="1055"/>
      <c r="N2" s="1055"/>
      <c r="O2" s="1055"/>
      <c r="P2" s="1055"/>
      <c r="Q2" s="1055"/>
      <c r="R2" s="1055"/>
    </row>
    <row r="3" spans="1:18" x14ac:dyDescent="0.2">
      <c r="A3" s="1057"/>
      <c r="B3" s="1058"/>
      <c r="C3" s="1048"/>
      <c r="D3" s="1049"/>
      <c r="E3" s="1058"/>
      <c r="F3" s="1058"/>
      <c r="G3" s="1058"/>
      <c r="H3" s="1058"/>
      <c r="I3" s="1058"/>
      <c r="J3" s="1058"/>
      <c r="K3" s="1058"/>
      <c r="L3" s="1058"/>
      <c r="M3" s="1058"/>
      <c r="N3" s="1058"/>
      <c r="O3" s="1058"/>
      <c r="P3" s="1058"/>
      <c r="Q3" s="1058"/>
      <c r="R3" s="1058"/>
    </row>
    <row r="4" spans="1:18" s="42" customFormat="1" ht="12" x14ac:dyDescent="0.2">
      <c r="A4" s="1060" t="s">
        <v>431</v>
      </c>
      <c r="B4" s="1061"/>
      <c r="C4" s="1062"/>
      <c r="D4" s="1063"/>
      <c r="E4" s="453"/>
      <c r="F4" s="453"/>
      <c r="G4" s="453"/>
      <c r="H4" s="453"/>
      <c r="I4" s="453"/>
      <c r="J4" s="453"/>
      <c r="K4" s="453"/>
      <c r="L4" s="453"/>
      <c r="M4" s="453"/>
      <c r="N4" s="453"/>
      <c r="O4" s="453"/>
      <c r="P4" s="453"/>
      <c r="Q4" s="453"/>
      <c r="R4" s="453"/>
    </row>
    <row r="5" spans="1:18" s="42" customFormat="1" ht="12" x14ac:dyDescent="0.2">
      <c r="A5" s="1064" t="s">
        <v>207</v>
      </c>
      <c r="B5" s="1065" t="s">
        <v>432</v>
      </c>
      <c r="C5" s="1066" t="s">
        <v>282</v>
      </c>
      <c r="D5" s="1067" t="s">
        <v>433</v>
      </c>
      <c r="E5" s="453"/>
      <c r="F5" s="453"/>
      <c r="G5" s="453"/>
      <c r="H5" s="453"/>
      <c r="I5" s="453"/>
      <c r="J5" s="453"/>
      <c r="K5" s="453"/>
      <c r="L5" s="453"/>
      <c r="M5" s="453"/>
      <c r="N5" s="453"/>
      <c r="O5" s="453"/>
      <c r="P5" s="453"/>
      <c r="Q5" s="453"/>
      <c r="R5" s="453"/>
    </row>
    <row r="6" spans="1:18" s="42" customFormat="1" ht="12" x14ac:dyDescent="0.2">
      <c r="A6" s="1137" t="s">
        <v>439</v>
      </c>
      <c r="B6" s="1138" t="s">
        <v>440</v>
      </c>
      <c r="C6" s="1139">
        <v>41820</v>
      </c>
      <c r="D6" s="1140">
        <v>41820</v>
      </c>
      <c r="E6" s="453"/>
      <c r="F6" s="453"/>
      <c r="G6" s="453"/>
      <c r="H6" s="453"/>
      <c r="I6" s="453"/>
      <c r="J6" s="453"/>
      <c r="K6" s="453"/>
      <c r="L6" s="453"/>
      <c r="M6" s="453"/>
      <c r="N6" s="453"/>
      <c r="O6" s="453"/>
      <c r="P6" s="453"/>
      <c r="Q6" s="453"/>
      <c r="R6" s="453"/>
    </row>
    <row r="7" spans="1:18" s="42" customFormat="1" ht="12" x14ac:dyDescent="0.2">
      <c r="A7" s="1141"/>
      <c r="B7" s="1142"/>
      <c r="C7" s="1143"/>
      <c r="D7" s="1144"/>
      <c r="E7" s="453"/>
      <c r="F7" s="453"/>
      <c r="G7" s="453"/>
      <c r="H7" s="453"/>
      <c r="I7" s="453"/>
      <c r="J7" s="453"/>
      <c r="K7" s="453"/>
      <c r="L7" s="453"/>
      <c r="M7" s="453"/>
      <c r="N7" s="453"/>
      <c r="O7" s="453"/>
      <c r="P7" s="453"/>
      <c r="Q7" s="453"/>
      <c r="R7" s="453"/>
    </row>
    <row r="8" spans="1:18" s="42" customFormat="1" ht="12" x14ac:dyDescent="0.2">
      <c r="A8" s="1068"/>
      <c r="B8" s="1069"/>
      <c r="C8" s="1070"/>
      <c r="D8" s="1071"/>
      <c r="E8" s="453"/>
      <c r="F8" s="453"/>
      <c r="G8" s="453"/>
      <c r="H8" s="453"/>
      <c r="I8" s="453"/>
      <c r="J8" s="453"/>
      <c r="K8" s="453"/>
      <c r="L8" s="453"/>
      <c r="M8" s="453"/>
      <c r="N8" s="453"/>
      <c r="O8" s="453"/>
      <c r="P8" s="453"/>
      <c r="Q8" s="453"/>
      <c r="R8" s="453"/>
    </row>
    <row r="9" spans="1:18" s="42" customFormat="1" ht="12" x14ac:dyDescent="0.2">
      <c r="A9" s="1068"/>
      <c r="B9" s="1069"/>
      <c r="C9" s="1070"/>
      <c r="D9" s="1071"/>
      <c r="E9" s="453"/>
      <c r="F9" s="453"/>
      <c r="G9" s="453"/>
      <c r="H9" s="453"/>
      <c r="I9" s="453"/>
      <c r="J9" s="453"/>
      <c r="K9" s="453"/>
      <c r="L9" s="453"/>
      <c r="M9" s="453"/>
      <c r="N9" s="453"/>
      <c r="O9" s="453"/>
      <c r="P9" s="453"/>
      <c r="Q9" s="453"/>
      <c r="R9" s="453"/>
    </row>
    <row r="10" spans="1:18" s="42" customFormat="1" ht="12" x14ac:dyDescent="0.2">
      <c r="A10" s="1068"/>
      <c r="B10" s="1069"/>
      <c r="C10" s="1070"/>
      <c r="D10" s="1071"/>
      <c r="E10" s="453"/>
      <c r="F10" s="453"/>
      <c r="G10" s="453"/>
      <c r="H10" s="453"/>
      <c r="I10" s="453"/>
      <c r="J10" s="453"/>
      <c r="K10" s="453"/>
      <c r="L10" s="453"/>
      <c r="M10" s="453"/>
      <c r="N10" s="453"/>
      <c r="O10" s="453"/>
      <c r="P10" s="453"/>
      <c r="Q10" s="453"/>
      <c r="R10" s="453"/>
    </row>
    <row r="11" spans="1:18" s="42" customFormat="1" ht="12" x14ac:dyDescent="0.2">
      <c r="A11" s="1068"/>
      <c r="B11" s="1069"/>
      <c r="C11" s="1070"/>
      <c r="D11" s="1071"/>
      <c r="E11" s="453"/>
      <c r="F11" s="453"/>
      <c r="G11" s="453"/>
      <c r="H11" s="453"/>
      <c r="I11" s="453"/>
      <c r="J11" s="453"/>
      <c r="K11" s="453"/>
      <c r="L11" s="453"/>
      <c r="M11" s="453"/>
      <c r="N11" s="453"/>
      <c r="O11" s="453"/>
      <c r="P11" s="453"/>
      <c r="Q11" s="453"/>
      <c r="R11" s="453"/>
    </row>
    <row r="12" spans="1:18" s="42" customFormat="1" ht="12" x14ac:dyDescent="0.2">
      <c r="A12" s="1068"/>
      <c r="B12" s="1069"/>
      <c r="C12" s="1070"/>
      <c r="D12" s="1071"/>
      <c r="E12" s="453"/>
      <c r="F12" s="453"/>
      <c r="G12" s="453"/>
      <c r="H12" s="453"/>
      <c r="I12" s="453"/>
      <c r="J12" s="453"/>
      <c r="K12" s="453"/>
      <c r="L12" s="453"/>
      <c r="M12" s="453"/>
      <c r="N12" s="453"/>
      <c r="O12" s="453"/>
      <c r="P12" s="453"/>
      <c r="Q12" s="453"/>
      <c r="R12" s="453"/>
    </row>
    <row r="13" spans="1:18" s="42" customFormat="1" ht="12" x14ac:dyDescent="0.2">
      <c r="A13" s="1068"/>
      <c r="B13" s="1069"/>
      <c r="C13" s="1070"/>
      <c r="D13" s="1071"/>
      <c r="E13" s="453"/>
      <c r="F13" s="453"/>
      <c r="G13" s="453"/>
      <c r="H13" s="453"/>
      <c r="I13" s="453"/>
      <c r="J13" s="453"/>
      <c r="K13" s="453"/>
      <c r="L13" s="453"/>
      <c r="M13" s="453"/>
      <c r="N13" s="453"/>
      <c r="O13" s="453"/>
      <c r="P13" s="453"/>
      <c r="Q13" s="453"/>
      <c r="R13" s="453"/>
    </row>
    <row r="14" spans="1:18" s="42" customFormat="1" ht="12" x14ac:dyDescent="0.2">
      <c r="A14" s="1068"/>
      <c r="B14" s="1069"/>
      <c r="C14" s="1070"/>
      <c r="D14" s="1071"/>
      <c r="E14" s="453"/>
      <c r="F14" s="453"/>
      <c r="G14" s="453"/>
      <c r="H14" s="453"/>
      <c r="I14" s="453"/>
      <c r="J14" s="453"/>
      <c r="K14" s="453"/>
      <c r="L14" s="453"/>
      <c r="M14" s="453"/>
      <c r="N14" s="453"/>
      <c r="O14" s="453"/>
      <c r="P14" s="453"/>
      <c r="Q14" s="453"/>
      <c r="R14" s="453"/>
    </row>
    <row r="15" spans="1:18" s="42" customFormat="1" ht="12" x14ac:dyDescent="0.2">
      <c r="A15" s="1068"/>
      <c r="B15" s="1069"/>
      <c r="C15" s="1070"/>
      <c r="D15" s="1071"/>
      <c r="E15" s="453"/>
      <c r="F15" s="453"/>
      <c r="G15" s="453"/>
      <c r="H15" s="453"/>
      <c r="I15" s="453"/>
      <c r="J15" s="453"/>
      <c r="K15" s="453"/>
      <c r="L15" s="453"/>
      <c r="M15" s="453"/>
      <c r="N15" s="453"/>
      <c r="O15" s="453"/>
      <c r="P15" s="453"/>
      <c r="Q15" s="453"/>
      <c r="R15" s="453"/>
    </row>
    <row r="16" spans="1:18" s="42" customFormat="1" ht="12" x14ac:dyDescent="0.2">
      <c r="A16" s="1068"/>
      <c r="B16" s="1069"/>
      <c r="C16" s="1070"/>
      <c r="D16" s="1071"/>
      <c r="E16" s="453"/>
      <c r="F16" s="453"/>
      <c r="G16" s="453"/>
      <c r="H16" s="453"/>
      <c r="I16" s="453"/>
      <c r="J16" s="453"/>
      <c r="K16" s="453"/>
      <c r="L16" s="453"/>
      <c r="M16" s="453"/>
      <c r="N16" s="453"/>
      <c r="O16" s="453"/>
      <c r="P16" s="453"/>
      <c r="Q16" s="453"/>
      <c r="R16" s="453"/>
    </row>
    <row r="17" spans="1:18" s="42" customFormat="1" ht="12" x14ac:dyDescent="0.2">
      <c r="A17" s="1068"/>
      <c r="B17" s="1069"/>
      <c r="C17" s="1070"/>
      <c r="D17" s="1071"/>
      <c r="E17" s="453"/>
      <c r="F17" s="453"/>
      <c r="G17" s="453"/>
      <c r="H17" s="453"/>
      <c r="I17" s="453"/>
      <c r="J17" s="453"/>
      <c r="K17" s="453"/>
      <c r="L17" s="453"/>
      <c r="M17" s="453"/>
      <c r="N17" s="453"/>
      <c r="O17" s="453"/>
      <c r="P17" s="453"/>
      <c r="Q17" s="453"/>
      <c r="R17" s="453"/>
    </row>
    <row r="18" spans="1:18" s="42" customFormat="1" ht="12" x14ac:dyDescent="0.2">
      <c r="A18" s="1068"/>
      <c r="B18" s="1069"/>
      <c r="C18" s="1070"/>
      <c r="D18" s="1071"/>
      <c r="E18" s="453"/>
      <c r="F18" s="453"/>
      <c r="G18" s="453"/>
      <c r="H18" s="453"/>
      <c r="I18" s="453"/>
      <c r="J18" s="453"/>
      <c r="K18" s="453"/>
      <c r="L18" s="453"/>
      <c r="M18" s="453"/>
      <c r="N18" s="453"/>
      <c r="O18" s="453"/>
      <c r="P18" s="453"/>
      <c r="Q18" s="453"/>
      <c r="R18" s="453"/>
    </row>
    <row r="19" spans="1:18" s="42" customFormat="1" ht="12" customHeight="1" x14ac:dyDescent="0.2">
      <c r="A19" s="1072"/>
      <c r="B19" s="1073"/>
      <c r="C19" s="1074"/>
      <c r="D19" s="1075"/>
      <c r="E19" s="453"/>
      <c r="F19" s="453"/>
      <c r="G19" s="453"/>
      <c r="H19" s="453"/>
      <c r="I19" s="453"/>
      <c r="J19" s="453"/>
      <c r="K19" s="453"/>
      <c r="L19" s="453"/>
      <c r="M19" s="453"/>
      <c r="N19" s="453"/>
      <c r="O19" s="453"/>
      <c r="P19" s="453"/>
      <c r="Q19" s="453"/>
      <c r="R19" s="453"/>
    </row>
    <row r="20" spans="1:18" s="42" customFormat="1" ht="12" x14ac:dyDescent="0.2">
      <c r="A20" s="1076"/>
      <c r="B20" s="1061"/>
      <c r="C20" s="1077"/>
      <c r="D20" s="1078"/>
      <c r="E20" s="453"/>
      <c r="F20" s="453"/>
      <c r="G20" s="453"/>
      <c r="H20" s="453"/>
      <c r="I20" s="453"/>
      <c r="J20" s="453"/>
      <c r="K20" s="453"/>
      <c r="L20" s="453"/>
      <c r="M20" s="453"/>
      <c r="N20" s="453"/>
      <c r="O20" s="453"/>
      <c r="P20" s="453"/>
      <c r="Q20" s="453"/>
      <c r="R20" s="453"/>
    </row>
    <row r="21" spans="1:18" s="42" customFormat="1" ht="12" customHeight="1" x14ac:dyDescent="0.2">
      <c r="A21" s="1076"/>
      <c r="B21" s="1061"/>
      <c r="C21" s="1077"/>
      <c r="D21" s="1079"/>
      <c r="E21" s="453"/>
      <c r="F21" s="453"/>
      <c r="G21" s="453"/>
      <c r="H21" s="453"/>
      <c r="I21" s="453"/>
      <c r="J21" s="453"/>
      <c r="K21" s="453"/>
      <c r="L21" s="453"/>
      <c r="M21" s="453"/>
      <c r="N21" s="453"/>
      <c r="O21" s="453"/>
      <c r="P21" s="453"/>
      <c r="Q21" s="453"/>
      <c r="R21" s="453"/>
    </row>
    <row r="22" spans="1:18" s="42" customFormat="1" ht="12" x14ac:dyDescent="0.2">
      <c r="A22" s="453"/>
      <c r="B22" s="1061"/>
      <c r="C22" s="1077"/>
      <c r="D22" s="1080"/>
      <c r="E22" s="453"/>
      <c r="F22" s="453"/>
      <c r="G22" s="453"/>
      <c r="H22" s="453"/>
      <c r="I22" s="453"/>
      <c r="J22" s="453"/>
      <c r="K22" s="453"/>
      <c r="L22" s="453"/>
      <c r="M22" s="453"/>
      <c r="N22" s="453"/>
      <c r="O22" s="453"/>
      <c r="P22" s="453"/>
      <c r="Q22" s="453"/>
      <c r="R22" s="453"/>
    </row>
    <row r="23" spans="1:18" s="42" customFormat="1" ht="12" x14ac:dyDescent="0.2">
      <c r="A23" s="453"/>
      <c r="B23" s="1061"/>
      <c r="C23" s="1077"/>
      <c r="D23" s="1080"/>
      <c r="E23" s="453"/>
      <c r="F23" s="453"/>
      <c r="G23" s="453"/>
      <c r="H23" s="453"/>
      <c r="I23" s="453"/>
      <c r="J23" s="453"/>
      <c r="K23" s="453"/>
      <c r="L23" s="453"/>
      <c r="M23" s="453"/>
      <c r="N23" s="453"/>
      <c r="O23" s="453"/>
      <c r="P23" s="453"/>
      <c r="Q23" s="453"/>
      <c r="R23" s="453"/>
    </row>
    <row r="24" spans="1:18" s="1083" customFormat="1" ht="12" x14ac:dyDescent="0.2">
      <c r="A24" s="453"/>
      <c r="B24" s="1061"/>
      <c r="C24" s="1077"/>
      <c r="D24" s="1078"/>
      <c r="E24" s="453"/>
      <c r="F24" s="1081"/>
      <c r="G24" s="1081"/>
      <c r="H24" s="1081"/>
      <c r="I24" s="1082"/>
      <c r="J24" s="1082"/>
      <c r="K24" s="1082"/>
      <c r="L24" s="1082"/>
      <c r="M24" s="1082"/>
      <c r="N24" s="1082"/>
      <c r="O24" s="1082"/>
      <c r="P24" s="1082"/>
      <c r="Q24" s="1082"/>
      <c r="R24" s="1082"/>
    </row>
    <row r="25" spans="1:18" s="45" customFormat="1" ht="12" x14ac:dyDescent="0.2">
      <c r="A25" s="453"/>
      <c r="B25" s="453"/>
      <c r="C25" s="1082"/>
      <c r="D25" s="1077"/>
      <c r="E25" s="452"/>
      <c r="F25" s="466"/>
      <c r="G25" s="466"/>
      <c r="H25" s="466"/>
      <c r="I25" s="466"/>
      <c r="J25" s="466"/>
      <c r="K25" s="466"/>
      <c r="L25" s="466"/>
      <c r="M25" s="466"/>
      <c r="N25" s="466"/>
      <c r="O25" s="466"/>
      <c r="P25" s="466"/>
      <c r="Q25" s="466"/>
      <c r="R25" s="466"/>
    </row>
    <row r="26" spans="1:18" s="90" customFormat="1" ht="12" x14ac:dyDescent="0.2">
      <c r="A26" s="452"/>
      <c r="B26" s="452"/>
      <c r="C26" s="1084"/>
      <c r="D26" s="1084"/>
      <c r="E26" s="1081"/>
      <c r="F26" s="452"/>
      <c r="G26" s="452"/>
      <c r="H26" s="452"/>
      <c r="I26" s="452"/>
      <c r="J26" s="452"/>
      <c r="K26" s="452"/>
      <c r="L26" s="452"/>
      <c r="M26" s="452"/>
      <c r="N26" s="452"/>
      <c r="O26" s="452"/>
      <c r="P26" s="452"/>
      <c r="Q26" s="452"/>
      <c r="R26" s="452"/>
    </row>
    <row r="27" spans="1:18" s="1087" customFormat="1" ht="12" x14ac:dyDescent="0.2">
      <c r="A27" s="1085"/>
      <c r="B27" s="1086"/>
      <c r="C27" s="1084"/>
      <c r="D27" s="1084"/>
      <c r="E27" s="466"/>
      <c r="F27" s="1081"/>
      <c r="G27" s="1081"/>
      <c r="H27" s="1081"/>
      <c r="I27" s="1081"/>
      <c r="J27" s="1081"/>
      <c r="K27" s="1081"/>
      <c r="L27" s="1081"/>
      <c r="M27" s="1081"/>
      <c r="N27" s="1081"/>
      <c r="O27" s="1081"/>
      <c r="P27" s="1081"/>
      <c r="Q27" s="1081"/>
      <c r="R27" s="1081"/>
    </row>
    <row r="28" spans="1:18" s="1087" customFormat="1" ht="12" x14ac:dyDescent="0.2">
      <c r="A28" s="452"/>
      <c r="B28" s="1088"/>
      <c r="C28" s="1084"/>
      <c r="D28" s="1084"/>
      <c r="E28" s="466"/>
      <c r="F28" s="1081"/>
      <c r="G28" s="1081"/>
      <c r="H28" s="1081"/>
      <c r="I28" s="1081"/>
      <c r="J28" s="1081"/>
      <c r="K28" s="1081"/>
      <c r="L28" s="1081"/>
      <c r="M28" s="1081"/>
      <c r="N28" s="1081"/>
      <c r="O28" s="1081"/>
      <c r="P28" s="1081"/>
      <c r="Q28" s="1081"/>
      <c r="R28" s="1081"/>
    </row>
    <row r="29" spans="1:18" s="1087" customFormat="1" ht="12" x14ac:dyDescent="0.2">
      <c r="A29" s="452"/>
      <c r="B29" s="1088"/>
      <c r="C29" s="1084"/>
      <c r="D29" s="1084"/>
      <c r="E29" s="452"/>
      <c r="F29" s="1081"/>
      <c r="G29" s="1081"/>
      <c r="H29" s="1081"/>
      <c r="I29" s="1081"/>
      <c r="J29" s="1081"/>
      <c r="K29" s="1081"/>
      <c r="L29" s="1081"/>
      <c r="M29" s="1081"/>
      <c r="N29" s="1081"/>
      <c r="O29" s="1081"/>
      <c r="P29" s="1081"/>
      <c r="Q29" s="1081"/>
      <c r="R29" s="1081"/>
    </row>
    <row r="30" spans="1:18" s="1087" customFormat="1" ht="12" x14ac:dyDescent="0.2">
      <c r="A30" s="452"/>
      <c r="B30" s="1088"/>
      <c r="C30" s="1084"/>
      <c r="D30" s="1084"/>
      <c r="E30" s="1081"/>
      <c r="F30" s="1081"/>
      <c r="G30" s="1081"/>
      <c r="H30" s="1081"/>
      <c r="I30" s="1081"/>
      <c r="J30" s="1081"/>
      <c r="K30" s="1081"/>
      <c r="L30" s="1081"/>
      <c r="M30" s="1081"/>
      <c r="N30" s="1081"/>
      <c r="O30" s="1081"/>
      <c r="P30" s="1081"/>
      <c r="Q30" s="1081"/>
      <c r="R30" s="1081"/>
    </row>
    <row r="31" spans="1:18" s="1087" customFormat="1" ht="12" x14ac:dyDescent="0.2">
      <c r="A31" s="452"/>
      <c r="B31" s="1088"/>
      <c r="C31" s="1084"/>
      <c r="D31" s="1084"/>
      <c r="E31" s="1081"/>
      <c r="F31" s="1081"/>
      <c r="G31" s="1081"/>
      <c r="H31" s="1081"/>
      <c r="I31" s="1081"/>
      <c r="J31" s="1081"/>
      <c r="K31" s="1081"/>
      <c r="L31" s="1081"/>
      <c r="M31" s="1081"/>
      <c r="N31" s="1081"/>
      <c r="O31" s="1081"/>
      <c r="P31" s="1081"/>
      <c r="Q31" s="1081"/>
      <c r="R31" s="1081"/>
    </row>
    <row r="32" spans="1:18" s="1087" customFormat="1" ht="12" x14ac:dyDescent="0.2">
      <c r="A32" s="452"/>
      <c r="B32" s="1088"/>
      <c r="C32" s="1084"/>
      <c r="D32" s="1084"/>
      <c r="E32" s="1081"/>
      <c r="F32" s="1081"/>
      <c r="G32" s="1081"/>
      <c r="H32" s="1081"/>
      <c r="I32" s="1081"/>
      <c r="J32" s="1081"/>
      <c r="K32" s="1081"/>
      <c r="L32" s="1081"/>
      <c r="M32" s="1081"/>
      <c r="N32" s="1081"/>
      <c r="O32" s="1081"/>
      <c r="P32" s="1081"/>
      <c r="Q32" s="1081"/>
      <c r="R32" s="1081"/>
    </row>
    <row r="33" spans="1:18" s="1087" customFormat="1" ht="12" x14ac:dyDescent="0.2">
      <c r="A33" s="452"/>
      <c r="B33" s="1089"/>
      <c r="C33" s="1084"/>
      <c r="D33" s="1084"/>
      <c r="E33" s="1081"/>
      <c r="F33" s="1081"/>
      <c r="G33" s="1081"/>
      <c r="H33" s="1081"/>
      <c r="I33" s="1081"/>
      <c r="J33" s="1081"/>
      <c r="K33" s="1081"/>
      <c r="L33" s="1081"/>
      <c r="M33" s="1081"/>
      <c r="N33" s="1081"/>
      <c r="O33" s="1081"/>
      <c r="P33" s="1081"/>
      <c r="Q33" s="1081"/>
      <c r="R33" s="1081"/>
    </row>
    <row r="34" spans="1:18" s="1087" customFormat="1" ht="12" x14ac:dyDescent="0.2">
      <c r="A34" s="452"/>
      <c r="B34" s="1088"/>
      <c r="C34" s="1084"/>
      <c r="D34" s="1084"/>
      <c r="E34" s="1081"/>
      <c r="F34" s="1081"/>
      <c r="G34" s="1081"/>
      <c r="H34" s="1081"/>
      <c r="I34" s="1081"/>
      <c r="J34" s="1081"/>
      <c r="K34" s="1081"/>
      <c r="L34" s="1081"/>
      <c r="M34" s="1081"/>
      <c r="N34" s="1081"/>
      <c r="O34" s="1081"/>
      <c r="P34" s="1081"/>
      <c r="Q34" s="1081"/>
      <c r="R34" s="1081"/>
    </row>
    <row r="35" spans="1:18" s="1087" customFormat="1" ht="12" x14ac:dyDescent="0.2">
      <c r="A35" s="1081"/>
      <c r="B35" s="1081"/>
      <c r="C35" s="1084"/>
      <c r="D35" s="1084"/>
      <c r="E35" s="1081"/>
      <c r="F35" s="1081"/>
      <c r="G35" s="1081"/>
      <c r="H35" s="1081"/>
      <c r="I35" s="1081"/>
      <c r="J35" s="1081"/>
      <c r="K35" s="1081"/>
      <c r="L35" s="1081"/>
      <c r="M35" s="1081"/>
      <c r="N35" s="1081"/>
      <c r="O35" s="1081"/>
      <c r="P35" s="1081"/>
      <c r="Q35" s="1081"/>
      <c r="R35" s="1081"/>
    </row>
    <row r="36" spans="1:18" s="45" customFormat="1" ht="12" x14ac:dyDescent="0.2">
      <c r="A36" s="1085"/>
      <c r="B36" s="1086"/>
      <c r="C36" s="1084"/>
      <c r="D36" s="1084"/>
      <c r="E36" s="1081"/>
      <c r="F36" s="466"/>
      <c r="G36" s="466"/>
      <c r="H36" s="466"/>
      <c r="I36" s="466"/>
      <c r="J36" s="466"/>
      <c r="K36" s="466"/>
      <c r="L36" s="466"/>
      <c r="M36" s="466"/>
      <c r="N36" s="466"/>
      <c r="O36" s="466"/>
      <c r="P36" s="466"/>
      <c r="Q36" s="466"/>
      <c r="R36" s="466"/>
    </row>
    <row r="37" spans="1:18" s="1087" customFormat="1" ht="12" x14ac:dyDescent="0.2">
      <c r="A37" s="452"/>
      <c r="B37" s="1088"/>
      <c r="C37" s="1084"/>
      <c r="D37" s="1084"/>
      <c r="E37" s="1081"/>
      <c r="F37" s="1081"/>
      <c r="G37" s="1081"/>
      <c r="H37" s="1081"/>
      <c r="I37" s="1081"/>
      <c r="J37" s="1081"/>
      <c r="K37" s="1081"/>
      <c r="L37" s="1081"/>
      <c r="M37" s="1081"/>
      <c r="N37" s="1081"/>
      <c r="O37" s="1081"/>
      <c r="P37" s="1081"/>
      <c r="Q37" s="1081"/>
      <c r="R37" s="1081"/>
    </row>
    <row r="38" spans="1:18" s="45" customFormat="1" ht="12" x14ac:dyDescent="0.2">
      <c r="A38" s="1081"/>
      <c r="B38" s="1088"/>
      <c r="C38" s="1084"/>
      <c r="D38" s="1084"/>
      <c r="E38" s="466"/>
      <c r="F38" s="466"/>
      <c r="G38" s="466"/>
      <c r="H38" s="466"/>
      <c r="I38" s="466"/>
      <c r="J38" s="466"/>
      <c r="K38" s="466"/>
      <c r="L38" s="466"/>
      <c r="M38" s="466"/>
      <c r="N38" s="466"/>
      <c r="O38" s="466"/>
      <c r="P38" s="466"/>
      <c r="Q38" s="466"/>
      <c r="R38" s="466"/>
    </row>
    <row r="39" spans="1:18" s="1087" customFormat="1" ht="12" x14ac:dyDescent="0.2">
      <c r="A39" s="1081"/>
      <c r="B39" s="1088"/>
      <c r="C39" s="1084"/>
      <c r="D39" s="1084"/>
      <c r="E39" s="1081"/>
      <c r="F39" s="1081"/>
      <c r="G39" s="1081"/>
      <c r="H39" s="1081"/>
      <c r="I39" s="1081"/>
      <c r="J39" s="1081"/>
      <c r="K39" s="1081"/>
      <c r="L39" s="1081"/>
      <c r="M39" s="1081"/>
      <c r="N39" s="1081"/>
      <c r="O39" s="1081"/>
      <c r="P39" s="1081"/>
      <c r="Q39" s="1081"/>
      <c r="R39" s="1081"/>
    </row>
    <row r="40" spans="1:18" s="1087" customFormat="1" ht="12" x14ac:dyDescent="0.2">
      <c r="A40" s="1081"/>
      <c r="B40" s="1088"/>
      <c r="C40" s="1084"/>
      <c r="D40" s="1084"/>
      <c r="E40" s="466"/>
      <c r="F40" s="1081"/>
      <c r="G40" s="1081"/>
      <c r="H40" s="1081"/>
      <c r="I40" s="1081"/>
      <c r="J40" s="1081"/>
      <c r="K40" s="1081"/>
      <c r="L40" s="1081"/>
      <c r="M40" s="1081"/>
      <c r="N40" s="1081"/>
      <c r="O40" s="1081"/>
      <c r="P40" s="1081"/>
      <c r="Q40" s="1081"/>
      <c r="R40" s="1081"/>
    </row>
    <row r="41" spans="1:18" s="1087" customFormat="1" x14ac:dyDescent="0.2">
      <c r="A41" s="1081"/>
      <c r="B41" s="1088"/>
      <c r="C41" s="1084"/>
      <c r="D41" s="1084"/>
      <c r="E41" s="1090"/>
      <c r="F41" s="1081"/>
      <c r="G41" s="1081"/>
      <c r="H41" s="1081"/>
      <c r="I41" s="1081"/>
      <c r="J41" s="1081"/>
      <c r="K41" s="1081"/>
      <c r="L41" s="1081"/>
      <c r="M41" s="1081"/>
      <c r="N41" s="1081"/>
      <c r="O41" s="1081"/>
      <c r="P41" s="1081"/>
      <c r="Q41" s="1081"/>
      <c r="R41" s="1081"/>
    </row>
    <row r="42" spans="1:18" s="1087" customFormat="1" ht="12" x14ac:dyDescent="0.2">
      <c r="A42" s="1081"/>
      <c r="B42" s="1086"/>
      <c r="C42" s="1084"/>
      <c r="D42" s="1084"/>
      <c r="E42" s="1081"/>
      <c r="F42" s="1081"/>
      <c r="G42" s="1081"/>
      <c r="H42" s="1081"/>
      <c r="I42" s="1081"/>
      <c r="J42" s="1081"/>
      <c r="K42" s="1081"/>
      <c r="L42" s="1081"/>
      <c r="M42" s="1081"/>
      <c r="N42" s="1081"/>
      <c r="O42" s="1081"/>
      <c r="P42" s="1081"/>
      <c r="Q42" s="1081"/>
      <c r="R42" s="1081"/>
    </row>
    <row r="43" spans="1:18" s="90" customFormat="1" ht="12" x14ac:dyDescent="0.2">
      <c r="A43" s="1081"/>
      <c r="B43" s="1088"/>
      <c r="C43" s="1084"/>
      <c r="D43" s="1084"/>
      <c r="E43" s="1081"/>
      <c r="F43" s="452"/>
      <c r="G43" s="452"/>
      <c r="H43" s="452"/>
      <c r="I43" s="452"/>
      <c r="J43" s="452"/>
      <c r="K43" s="452"/>
      <c r="L43" s="452"/>
      <c r="M43" s="452"/>
      <c r="N43" s="452"/>
      <c r="O43" s="452"/>
      <c r="P43" s="452"/>
      <c r="Q43" s="452"/>
      <c r="R43" s="452"/>
    </row>
    <row r="44" spans="1:18" s="225" customFormat="1" ht="12" x14ac:dyDescent="0.2">
      <c r="A44" s="1081"/>
      <c r="B44" s="1088"/>
      <c r="C44" s="1084"/>
      <c r="D44" s="1084"/>
      <c r="E44" s="1091"/>
      <c r="F44" s="1092"/>
      <c r="G44" s="1092"/>
      <c r="H44" s="1092"/>
      <c r="I44" s="1092"/>
      <c r="J44" s="1092"/>
      <c r="K44" s="1092"/>
      <c r="L44" s="1092"/>
      <c r="M44" s="1092"/>
      <c r="N44" s="1092"/>
      <c r="O44" s="1092"/>
      <c r="P44" s="1092"/>
      <c r="Q44" s="1092"/>
      <c r="R44" s="1092"/>
    </row>
    <row r="45" spans="1:18" s="84" customFormat="1" ht="12" x14ac:dyDescent="0.2">
      <c r="A45" s="1091"/>
      <c r="B45" s="1091"/>
      <c r="C45" s="1093"/>
      <c r="D45" s="1093"/>
      <c r="E45" s="1094"/>
      <c r="F45" s="1094"/>
      <c r="G45" s="1094"/>
      <c r="H45" s="1094"/>
      <c r="I45" s="1094"/>
      <c r="J45" s="1094"/>
      <c r="K45" s="1094"/>
      <c r="L45" s="1094"/>
      <c r="M45" s="1094"/>
      <c r="N45" s="1094"/>
      <c r="O45" s="1094"/>
      <c r="P45" s="1094"/>
      <c r="Q45" s="1094"/>
      <c r="R45" s="1094"/>
    </row>
    <row r="46" spans="1:18" s="90" customFormat="1" ht="12" x14ac:dyDescent="0.2">
      <c r="A46" s="1091"/>
      <c r="B46" s="1091"/>
      <c r="C46" s="1093"/>
      <c r="D46" s="1093"/>
      <c r="E46" s="466"/>
      <c r="F46" s="452"/>
      <c r="G46" s="452"/>
      <c r="H46" s="452"/>
      <c r="I46" s="452"/>
      <c r="J46" s="452"/>
      <c r="K46" s="452"/>
      <c r="L46" s="452"/>
      <c r="M46" s="452"/>
      <c r="N46" s="452"/>
      <c r="O46" s="452"/>
      <c r="P46" s="452"/>
      <c r="Q46" s="452"/>
      <c r="R46" s="452"/>
    </row>
    <row r="47" spans="1:18" s="90" customFormat="1" ht="12" x14ac:dyDescent="0.2">
      <c r="A47" s="452"/>
      <c r="B47" s="452"/>
      <c r="C47" s="1084"/>
      <c r="D47" s="1095"/>
      <c r="E47" s="452"/>
      <c r="F47" s="452"/>
      <c r="G47" s="452"/>
      <c r="H47" s="452"/>
      <c r="I47" s="452"/>
      <c r="J47" s="452"/>
      <c r="K47" s="452"/>
      <c r="L47" s="452"/>
      <c r="M47" s="452"/>
      <c r="N47" s="452"/>
      <c r="O47" s="452"/>
      <c r="P47" s="452"/>
      <c r="Q47" s="452"/>
      <c r="R47" s="452"/>
    </row>
    <row r="48" spans="1:18" s="84" customFormat="1" ht="12" x14ac:dyDescent="0.2">
      <c r="A48" s="452"/>
      <c r="B48" s="452"/>
      <c r="C48" s="1084"/>
      <c r="D48" s="1095"/>
      <c r="E48" s="1094"/>
      <c r="F48" s="1094"/>
      <c r="G48" s="1094"/>
      <c r="H48" s="1094"/>
      <c r="I48" s="1094"/>
      <c r="J48" s="1094"/>
      <c r="K48" s="1094"/>
      <c r="L48" s="1094"/>
      <c r="M48" s="1094"/>
      <c r="N48" s="1094"/>
      <c r="O48" s="1094"/>
      <c r="P48" s="1094"/>
      <c r="Q48" s="1094"/>
      <c r="R48" s="1094"/>
    </row>
    <row r="49" spans="1:18" s="84" customFormat="1" x14ac:dyDescent="0.2">
      <c r="A49" s="1091"/>
      <c r="B49" s="449"/>
      <c r="C49" s="1093"/>
      <c r="D49" s="1096"/>
      <c r="E49" s="1094"/>
      <c r="F49" s="1094"/>
      <c r="G49" s="1094"/>
      <c r="H49" s="1094"/>
      <c r="I49" s="1094"/>
      <c r="J49" s="1094"/>
      <c r="K49" s="1094"/>
      <c r="L49" s="1094"/>
      <c r="M49" s="1094"/>
      <c r="N49" s="1094"/>
      <c r="O49" s="1094"/>
      <c r="P49" s="1094"/>
      <c r="Q49" s="1094"/>
      <c r="R49" s="1094"/>
    </row>
    <row r="50" spans="1:18" s="84" customFormat="1" x14ac:dyDescent="0.2">
      <c r="A50" s="1094"/>
      <c r="B50" s="449"/>
      <c r="C50" s="1093"/>
      <c r="D50" s="1096"/>
      <c r="E50" s="1094"/>
      <c r="F50" s="1094"/>
      <c r="G50" s="1094"/>
      <c r="H50" s="1094"/>
      <c r="I50" s="1094"/>
      <c r="J50" s="1094"/>
      <c r="K50" s="1094"/>
      <c r="L50" s="1094"/>
      <c r="M50" s="1094"/>
      <c r="N50" s="1094"/>
      <c r="O50" s="1094"/>
      <c r="P50" s="1094"/>
      <c r="Q50" s="1094"/>
      <c r="R50" s="1094"/>
    </row>
    <row r="51" spans="1:18" s="84" customFormat="1" x14ac:dyDescent="0.2">
      <c r="A51" s="1091"/>
      <c r="B51" s="449"/>
      <c r="C51" s="1093"/>
      <c r="D51" s="1097"/>
      <c r="E51" s="1094"/>
      <c r="F51" s="1094"/>
      <c r="G51" s="1094"/>
      <c r="H51" s="1094"/>
      <c r="I51" s="1094"/>
      <c r="J51" s="1094"/>
      <c r="K51" s="1094"/>
      <c r="L51" s="1094"/>
      <c r="M51" s="1094"/>
      <c r="N51" s="1094"/>
      <c r="O51" s="1094"/>
      <c r="P51" s="1094"/>
      <c r="Q51" s="1094"/>
      <c r="R51" s="1094"/>
    </row>
    <row r="52" spans="1:18" s="84" customFormat="1" ht="39" customHeight="1" x14ac:dyDescent="0.2">
      <c r="A52" s="1091"/>
      <c r="B52" s="449"/>
      <c r="C52" s="1093"/>
      <c r="D52" s="1098"/>
      <c r="E52" s="1094"/>
      <c r="F52" s="1094"/>
      <c r="G52" s="1094"/>
      <c r="H52" s="1094"/>
      <c r="I52" s="1094"/>
      <c r="J52" s="1094"/>
      <c r="K52" s="1094"/>
      <c r="L52" s="1094"/>
      <c r="M52" s="1094"/>
      <c r="N52" s="1094"/>
      <c r="O52" s="1094"/>
      <c r="P52" s="1094"/>
      <c r="Q52" s="1094"/>
      <c r="R52" s="1094"/>
    </row>
    <row r="53" spans="1:18" s="84" customFormat="1" ht="23.25" customHeight="1" x14ac:dyDescent="0.2">
      <c r="A53" s="1094"/>
      <c r="B53" s="1099"/>
      <c r="C53" s="1093"/>
      <c r="D53" s="1097"/>
      <c r="E53" s="1094"/>
      <c r="F53" s="1094"/>
      <c r="G53" s="1094"/>
      <c r="H53" s="1094"/>
      <c r="I53" s="1094"/>
      <c r="J53" s="1094"/>
      <c r="K53" s="1094"/>
      <c r="L53" s="1094"/>
      <c r="M53" s="1094"/>
      <c r="N53" s="1094"/>
      <c r="O53" s="1094"/>
      <c r="P53" s="1094"/>
      <c r="Q53" s="1094"/>
      <c r="R53" s="1094"/>
    </row>
    <row r="54" spans="1:18" s="84" customFormat="1" ht="12" x14ac:dyDescent="0.2">
      <c r="A54" s="1100"/>
      <c r="B54" s="1101"/>
      <c r="C54" s="1093"/>
      <c r="D54" s="1097"/>
      <c r="E54" s="1094"/>
      <c r="F54" s="1094"/>
      <c r="G54" s="1094"/>
      <c r="H54" s="1094"/>
      <c r="I54" s="1094"/>
      <c r="J54" s="1094"/>
      <c r="K54" s="1094"/>
      <c r="L54" s="1094"/>
      <c r="M54" s="1094"/>
      <c r="N54" s="1094"/>
      <c r="O54" s="1094"/>
      <c r="P54" s="1094"/>
      <c r="Q54" s="1094"/>
      <c r="R54" s="1094"/>
    </row>
    <row r="55" spans="1:18" s="84" customFormat="1" ht="12" x14ac:dyDescent="0.2">
      <c r="A55" s="1100"/>
      <c r="B55" s="1102"/>
      <c r="C55" s="1093"/>
      <c r="D55" s="1097"/>
      <c r="E55" s="1094"/>
      <c r="F55" s="1094"/>
      <c r="G55" s="1094"/>
      <c r="H55" s="1094"/>
      <c r="I55" s="1094"/>
      <c r="J55" s="1094"/>
      <c r="K55" s="1094"/>
      <c r="L55" s="1094"/>
      <c r="M55" s="1094"/>
      <c r="N55" s="1094"/>
      <c r="O55" s="1094"/>
      <c r="P55" s="1094"/>
      <c r="Q55" s="1094"/>
      <c r="R55" s="1094"/>
    </row>
    <row r="56" spans="1:18" s="84" customFormat="1" ht="12" x14ac:dyDescent="0.2">
      <c r="A56" s="1100"/>
      <c r="B56" s="1102"/>
      <c r="C56" s="1093"/>
      <c r="D56" s="1097"/>
      <c r="E56" s="1094"/>
      <c r="F56" s="1094"/>
      <c r="G56" s="1094"/>
      <c r="H56" s="1094"/>
      <c r="I56" s="1094"/>
      <c r="J56" s="1094"/>
      <c r="K56" s="1094"/>
      <c r="L56" s="1094"/>
      <c r="M56" s="1094"/>
      <c r="N56" s="1094"/>
      <c r="O56" s="1094"/>
      <c r="P56" s="1094"/>
      <c r="Q56" s="1094"/>
      <c r="R56" s="1094"/>
    </row>
    <row r="57" spans="1:18" s="84" customFormat="1" ht="12" x14ac:dyDescent="0.2">
      <c r="A57" s="1100"/>
      <c r="B57" s="1102"/>
      <c r="C57" s="1093"/>
      <c r="D57" s="1097"/>
      <c r="E57" s="1094"/>
      <c r="F57" s="1094"/>
      <c r="G57" s="1094"/>
      <c r="H57" s="1094"/>
      <c r="I57" s="1094"/>
      <c r="J57" s="1094"/>
      <c r="K57" s="1094"/>
      <c r="L57" s="1094"/>
      <c r="M57" s="1094"/>
      <c r="N57" s="1094"/>
      <c r="O57" s="1094"/>
      <c r="P57" s="1094"/>
      <c r="Q57" s="1094"/>
      <c r="R57" s="1094"/>
    </row>
    <row r="58" spans="1:18" s="84" customFormat="1" ht="12" x14ac:dyDescent="0.2">
      <c r="A58" s="1100"/>
      <c r="B58" s="1102"/>
      <c r="C58" s="1093"/>
      <c r="D58" s="1097"/>
      <c r="E58" s="1094"/>
      <c r="F58" s="1094"/>
      <c r="G58" s="1094"/>
      <c r="H58" s="1094"/>
      <c r="I58" s="1094"/>
      <c r="J58" s="1094"/>
      <c r="K58" s="1094"/>
      <c r="L58" s="1094"/>
      <c r="M58" s="1094"/>
      <c r="N58" s="1094"/>
      <c r="O58" s="1094"/>
      <c r="P58" s="1094"/>
      <c r="Q58" s="1094"/>
      <c r="R58" s="1094"/>
    </row>
    <row r="59" spans="1:18" s="84" customFormat="1" ht="12" x14ac:dyDescent="0.2">
      <c r="A59" s="1100"/>
      <c r="B59" s="1102"/>
      <c r="C59" s="1093"/>
      <c r="D59" s="1097"/>
      <c r="E59" s="1094"/>
      <c r="F59" s="1094"/>
      <c r="G59" s="1094"/>
      <c r="H59" s="1094"/>
      <c r="I59" s="1094"/>
      <c r="J59" s="1094"/>
      <c r="K59" s="1094"/>
      <c r="L59" s="1094"/>
      <c r="M59" s="1094"/>
      <c r="N59" s="1094"/>
      <c r="O59" s="1094"/>
      <c r="P59" s="1094"/>
      <c r="Q59" s="1094"/>
      <c r="R59" s="1094"/>
    </row>
    <row r="60" spans="1:18" s="84" customFormat="1" ht="12" x14ac:dyDescent="0.2">
      <c r="A60" s="1100"/>
      <c r="B60" s="1102"/>
      <c r="C60" s="1093"/>
      <c r="D60" s="1097"/>
      <c r="E60" s="1094"/>
      <c r="F60" s="1094"/>
      <c r="G60" s="1094"/>
      <c r="H60" s="1094"/>
      <c r="I60" s="1094"/>
      <c r="J60" s="1094"/>
      <c r="K60" s="1094"/>
      <c r="L60" s="1094"/>
      <c r="M60" s="1094"/>
      <c r="N60" s="1094"/>
      <c r="O60" s="1094"/>
      <c r="P60" s="1094"/>
      <c r="Q60" s="1094"/>
      <c r="R60" s="1094"/>
    </row>
    <row r="61" spans="1:18" s="90" customFormat="1" ht="12" x14ac:dyDescent="0.2">
      <c r="A61" s="1100"/>
      <c r="B61" s="1102"/>
      <c r="C61" s="1093"/>
      <c r="D61" s="1097"/>
      <c r="E61" s="452"/>
      <c r="F61" s="452"/>
      <c r="G61" s="452"/>
      <c r="H61" s="452"/>
      <c r="I61" s="452"/>
      <c r="J61" s="452"/>
      <c r="K61" s="452"/>
      <c r="L61" s="452"/>
      <c r="M61" s="452"/>
      <c r="N61" s="452"/>
      <c r="O61" s="452"/>
      <c r="P61" s="452"/>
      <c r="Q61" s="452"/>
      <c r="R61" s="452"/>
    </row>
    <row r="62" spans="1:18" s="294" customFormat="1" ht="22.5" customHeight="1" x14ac:dyDescent="0.2">
      <c r="A62" s="1103"/>
      <c r="B62" s="1086"/>
      <c r="C62" s="1084"/>
      <c r="D62" s="1097"/>
      <c r="E62" s="84"/>
    </row>
    <row r="63" spans="1:18" s="294" customFormat="1" x14ac:dyDescent="0.2">
      <c r="A63" s="83"/>
      <c r="B63" s="1104"/>
      <c r="C63" s="1093"/>
      <c r="D63" s="1097"/>
      <c r="E63" s="84"/>
    </row>
    <row r="64" spans="1:18" s="96" customFormat="1" x14ac:dyDescent="0.2">
      <c r="A64" s="83"/>
      <c r="B64" s="1105"/>
      <c r="C64" s="1093"/>
      <c r="D64" s="1097"/>
    </row>
    <row r="65" spans="1:4" s="93" customFormat="1" x14ac:dyDescent="0.2">
      <c r="A65" s="26"/>
      <c r="B65" s="1106"/>
      <c r="C65" s="1084"/>
      <c r="D65" s="1107"/>
    </row>
    <row r="66" spans="1:4" s="93" customFormat="1" x14ac:dyDescent="0.2">
      <c r="A66" s="41"/>
      <c r="B66" s="1108"/>
      <c r="C66" s="43"/>
      <c r="D66" s="1109"/>
    </row>
    <row r="67" spans="1:4" s="93" customFormat="1" x14ac:dyDescent="0.2">
      <c r="A67" s="41"/>
      <c r="B67" s="1108"/>
      <c r="C67" s="43"/>
      <c r="D67" s="1109"/>
    </row>
    <row r="68" spans="1:4" s="93" customFormat="1" x14ac:dyDescent="0.2">
      <c r="A68" s="1"/>
      <c r="B68" s="1110"/>
      <c r="C68" s="1111"/>
      <c r="D68" s="1109"/>
    </row>
    <row r="69" spans="1:4" s="93" customFormat="1" x14ac:dyDescent="0.2">
      <c r="A69" s="1"/>
      <c r="B69" s="1110"/>
      <c r="C69" s="1111"/>
      <c r="D69" s="1109"/>
    </row>
    <row r="70" spans="1:4" s="93" customFormat="1" x14ac:dyDescent="0.2">
      <c r="A70" s="1"/>
      <c r="B70" s="1110"/>
      <c r="C70" s="1111"/>
      <c r="D70" s="1109"/>
    </row>
    <row r="71" spans="1:4" s="93" customFormat="1" x14ac:dyDescent="0.2">
      <c r="A71" s="1"/>
      <c r="B71" s="1110"/>
      <c r="C71" s="1111"/>
      <c r="D71" s="1109"/>
    </row>
    <row r="72" spans="1:4" s="93" customFormat="1" x14ac:dyDescent="0.2">
      <c r="A72" s="1"/>
      <c r="B72" s="1110"/>
      <c r="C72" s="1111"/>
      <c r="D72" s="1109"/>
    </row>
    <row r="73" spans="1:4" s="93" customFormat="1" x14ac:dyDescent="0.2">
      <c r="A73" s="1"/>
      <c r="B73" s="1110"/>
      <c r="C73" s="1111"/>
      <c r="D73" s="1109"/>
    </row>
    <row r="74" spans="1:4" s="93" customFormat="1" x14ac:dyDescent="0.2">
      <c r="A74" s="1"/>
      <c r="B74" s="1110"/>
      <c r="C74" s="1111"/>
      <c r="D74" s="1109"/>
    </row>
    <row r="75" spans="1:4" s="93" customFormat="1" x14ac:dyDescent="0.2">
      <c r="A75" s="1"/>
      <c r="B75" s="1110"/>
      <c r="C75" s="1111"/>
      <c r="D75" s="1109"/>
    </row>
    <row r="76" spans="1:4" s="93" customFormat="1" x14ac:dyDescent="0.2">
      <c r="A76" s="1"/>
      <c r="B76" s="1110"/>
      <c r="C76" s="1111"/>
      <c r="D76" s="1109"/>
    </row>
    <row r="77" spans="1:4" s="93" customFormat="1" x14ac:dyDescent="0.2">
      <c r="A77" s="1"/>
      <c r="B77" s="1110"/>
      <c r="C77" s="1111"/>
      <c r="D77" s="1109"/>
    </row>
    <row r="78" spans="1:4" s="93" customFormat="1" x14ac:dyDescent="0.2">
      <c r="A78" s="1"/>
      <c r="B78" s="1110"/>
      <c r="C78" s="1111"/>
      <c r="D78" s="1109"/>
    </row>
    <row r="79" spans="1:4" s="93" customFormat="1" x14ac:dyDescent="0.2">
      <c r="A79" s="1"/>
      <c r="B79" s="1110"/>
      <c r="C79" s="1111"/>
      <c r="D79" s="1109"/>
    </row>
    <row r="80" spans="1:4" s="93" customFormat="1" x14ac:dyDescent="0.2">
      <c r="A80" s="1"/>
      <c r="B80" s="1110"/>
      <c r="C80" s="1111"/>
      <c r="D80" s="1109"/>
    </row>
    <row r="81" spans="1:4" s="93" customFormat="1" x14ac:dyDescent="0.2">
      <c r="A81" s="1"/>
      <c r="B81" s="1110"/>
      <c r="C81" s="1111"/>
      <c r="D81" s="1109"/>
    </row>
    <row r="82" spans="1:4" s="93" customFormat="1" x14ac:dyDescent="0.2">
      <c r="A82" s="1"/>
      <c r="B82" s="1110"/>
      <c r="C82" s="1111"/>
      <c r="D82" s="1109"/>
    </row>
    <row r="83" spans="1:4" s="93" customFormat="1" x14ac:dyDescent="0.2">
      <c r="A83" s="1"/>
      <c r="B83" s="1110"/>
      <c r="C83" s="1111"/>
      <c r="D83" s="1109"/>
    </row>
    <row r="84" spans="1:4" s="93" customFormat="1" x14ac:dyDescent="0.2">
      <c r="A84" s="1"/>
      <c r="B84" s="1110"/>
      <c r="C84" s="1111"/>
      <c r="D84" s="1109"/>
    </row>
    <row r="85" spans="1:4" s="93" customFormat="1" x14ac:dyDescent="0.2">
      <c r="A85" s="1"/>
      <c r="B85" s="1110"/>
      <c r="C85" s="1111"/>
      <c r="D85" s="1109"/>
    </row>
    <row r="86" spans="1:4" s="93" customFormat="1" x14ac:dyDescent="0.2">
      <c r="A86" s="1"/>
      <c r="B86" s="1110"/>
      <c r="C86" s="1111"/>
      <c r="D86" s="1109"/>
    </row>
    <row r="87" spans="1:4" s="93" customFormat="1" x14ac:dyDescent="0.2">
      <c r="A87" s="1"/>
      <c r="B87" s="1110"/>
      <c r="C87" s="1111"/>
      <c r="D87" s="1109"/>
    </row>
    <row r="88" spans="1:4" s="93" customFormat="1" x14ac:dyDescent="0.2">
      <c r="A88" s="1"/>
      <c r="B88" s="1110"/>
      <c r="C88" s="1111"/>
      <c r="D88" s="1109"/>
    </row>
    <row r="89" spans="1:4" s="93" customFormat="1" x14ac:dyDescent="0.2">
      <c r="A89" s="1"/>
      <c r="B89" s="1110"/>
      <c r="C89" s="1111"/>
      <c r="D89" s="1109"/>
    </row>
    <row r="90" spans="1:4" s="93" customFormat="1" x14ac:dyDescent="0.2">
      <c r="A90" s="1"/>
      <c r="B90" s="1110"/>
      <c r="C90" s="1111"/>
      <c r="D90" s="1109"/>
    </row>
    <row r="91" spans="1:4" s="93" customFormat="1" x14ac:dyDescent="0.2">
      <c r="A91" s="1"/>
      <c r="B91" s="1110"/>
      <c r="C91" s="1111"/>
      <c r="D91" s="1109"/>
    </row>
    <row r="92" spans="1:4" s="93" customFormat="1" x14ac:dyDescent="0.2">
      <c r="A92" s="1"/>
      <c r="B92" s="1110"/>
      <c r="C92" s="1111"/>
      <c r="D92" s="1109"/>
    </row>
    <row r="93" spans="1:4" s="93" customFormat="1" x14ac:dyDescent="0.2">
      <c r="A93" s="1"/>
      <c r="B93" s="1110"/>
      <c r="C93" s="1111"/>
      <c r="D93" s="1109"/>
    </row>
    <row r="94" spans="1:4" s="93" customFormat="1" x14ac:dyDescent="0.2">
      <c r="A94" s="1"/>
      <c r="B94" s="1110"/>
      <c r="C94" s="1111"/>
      <c r="D94" s="1109"/>
    </row>
    <row r="95" spans="1:4" s="93" customFormat="1" x14ac:dyDescent="0.2">
      <c r="A95" s="1"/>
      <c r="B95" s="1110"/>
      <c r="C95" s="1111"/>
      <c r="D95" s="1109"/>
    </row>
    <row r="96" spans="1:4" s="93" customFormat="1" x14ac:dyDescent="0.2">
      <c r="A96" s="1"/>
      <c r="B96" s="1110"/>
      <c r="C96" s="1111"/>
      <c r="D96" s="1109"/>
    </row>
    <row r="97" spans="1:5" s="93" customFormat="1" x14ac:dyDescent="0.2">
      <c r="A97" s="1"/>
      <c r="B97" s="1110"/>
      <c r="C97" s="1111"/>
      <c r="D97" s="1109"/>
    </row>
    <row r="98" spans="1:5" s="93" customFormat="1" x14ac:dyDescent="0.2">
      <c r="A98" s="1"/>
      <c r="B98" s="1110"/>
      <c r="C98" s="1111"/>
      <c r="D98" s="1109"/>
    </row>
    <row r="99" spans="1:5" s="93" customFormat="1" x14ac:dyDescent="0.2">
      <c r="A99" s="1"/>
      <c r="B99" s="1110"/>
      <c r="C99" s="1111"/>
      <c r="D99" s="1109"/>
    </row>
    <row r="100" spans="1:5" s="93" customFormat="1" x14ac:dyDescent="0.2">
      <c r="A100" s="1"/>
      <c r="B100" s="1110"/>
      <c r="C100" s="1111"/>
      <c r="D100" s="1109"/>
    </row>
    <row r="101" spans="1:5" s="93" customFormat="1" x14ac:dyDescent="0.2">
      <c r="A101" s="1"/>
      <c r="B101" s="1110"/>
      <c r="C101" s="1111"/>
      <c r="D101" s="1109"/>
    </row>
    <row r="102" spans="1:5" s="93" customFormat="1" x14ac:dyDescent="0.2">
      <c r="A102" s="1"/>
      <c r="B102" s="1110"/>
      <c r="C102" s="1111"/>
      <c r="D102" s="1109"/>
    </row>
    <row r="103" spans="1:5" s="93" customFormat="1" x14ac:dyDescent="0.2">
      <c r="A103" s="1"/>
      <c r="B103" s="1110"/>
      <c r="C103" s="1111"/>
      <c r="D103" s="1109"/>
    </row>
    <row r="104" spans="1:5" s="93" customFormat="1" x14ac:dyDescent="0.2">
      <c r="A104" s="1"/>
      <c r="B104" s="1110"/>
      <c r="C104" s="1111"/>
      <c r="D104" s="1109"/>
    </row>
    <row r="105" spans="1:5" s="93" customFormat="1" x14ac:dyDescent="0.2">
      <c r="A105" s="1"/>
      <c r="B105" s="1110"/>
      <c r="C105" s="1111"/>
      <c r="D105" s="1109"/>
    </row>
    <row r="106" spans="1:5" s="93" customFormat="1" x14ac:dyDescent="0.2">
      <c r="A106" s="1"/>
      <c r="B106" s="1110"/>
      <c r="C106" s="1111"/>
      <c r="D106" s="1109"/>
    </row>
    <row r="107" spans="1:5" s="93" customFormat="1" x14ac:dyDescent="0.2">
      <c r="A107" s="1"/>
      <c r="B107" s="1110"/>
      <c r="C107" s="1111"/>
      <c r="D107" s="1109"/>
    </row>
    <row r="108" spans="1:5" s="93" customFormat="1" x14ac:dyDescent="0.2">
      <c r="A108" s="1"/>
      <c r="B108" s="1110"/>
      <c r="C108" s="1111"/>
      <c r="D108" s="1109"/>
    </row>
    <row r="109" spans="1:5" s="93" customFormat="1" x14ac:dyDescent="0.2">
      <c r="A109" s="1"/>
      <c r="B109" s="1110"/>
      <c r="C109" s="1111"/>
      <c r="D109" s="1109"/>
    </row>
    <row r="110" spans="1:5" s="93" customFormat="1" x14ac:dyDescent="0.2">
      <c r="A110" s="1"/>
      <c r="B110" s="1110"/>
      <c r="C110" s="1111"/>
      <c r="D110" s="1109"/>
    </row>
    <row r="111" spans="1:5" x14ac:dyDescent="0.2">
      <c r="A111" s="1"/>
      <c r="B111" s="1110"/>
      <c r="E111" s="93"/>
    </row>
    <row r="112" spans="1:5" x14ac:dyDescent="0.2">
      <c r="A112" s="1"/>
      <c r="B112" s="1110"/>
      <c r="E112" s="93"/>
    </row>
    <row r="113" spans="1:2" x14ac:dyDescent="0.2">
      <c r="A113" s="1"/>
      <c r="B113" s="1110"/>
    </row>
    <row r="114" spans="1:2" x14ac:dyDescent="0.2">
      <c r="A114" s="1"/>
      <c r="B114" s="1110"/>
    </row>
    <row r="115" spans="1:2" x14ac:dyDescent="0.2">
      <c r="A115" s="1"/>
      <c r="B115" s="1110"/>
    </row>
    <row r="116" spans="1:2" x14ac:dyDescent="0.2">
      <c r="A116" s="1"/>
      <c r="B116" s="1110"/>
    </row>
  </sheetData>
  <sheetProtection password="CA39" sheet="1" objects="1" scenarios="1"/>
  <phoneticPr fontId="17" type="noConversion"/>
  <pageMargins left="0.39370078740157483" right="0.39370078740157483" top="0.39370078740157483" bottom="0.39370078740157483" header="0.51181102362204722" footer="0.51181102362204722"/>
  <pageSetup paperSize="9" orientation="landscape" cellComments="asDisplayed" horizontalDpi="300" verticalDpi="300" r:id="rId1"/>
  <headerFooter alignWithMargins="0"/>
  <drawing r:id="rId2"/>
  <legacyDrawing r:id="rId3"/>
  <oleObjects>
    <mc:AlternateContent xmlns:mc="http://schemas.openxmlformats.org/markup-compatibility/2006">
      <mc:Choice Requires="x14">
        <oleObject progId="MSPhotoEd.3" shapeId="86017" r:id="rId4">
          <objectPr defaultSize="0" autoPict="0" r:id="rId5">
            <anchor moveWithCells="1" sizeWithCells="1">
              <from>
                <xdr:col>2</xdr:col>
                <xdr:colOff>371475</xdr:colOff>
                <xdr:row>1</xdr:row>
                <xdr:rowOff>38100</xdr:rowOff>
              </from>
              <to>
                <xdr:col>4</xdr:col>
                <xdr:colOff>276225</xdr:colOff>
                <xdr:row>1</xdr:row>
                <xdr:rowOff>180975</xdr:rowOff>
              </to>
            </anchor>
          </objectPr>
        </oleObject>
      </mc:Choice>
      <mc:Fallback>
        <oleObject progId="MSPhotoEd.3" shapeId="8601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pageSetUpPr autoPageBreaks="0" fitToPage="1"/>
  </sheetPr>
  <dimension ref="A1:R51"/>
  <sheetViews>
    <sheetView showGridLines="0" showZeros="0" tabSelected="1" showOutlineSymbols="0" zoomScaleNormal="100" zoomScaleSheetLayoutView="100" workbookViewId="0">
      <selection activeCell="T14" sqref="T14"/>
    </sheetView>
  </sheetViews>
  <sheetFormatPr defaultRowHeight="12.75" x14ac:dyDescent="0.2"/>
  <cols>
    <col min="1" max="1" width="8.85546875" style="433" customWidth="1"/>
    <col min="2" max="2" width="6.7109375" style="2" customWidth="1"/>
    <col min="3" max="3" width="8.140625" style="433" customWidth="1"/>
    <col min="4" max="4" width="29.7109375" style="433" customWidth="1"/>
    <col min="5" max="5" width="6.7109375" style="433" customWidth="1"/>
    <col min="6" max="6" width="7.28515625" style="433" customWidth="1"/>
    <col min="7" max="7" width="3.42578125" style="433" customWidth="1"/>
    <col min="8" max="8" width="6.7109375" style="433" customWidth="1"/>
    <col min="9" max="9" width="6.7109375" style="2" customWidth="1"/>
    <col min="10" max="10" width="9" style="2" customWidth="1"/>
    <col min="11" max="11" width="14.28515625" style="2" customWidth="1"/>
    <col min="12" max="12" width="14.42578125" style="2" customWidth="1"/>
    <col min="13" max="14" width="6.7109375" style="433" customWidth="1"/>
    <col min="15" max="15" width="10.42578125" style="433" bestFit="1" customWidth="1"/>
    <col min="16" max="16384" width="9.140625" style="433"/>
  </cols>
  <sheetData>
    <row r="1" spans="1:18" s="434" customFormat="1" ht="15" customHeight="1" x14ac:dyDescent="0.2">
      <c r="A1" s="958"/>
      <c r="B1" s="436"/>
      <c r="C1" s="436"/>
      <c r="D1" s="436"/>
      <c r="E1" s="436"/>
      <c r="F1" s="436"/>
      <c r="G1" s="436"/>
      <c r="H1" s="436"/>
      <c r="I1" s="437"/>
      <c r="J1" s="437"/>
      <c r="K1" s="437"/>
      <c r="L1" s="437"/>
      <c r="M1" s="436"/>
      <c r="N1" s="436"/>
      <c r="O1" s="436"/>
      <c r="P1" s="436"/>
      <c r="Q1" s="436"/>
      <c r="R1" s="436"/>
    </row>
    <row r="2" spans="1:18" s="435" customFormat="1" ht="18" x14ac:dyDescent="0.25">
      <c r="B2" s="438"/>
      <c r="C2" s="438"/>
      <c r="E2" s="439"/>
      <c r="F2" s="440"/>
      <c r="G2" s="441"/>
      <c r="H2" s="441"/>
      <c r="I2" s="438"/>
      <c r="J2" s="438"/>
      <c r="K2" s="442"/>
      <c r="L2" s="443">
        <f>IF(OR(K4=1996,K4=2000,K4=2004),366,365)</f>
        <v>365</v>
      </c>
      <c r="M2" s="442"/>
      <c r="N2" s="442"/>
      <c r="O2" s="444"/>
      <c r="P2" s="444"/>
      <c r="Q2" s="444"/>
      <c r="R2" s="444"/>
    </row>
    <row r="3" spans="1:18" ht="18" x14ac:dyDescent="0.25">
      <c r="A3" s="45"/>
      <c r="B3" s="445"/>
      <c r="C3" s="446"/>
      <c r="D3" s="447"/>
      <c r="E3" s="446"/>
      <c r="F3" s="446"/>
      <c r="G3" s="444"/>
      <c r="H3" s="446"/>
      <c r="I3" s="445"/>
      <c r="J3" s="445"/>
      <c r="K3" s="445"/>
      <c r="L3" s="445"/>
      <c r="M3" s="446"/>
      <c r="N3" s="446"/>
      <c r="O3" s="446"/>
      <c r="P3" s="446"/>
      <c r="Q3" s="446"/>
      <c r="R3" s="446"/>
    </row>
    <row r="4" spans="1:18" ht="18" x14ac:dyDescent="0.25">
      <c r="A4" s="1147" t="s">
        <v>473</v>
      </c>
      <c r="B4" s="445"/>
      <c r="C4" s="446"/>
      <c r="F4" s="448"/>
      <c r="G4" s="449"/>
      <c r="H4" s="448"/>
      <c r="I4" s="450"/>
      <c r="J4" s="445"/>
      <c r="K4" s="447">
        <v>2013</v>
      </c>
      <c r="L4" s="445"/>
      <c r="M4" s="446"/>
      <c r="N4" s="446"/>
      <c r="O4" s="446"/>
      <c r="P4" s="446"/>
      <c r="Q4" s="446"/>
      <c r="R4" s="446"/>
    </row>
    <row r="5" spans="1:18" x14ac:dyDescent="0.2">
      <c r="A5" s="451" t="s">
        <v>347</v>
      </c>
      <c r="B5" s="445"/>
      <c r="C5" s="446"/>
      <c r="D5" s="446"/>
      <c r="E5" s="446"/>
      <c r="F5" s="446"/>
      <c r="G5" s="444"/>
      <c r="H5" s="446"/>
      <c r="I5" s="445"/>
      <c r="J5" s="445"/>
      <c r="K5" s="445"/>
      <c r="L5" s="445"/>
      <c r="M5" s="446"/>
      <c r="N5" s="446"/>
      <c r="O5" s="446"/>
      <c r="P5" s="446"/>
      <c r="Q5" s="446"/>
      <c r="R5" s="446"/>
    </row>
    <row r="6" spans="1:18" x14ac:dyDescent="0.2">
      <c r="A6" s="451"/>
      <c r="B6" s="445"/>
      <c r="C6" s="446"/>
      <c r="D6" s="446"/>
      <c r="E6" s="446"/>
      <c r="F6" s="446"/>
      <c r="G6" s="444"/>
      <c r="H6" s="446"/>
      <c r="I6" s="445"/>
      <c r="J6" s="445"/>
      <c r="K6" s="445"/>
      <c r="L6" s="445"/>
      <c r="M6" s="446"/>
      <c r="N6" s="446"/>
      <c r="O6" s="446"/>
      <c r="P6" s="446"/>
      <c r="Q6" s="446"/>
      <c r="R6" s="446"/>
    </row>
    <row r="7" spans="1:18" x14ac:dyDescent="0.2">
      <c r="A7" s="451"/>
      <c r="B7" s="445"/>
      <c r="C7" s="446"/>
      <c r="D7" s="446"/>
      <c r="E7" s="446"/>
      <c r="F7" s="446"/>
      <c r="G7" s="444"/>
      <c r="H7" s="446"/>
      <c r="I7" s="445"/>
      <c r="J7" s="445"/>
      <c r="K7" s="445"/>
      <c r="L7" s="445"/>
      <c r="M7" s="446"/>
      <c r="N7" s="446"/>
      <c r="O7" s="446"/>
      <c r="P7" s="446"/>
      <c r="Q7" s="446"/>
      <c r="R7" s="446"/>
    </row>
    <row r="8" spans="1:18" s="455" customFormat="1" ht="12.75" customHeight="1" x14ac:dyDescent="0.2">
      <c r="A8" s="1170" t="s">
        <v>17</v>
      </c>
      <c r="B8" s="1171"/>
      <c r="C8" s="1171"/>
      <c r="D8" s="1172"/>
      <c r="E8" s="457" t="s">
        <v>91</v>
      </c>
      <c r="F8" s="457" t="s">
        <v>90</v>
      </c>
      <c r="G8" s="452"/>
      <c r="H8" s="453"/>
      <c r="I8" s="453"/>
      <c r="J8" s="453"/>
      <c r="O8" s="453"/>
      <c r="P8" s="453"/>
      <c r="Q8" s="453"/>
      <c r="R8" s="453"/>
    </row>
    <row r="9" spans="1:18" s="455" customFormat="1" x14ac:dyDescent="0.2">
      <c r="A9" s="459" t="s">
        <v>358</v>
      </c>
      <c r="B9" s="461"/>
      <c r="C9" s="461"/>
      <c r="D9" s="464"/>
      <c r="E9" s="1024" t="s">
        <v>19</v>
      </c>
      <c r="F9" s="1025"/>
      <c r="G9" s="452"/>
      <c r="H9" s="453"/>
      <c r="I9" s="453"/>
      <c r="J9" s="453"/>
      <c r="K9" s="446"/>
      <c r="L9" s="1181"/>
      <c r="M9" s="1181"/>
      <c r="N9" s="1181"/>
      <c r="O9" s="1116"/>
      <c r="P9" s="453"/>
      <c r="Q9" s="453"/>
      <c r="R9" s="453"/>
    </row>
    <row r="10" spans="1:18" s="455" customFormat="1" x14ac:dyDescent="0.2">
      <c r="A10" s="459" t="s">
        <v>15</v>
      </c>
      <c r="B10" s="461"/>
      <c r="C10" s="461"/>
      <c r="D10" s="464"/>
      <c r="E10" s="1151"/>
      <c r="F10" s="1152"/>
      <c r="G10" s="452"/>
      <c r="H10" s="453"/>
      <c r="I10" s="453"/>
      <c r="J10" s="453"/>
      <c r="K10" s="458" t="s">
        <v>282</v>
      </c>
      <c r="L10" s="1182">
        <v>41820</v>
      </c>
      <c r="M10" s="1179"/>
      <c r="N10" s="1180"/>
      <c r="O10" s="453"/>
      <c r="P10" s="453"/>
      <c r="Q10" s="453"/>
      <c r="R10" s="453"/>
    </row>
    <row r="11" spans="1:18" s="455" customFormat="1" x14ac:dyDescent="0.2">
      <c r="A11" s="462" t="s">
        <v>474</v>
      </c>
      <c r="B11" s="463"/>
      <c r="C11" s="460"/>
      <c r="D11" s="464"/>
      <c r="E11" s="465"/>
      <c r="G11" s="452"/>
      <c r="H11" s="453"/>
      <c r="I11" s="453"/>
      <c r="J11" s="453"/>
      <c r="K11" s="458" t="s">
        <v>207</v>
      </c>
      <c r="L11" s="1178" t="s">
        <v>439</v>
      </c>
      <c r="M11" s="1179"/>
      <c r="N11" s="1180"/>
      <c r="O11" s="453"/>
      <c r="P11" s="453"/>
      <c r="Q11" s="453"/>
      <c r="R11" s="453"/>
    </row>
    <row r="12" spans="1:18" s="468" customFormat="1" ht="12" x14ac:dyDescent="0.2">
      <c r="B12" s="452"/>
      <c r="C12" s="452"/>
      <c r="D12" s="452"/>
      <c r="E12" s="465"/>
      <c r="F12" s="452"/>
      <c r="G12" s="467"/>
      <c r="H12" s="467"/>
      <c r="I12" s="452"/>
      <c r="J12" s="452"/>
      <c r="K12" s="452"/>
      <c r="L12" s="469"/>
      <c r="M12" s="454"/>
      <c r="N12" s="454"/>
      <c r="O12" s="467"/>
      <c r="P12" s="467"/>
      <c r="Q12" s="467"/>
      <c r="R12" s="467"/>
    </row>
    <row r="13" spans="1:18" s="468" customFormat="1" ht="7.5" customHeight="1" thickBot="1" x14ac:dyDescent="0.25">
      <c r="A13" s="470"/>
      <c r="B13" s="470"/>
      <c r="C13" s="470"/>
      <c r="D13" s="471"/>
      <c r="E13" s="470"/>
      <c r="F13" s="470"/>
      <c r="G13" s="470"/>
      <c r="H13" s="470"/>
      <c r="I13" s="470"/>
      <c r="J13" s="470"/>
      <c r="K13" s="470"/>
      <c r="L13" s="470"/>
      <c r="M13" s="470"/>
      <c r="N13" s="470"/>
      <c r="O13" s="467"/>
      <c r="P13" s="467"/>
      <c r="Q13" s="467"/>
      <c r="R13" s="467"/>
    </row>
    <row r="14" spans="1:18" s="432" customFormat="1" ht="12.75" customHeight="1" x14ac:dyDescent="0.2">
      <c r="A14" s="472"/>
      <c r="B14" s="473"/>
      <c r="C14" s="474" t="s">
        <v>359</v>
      </c>
      <c r="D14" s="475"/>
      <c r="E14" s="475"/>
      <c r="F14" s="475"/>
      <c r="G14" s="475"/>
      <c r="H14" s="475"/>
      <c r="I14" s="476"/>
      <c r="J14" s="476"/>
      <c r="K14" s="476"/>
      <c r="L14" s="476"/>
      <c r="M14" s="477"/>
      <c r="N14" s="472"/>
      <c r="O14" s="467"/>
      <c r="P14" s="467"/>
      <c r="Q14" s="467"/>
      <c r="R14" s="467"/>
    </row>
    <row r="15" spans="1:18" s="478" customFormat="1" ht="12" x14ac:dyDescent="0.2">
      <c r="A15" s="472"/>
      <c r="B15" s="479"/>
      <c r="C15" s="467"/>
      <c r="D15" s="1183" t="s">
        <v>360</v>
      </c>
      <c r="E15" s="1183"/>
      <c r="F15" s="1183"/>
      <c r="G15" s="1183"/>
      <c r="H15" s="1183"/>
      <c r="I15" s="1183"/>
      <c r="J15" s="1183"/>
      <c r="K15" s="1183"/>
      <c r="L15" s="1183"/>
      <c r="M15" s="480"/>
      <c r="N15" s="472"/>
      <c r="O15" s="472"/>
      <c r="P15" s="472"/>
      <c r="Q15" s="472"/>
      <c r="R15" s="472"/>
    </row>
    <row r="16" spans="1:18" s="478" customFormat="1" ht="12" customHeight="1" x14ac:dyDescent="0.2">
      <c r="A16" s="472"/>
      <c r="B16" s="479"/>
      <c r="C16" s="472"/>
      <c r="D16" s="1183"/>
      <c r="E16" s="1183"/>
      <c r="F16" s="1183"/>
      <c r="G16" s="1183"/>
      <c r="H16" s="1183"/>
      <c r="I16" s="1183"/>
      <c r="J16" s="1183"/>
      <c r="K16" s="1183"/>
      <c r="L16" s="1183"/>
      <c r="M16" s="480"/>
      <c r="N16" s="472"/>
      <c r="O16" s="472"/>
      <c r="P16" s="472"/>
      <c r="Q16" s="472"/>
      <c r="R16" s="472"/>
    </row>
    <row r="17" spans="1:18" s="478" customFormat="1" ht="12.75" customHeight="1" x14ac:dyDescent="0.2">
      <c r="A17" s="472"/>
      <c r="B17" s="479"/>
      <c r="C17" s="467"/>
      <c r="D17" s="1154" t="s">
        <v>361</v>
      </c>
      <c r="E17" s="1154"/>
      <c r="F17" s="1154"/>
      <c r="G17" s="1154"/>
      <c r="H17" s="1154"/>
      <c r="I17" s="1154"/>
      <c r="J17" s="1154"/>
      <c r="K17" s="1154"/>
      <c r="L17" s="1154"/>
      <c r="M17" s="480"/>
      <c r="N17" s="472"/>
      <c r="O17" s="472"/>
      <c r="P17" s="472"/>
      <c r="Q17" s="472"/>
      <c r="R17" s="472"/>
    </row>
    <row r="18" spans="1:18" s="478" customFormat="1" ht="12" customHeight="1" x14ac:dyDescent="0.2">
      <c r="A18" s="472"/>
      <c r="B18" s="479"/>
      <c r="C18" s="467"/>
      <c r="D18" s="1154"/>
      <c r="E18" s="1154"/>
      <c r="F18" s="1154"/>
      <c r="G18" s="1154"/>
      <c r="H18" s="1154"/>
      <c r="I18" s="1154"/>
      <c r="J18" s="1154"/>
      <c r="K18" s="1154"/>
      <c r="L18" s="1154"/>
      <c r="M18" s="480"/>
      <c r="N18" s="472"/>
      <c r="O18" s="472"/>
      <c r="P18" s="472"/>
      <c r="Q18" s="472"/>
      <c r="R18" s="472"/>
    </row>
    <row r="19" spans="1:18" s="478" customFormat="1" ht="12" x14ac:dyDescent="0.2">
      <c r="A19" s="472"/>
      <c r="B19" s="479"/>
      <c r="C19" s="467"/>
      <c r="D19" s="1154"/>
      <c r="E19" s="1154"/>
      <c r="F19" s="1154"/>
      <c r="G19" s="1154"/>
      <c r="H19" s="1154"/>
      <c r="I19" s="1154"/>
      <c r="J19" s="1154"/>
      <c r="K19" s="1154"/>
      <c r="L19" s="1154"/>
      <c r="M19" s="480"/>
      <c r="N19" s="472"/>
      <c r="O19" s="472"/>
      <c r="P19" s="472"/>
      <c r="Q19" s="472"/>
      <c r="R19" s="472"/>
    </row>
    <row r="20" spans="1:18" s="478" customFormat="1" ht="12" x14ac:dyDescent="0.2">
      <c r="A20" s="472"/>
      <c r="B20" s="479"/>
      <c r="C20" s="467"/>
      <c r="D20" s="1153" t="s">
        <v>224</v>
      </c>
      <c r="E20" s="1153"/>
      <c r="F20" s="1153"/>
      <c r="G20" s="1153"/>
      <c r="H20" s="1153"/>
      <c r="I20" s="1153"/>
      <c r="J20" s="1153"/>
      <c r="K20" s="1153"/>
      <c r="L20" s="1153"/>
      <c r="M20" s="480"/>
      <c r="N20" s="472"/>
      <c r="O20" s="472"/>
      <c r="P20" s="472"/>
      <c r="Q20" s="472"/>
      <c r="R20" s="472"/>
    </row>
    <row r="21" spans="1:18" s="478" customFormat="1" ht="12" customHeight="1" x14ac:dyDescent="0.2">
      <c r="A21" s="472"/>
      <c r="B21" s="479"/>
      <c r="C21" s="467"/>
      <c r="D21" s="1153"/>
      <c r="E21" s="1153"/>
      <c r="F21" s="1153"/>
      <c r="G21" s="1153"/>
      <c r="H21" s="1153"/>
      <c r="I21" s="1153"/>
      <c r="J21" s="1153"/>
      <c r="K21" s="1153"/>
      <c r="L21" s="1153"/>
      <c r="M21" s="480"/>
      <c r="N21" s="472"/>
      <c r="O21" s="472"/>
      <c r="P21" s="472"/>
      <c r="Q21" s="472"/>
      <c r="R21" s="472"/>
    </row>
    <row r="22" spans="1:18" s="478" customFormat="1" ht="12" x14ac:dyDescent="0.2">
      <c r="A22" s="472"/>
      <c r="B22" s="479"/>
      <c r="C22" s="467"/>
      <c r="D22" s="1153"/>
      <c r="E22" s="1153"/>
      <c r="F22" s="1153"/>
      <c r="G22" s="1153"/>
      <c r="H22" s="1153"/>
      <c r="I22" s="1153"/>
      <c r="J22" s="1153"/>
      <c r="K22" s="1153"/>
      <c r="L22" s="1153"/>
      <c r="M22" s="480"/>
      <c r="N22" s="472"/>
      <c r="O22" s="472"/>
      <c r="P22" s="467"/>
      <c r="Q22" s="472"/>
      <c r="R22" s="472"/>
    </row>
    <row r="23" spans="1:18" s="478" customFormat="1" ht="7.5" customHeight="1" x14ac:dyDescent="0.2">
      <c r="A23" s="472"/>
      <c r="B23" s="479"/>
      <c r="C23" s="467"/>
      <c r="D23" s="452"/>
      <c r="E23" s="452"/>
      <c r="F23" s="452"/>
      <c r="G23" s="452"/>
      <c r="H23" s="452"/>
      <c r="I23" s="452"/>
      <c r="J23" s="452"/>
      <c r="K23" s="452"/>
      <c r="L23" s="452"/>
      <c r="M23" s="480"/>
      <c r="N23" s="472"/>
      <c r="O23" s="472"/>
      <c r="P23" s="472"/>
      <c r="Q23" s="472"/>
      <c r="R23" s="472"/>
    </row>
    <row r="24" spans="1:18" s="478" customFormat="1" ht="12" x14ac:dyDescent="0.2">
      <c r="A24" s="472"/>
      <c r="B24" s="479"/>
      <c r="C24" s="467"/>
      <c r="D24" s="936" t="s">
        <v>18</v>
      </c>
      <c r="E24" s="481"/>
      <c r="F24" s="482"/>
      <c r="G24" s="467"/>
      <c r="H24" s="467"/>
      <c r="I24" s="472"/>
      <c r="J24" s="472"/>
      <c r="K24" s="472"/>
      <c r="L24" s="472"/>
      <c r="M24" s="483"/>
      <c r="N24" s="472"/>
      <c r="O24" s="472"/>
      <c r="P24" s="472"/>
      <c r="Q24" s="472"/>
      <c r="R24" s="472"/>
    </row>
    <row r="25" spans="1:18" s="478" customFormat="1" thickBot="1" x14ac:dyDescent="0.25">
      <c r="A25" s="484"/>
      <c r="B25" s="485"/>
      <c r="C25" s="486"/>
      <c r="D25" s="959"/>
      <c r="E25" s="487"/>
      <c r="F25" s="487"/>
      <c r="G25" s="486"/>
      <c r="H25" s="486"/>
      <c r="I25" s="488"/>
      <c r="J25" s="487"/>
      <c r="K25" s="487"/>
      <c r="L25" s="489"/>
      <c r="M25" s="490"/>
      <c r="N25" s="484"/>
      <c r="O25" s="472"/>
      <c r="P25" s="472"/>
      <c r="Q25" s="472"/>
      <c r="R25" s="472"/>
    </row>
    <row r="26" spans="1:18" s="491" customFormat="1" ht="6.75" customHeight="1" x14ac:dyDescent="0.2">
      <c r="A26" s="472"/>
      <c r="B26" s="453"/>
      <c r="C26" s="472"/>
      <c r="D26" s="1034" t="b">
        <v>1</v>
      </c>
      <c r="E26" s="472"/>
      <c r="F26" s="472"/>
      <c r="G26" s="467"/>
      <c r="H26" s="467"/>
      <c r="I26" s="452"/>
      <c r="J26" s="452"/>
      <c r="K26" s="492"/>
      <c r="L26" s="452"/>
      <c r="M26" s="454"/>
      <c r="N26" s="454"/>
      <c r="O26" s="484"/>
      <c r="P26" s="484"/>
      <c r="Q26" s="484"/>
      <c r="R26" s="484"/>
    </row>
    <row r="27" spans="1:18" s="432" customFormat="1" ht="9" customHeight="1" x14ac:dyDescent="0.2">
      <c r="A27" s="494"/>
      <c r="B27" s="494"/>
      <c r="C27" s="494"/>
      <c r="D27" s="494"/>
      <c r="E27" s="494"/>
      <c r="F27" s="494"/>
      <c r="G27" s="494"/>
      <c r="H27" s="494"/>
      <c r="I27" s="494"/>
      <c r="J27" s="494"/>
      <c r="K27" s="494"/>
      <c r="L27" s="494"/>
      <c r="M27" s="494"/>
      <c r="N27" s="494"/>
      <c r="O27" s="467"/>
      <c r="P27" s="467"/>
      <c r="Q27" s="493"/>
      <c r="R27" s="467"/>
    </row>
    <row r="28" spans="1:18" s="91" customFormat="1" ht="16.5" customHeight="1" x14ac:dyDescent="0.2">
      <c r="A28" s="495" t="s">
        <v>265</v>
      </c>
      <c r="B28" s="496"/>
      <c r="C28" s="497"/>
      <c r="D28" s="1161"/>
      <c r="E28" s="1162"/>
      <c r="F28" s="1163"/>
      <c r="G28" s="498"/>
      <c r="H28" s="1175" t="s">
        <v>136</v>
      </c>
      <c r="I28" s="1175"/>
      <c r="J28" s="1175"/>
      <c r="K28" s="1161"/>
      <c r="L28" s="1162"/>
      <c r="M28" s="1162"/>
      <c r="N28" s="1163"/>
      <c r="O28" s="494"/>
      <c r="P28" s="494"/>
      <c r="Q28" s="494"/>
      <c r="R28" s="494"/>
    </row>
    <row r="29" spans="1:18" s="92" customFormat="1" ht="16.5" customHeight="1" x14ac:dyDescent="0.2">
      <c r="A29" s="459" t="s">
        <v>266</v>
      </c>
      <c r="B29" s="461"/>
      <c r="C29" s="464"/>
      <c r="D29" s="1161"/>
      <c r="E29" s="1162"/>
      <c r="F29" s="1163"/>
      <c r="G29" s="498"/>
      <c r="H29" s="1158" t="s">
        <v>47</v>
      </c>
      <c r="I29" s="1159"/>
      <c r="J29" s="1160"/>
      <c r="K29" s="1161"/>
      <c r="L29" s="1162"/>
      <c r="M29" s="1162"/>
      <c r="N29" s="1163"/>
      <c r="O29" s="498"/>
      <c r="P29" s="498"/>
      <c r="Q29" s="498"/>
      <c r="R29" s="498"/>
    </row>
    <row r="30" spans="1:18" s="92" customFormat="1" ht="16.5" customHeight="1" x14ac:dyDescent="0.2">
      <c r="A30" s="499" t="s">
        <v>47</v>
      </c>
      <c r="B30" s="494"/>
      <c r="C30" s="494"/>
      <c r="D30" s="1190"/>
      <c r="E30" s="1191"/>
      <c r="F30" s="1192"/>
      <c r="G30" s="498"/>
      <c r="H30" s="1158" t="s">
        <v>50</v>
      </c>
      <c r="I30" s="1159"/>
      <c r="J30" s="1160"/>
      <c r="K30" s="1167"/>
      <c r="L30" s="1168"/>
      <c r="M30" s="1168"/>
      <c r="N30" s="1169"/>
      <c r="O30" s="498"/>
      <c r="P30" s="498"/>
      <c r="Q30" s="498"/>
      <c r="R30" s="498"/>
    </row>
    <row r="31" spans="1:18" s="92" customFormat="1" ht="16.5" customHeight="1" x14ac:dyDescent="0.2">
      <c r="A31" s="459" t="s">
        <v>48</v>
      </c>
      <c r="B31" s="461"/>
      <c r="C31" s="461"/>
      <c r="D31" s="1161"/>
      <c r="E31" s="1162"/>
      <c r="F31" s="1163"/>
      <c r="G31" s="498"/>
      <c r="H31" s="1165" t="s">
        <v>282</v>
      </c>
      <c r="I31" s="1165"/>
      <c r="J31" s="1165"/>
      <c r="K31" s="1166"/>
      <c r="L31" s="1166"/>
      <c r="M31" s="1166"/>
      <c r="N31" s="1166"/>
      <c r="O31" s="498"/>
      <c r="P31" s="498"/>
      <c r="Q31" s="498"/>
      <c r="R31" s="498"/>
    </row>
    <row r="32" spans="1:18" s="92" customFormat="1" ht="16.5" customHeight="1" x14ac:dyDescent="0.2">
      <c r="A32" s="459" t="s">
        <v>49</v>
      </c>
      <c r="B32" s="461"/>
      <c r="C32" s="461"/>
      <c r="D32" s="1161"/>
      <c r="E32" s="1162"/>
      <c r="F32" s="1163"/>
      <c r="G32" s="498"/>
      <c r="H32" s="1165" t="s">
        <v>257</v>
      </c>
      <c r="I32" s="1165"/>
      <c r="J32" s="1165"/>
      <c r="K32" s="1164"/>
      <c r="L32" s="1164"/>
      <c r="M32" s="1164"/>
      <c r="N32" s="1164"/>
      <c r="O32" s="498"/>
      <c r="P32" s="498"/>
      <c r="Q32" s="498"/>
      <c r="R32" s="498"/>
    </row>
    <row r="33" spans="1:18" s="92" customFormat="1" ht="16.5" customHeight="1" x14ac:dyDescent="0.2">
      <c r="A33" s="500" t="s">
        <v>50</v>
      </c>
      <c r="B33" s="497"/>
      <c r="C33" s="497"/>
      <c r="D33" s="1187"/>
      <c r="E33" s="1188"/>
      <c r="F33" s="1189"/>
      <c r="G33" s="498"/>
      <c r="H33" s="1184" t="s">
        <v>137</v>
      </c>
      <c r="I33" s="1185"/>
      <c r="J33" s="1186"/>
      <c r="K33" s="1190"/>
      <c r="L33" s="1191"/>
      <c r="M33" s="1191"/>
      <c r="N33" s="1192"/>
      <c r="O33" s="498"/>
      <c r="P33" s="498"/>
      <c r="Q33" s="498"/>
      <c r="R33" s="498"/>
    </row>
    <row r="34" spans="1:18" s="92" customFormat="1" ht="16.5" customHeight="1" x14ac:dyDescent="0.2">
      <c r="A34" s="501" t="s">
        <v>54</v>
      </c>
      <c r="B34" s="461"/>
      <c r="C34" s="461"/>
      <c r="D34" s="461"/>
      <c r="E34" s="461"/>
      <c r="F34" s="464"/>
      <c r="G34" s="498"/>
      <c r="H34" s="1158" t="s">
        <v>47</v>
      </c>
      <c r="I34" s="1159"/>
      <c r="J34" s="1160"/>
      <c r="K34" s="1190"/>
      <c r="L34" s="1191"/>
      <c r="M34" s="1191"/>
      <c r="N34" s="1192"/>
      <c r="O34" s="498"/>
      <c r="P34" s="498"/>
      <c r="Q34" s="498"/>
      <c r="R34" s="498"/>
    </row>
    <row r="35" spans="1:18" s="92" customFormat="1" ht="16.5" customHeight="1" x14ac:dyDescent="0.2">
      <c r="A35" s="960"/>
      <c r="B35" s="961"/>
      <c r="C35" s="961"/>
      <c r="D35" s="961"/>
      <c r="E35" s="961"/>
      <c r="F35" s="964"/>
      <c r="G35" s="498"/>
      <c r="H35" s="1158" t="s">
        <v>50</v>
      </c>
      <c r="I35" s="1159"/>
      <c r="J35" s="1160"/>
      <c r="K35" s="1167"/>
      <c r="L35" s="1168"/>
      <c r="M35" s="1168"/>
      <c r="N35" s="1169"/>
      <c r="O35" s="498"/>
      <c r="P35" s="498"/>
      <c r="Q35" s="498"/>
      <c r="R35" s="498"/>
    </row>
    <row r="36" spans="1:18" s="92" customFormat="1" ht="16.5" customHeight="1" x14ac:dyDescent="0.2">
      <c r="A36" s="937"/>
      <c r="B36" s="938"/>
      <c r="C36" s="938"/>
      <c r="D36" s="938"/>
      <c r="E36" s="938"/>
      <c r="F36" s="939"/>
      <c r="G36" s="498"/>
      <c r="H36" s="1158" t="s">
        <v>282</v>
      </c>
      <c r="I36" s="1159"/>
      <c r="J36" s="1160"/>
      <c r="K36" s="1166"/>
      <c r="L36" s="1166"/>
      <c r="M36" s="1166"/>
      <c r="N36" s="1166"/>
      <c r="O36" s="498"/>
      <c r="P36" s="498"/>
      <c r="Q36" s="498"/>
      <c r="R36" s="498"/>
    </row>
    <row r="37" spans="1:18" s="92" customFormat="1" ht="16.5" customHeight="1" x14ac:dyDescent="0.2">
      <c r="A37" s="456"/>
      <c r="B37" s="962"/>
      <c r="C37" s="962"/>
      <c r="D37" s="962"/>
      <c r="E37" s="962"/>
      <c r="F37" s="963" t="s">
        <v>53</v>
      </c>
      <c r="G37" s="498"/>
      <c r="H37" s="1158" t="s">
        <v>257</v>
      </c>
      <c r="I37" s="1159"/>
      <c r="J37" s="1160"/>
      <c r="K37" s="1161"/>
      <c r="L37" s="1162"/>
      <c r="M37" s="1162"/>
      <c r="N37" s="1163"/>
      <c r="O37" s="498"/>
      <c r="P37" s="498"/>
      <c r="Q37" s="498"/>
      <c r="R37" s="498"/>
    </row>
    <row r="38" spans="1:18" s="92" customFormat="1" ht="16.5" customHeight="1" x14ac:dyDescent="0.2">
      <c r="A38" s="1173"/>
      <c r="B38" s="1174"/>
      <c r="C38" s="502" t="s">
        <v>51</v>
      </c>
      <c r="D38" s="1176"/>
      <c r="E38" s="1177"/>
      <c r="F38" s="502" t="s">
        <v>52</v>
      </c>
      <c r="G38" s="498"/>
      <c r="H38" s="498"/>
      <c r="I38" s="498"/>
      <c r="J38" s="498"/>
      <c r="K38" s="498"/>
      <c r="O38" s="498"/>
      <c r="P38" s="498"/>
      <c r="Q38" s="498"/>
      <c r="R38" s="498"/>
    </row>
    <row r="39" spans="1:18" s="92" customFormat="1" ht="9.75" customHeight="1" thickBot="1" x14ac:dyDescent="0.25">
      <c r="A39" s="498"/>
      <c r="B39" s="498"/>
      <c r="C39" s="498"/>
      <c r="D39" s="498"/>
      <c r="E39" s="498"/>
      <c r="F39" s="498"/>
      <c r="G39" s="498"/>
      <c r="H39" s="498"/>
      <c r="I39" s="498"/>
      <c r="J39" s="498"/>
      <c r="K39" s="498"/>
      <c r="O39" s="498"/>
      <c r="P39" s="498"/>
      <c r="Q39" s="498"/>
      <c r="R39" s="498"/>
    </row>
    <row r="40" spans="1:18" s="92" customFormat="1" ht="14.25" customHeight="1" thickBot="1" x14ac:dyDescent="0.25">
      <c r="A40" s="503" t="str">
        <f>"Bovengenoemde partijen verzoeken het schaduwbudget "&amp;Voorblad!K4&amp;" vast te stellen op:"</f>
        <v>Bovengenoemde partijen verzoeken het schaduwbudget 2013 vast te stellen op:</v>
      </c>
      <c r="B40" s="504"/>
      <c r="C40" s="504"/>
      <c r="D40" s="504"/>
      <c r="E40" s="504"/>
      <c r="F40" s="504"/>
      <c r="G40" s="504"/>
      <c r="H40" s="498"/>
      <c r="I40" s="498"/>
      <c r="J40" s="498"/>
      <c r="K40" s="498"/>
      <c r="L40" s="1155">
        <f>+Mutaties!E18</f>
        <v>0</v>
      </c>
      <c r="M40" s="1156"/>
      <c r="N40" s="1157"/>
      <c r="O40" s="1148" t="s">
        <v>464</v>
      </c>
      <c r="P40" s="498"/>
      <c r="Q40" s="498"/>
      <c r="R40" s="498"/>
    </row>
    <row r="41" spans="1:18" s="42" customFormat="1" ht="15" customHeight="1" thickBot="1" x14ac:dyDescent="0.25">
      <c r="A41" s="503" t="str">
        <f>"Bovengenoemde partijen verzoeken de definitieve opbrengsten "&amp;Voorblad!K4&amp;" vast te stellen op:"</f>
        <v>Bovengenoemde partijen verzoeken de definitieve opbrengsten 2013 vast te stellen op:</v>
      </c>
      <c r="B41" s="451"/>
      <c r="C41" s="498"/>
      <c r="D41" s="494"/>
      <c r="E41" s="505"/>
      <c r="F41" s="498"/>
      <c r="G41" s="498"/>
      <c r="H41" s="498"/>
      <c r="I41" s="498"/>
      <c r="J41" s="498"/>
      <c r="K41" s="498"/>
      <c r="L41" s="1155">
        <f>+Opbrengsten!E44</f>
        <v>0</v>
      </c>
      <c r="M41" s="1156"/>
      <c r="N41" s="1157"/>
      <c r="O41" s="1149" t="s">
        <v>465</v>
      </c>
      <c r="P41" s="453"/>
      <c r="Q41" s="453"/>
      <c r="R41" s="453"/>
    </row>
    <row r="42" spans="1:18" s="478" customFormat="1" thickBot="1" x14ac:dyDescent="0.25">
      <c r="A42" s="466" t="s">
        <v>171</v>
      </c>
      <c r="B42" s="452"/>
      <c r="C42" s="452"/>
      <c r="D42" s="452"/>
      <c r="E42" s="452"/>
      <c r="F42" s="506"/>
      <c r="G42" s="453"/>
      <c r="H42" s="494"/>
      <c r="I42" s="494"/>
      <c r="J42" s="494"/>
      <c r="K42" s="494"/>
      <c r="O42" s="472"/>
      <c r="P42" s="472"/>
      <c r="Q42" s="472"/>
      <c r="R42" s="472"/>
    </row>
    <row r="43" spans="1:18" s="478" customFormat="1" ht="12" x14ac:dyDescent="0.2">
      <c r="O43" s="472"/>
      <c r="P43" s="472"/>
      <c r="Q43" s="472"/>
      <c r="R43" s="472"/>
    </row>
    <row r="44" spans="1:18" s="478" customFormat="1" ht="12" x14ac:dyDescent="0.2">
      <c r="H44" s="1193" t="s">
        <v>467</v>
      </c>
      <c r="I44" s="1194"/>
      <c r="J44" s="1194"/>
      <c r="K44" s="1194"/>
      <c r="L44" s="1195">
        <f>+L40-L41</f>
        <v>0</v>
      </c>
      <c r="M44" s="1196"/>
      <c r="N44" s="1197"/>
      <c r="O44" s="472"/>
      <c r="P44" s="472"/>
      <c r="Q44" s="472"/>
      <c r="R44" s="472"/>
    </row>
    <row r="45" spans="1:18" s="478" customFormat="1" ht="12" x14ac:dyDescent="0.2">
      <c r="A45" s="1037"/>
      <c r="B45" s="1037"/>
      <c r="C45" s="1037"/>
      <c r="D45" s="1037"/>
      <c r="E45" s="1037"/>
      <c r="F45" s="1037"/>
      <c r="G45" s="1037"/>
      <c r="H45" s="1193" t="s">
        <v>455</v>
      </c>
      <c r="I45" s="1194"/>
      <c r="J45" s="1194"/>
      <c r="K45" s="1194"/>
      <c r="L45" s="1195">
        <f>+(L40-L41)*0.95</f>
        <v>0</v>
      </c>
      <c r="M45" s="1196"/>
      <c r="N45" s="1197"/>
      <c r="O45" s="472"/>
      <c r="P45" s="472"/>
      <c r="Q45" s="472"/>
      <c r="R45" s="472"/>
    </row>
    <row r="46" spans="1:18" x14ac:dyDescent="0.2">
      <c r="H46" s="1193" t="s">
        <v>466</v>
      </c>
      <c r="I46" s="1194"/>
      <c r="J46" s="1194"/>
      <c r="K46" s="1194"/>
      <c r="L46" s="1195">
        <f>(L40-L41)*0.7</f>
        <v>0</v>
      </c>
      <c r="M46" s="1196"/>
      <c r="N46" s="1197"/>
    </row>
    <row r="47" spans="1:18" ht="13.5" thickBot="1" x14ac:dyDescent="0.25"/>
    <row r="48" spans="1:18" ht="13.5" thickBot="1" x14ac:dyDescent="0.25">
      <c r="A48" s="641" t="s">
        <v>454</v>
      </c>
      <c r="E48" s="506"/>
    </row>
    <row r="50" spans="1:14" ht="12.75" customHeight="1" x14ac:dyDescent="0.2">
      <c r="A50" s="1150" t="s">
        <v>472</v>
      </c>
      <c r="B50" s="1150"/>
      <c r="C50" s="1150"/>
      <c r="D50" s="1150"/>
      <c r="E50" s="1150"/>
      <c r="F50" s="1150"/>
      <c r="G50" s="1150"/>
      <c r="H50" s="1150"/>
      <c r="I50" s="1150"/>
      <c r="J50" s="1150"/>
      <c r="K50" s="1150"/>
      <c r="L50" s="1150"/>
      <c r="M50" s="1150"/>
      <c r="N50" s="1150"/>
    </row>
    <row r="51" spans="1:14" ht="26.25" customHeight="1" x14ac:dyDescent="0.2">
      <c r="A51" s="1150"/>
      <c r="B51" s="1150"/>
      <c r="C51" s="1150"/>
      <c r="D51" s="1150"/>
      <c r="E51" s="1150"/>
      <c r="F51" s="1150"/>
      <c r="G51" s="1150"/>
      <c r="H51" s="1150"/>
      <c r="I51" s="1150"/>
      <c r="J51" s="1150"/>
      <c r="K51" s="1150"/>
      <c r="L51" s="1150"/>
      <c r="M51" s="1150"/>
      <c r="N51" s="1150"/>
    </row>
  </sheetData>
  <sheetProtection password="CA39" sheet="1" objects="1" scenarios="1"/>
  <mergeCells count="45">
    <mergeCell ref="H45:K45"/>
    <mergeCell ref="L45:N45"/>
    <mergeCell ref="H46:K46"/>
    <mergeCell ref="L46:N46"/>
    <mergeCell ref="H44:K44"/>
    <mergeCell ref="L44:N44"/>
    <mergeCell ref="H30:J30"/>
    <mergeCell ref="H35:J35"/>
    <mergeCell ref="H37:J37"/>
    <mergeCell ref="H36:J36"/>
    <mergeCell ref="K33:N33"/>
    <mergeCell ref="K34:N34"/>
    <mergeCell ref="K37:N37"/>
    <mergeCell ref="A8:D8"/>
    <mergeCell ref="A38:B38"/>
    <mergeCell ref="H28:J28"/>
    <mergeCell ref="K28:N28"/>
    <mergeCell ref="D38:E38"/>
    <mergeCell ref="D28:F28"/>
    <mergeCell ref="L11:N11"/>
    <mergeCell ref="L9:N9"/>
    <mergeCell ref="L10:N10"/>
    <mergeCell ref="D15:L16"/>
    <mergeCell ref="K31:N31"/>
    <mergeCell ref="H33:J33"/>
    <mergeCell ref="H34:J34"/>
    <mergeCell ref="D33:F33"/>
    <mergeCell ref="D29:F29"/>
    <mergeCell ref="D30:F30"/>
    <mergeCell ref="A50:N51"/>
    <mergeCell ref="E10:F10"/>
    <mergeCell ref="D20:L22"/>
    <mergeCell ref="D17:L19"/>
    <mergeCell ref="L40:N40"/>
    <mergeCell ref="H29:J29"/>
    <mergeCell ref="K29:N29"/>
    <mergeCell ref="K32:N32"/>
    <mergeCell ref="H32:J32"/>
    <mergeCell ref="K36:N36"/>
    <mergeCell ref="D31:F31"/>
    <mergeCell ref="D32:F32"/>
    <mergeCell ref="H31:J31"/>
    <mergeCell ref="L41:N41"/>
    <mergeCell ref="K30:N30"/>
    <mergeCell ref="K35:N35"/>
  </mergeCells>
  <phoneticPr fontId="17" type="noConversion"/>
  <conditionalFormatting sqref="A9">
    <cfRule type="expression" dxfId="26" priority="3" stopIfTrue="1">
      <formula>$B9&lt;&gt;""</formula>
    </cfRule>
  </conditionalFormatting>
  <conditionalFormatting sqref="A35:F38 D28:D33 K28:K37 E10:F10 F9">
    <cfRule type="expression" dxfId="25" priority="4" stopIfTrue="1">
      <formula>$D$26=TRUE</formula>
    </cfRule>
  </conditionalFormatting>
  <conditionalFormatting sqref="D41:F42">
    <cfRule type="expression" dxfId="24" priority="5" stopIfTrue="1">
      <formula>$D$35=TRUE</formula>
    </cfRule>
  </conditionalFormatting>
  <conditionalFormatting sqref="A8:D8">
    <cfRule type="expression" dxfId="23" priority="6" stopIfTrue="1">
      <formula>$F$9=0</formula>
    </cfRule>
  </conditionalFormatting>
  <conditionalFormatting sqref="E48">
    <cfRule type="expression" dxfId="22" priority="1" stopIfTrue="1">
      <formula>$D$27=TRUE</formula>
    </cfRule>
  </conditionalFormatting>
  <pageMargins left="0.39370078740157483" right="0.39370078740157483" top="0.39370078740157483" bottom="0.39370078740157483" header="0.51181102362204722" footer="0.51181102362204722"/>
  <pageSetup paperSize="9" scale="83" orientation="landscape" cellComments="asDisplayed" horizontalDpi="300" verticalDpi="300" r:id="rId1"/>
  <headerFooter alignWithMargins="0"/>
  <ignoredErrors>
    <ignoredError sqref="E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1922" r:id="rId4" name="Check Box 2">
              <controlPr locked="0" defaultSize="0" autoFill="0" autoLine="0" autoPict="0">
                <anchor moveWithCells="1">
                  <from>
                    <xdr:col>2</xdr:col>
                    <xdr:colOff>419100</xdr:colOff>
                    <xdr:row>23</xdr:row>
                    <xdr:rowOff>9525</xdr:rowOff>
                  </from>
                  <to>
                    <xdr:col>3</xdr:col>
                    <xdr:colOff>190500</xdr:colOff>
                    <xdr:row>24</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pageSetUpPr fitToPage="1"/>
  </sheetPr>
  <dimension ref="A1:M107"/>
  <sheetViews>
    <sheetView showGridLines="0" showZeros="0" showOutlineSymbols="0" zoomScaleNormal="86" workbookViewId="0">
      <selection activeCell="C11" sqref="C11"/>
    </sheetView>
  </sheetViews>
  <sheetFormatPr defaultRowHeight="11.25" x14ac:dyDescent="0.15"/>
  <cols>
    <col min="1" max="1" width="2.7109375" style="656" customWidth="1"/>
    <col min="2" max="2" width="4.28515625" style="661" customWidth="1"/>
    <col min="3" max="3" width="67.7109375" style="515" customWidth="1"/>
    <col min="4" max="4" width="4.85546875" style="515" customWidth="1"/>
    <col min="5" max="6" width="2.7109375" style="515" customWidth="1"/>
    <col min="7" max="7" width="1.28515625" style="515" customWidth="1"/>
    <col min="8" max="8" width="41.5703125" style="515" customWidth="1"/>
    <col min="9" max="9" width="4.7109375" style="515" customWidth="1"/>
    <col min="10" max="16384" width="9.140625" style="515"/>
  </cols>
  <sheetData>
    <row r="1" spans="1:10" s="524" customFormat="1" ht="15.95" customHeight="1" x14ac:dyDescent="0.15">
      <c r="A1" s="507"/>
      <c r="B1" s="640"/>
      <c r="C1" s="509"/>
      <c r="D1" s="641"/>
      <c r="E1" s="641"/>
      <c r="F1" s="507"/>
      <c r="G1" s="509"/>
      <c r="H1" s="509"/>
      <c r="J1" s="523"/>
    </row>
    <row r="2" spans="1:10" s="582" customFormat="1" ht="15.75" customHeight="1" x14ac:dyDescent="0.2">
      <c r="A2" s="657" t="str">
        <f>CONCATENATE("Vaststelling Transitiebedrag ",Voorblad!K4)</f>
        <v>Vaststelling Transitiebedrag 2013</v>
      </c>
      <c r="B2" s="658"/>
      <c r="C2" s="639"/>
      <c r="D2" s="639"/>
      <c r="E2" s="639"/>
      <c r="F2" s="639"/>
      <c r="I2" s="659">
        <v>2</v>
      </c>
    </row>
    <row r="3" spans="1:10" s="514" customFormat="1" x14ac:dyDescent="0.15">
      <c r="A3" s="651"/>
      <c r="D3" s="660"/>
      <c r="E3" s="660"/>
      <c r="F3" s="651"/>
    </row>
    <row r="4" spans="1:10" s="509" customFormat="1" x14ac:dyDescent="0.15">
      <c r="A4" s="507" t="s">
        <v>55</v>
      </c>
      <c r="B4" s="508"/>
      <c r="D4" s="510" t="s">
        <v>133</v>
      </c>
      <c r="I4" s="510"/>
    </row>
    <row r="5" spans="1:10" s="509" customFormat="1" x14ac:dyDescent="0.15">
      <c r="A5" s="513"/>
      <c r="B5" s="512"/>
      <c r="C5" s="512"/>
      <c r="D5" s="687"/>
      <c r="E5" s="507"/>
      <c r="F5" s="507"/>
      <c r="G5" s="507"/>
      <c r="H5" s="507"/>
      <c r="I5" s="511"/>
    </row>
    <row r="6" spans="1:10" s="512" customFormat="1" x14ac:dyDescent="0.15">
      <c r="A6" s="513" t="str">
        <f>+Opbrengsten!A4</f>
        <v xml:space="preserve">RUBRIEK 1: WERKELIJKE OPBRENGSTEN </v>
      </c>
      <c r="B6" s="509"/>
      <c r="C6" s="509"/>
      <c r="D6" s="509"/>
      <c r="H6" s="684"/>
      <c r="I6" s="687"/>
    </row>
    <row r="7" spans="1:10" s="512" customFormat="1" x14ac:dyDescent="0.15">
      <c r="A7" s="513"/>
      <c r="B7" s="516" t="str">
        <f>Opbrengsten!A8</f>
        <v>1.1</v>
      </c>
      <c r="C7" s="621" t="str">
        <f>Opbrengsten!B8</f>
        <v>DBC-A opbrengst</v>
      </c>
      <c r="D7" s="687">
        <f>Opbrengsten!$J$2</f>
        <v>4</v>
      </c>
      <c r="F7" s="513"/>
    </row>
    <row r="8" spans="1:10" s="512" customFormat="1" x14ac:dyDescent="0.15">
      <c r="A8" s="513"/>
      <c r="B8" s="516" t="str">
        <f>Opbrengsten!A16</f>
        <v>1.2</v>
      </c>
      <c r="C8" s="621" t="str">
        <f>Opbrengsten!B16</f>
        <v>Opbrengst trajecten</v>
      </c>
      <c r="D8" s="687">
        <f>Opbrengsten!$J$2</f>
        <v>4</v>
      </c>
      <c r="F8" s="513"/>
      <c r="I8" s="687"/>
    </row>
    <row r="9" spans="1:10" s="512" customFormat="1" x14ac:dyDescent="0.15">
      <c r="A9" s="513"/>
      <c r="B9" s="516" t="str">
        <f>Opbrengsten!A22</f>
        <v>1.3</v>
      </c>
      <c r="C9" s="621" t="str">
        <f>Opbrengsten!B22</f>
        <v>Overige opbrengsten</v>
      </c>
      <c r="D9" s="687">
        <f>Opbrengsten!$J$2</f>
        <v>4</v>
      </c>
      <c r="E9" s="509"/>
      <c r="F9" s="513"/>
    </row>
    <row r="10" spans="1:10" s="509" customFormat="1" ht="11.25" customHeight="1" x14ac:dyDescent="0.15">
      <c r="B10" s="621" t="str">
        <f>Opbrengsten!A28</f>
        <v>1.4</v>
      </c>
      <c r="C10" s="621" t="str">
        <f>Opbrengsten!B28</f>
        <v>Overige vergoedingen ter dekking van het budget</v>
      </c>
      <c r="D10" s="687">
        <f>Opbrengsten!J2</f>
        <v>4</v>
      </c>
      <c r="G10" s="513"/>
      <c r="H10" s="686"/>
      <c r="I10" s="687"/>
    </row>
    <row r="11" spans="1:10" s="509" customFormat="1" x14ac:dyDescent="0.15">
      <c r="B11" s="516" t="str">
        <f>Opbrengsten!G13</f>
        <v>1.6</v>
      </c>
      <c r="C11" s="516" t="str">
        <f>Opbrengsten!H13</f>
        <v>Aanvullende inkomsten (niet ter dekking van het budget)</v>
      </c>
      <c r="D11" s="687">
        <f>Opbrengsten!J2</f>
        <v>4</v>
      </c>
      <c r="G11" s="516"/>
      <c r="H11" s="516"/>
      <c r="I11" s="688"/>
    </row>
    <row r="12" spans="1:10" s="509" customFormat="1" ht="11.25" customHeight="1" x14ac:dyDescent="0.15">
      <c r="B12" s="515"/>
      <c r="C12" s="515"/>
      <c r="D12" s="687"/>
      <c r="G12" s="516"/>
      <c r="H12" s="954"/>
    </row>
    <row r="13" spans="1:10" s="509" customFormat="1" x14ac:dyDescent="0.15">
      <c r="A13" s="513" t="str">
        <f>Afschrijvingen!A4</f>
        <v>RUBRIEK 2: KAPITAALSLASTEN</v>
      </c>
      <c r="B13" s="686"/>
      <c r="C13" s="518"/>
      <c r="D13" s="687">
        <f>Afschrijvingen!G2</f>
        <v>5</v>
      </c>
      <c r="H13" s="955"/>
      <c r="I13" s="688"/>
    </row>
    <row r="14" spans="1:10" s="509" customFormat="1" x14ac:dyDescent="0.15">
      <c r="B14" s="516" t="str">
        <f>Afschrijvingen!A6</f>
        <v>2.1</v>
      </c>
      <c r="C14" s="516" t="str">
        <f>Afschrijvingen!B6</f>
        <v>Nacalculeerbare afschrijvingskosten (normale en verkorte procedures)</v>
      </c>
      <c r="D14" s="687">
        <f>Afschrijvingen!G2</f>
        <v>5</v>
      </c>
      <c r="G14" s="516"/>
      <c r="H14" s="954"/>
    </row>
    <row r="15" spans="1:10" s="509" customFormat="1" x14ac:dyDescent="0.15">
      <c r="B15" s="516" t="str">
        <f>investeringen!A4</f>
        <v>2.2</v>
      </c>
      <c r="C15" s="516" t="str">
        <f>investeringen!B4</f>
        <v>Specificatie in gebruikgenomen nacalculeerbare investeringen</v>
      </c>
      <c r="D15" s="687">
        <f>investeringen!N2</f>
        <v>6</v>
      </c>
      <c r="H15" s="955"/>
      <c r="I15" s="687"/>
    </row>
    <row r="16" spans="1:10" s="509" customFormat="1" x14ac:dyDescent="0.15">
      <c r="B16" s="516" t="str">
        <f>investeringen!A23</f>
        <v>2.3</v>
      </c>
      <c r="C16" s="516" t="str">
        <f>investeringen!B23</f>
        <v>Instandhoudingsinvesteringen</v>
      </c>
      <c r="D16" s="687">
        <f>investeringen!N2</f>
        <v>6</v>
      </c>
      <c r="G16" s="516"/>
      <c r="H16" s="516"/>
      <c r="I16" s="687"/>
    </row>
    <row r="17" spans="1:13" x14ac:dyDescent="0.15">
      <c r="A17" s="509"/>
      <c r="B17" s="516" t="str">
        <f>investeringen!A33</f>
        <v>2.4</v>
      </c>
      <c r="C17" s="516" t="str">
        <f>investeringen!B33</f>
        <v>Afschrijvingskosten medische en overige inventarissen</v>
      </c>
      <c r="D17" s="687">
        <f>investeringen!N2</f>
        <v>6</v>
      </c>
      <c r="E17" s="509"/>
      <c r="F17" s="509"/>
      <c r="G17" s="516"/>
      <c r="H17" s="516"/>
      <c r="I17" s="688"/>
      <c r="J17" s="509"/>
      <c r="K17" s="514"/>
      <c r="L17" s="514"/>
      <c r="M17" s="514"/>
    </row>
    <row r="18" spans="1:13" s="512" customFormat="1" x14ac:dyDescent="0.15">
      <c r="A18" s="509"/>
      <c r="B18" s="516"/>
      <c r="C18" s="516"/>
      <c r="D18" s="687"/>
      <c r="E18" s="515"/>
      <c r="F18" s="509"/>
      <c r="G18" s="516"/>
      <c r="H18" s="516"/>
      <c r="I18" s="688"/>
      <c r="J18" s="509"/>
    </row>
    <row r="19" spans="1:13" s="509" customFormat="1" x14ac:dyDescent="0.15">
      <c r="A19" s="513" t="str">
        <f>Mutaties!A4</f>
        <v>RUBRIEK 4: OVERZICHT MUTATIES</v>
      </c>
      <c r="B19" s="686"/>
      <c r="C19" s="518"/>
      <c r="D19" s="687"/>
      <c r="E19" s="512"/>
      <c r="G19" s="516"/>
      <c r="H19" s="516"/>
      <c r="I19" s="687"/>
      <c r="J19" s="514"/>
    </row>
    <row r="20" spans="1:13" x14ac:dyDescent="0.15">
      <c r="A20" s="515"/>
      <c r="B20" s="516" t="str">
        <f>Mutaties!A7</f>
        <v>4.1</v>
      </c>
      <c r="C20" s="516" t="str">
        <f>Mutaties!B7</f>
        <v>Mutaties aanvaardbare kosten</v>
      </c>
      <c r="D20" s="687">
        <f>Mutaties!E2</f>
        <v>7</v>
      </c>
      <c r="E20" s="509"/>
      <c r="F20" s="516"/>
      <c r="G20" s="516"/>
      <c r="H20" s="516"/>
      <c r="I20" s="687"/>
      <c r="J20" s="512"/>
    </row>
    <row r="21" spans="1:13" x14ac:dyDescent="0.15">
      <c r="A21" s="515"/>
      <c r="B21" s="516" t="str">
        <f>Mutaties!A20</f>
        <v>4.2</v>
      </c>
      <c r="C21" s="516" t="str">
        <f>Mutaties!B20</f>
        <v>Opbrengstverrekening 2013</v>
      </c>
      <c r="D21" s="687">
        <f>Mutaties!E2</f>
        <v>7</v>
      </c>
      <c r="G21" s="516"/>
      <c r="H21" s="516"/>
      <c r="I21" s="687"/>
      <c r="J21" s="509"/>
    </row>
    <row r="22" spans="1:13" x14ac:dyDescent="0.15">
      <c r="A22" s="509"/>
      <c r="B22" s="515"/>
      <c r="F22" s="509"/>
      <c r="G22" s="689"/>
      <c r="H22" s="690"/>
      <c r="I22" s="687"/>
    </row>
    <row r="23" spans="1:13" x14ac:dyDescent="0.15">
      <c r="A23" s="689" t="str">
        <f>'Bijlage 1 vragen'!A4</f>
        <v>BIJLAGE 1: VRAGENLIJST NACALCULATIE</v>
      </c>
      <c r="B23" s="515"/>
      <c r="F23" s="509"/>
      <c r="G23" s="689"/>
      <c r="H23" s="690"/>
      <c r="I23" s="687"/>
    </row>
    <row r="24" spans="1:13" x14ac:dyDescent="0.15">
      <c r="A24" s="512"/>
      <c r="B24" s="515"/>
      <c r="F24" s="509"/>
      <c r="G24" s="689"/>
      <c r="H24" s="690"/>
      <c r="I24" s="687"/>
    </row>
    <row r="25" spans="1:13" x14ac:dyDescent="0.15">
      <c r="A25" s="513" t="str">
        <f>CONCATENATE('Bijlage 2 Rentecalc.'!A5,"*")</f>
        <v>BIJLAGE 2: CALCULATIEMODEL RENTEKOSTEN*</v>
      </c>
      <c r="F25" s="517"/>
      <c r="G25" s="691"/>
      <c r="H25" s="690"/>
      <c r="I25" s="684"/>
    </row>
    <row r="26" spans="1:13" x14ac:dyDescent="0.15">
      <c r="A26" s="509"/>
      <c r="B26" s="509"/>
      <c r="C26" s="509"/>
      <c r="D26" s="509"/>
      <c r="F26" s="517"/>
    </row>
    <row r="27" spans="1:13" x14ac:dyDescent="0.15">
      <c r="A27" s="1198" t="s">
        <v>456</v>
      </c>
      <c r="B27" s="1198"/>
      <c r="C27" s="1198"/>
      <c r="D27" s="1198"/>
      <c r="E27" s="1198"/>
      <c r="F27" s="1198"/>
      <c r="G27" s="1198"/>
      <c r="H27" s="1198"/>
      <c r="I27" s="1198"/>
    </row>
    <row r="28" spans="1:13" x14ac:dyDescent="0.15">
      <c r="A28" s="1198"/>
      <c r="B28" s="1198"/>
      <c r="C28" s="1198"/>
      <c r="D28" s="1198"/>
      <c r="E28" s="1198"/>
      <c r="F28" s="1198"/>
      <c r="G28" s="1198"/>
      <c r="H28" s="1198"/>
      <c r="I28" s="1198"/>
    </row>
    <row r="29" spans="1:13" s="512" customFormat="1" x14ac:dyDescent="0.15">
      <c r="A29" s="1198"/>
      <c r="B29" s="1198"/>
      <c r="C29" s="1198"/>
      <c r="D29" s="1198"/>
      <c r="E29" s="1198"/>
      <c r="F29" s="1198"/>
      <c r="G29" s="1198"/>
      <c r="H29" s="1198"/>
      <c r="I29" s="1198"/>
      <c r="J29" s="515"/>
    </row>
    <row r="30" spans="1:13" x14ac:dyDescent="0.15">
      <c r="A30" s="1198"/>
      <c r="B30" s="1198"/>
      <c r="C30" s="1198"/>
      <c r="D30" s="1198"/>
      <c r="E30" s="1198"/>
      <c r="F30" s="1198"/>
      <c r="G30" s="1198"/>
      <c r="H30" s="1198"/>
      <c r="I30" s="1198"/>
    </row>
    <row r="31" spans="1:13" s="512" customFormat="1" x14ac:dyDescent="0.15">
      <c r="A31" s="1198"/>
      <c r="B31" s="1198"/>
      <c r="C31" s="1198"/>
      <c r="D31" s="1198"/>
      <c r="E31" s="1198"/>
      <c r="F31" s="1198"/>
      <c r="G31" s="1198"/>
      <c r="H31" s="1198"/>
      <c r="I31" s="1198"/>
    </row>
    <row r="32" spans="1:13" x14ac:dyDescent="0.15">
      <c r="A32" s="515"/>
      <c r="B32" s="524"/>
      <c r="C32" s="524"/>
      <c r="D32" s="524"/>
      <c r="F32" s="518"/>
      <c r="G32" s="693"/>
      <c r="I32" s="687"/>
    </row>
    <row r="33" spans="1:10" x14ac:dyDescent="0.15">
      <c r="A33" s="515"/>
      <c r="B33" s="508"/>
      <c r="C33" s="509"/>
      <c r="D33" s="516"/>
      <c r="G33" s="690"/>
      <c r="H33" s="690"/>
      <c r="I33" s="687"/>
      <c r="J33" s="512"/>
    </row>
    <row r="34" spans="1:10" x14ac:dyDescent="0.15">
      <c r="A34" s="515"/>
      <c r="B34" s="508"/>
      <c r="C34" s="509"/>
      <c r="D34" s="509"/>
      <c r="F34" s="519"/>
      <c r="G34" s="690"/>
      <c r="H34" s="690"/>
      <c r="I34" s="687"/>
    </row>
    <row r="35" spans="1:10" x14ac:dyDescent="0.15">
      <c r="A35" s="515"/>
      <c r="B35" s="508"/>
      <c r="C35" s="509"/>
      <c r="D35" s="509"/>
      <c r="G35" s="690"/>
      <c r="H35" s="690"/>
      <c r="I35" s="687"/>
    </row>
    <row r="36" spans="1:10" x14ac:dyDescent="0.15">
      <c r="A36" s="509"/>
      <c r="B36" s="508"/>
      <c r="C36" s="509"/>
      <c r="D36" s="509"/>
      <c r="E36" s="524"/>
      <c r="G36" s="690"/>
      <c r="H36" s="690"/>
      <c r="I36" s="510"/>
    </row>
    <row r="37" spans="1:10" x14ac:dyDescent="0.15">
      <c r="A37" s="512"/>
      <c r="B37" s="508"/>
      <c r="C37" s="509"/>
      <c r="D37" s="509"/>
      <c r="E37" s="524"/>
      <c r="G37" s="692"/>
      <c r="H37" s="692"/>
      <c r="I37" s="510"/>
    </row>
    <row r="38" spans="1:10" s="509" customFormat="1" x14ac:dyDescent="0.15">
      <c r="A38" s="515"/>
      <c r="B38" s="508"/>
      <c r="E38" s="524"/>
      <c r="F38" s="515"/>
      <c r="G38" s="692"/>
      <c r="H38" s="692"/>
      <c r="I38" s="510"/>
      <c r="J38" s="515"/>
    </row>
    <row r="39" spans="1:10" s="512" customFormat="1" x14ac:dyDescent="0.15">
      <c r="B39" s="508"/>
      <c r="C39" s="509"/>
      <c r="D39" s="509"/>
      <c r="E39" s="524"/>
      <c r="F39" s="509"/>
      <c r="G39" s="694"/>
      <c r="H39" s="694"/>
      <c r="I39" s="510"/>
      <c r="J39" s="515"/>
    </row>
    <row r="40" spans="1:10" s="509" customFormat="1" x14ac:dyDescent="0.15">
      <c r="A40" s="515"/>
      <c r="B40" s="508"/>
      <c r="E40" s="524"/>
      <c r="F40" s="518"/>
      <c r="G40" s="692"/>
      <c r="H40" s="692"/>
      <c r="I40" s="510"/>
    </row>
    <row r="41" spans="1:10" s="509" customFormat="1" x14ac:dyDescent="0.15">
      <c r="A41" s="515"/>
      <c r="B41" s="508"/>
      <c r="F41" s="520"/>
      <c r="G41" s="692"/>
      <c r="H41" s="692"/>
      <c r="I41" s="510"/>
      <c r="J41" s="512"/>
    </row>
    <row r="42" spans="1:10" s="509" customFormat="1" x14ac:dyDescent="0.15">
      <c r="B42" s="508"/>
    </row>
    <row r="43" spans="1:10" s="509" customFormat="1" x14ac:dyDescent="0.15">
      <c r="A43" s="507"/>
      <c r="B43" s="508"/>
    </row>
    <row r="44" spans="1:10" s="509" customFormat="1" x14ac:dyDescent="0.15">
      <c r="A44" s="507"/>
      <c r="B44" s="508"/>
    </row>
    <row r="45" spans="1:10" s="509" customFormat="1" x14ac:dyDescent="0.15">
      <c r="A45" s="507"/>
      <c r="B45" s="508"/>
    </row>
    <row r="46" spans="1:10" s="509" customFormat="1" x14ac:dyDescent="0.15">
      <c r="A46" s="507"/>
      <c r="B46" s="508"/>
    </row>
    <row r="47" spans="1:10" s="509" customFormat="1" x14ac:dyDescent="0.15">
      <c r="A47" s="507"/>
      <c r="B47" s="508"/>
    </row>
    <row r="48" spans="1:10" s="509" customFormat="1" x14ac:dyDescent="0.15">
      <c r="A48" s="507"/>
      <c r="B48" s="508"/>
    </row>
    <row r="49" spans="1:2" s="509" customFormat="1" x14ac:dyDescent="0.15">
      <c r="A49" s="507"/>
      <c r="B49" s="508"/>
    </row>
    <row r="50" spans="1:2" s="509" customFormat="1" x14ac:dyDescent="0.15">
      <c r="A50" s="507"/>
      <c r="B50" s="508"/>
    </row>
    <row r="51" spans="1:2" s="509" customFormat="1" x14ac:dyDescent="0.15">
      <c r="A51" s="507"/>
      <c r="B51" s="508"/>
    </row>
    <row r="52" spans="1:2" s="509" customFormat="1" x14ac:dyDescent="0.15">
      <c r="A52" s="507"/>
      <c r="B52" s="508"/>
    </row>
    <row r="53" spans="1:2" s="509" customFormat="1" x14ac:dyDescent="0.15">
      <c r="A53" s="507"/>
      <c r="B53" s="508"/>
    </row>
    <row r="54" spans="1:2" s="509" customFormat="1" x14ac:dyDescent="0.15">
      <c r="A54" s="507"/>
      <c r="B54" s="508"/>
    </row>
    <row r="55" spans="1:2" s="509" customFormat="1" x14ac:dyDescent="0.15">
      <c r="A55" s="507"/>
      <c r="B55" s="508"/>
    </row>
    <row r="56" spans="1:2" s="509" customFormat="1" x14ac:dyDescent="0.15">
      <c r="A56" s="507"/>
      <c r="B56" s="508"/>
    </row>
    <row r="57" spans="1:2" s="509" customFormat="1" x14ac:dyDescent="0.15">
      <c r="A57" s="507"/>
      <c r="B57" s="508"/>
    </row>
    <row r="58" spans="1:2" s="509" customFormat="1" x14ac:dyDescent="0.15">
      <c r="A58" s="507"/>
      <c r="B58" s="508"/>
    </row>
    <row r="59" spans="1:2" s="509" customFormat="1" x14ac:dyDescent="0.15">
      <c r="A59" s="507"/>
      <c r="B59" s="508"/>
    </row>
    <row r="60" spans="1:2" s="509" customFormat="1" x14ac:dyDescent="0.15">
      <c r="A60" s="507"/>
      <c r="B60" s="508"/>
    </row>
    <row r="61" spans="1:2" s="509" customFormat="1" x14ac:dyDescent="0.15">
      <c r="A61" s="507"/>
      <c r="B61" s="508"/>
    </row>
    <row r="62" spans="1:2" s="509" customFormat="1" x14ac:dyDescent="0.15">
      <c r="A62" s="507"/>
      <c r="B62" s="508"/>
    </row>
    <row r="63" spans="1:2" s="509" customFormat="1" x14ac:dyDescent="0.15">
      <c r="A63" s="507"/>
      <c r="B63" s="508"/>
    </row>
    <row r="64" spans="1:2" s="509" customFormat="1" x14ac:dyDescent="0.15">
      <c r="A64" s="507"/>
      <c r="B64" s="508"/>
    </row>
    <row r="65" spans="1:2" s="509" customFormat="1" x14ac:dyDescent="0.15">
      <c r="A65" s="507"/>
      <c r="B65" s="508"/>
    </row>
    <row r="66" spans="1:2" s="509" customFormat="1" x14ac:dyDescent="0.15">
      <c r="A66" s="507"/>
      <c r="B66" s="508"/>
    </row>
    <row r="67" spans="1:2" s="509" customFormat="1" x14ac:dyDescent="0.15">
      <c r="A67" s="507"/>
      <c r="B67" s="508"/>
    </row>
    <row r="68" spans="1:2" s="509" customFormat="1" x14ac:dyDescent="0.15">
      <c r="A68" s="507"/>
      <c r="B68" s="508"/>
    </row>
    <row r="69" spans="1:2" s="509" customFormat="1" x14ac:dyDescent="0.15">
      <c r="A69" s="507"/>
      <c r="B69" s="508"/>
    </row>
    <row r="70" spans="1:2" s="509" customFormat="1" x14ac:dyDescent="0.15">
      <c r="A70" s="507"/>
      <c r="B70" s="508"/>
    </row>
    <row r="71" spans="1:2" s="509" customFormat="1" x14ac:dyDescent="0.15">
      <c r="A71" s="507"/>
      <c r="B71" s="508"/>
    </row>
    <row r="72" spans="1:2" s="509" customFormat="1" x14ac:dyDescent="0.15">
      <c r="A72" s="507"/>
      <c r="B72" s="508"/>
    </row>
    <row r="73" spans="1:2" s="509" customFormat="1" x14ac:dyDescent="0.15">
      <c r="A73" s="507"/>
      <c r="B73" s="508"/>
    </row>
    <row r="74" spans="1:2" s="509" customFormat="1" x14ac:dyDescent="0.15">
      <c r="A74" s="507"/>
      <c r="B74" s="508"/>
    </row>
    <row r="75" spans="1:2" s="509" customFormat="1" x14ac:dyDescent="0.15">
      <c r="A75" s="507"/>
      <c r="B75" s="508"/>
    </row>
    <row r="76" spans="1:2" s="509" customFormat="1" x14ac:dyDescent="0.15">
      <c r="A76" s="507"/>
      <c r="B76" s="508"/>
    </row>
    <row r="77" spans="1:2" s="509" customFormat="1" x14ac:dyDescent="0.15">
      <c r="A77" s="507"/>
      <c r="B77" s="508"/>
    </row>
    <row r="78" spans="1:2" s="509" customFormat="1" x14ac:dyDescent="0.15">
      <c r="A78" s="507"/>
      <c r="B78" s="508"/>
    </row>
    <row r="79" spans="1:2" s="509" customFormat="1" x14ac:dyDescent="0.15">
      <c r="A79" s="507"/>
      <c r="B79" s="508"/>
    </row>
    <row r="80" spans="1:2" s="509" customFormat="1" x14ac:dyDescent="0.15">
      <c r="A80" s="507"/>
      <c r="B80" s="508"/>
    </row>
    <row r="81" spans="1:4" s="509" customFormat="1" x14ac:dyDescent="0.15">
      <c r="A81" s="507"/>
      <c r="B81" s="508"/>
    </row>
    <row r="82" spans="1:4" s="509" customFormat="1" x14ac:dyDescent="0.15">
      <c r="A82" s="507"/>
      <c r="B82" s="508"/>
    </row>
    <row r="83" spans="1:4" s="509" customFormat="1" x14ac:dyDescent="0.15">
      <c r="A83" s="507"/>
      <c r="B83" s="508"/>
    </row>
    <row r="84" spans="1:4" s="509" customFormat="1" x14ac:dyDescent="0.15">
      <c r="A84" s="507"/>
      <c r="B84" s="508"/>
    </row>
    <row r="85" spans="1:4" s="509" customFormat="1" x14ac:dyDescent="0.15">
      <c r="A85" s="507"/>
      <c r="B85" s="508"/>
    </row>
    <row r="86" spans="1:4" s="509" customFormat="1" x14ac:dyDescent="0.15">
      <c r="A86" s="507"/>
      <c r="B86" s="508"/>
    </row>
    <row r="87" spans="1:4" s="509" customFormat="1" x14ac:dyDescent="0.15">
      <c r="A87" s="507"/>
      <c r="B87" s="508"/>
    </row>
    <row r="88" spans="1:4" s="509" customFormat="1" x14ac:dyDescent="0.15">
      <c r="A88" s="507"/>
      <c r="B88" s="508"/>
    </row>
    <row r="89" spans="1:4" s="509" customFormat="1" x14ac:dyDescent="0.15">
      <c r="A89" s="507"/>
      <c r="B89" s="508"/>
    </row>
    <row r="90" spans="1:4" s="509" customFormat="1" x14ac:dyDescent="0.15">
      <c r="A90" s="507"/>
      <c r="B90" s="508"/>
    </row>
    <row r="91" spans="1:4" s="509" customFormat="1" x14ac:dyDescent="0.15">
      <c r="A91" s="507"/>
      <c r="B91" s="508"/>
    </row>
    <row r="92" spans="1:4" s="509" customFormat="1" x14ac:dyDescent="0.15">
      <c r="A92" s="507"/>
      <c r="B92" s="508"/>
    </row>
    <row r="93" spans="1:4" s="509" customFormat="1" x14ac:dyDescent="0.15">
      <c r="A93" s="507"/>
      <c r="B93" s="508"/>
    </row>
    <row r="94" spans="1:4" s="509" customFormat="1" x14ac:dyDescent="0.15">
      <c r="A94" s="507"/>
      <c r="B94" s="508"/>
    </row>
    <row r="95" spans="1:4" s="509" customFormat="1" x14ac:dyDescent="0.15">
      <c r="A95" s="507"/>
      <c r="B95" s="508"/>
    </row>
    <row r="96" spans="1:4" s="509" customFormat="1" x14ac:dyDescent="0.15">
      <c r="A96" s="507"/>
      <c r="B96" s="661"/>
      <c r="C96" s="515"/>
      <c r="D96" s="515"/>
    </row>
    <row r="97" spans="1:10" s="509" customFormat="1" x14ac:dyDescent="0.15">
      <c r="A97" s="507"/>
      <c r="B97" s="661"/>
      <c r="C97" s="515"/>
      <c r="D97" s="515"/>
    </row>
    <row r="98" spans="1:10" s="509" customFormat="1" x14ac:dyDescent="0.15">
      <c r="A98" s="507"/>
      <c r="B98" s="661"/>
      <c r="C98" s="515"/>
      <c r="D98" s="515"/>
    </row>
    <row r="99" spans="1:10" s="509" customFormat="1" x14ac:dyDescent="0.15">
      <c r="A99" s="507"/>
      <c r="B99" s="661"/>
      <c r="C99" s="515"/>
      <c r="D99" s="515"/>
    </row>
    <row r="100" spans="1:10" s="509" customFormat="1" x14ac:dyDescent="0.15">
      <c r="A100" s="507"/>
      <c r="B100" s="661"/>
      <c r="C100" s="515"/>
      <c r="D100" s="515"/>
    </row>
    <row r="101" spans="1:10" s="509" customFormat="1" x14ac:dyDescent="0.15">
      <c r="A101" s="507"/>
      <c r="B101" s="661"/>
      <c r="C101" s="515"/>
      <c r="D101" s="515"/>
    </row>
    <row r="102" spans="1:10" s="509" customFormat="1" x14ac:dyDescent="0.15">
      <c r="A102" s="507"/>
      <c r="B102" s="661"/>
      <c r="C102" s="515"/>
      <c r="D102" s="515"/>
    </row>
    <row r="103" spans="1:10" s="509" customFormat="1" x14ac:dyDescent="0.15">
      <c r="A103" s="507"/>
      <c r="B103" s="661"/>
      <c r="C103" s="515"/>
      <c r="D103" s="515"/>
    </row>
    <row r="104" spans="1:10" s="509" customFormat="1" x14ac:dyDescent="0.15">
      <c r="A104" s="507"/>
      <c r="B104" s="661"/>
      <c r="C104" s="515"/>
      <c r="D104" s="515"/>
      <c r="E104" s="515"/>
    </row>
    <row r="105" spans="1:10" s="509" customFormat="1" x14ac:dyDescent="0.15">
      <c r="A105" s="507"/>
      <c r="B105" s="661"/>
      <c r="C105" s="515"/>
      <c r="D105" s="515"/>
      <c r="E105" s="515"/>
      <c r="G105" s="515"/>
      <c r="H105" s="515"/>
      <c r="I105" s="515"/>
    </row>
    <row r="106" spans="1:10" x14ac:dyDescent="0.15">
      <c r="F106" s="509"/>
      <c r="J106" s="509"/>
    </row>
    <row r="107" spans="1:10" x14ac:dyDescent="0.15">
      <c r="J107" s="509"/>
    </row>
  </sheetData>
  <sheetProtection password="CA39" sheet="1" objects="1" scenarios="1"/>
  <mergeCells count="1">
    <mergeCell ref="A27:I31"/>
  </mergeCells>
  <phoneticPr fontId="17" type="noConversion"/>
  <pageMargins left="0.39370078740157483" right="0.39370078740157483" top="0.39370078740157483" bottom="0.39370078740157483" header="0.51181102362204722" footer="0.51181102362204722"/>
  <pageSetup paperSize="9" orientation="landscape" horizontalDpi="300" verticalDpi="300" r:id="rId1"/>
  <headerFooter alignWithMargins="0"/>
  <drawing r:id="rId2"/>
  <legacyDrawing r:id="rId3"/>
  <oleObjects>
    <mc:AlternateContent xmlns:mc="http://schemas.openxmlformats.org/markup-compatibility/2006">
      <mc:Choice Requires="x14">
        <oleObject progId="MSPhotoEd.3" shapeId="28694" r:id="rId4">
          <objectPr defaultSize="0" autoPict="0" r:id="rId5">
            <anchor moveWithCells="1" sizeWithCells="1">
              <from>
                <xdr:col>7</xdr:col>
                <xdr:colOff>1266825</xdr:colOff>
                <xdr:row>1</xdr:row>
                <xdr:rowOff>57150</xdr:rowOff>
              </from>
              <to>
                <xdr:col>8</xdr:col>
                <xdr:colOff>0</xdr:colOff>
                <xdr:row>2</xdr:row>
                <xdr:rowOff>0</xdr:rowOff>
              </to>
            </anchor>
          </objectPr>
        </oleObject>
      </mc:Choice>
      <mc:Fallback>
        <oleObject progId="MSPhotoEd.3" shapeId="28694"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pageSetUpPr autoPageBreaks="0"/>
  </sheetPr>
  <dimension ref="A1:E19"/>
  <sheetViews>
    <sheetView showGridLines="0" showZeros="0" showOutlineSymbols="0" zoomScaleNormal="100" zoomScaleSheetLayoutView="100" workbookViewId="0"/>
  </sheetViews>
  <sheetFormatPr defaultRowHeight="11.25" x14ac:dyDescent="0.15"/>
  <cols>
    <col min="1" max="1" width="5.7109375" style="656" customWidth="1"/>
    <col min="2" max="2" width="91.5703125" style="515" customWidth="1"/>
    <col min="3" max="3" width="21.42578125" style="515" customWidth="1"/>
    <col min="4" max="4" width="12.7109375" style="515" customWidth="1"/>
    <col min="5" max="5" width="5.7109375" style="515" customWidth="1"/>
    <col min="6" max="16384" width="9.140625" style="515"/>
  </cols>
  <sheetData>
    <row r="1" spans="1:5" s="524" customFormat="1" ht="15.95" customHeight="1" x14ac:dyDescent="0.15">
      <c r="A1" s="507"/>
      <c r="B1" s="509"/>
      <c r="C1" s="598"/>
      <c r="E1" s="509"/>
    </row>
    <row r="2" spans="1:5" s="582" customFormat="1" ht="15.75" customHeight="1" x14ac:dyDescent="0.2">
      <c r="A2" s="657" t="str">
        <f>CONCATENATE("Vaststelling Transitiebedrag ",Voorblad!K4)</f>
        <v>Vaststelling Transitiebedrag 2013</v>
      </c>
      <c r="C2" s="650"/>
      <c r="D2" s="650"/>
      <c r="E2" s="659">
        <f>Inhoud!$I$2+1</f>
        <v>3</v>
      </c>
    </row>
    <row r="3" spans="1:5" s="514" customFormat="1" ht="12" customHeight="1" x14ac:dyDescent="0.15">
      <c r="A3" s="651"/>
    </row>
    <row r="4" spans="1:5" s="509" customFormat="1" x14ac:dyDescent="0.15">
      <c r="A4" s="507" t="s">
        <v>41</v>
      </c>
    </row>
    <row r="5" spans="1:5" s="509" customFormat="1" x14ac:dyDescent="0.15">
      <c r="A5" s="507"/>
    </row>
    <row r="6" spans="1:5" s="509" customFormat="1" ht="12.6" customHeight="1" x14ac:dyDescent="0.15">
      <c r="A6" s="507" t="s">
        <v>390</v>
      </c>
      <c r="B6" s="507"/>
      <c r="C6" s="925"/>
      <c r="D6" s="829"/>
      <c r="E6" s="925"/>
    </row>
    <row r="7" spans="1:5" s="509" customFormat="1" ht="48.75" customHeight="1" x14ac:dyDescent="0.2">
      <c r="A7" s="1199" t="s">
        <v>370</v>
      </c>
      <c r="B7" s="1200"/>
      <c r="C7" s="1200"/>
      <c r="D7" s="1200"/>
      <c r="E7" s="1200"/>
    </row>
    <row r="8" spans="1:5" s="509" customFormat="1" ht="40.5" customHeight="1" x14ac:dyDescent="0.15">
      <c r="A8" s="1199" t="s">
        <v>371</v>
      </c>
      <c r="B8" s="1199"/>
      <c r="C8" s="1199"/>
      <c r="D8" s="1199"/>
      <c r="E8" s="1199"/>
    </row>
    <row r="9" spans="1:5" s="544" customFormat="1" ht="12.75" customHeight="1" x14ac:dyDescent="0.2">
      <c r="A9" s="1204" t="s">
        <v>391</v>
      </c>
      <c r="B9" s="1204"/>
      <c r="C9" s="926"/>
      <c r="D9" s="926"/>
      <c r="E9" s="926"/>
    </row>
    <row r="10" spans="1:5" s="509" customFormat="1" ht="82.5" customHeight="1" x14ac:dyDescent="0.15">
      <c r="A10" s="1203" t="s">
        <v>457</v>
      </c>
      <c r="B10" s="1203"/>
      <c r="C10" s="1203"/>
      <c r="D10" s="1203"/>
      <c r="E10" s="1203"/>
    </row>
    <row r="11" spans="1:5" s="509" customFormat="1" ht="12.75" customHeight="1" x14ac:dyDescent="0.15">
      <c r="A11" s="1202" t="s">
        <v>4</v>
      </c>
      <c r="B11" s="1202"/>
      <c r="C11" s="1202"/>
      <c r="D11" s="1202"/>
      <c r="E11" s="1202"/>
    </row>
    <row r="12" spans="1:5" s="509" customFormat="1" ht="37.5" customHeight="1" x14ac:dyDescent="0.15">
      <c r="A12" s="1203" t="s">
        <v>458</v>
      </c>
      <c r="B12" s="1203"/>
      <c r="C12" s="1203"/>
      <c r="D12" s="1203"/>
      <c r="E12" s="1203"/>
    </row>
    <row r="13" spans="1:5" s="509" customFormat="1" ht="78" customHeight="1" x14ac:dyDescent="0.15">
      <c r="A13" s="1207" t="s">
        <v>443</v>
      </c>
      <c r="B13" s="1208"/>
      <c r="C13" s="1208"/>
      <c r="D13" s="1208"/>
      <c r="E13" s="1208"/>
    </row>
    <row r="14" spans="1:5" s="509" customFormat="1" ht="40.5" customHeight="1" x14ac:dyDescent="0.15">
      <c r="A14" s="1199" t="s">
        <v>444</v>
      </c>
      <c r="B14" s="1199"/>
      <c r="C14" s="1199"/>
      <c r="D14" s="1199"/>
      <c r="E14" s="1199"/>
    </row>
    <row r="15" spans="1:5" s="524" customFormat="1" ht="15.6" customHeight="1" x14ac:dyDescent="0.15">
      <c r="A15" s="1201" t="s">
        <v>5</v>
      </c>
      <c r="B15" s="1201"/>
      <c r="C15" s="1201"/>
      <c r="D15" s="1201"/>
      <c r="E15" s="1201"/>
    </row>
    <row r="16" spans="1:5" s="582" customFormat="1" ht="28.5" customHeight="1" x14ac:dyDescent="0.2">
      <c r="A16" s="1206" t="s">
        <v>459</v>
      </c>
      <c r="B16" s="1206"/>
      <c r="C16" s="1206"/>
      <c r="D16" s="1206"/>
      <c r="E16" s="1206"/>
    </row>
    <row r="17" spans="1:5" s="582" customFormat="1" ht="58.5" customHeight="1" x14ac:dyDescent="0.2">
      <c r="A17" s="1206" t="s">
        <v>460</v>
      </c>
      <c r="B17" s="1206"/>
      <c r="C17" s="1206"/>
      <c r="D17" s="1206"/>
      <c r="E17" s="1206"/>
    </row>
    <row r="18" spans="1:5" s="544" customFormat="1" ht="12" customHeight="1" x14ac:dyDescent="0.15">
      <c r="A18" s="624" t="s">
        <v>6</v>
      </c>
      <c r="B18" s="927"/>
      <c r="C18" s="928"/>
      <c r="D18" s="928"/>
      <c r="E18" s="928"/>
    </row>
    <row r="19" spans="1:5" s="544" customFormat="1" ht="12" customHeight="1" x14ac:dyDescent="0.2">
      <c r="A19" s="1205" t="s">
        <v>7</v>
      </c>
      <c r="B19" s="1205"/>
      <c r="C19" s="1205"/>
      <c r="D19" s="1205"/>
      <c r="E19" s="1205"/>
    </row>
  </sheetData>
  <sheetProtection password="CA39" sheet="1" objects="1" scenarios="1"/>
  <mergeCells count="12">
    <mergeCell ref="A19:E19"/>
    <mergeCell ref="A16:E16"/>
    <mergeCell ref="A12:E12"/>
    <mergeCell ref="A13:E13"/>
    <mergeCell ref="A14:E14"/>
    <mergeCell ref="A17:E17"/>
    <mergeCell ref="A7:E7"/>
    <mergeCell ref="A8:E8"/>
    <mergeCell ref="A15:E15"/>
    <mergeCell ref="A11:E11"/>
    <mergeCell ref="A10:E10"/>
    <mergeCell ref="A9:B9"/>
  </mergeCells>
  <phoneticPr fontId="17" type="noConversion"/>
  <pageMargins left="0.39370078740157483" right="0.39370078740157483" top="0.39370078740157483" bottom="0.39370078740157483" header="0.51181102362204722" footer="0.51181102362204722"/>
  <pageSetup paperSize="9" orientation="landscape" horizontalDpi="300" verticalDpi="300" r:id="rId1"/>
  <headerFooter alignWithMargins="0"/>
  <drawing r:id="rId2"/>
  <legacyDrawing r:id="rId3"/>
  <oleObjects>
    <mc:AlternateContent xmlns:mc="http://schemas.openxmlformats.org/markup-compatibility/2006">
      <mc:Choice Requires="x14">
        <oleObject progId="MSPhotoEd.3" shapeId="26771" r:id="rId4">
          <objectPr defaultSize="0" autoPict="0" r:id="rId5">
            <anchor moveWithCells="1" sizeWithCells="1">
              <from>
                <xdr:col>2</xdr:col>
                <xdr:colOff>752475</xdr:colOff>
                <xdr:row>19</xdr:row>
                <xdr:rowOff>0</xdr:rowOff>
              </from>
              <to>
                <xdr:col>4</xdr:col>
                <xdr:colOff>9525</xdr:colOff>
                <xdr:row>19</xdr:row>
                <xdr:rowOff>0</xdr:rowOff>
              </to>
            </anchor>
          </objectPr>
        </oleObject>
      </mc:Choice>
      <mc:Fallback>
        <oleObject progId="MSPhotoEd.3" shapeId="26771" r:id="rId4"/>
      </mc:Fallback>
    </mc:AlternateContent>
    <mc:AlternateContent xmlns:mc="http://schemas.openxmlformats.org/markup-compatibility/2006">
      <mc:Choice Requires="x14">
        <oleObject progId="MSPhotoEd.3" shapeId="26772" r:id="rId6">
          <objectPr defaultSize="0" autoPict="0" r:id="rId5">
            <anchor moveWithCells="1" sizeWithCells="1">
              <from>
                <xdr:col>2</xdr:col>
                <xdr:colOff>762000</xdr:colOff>
                <xdr:row>1</xdr:row>
                <xdr:rowOff>47625</xdr:rowOff>
              </from>
              <to>
                <xdr:col>4</xdr:col>
                <xdr:colOff>19050</xdr:colOff>
                <xdr:row>1</xdr:row>
                <xdr:rowOff>190500</xdr:rowOff>
              </to>
            </anchor>
          </objectPr>
        </oleObject>
      </mc:Choice>
      <mc:Fallback>
        <oleObject progId="MSPhotoEd.3" shapeId="26772" r:id="rId6"/>
      </mc:Fallback>
    </mc:AlternateContent>
    <mc:AlternateContent xmlns:mc="http://schemas.openxmlformats.org/markup-compatibility/2006">
      <mc:Choice Requires="x14">
        <oleObject progId="MSPhotoEd.3" shapeId="26773" r:id="rId7">
          <objectPr defaultSize="0" autoPict="0" r:id="rId5">
            <anchor moveWithCells="1" sizeWithCells="1">
              <from>
                <xdr:col>1</xdr:col>
                <xdr:colOff>714375</xdr:colOff>
                <xdr:row>19</xdr:row>
                <xdr:rowOff>0</xdr:rowOff>
              </from>
              <to>
                <xdr:col>2</xdr:col>
                <xdr:colOff>819150</xdr:colOff>
                <xdr:row>19</xdr:row>
                <xdr:rowOff>0</xdr:rowOff>
              </to>
            </anchor>
          </objectPr>
        </oleObject>
      </mc:Choice>
      <mc:Fallback>
        <oleObject progId="MSPhotoEd.3" shapeId="26773" r:id="rId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pageSetUpPr fitToPage="1"/>
  </sheetPr>
  <dimension ref="A1:P44"/>
  <sheetViews>
    <sheetView showGridLines="0" showZeros="0" showOutlineSymbols="0" view="pageBreakPreview" zoomScaleNormal="100" workbookViewId="0"/>
  </sheetViews>
  <sheetFormatPr defaultRowHeight="11.25" x14ac:dyDescent="0.15"/>
  <cols>
    <col min="1" max="1" width="6.140625" style="507" customWidth="1"/>
    <col min="2" max="2" width="8.7109375" style="509" customWidth="1"/>
    <col min="3" max="3" width="48.85546875" style="509" customWidth="1"/>
    <col min="4" max="4" width="18.42578125" style="640" customWidth="1"/>
    <col min="5" max="5" width="12.85546875" style="509" customWidth="1"/>
    <col min="6" max="6" width="4" style="509" customWidth="1"/>
    <col min="7" max="7" width="6.140625" style="641" customWidth="1"/>
    <col min="8" max="8" width="24.28515625" style="507" customWidth="1"/>
    <col min="9" max="9" width="31.140625" style="509" customWidth="1"/>
    <col min="10" max="10" width="11.85546875" style="598" customWidth="1"/>
    <col min="11" max="11" width="10.28515625" style="509" customWidth="1"/>
    <col min="12" max="12" width="8.7109375" style="509" customWidth="1"/>
    <col min="13" max="13" width="12.7109375" style="509" customWidth="1"/>
    <col min="14" max="14" width="1.7109375" style="524" customWidth="1"/>
    <col min="15" max="15" width="10.7109375" style="524" customWidth="1"/>
    <col min="16" max="16" width="10.7109375" style="523" customWidth="1"/>
    <col min="17" max="21" width="10.7109375" style="524" customWidth="1"/>
    <col min="22" max="29" width="9.140625" style="524"/>
    <col min="30" max="30" width="1.7109375" style="524" customWidth="1"/>
    <col min="31" max="16384" width="9.140625" style="524"/>
  </cols>
  <sheetData>
    <row r="1" spans="1:16" ht="15.95" customHeight="1" x14ac:dyDescent="0.15">
      <c r="E1" s="965"/>
      <c r="J1" s="685"/>
      <c r="L1" s="598"/>
    </row>
    <row r="2" spans="1:16" s="582" customFormat="1" ht="15.75" customHeight="1" x14ac:dyDescent="0.2">
      <c r="A2" s="657" t="str">
        <f>CONCATENATE("Vaststelling Transitiebedrag ",Voorblad!K4)</f>
        <v>Vaststelling Transitiebedrag 2013</v>
      </c>
      <c r="D2" s="658"/>
      <c r="E2" s="966"/>
      <c r="F2" s="639"/>
      <c r="G2" s="650" t="b">
        <f>Voorblad!D26</f>
        <v>1</v>
      </c>
      <c r="H2" s="639"/>
      <c r="J2" s="923">
        <f>instructie!E2+1</f>
        <v>4</v>
      </c>
      <c r="L2" s="723"/>
    </row>
    <row r="3" spans="1:16" s="523" customFormat="1" x14ac:dyDescent="0.15">
      <c r="A3" s="657"/>
      <c r="B3" s="582"/>
      <c r="C3" s="582"/>
      <c r="D3" s="658"/>
      <c r="E3" s="966"/>
      <c r="F3" s="639"/>
      <c r="G3" s="650"/>
      <c r="H3" s="639"/>
      <c r="I3" s="582"/>
      <c r="J3" s="923"/>
    </row>
    <row r="4" spans="1:16" ht="12.75" customHeight="1" x14ac:dyDescent="0.15">
      <c r="A4" s="513" t="str">
        <f>CONCATENATE("RUBRIEK 1: WERKELIJKE OPBRENGSTEN ")</f>
        <v xml:space="preserve">RUBRIEK 1: WERKELIJKE OPBRENGSTEN </v>
      </c>
      <c r="E4" s="965"/>
      <c r="G4" s="507"/>
      <c r="H4" s="598"/>
      <c r="J4" s="685"/>
      <c r="K4" s="621"/>
      <c r="L4" s="523"/>
      <c r="M4" s="524"/>
      <c r="P4" s="524"/>
    </row>
    <row r="5" spans="1:16" ht="12.75" customHeight="1" x14ac:dyDescent="0.2">
      <c r="A5" s="1213" t="str">
        <f>IF(Voorblad!$F$9&lt;1,"Vul het NZa-nummer in op het voorblad","")</f>
        <v>Vul het NZa-nummer in op het voorblad</v>
      </c>
      <c r="B5" s="1214"/>
      <c r="C5" s="1214"/>
      <c r="D5" s="903"/>
      <c r="E5" s="967"/>
      <c r="F5" s="917"/>
      <c r="G5" s="621"/>
      <c r="H5" s="509"/>
      <c r="I5" s="621"/>
      <c r="J5" s="968"/>
      <c r="K5" s="524"/>
      <c r="L5" s="524"/>
      <c r="M5" s="524"/>
      <c r="P5" s="524"/>
    </row>
    <row r="6" spans="1:16" s="544" customFormat="1" ht="12.75" customHeight="1" x14ac:dyDescent="0.2">
      <c r="A6" s="918" t="s">
        <v>76</v>
      </c>
      <c r="B6" s="1215" t="s">
        <v>267</v>
      </c>
      <c r="C6" s="1217"/>
      <c r="D6" s="1216"/>
      <c r="E6" s="969" t="s">
        <v>321</v>
      </c>
      <c r="F6" s="919"/>
      <c r="G6" s="918" t="s">
        <v>76</v>
      </c>
      <c r="H6" s="1215" t="s">
        <v>267</v>
      </c>
      <c r="I6" s="1216"/>
      <c r="J6" s="969" t="s">
        <v>321</v>
      </c>
    </row>
    <row r="7" spans="1:16" ht="12.75" customHeight="1" x14ac:dyDescent="0.15">
      <c r="A7" s="642"/>
      <c r="B7" s="642"/>
      <c r="C7" s="642"/>
      <c r="E7" s="970"/>
      <c r="F7" s="642"/>
      <c r="G7" s="642"/>
      <c r="H7" s="642"/>
      <c r="I7" s="642"/>
      <c r="J7" s="971"/>
      <c r="K7" s="524"/>
      <c r="L7" s="524"/>
      <c r="M7" s="524"/>
      <c r="P7" s="524"/>
    </row>
    <row r="8" spans="1:16" s="523" customFormat="1" ht="12.75" customHeight="1" x14ac:dyDescent="0.15">
      <c r="A8" s="513" t="s">
        <v>392</v>
      </c>
      <c r="B8" s="1218" t="s">
        <v>374</v>
      </c>
      <c r="C8" s="1218"/>
      <c r="D8" s="1218"/>
      <c r="E8" s="644"/>
      <c r="F8" s="642"/>
      <c r="G8" s="620" t="s">
        <v>312</v>
      </c>
      <c r="H8" s="645" t="s">
        <v>376</v>
      </c>
      <c r="I8" s="644"/>
      <c r="J8" s="987"/>
    </row>
    <row r="9" spans="1:16" s="523" customFormat="1" ht="12.75" customHeight="1" x14ac:dyDescent="0.2">
      <c r="A9" s="973">
        <v>401</v>
      </c>
      <c r="B9" s="974" t="str">
        <f>"Omzet activiteiten "&amp;Voorblad!K4&amp;" van DBC's geopend in "&amp;Voorblad!K4-1&amp;" gesloten in "&amp;Voorblad!K4</f>
        <v>Omzet activiteiten 2013 van DBC's geopend in 2012 gesloten in 2013</v>
      </c>
      <c r="C9" s="805"/>
      <c r="D9" s="806"/>
      <c r="E9" s="975"/>
      <c r="F9" s="645"/>
      <c r="G9" s="988">
        <f>A44+1</f>
        <v>428</v>
      </c>
      <c r="H9" s="989" t="str">
        <f>"Kostencomponent omzet DBC-B in "&amp;Voorblad!K4</f>
        <v>Kostencomponent omzet DBC-B in 2013</v>
      </c>
      <c r="I9" s="990"/>
      <c r="J9" s="991"/>
    </row>
    <row r="10" spans="1:16" ht="12.75" customHeight="1" x14ac:dyDescent="0.15">
      <c r="A10" s="973">
        <v>402</v>
      </c>
      <c r="B10" s="974" t="str">
        <f>"Omzet DBC´s A-segment gesloten in "&amp;Voorblad!K4</f>
        <v>Omzet DBC´s A-segment gesloten in 2013</v>
      </c>
      <c r="C10" s="805"/>
      <c r="D10" s="806"/>
      <c r="E10" s="975"/>
      <c r="F10" s="645"/>
      <c r="G10" s="988">
        <f>G9+1</f>
        <v>429</v>
      </c>
      <c r="H10" s="981" t="s">
        <v>377</v>
      </c>
      <c r="I10" s="992"/>
      <c r="J10" s="975"/>
      <c r="K10" s="524"/>
      <c r="L10" s="524"/>
      <c r="M10" s="524"/>
      <c r="P10" s="524"/>
    </row>
    <row r="11" spans="1:16" ht="12.75" customHeight="1" x14ac:dyDescent="0.15">
      <c r="A11" s="973">
        <v>403</v>
      </c>
      <c r="B11" s="974" t="str">
        <f>"Mutatie Openstaande DBC´s A-segment ult. "&amp;Voorblad!K4&amp;" (onderh. werk)"</f>
        <v>Mutatie Openstaande DBC´s A-segment ult. 2013 (onderh. werk)</v>
      </c>
      <c r="C11" s="805"/>
      <c r="D11" s="806"/>
      <c r="E11" s="979"/>
      <c r="F11" s="646"/>
      <c r="G11" s="988">
        <f>G10+1</f>
        <v>430</v>
      </c>
      <c r="H11" s="983" t="str">
        <f>CONCATENATE("Totaal opbrengsten B-segment (",G9," t/m ",G10,")")</f>
        <v>Totaal opbrengsten B-segment (428 t/m 429)</v>
      </c>
      <c r="I11" s="984"/>
      <c r="J11" s="985">
        <f>SUM(J9:J10)</f>
        <v>0</v>
      </c>
      <c r="K11" s="524"/>
      <c r="L11" s="524"/>
      <c r="M11" s="524"/>
      <c r="P11" s="524"/>
    </row>
    <row r="12" spans="1:16" ht="12.75" customHeight="1" x14ac:dyDescent="0.2">
      <c r="A12" s="973">
        <v>404</v>
      </c>
      <c r="B12" s="974" t="s">
        <v>375</v>
      </c>
      <c r="C12" s="805"/>
      <c r="D12" s="806"/>
      <c r="E12" s="979"/>
      <c r="F12" s="646"/>
      <c r="G12" s="889"/>
      <c r="H12" s="871"/>
      <c r="I12" s="871"/>
      <c r="J12" s="994"/>
      <c r="K12" s="524"/>
      <c r="L12" s="524"/>
      <c r="M12" s="524"/>
      <c r="P12" s="524"/>
    </row>
    <row r="13" spans="1:16" ht="12.75" customHeight="1" x14ac:dyDescent="0.15">
      <c r="A13" s="973">
        <v>405</v>
      </c>
      <c r="B13" s="974" t="str">
        <f>"Honoraria-opbrengsten voor med. special. hulp in loondienst openstaand  ult. "&amp;Voorblad!K4</f>
        <v>Honoraria-opbrengsten voor med. special. hulp in loondienst openstaand  ult. 2013</v>
      </c>
      <c r="C13" s="805"/>
      <c r="D13" s="806"/>
      <c r="E13" s="975"/>
      <c r="F13" s="646"/>
      <c r="G13" s="995" t="s">
        <v>394</v>
      </c>
      <c r="H13" s="648" t="s">
        <v>178</v>
      </c>
      <c r="I13" s="648"/>
      <c r="J13" s="996"/>
      <c r="K13" s="524"/>
      <c r="L13" s="524"/>
      <c r="M13" s="524"/>
      <c r="P13" s="524"/>
    </row>
    <row r="14" spans="1:16" ht="12.75" customHeight="1" x14ac:dyDescent="0.15">
      <c r="A14" s="980">
        <v>406</v>
      </c>
      <c r="B14" s="886" t="s">
        <v>116</v>
      </c>
      <c r="C14" s="920"/>
      <c r="D14" s="887"/>
      <c r="E14" s="993">
        <f>SUM(E9:E13)</f>
        <v>0</v>
      </c>
      <c r="F14" s="646"/>
      <c r="G14" s="976">
        <f>G11+1</f>
        <v>431</v>
      </c>
      <c r="H14" s="941" t="s">
        <v>378</v>
      </c>
      <c r="I14" s="922"/>
      <c r="J14" s="977"/>
      <c r="K14" s="524"/>
      <c r="L14" s="524"/>
      <c r="M14" s="523"/>
      <c r="P14" s="524"/>
    </row>
    <row r="15" spans="1:16" ht="11.25" customHeight="1" x14ac:dyDescent="0.15">
      <c r="A15" s="758"/>
      <c r="B15" s="921"/>
      <c r="C15" s="921"/>
      <c r="D15" s="921"/>
      <c r="E15" s="986"/>
      <c r="F15" s="646"/>
      <c r="G15" s="976">
        <f>G14+1</f>
        <v>432</v>
      </c>
      <c r="H15" s="941" t="s">
        <v>174</v>
      </c>
      <c r="I15" s="922"/>
      <c r="J15" s="977"/>
      <c r="K15" s="524"/>
      <c r="L15" s="524"/>
      <c r="M15" s="523"/>
      <c r="P15" s="524"/>
    </row>
    <row r="16" spans="1:16" ht="12.75" customHeight="1" x14ac:dyDescent="0.15">
      <c r="A16" s="513" t="s">
        <v>22</v>
      </c>
      <c r="B16" s="972" t="s">
        <v>380</v>
      </c>
      <c r="C16" s="972"/>
      <c r="D16" s="972"/>
      <c r="E16" s="998"/>
      <c r="F16" s="646"/>
      <c r="G16" s="976">
        <f t="shared" ref="G16:G23" si="0">G15+1</f>
        <v>433</v>
      </c>
      <c r="H16" s="941" t="s">
        <v>379</v>
      </c>
      <c r="I16" s="922"/>
      <c r="J16" s="977"/>
      <c r="K16" s="524"/>
      <c r="L16" s="524"/>
      <c r="M16" s="523"/>
      <c r="P16" s="524"/>
    </row>
    <row r="17" spans="1:16" ht="12.75" customHeight="1" x14ac:dyDescent="0.15">
      <c r="A17" s="978">
        <f>A14+1</f>
        <v>407</v>
      </c>
      <c r="B17" s="855">
        <v>190031</v>
      </c>
      <c r="C17" s="942" t="s">
        <v>172</v>
      </c>
      <c r="D17" s="943"/>
      <c r="E17" s="999"/>
      <c r="F17" s="646"/>
      <c r="G17" s="976">
        <f t="shared" si="0"/>
        <v>434</v>
      </c>
      <c r="H17" s="941" t="s">
        <v>175</v>
      </c>
      <c r="I17" s="922"/>
      <c r="J17" s="977"/>
      <c r="K17" s="523"/>
      <c r="L17" s="524"/>
      <c r="M17" s="523"/>
      <c r="P17" s="524"/>
    </row>
    <row r="18" spans="1:16" ht="12.75" customHeight="1" x14ac:dyDescent="0.15">
      <c r="A18" s="978">
        <f>A17+1</f>
        <v>408</v>
      </c>
      <c r="B18" s="855">
        <v>190032</v>
      </c>
      <c r="C18" s="942" t="s">
        <v>381</v>
      </c>
      <c r="D18" s="943"/>
      <c r="E18" s="999"/>
      <c r="F18" s="647"/>
      <c r="G18" s="976">
        <f t="shared" si="0"/>
        <v>435</v>
      </c>
      <c r="H18" s="941" t="s">
        <v>176</v>
      </c>
      <c r="I18" s="922"/>
      <c r="J18" s="977"/>
      <c r="K18" s="524"/>
      <c r="L18" s="524"/>
      <c r="M18" s="523"/>
      <c r="P18" s="524"/>
    </row>
    <row r="19" spans="1:16" ht="12.75" customHeight="1" x14ac:dyDescent="0.15">
      <c r="A19" s="978">
        <f>A18+1</f>
        <v>409</v>
      </c>
      <c r="B19" s="855">
        <v>190033</v>
      </c>
      <c r="C19" s="942" t="s">
        <v>383</v>
      </c>
      <c r="D19" s="943"/>
      <c r="E19" s="999"/>
      <c r="F19" s="641"/>
      <c r="G19" s="976">
        <f t="shared" si="0"/>
        <v>436</v>
      </c>
      <c r="H19" s="941" t="s">
        <v>177</v>
      </c>
      <c r="I19" s="922"/>
      <c r="J19" s="977"/>
      <c r="K19" s="524"/>
      <c r="L19" s="524"/>
      <c r="M19" s="523"/>
      <c r="P19" s="524"/>
    </row>
    <row r="20" spans="1:16" ht="12.75" customHeight="1" x14ac:dyDescent="0.15">
      <c r="A20" s="978">
        <f>A19+1</f>
        <v>410</v>
      </c>
      <c r="B20" s="886" t="str">
        <f>CONCATENATE("Totaal opbrengst trajecten  (",A17, " t/m ",A19, ")")</f>
        <v>Totaal opbrengst trajecten  (407 t/m 409)</v>
      </c>
      <c r="C20" s="920"/>
      <c r="D20" s="887"/>
      <c r="E20" s="993">
        <f>SUM(E17:E19)</f>
        <v>0</v>
      </c>
      <c r="F20" s="645"/>
      <c r="G20" s="976">
        <f t="shared" si="0"/>
        <v>437</v>
      </c>
      <c r="H20" s="941" t="s">
        <v>382</v>
      </c>
      <c r="I20" s="922"/>
      <c r="J20" s="977"/>
      <c r="K20" s="524"/>
      <c r="L20" s="524"/>
      <c r="M20" s="523"/>
      <c r="P20" s="524"/>
    </row>
    <row r="21" spans="1:16" ht="12.75" customHeight="1" x14ac:dyDescent="0.15">
      <c r="A21" s="870"/>
      <c r="E21" s="997"/>
      <c r="F21" s="645"/>
      <c r="G21" s="976">
        <f t="shared" si="0"/>
        <v>438</v>
      </c>
      <c r="H21" s="941" t="s">
        <v>447</v>
      </c>
      <c r="I21" s="922"/>
      <c r="J21" s="977"/>
      <c r="K21" s="524"/>
      <c r="L21" s="524"/>
      <c r="M21" s="523"/>
      <c r="P21" s="524"/>
    </row>
    <row r="22" spans="1:16" s="523" customFormat="1" ht="12.75" customHeight="1" x14ac:dyDescent="0.15">
      <c r="A22" s="513" t="s">
        <v>393</v>
      </c>
      <c r="B22" s="645" t="s">
        <v>120</v>
      </c>
      <c r="C22" s="644"/>
      <c r="E22" s="997"/>
      <c r="F22" s="646"/>
      <c r="G22" s="976">
        <f t="shared" si="0"/>
        <v>439</v>
      </c>
      <c r="H22" s="941" t="s">
        <v>384</v>
      </c>
      <c r="I22" s="922"/>
      <c r="J22" s="977"/>
      <c r="K22" s="524"/>
    </row>
    <row r="23" spans="1:16" s="523" customFormat="1" ht="12.75" customHeight="1" x14ac:dyDescent="0.15">
      <c r="A23" s="978">
        <f>A20+1</f>
        <v>411</v>
      </c>
      <c r="B23" s="942" t="s">
        <v>385</v>
      </c>
      <c r="C23" s="953"/>
      <c r="D23" s="943"/>
      <c r="E23" s="979"/>
      <c r="F23" s="646"/>
      <c r="G23" s="976">
        <f t="shared" si="0"/>
        <v>440</v>
      </c>
      <c r="H23" s="941" t="s">
        <v>120</v>
      </c>
      <c r="I23" s="922"/>
      <c r="J23" s="977"/>
      <c r="K23" s="524"/>
    </row>
    <row r="24" spans="1:16" ht="12.75" customHeight="1" x14ac:dyDescent="0.15">
      <c r="A24" s="978">
        <f>A23+1</f>
        <v>412</v>
      </c>
      <c r="B24" s="509" t="s">
        <v>386</v>
      </c>
      <c r="C24" s="953"/>
      <c r="D24" s="943"/>
      <c r="E24" s="979"/>
      <c r="F24" s="646"/>
      <c r="G24" s="976">
        <f>G23+1</f>
        <v>441</v>
      </c>
      <c r="H24" s="983" t="str">
        <f>CONCATENATE("Totaal aanvullende inkomsten ",Voorblad!K4," (",G14," t/m ",G23,")")</f>
        <v>Totaal aanvullende inkomsten 2013 (431 t/m 440)</v>
      </c>
      <c r="I24" s="984"/>
      <c r="J24" s="982">
        <f>SUM(J14:J23)</f>
        <v>0</v>
      </c>
      <c r="K24" s="523"/>
      <c r="L24" s="524"/>
      <c r="M24" s="524"/>
      <c r="P24" s="524"/>
    </row>
    <row r="25" spans="1:16" ht="12.75" customHeight="1" x14ac:dyDescent="0.2">
      <c r="A25" s="978">
        <f>A24+1</f>
        <v>413</v>
      </c>
      <c r="B25" s="942" t="s">
        <v>387</v>
      </c>
      <c r="C25" s="953"/>
      <c r="D25" s="943"/>
      <c r="E25" s="979"/>
      <c r="F25" s="646"/>
      <c r="G25" s="1000"/>
      <c r="H25" s="1001"/>
      <c r="I25" s="1001"/>
      <c r="J25" s="1001"/>
      <c r="K25" s="523"/>
      <c r="L25" s="524"/>
      <c r="M25" s="524"/>
      <c r="P25" s="524"/>
    </row>
    <row r="26" spans="1:16" ht="12.75" customHeight="1" x14ac:dyDescent="0.15">
      <c r="A26" s="978">
        <f>A25+1</f>
        <v>414</v>
      </c>
      <c r="B26" s="886" t="str">
        <f>CONCATENATE("Totaal overige opbrengsten  (",A23, " t/m ", A25,")")</f>
        <v>Totaal overige opbrengsten  (411 t/m 413)</v>
      </c>
      <c r="C26" s="574"/>
      <c r="D26" s="575"/>
      <c r="E26" s="1002">
        <f>SUM(E23:E25)</f>
        <v>0</v>
      </c>
      <c r="F26" s="646"/>
      <c r="G26" s="1212" t="s">
        <v>442</v>
      </c>
      <c r="H26" s="1212"/>
      <c r="I26" s="1212"/>
      <c r="J26" s="1212"/>
      <c r="K26" s="523"/>
      <c r="L26" s="524"/>
      <c r="M26" s="524"/>
      <c r="P26" s="524"/>
    </row>
    <row r="27" spans="1:16" ht="12.75" customHeight="1" x14ac:dyDescent="0.15">
      <c r="E27" s="965"/>
      <c r="F27" s="644"/>
      <c r="G27" s="1212"/>
      <c r="H27" s="1212"/>
      <c r="I27" s="1212"/>
      <c r="J27" s="1212"/>
      <c r="K27" s="1045"/>
      <c r="L27" s="524"/>
      <c r="M27" s="523"/>
      <c r="P27" s="524"/>
    </row>
    <row r="28" spans="1:16" ht="12.75" customHeight="1" x14ac:dyDescent="0.15">
      <c r="A28" s="995" t="s">
        <v>56</v>
      </c>
      <c r="B28" s="866" t="s">
        <v>119</v>
      </c>
      <c r="C28" s="866"/>
      <c r="D28" s="1003"/>
      <c r="E28" s="965"/>
      <c r="F28" s="645"/>
      <c r="G28" s="1212"/>
      <c r="H28" s="1212"/>
      <c r="I28" s="1212"/>
      <c r="J28" s="1212"/>
      <c r="K28" s="524"/>
      <c r="L28" s="524"/>
      <c r="M28" s="524"/>
      <c r="P28" s="524"/>
    </row>
    <row r="29" spans="1:16" s="523" customFormat="1" ht="12.75" customHeight="1" x14ac:dyDescent="0.15">
      <c r="A29" s="976">
        <f>A26+1</f>
        <v>415</v>
      </c>
      <c r="B29" s="942" t="s">
        <v>388</v>
      </c>
      <c r="C29" s="953"/>
      <c r="D29" s="943"/>
      <c r="E29" s="977"/>
      <c r="F29" s="645"/>
      <c r="G29" s="1212"/>
      <c r="H29" s="1212"/>
      <c r="I29" s="1212"/>
      <c r="J29" s="1212"/>
    </row>
    <row r="30" spans="1:16" s="523" customFormat="1" ht="12.75" customHeight="1" x14ac:dyDescent="0.15">
      <c r="A30" s="976">
        <f>A29+1</f>
        <v>416</v>
      </c>
      <c r="B30" s="942" t="s">
        <v>389</v>
      </c>
      <c r="C30" s="953"/>
      <c r="D30" s="943"/>
      <c r="E30" s="977"/>
      <c r="F30" s="646"/>
      <c r="G30" s="1212"/>
      <c r="H30" s="1212"/>
      <c r="I30" s="1212"/>
      <c r="J30" s="1212"/>
    </row>
    <row r="31" spans="1:16" ht="12.75" customHeight="1" x14ac:dyDescent="0.15">
      <c r="A31" s="976">
        <f>A30+1</f>
        <v>417</v>
      </c>
      <c r="B31" s="942" t="s">
        <v>173</v>
      </c>
      <c r="C31" s="953"/>
      <c r="D31" s="943"/>
      <c r="E31" s="977"/>
      <c r="F31" s="646"/>
      <c r="G31" s="1212"/>
      <c r="H31" s="1212"/>
      <c r="I31" s="1212"/>
      <c r="J31" s="1212"/>
      <c r="K31" s="524"/>
      <c r="L31" s="524"/>
      <c r="M31" s="524"/>
      <c r="P31" s="524"/>
    </row>
    <row r="32" spans="1:16" ht="12.75" customHeight="1" x14ac:dyDescent="0.15">
      <c r="A32" s="976">
        <f>A31+1</f>
        <v>418</v>
      </c>
      <c r="B32" s="1004"/>
      <c r="C32" s="1005"/>
      <c r="D32" s="1006"/>
      <c r="E32" s="977"/>
      <c r="F32" s="646"/>
      <c r="G32" s="1212"/>
      <c r="H32" s="1212"/>
      <c r="I32" s="1212"/>
      <c r="J32" s="1212"/>
      <c r="K32" s="524"/>
      <c r="L32" s="524"/>
      <c r="M32" s="524"/>
      <c r="P32" s="524"/>
    </row>
    <row r="33" spans="1:16" ht="12.75" customHeight="1" x14ac:dyDescent="0.15">
      <c r="A33" s="976">
        <f>A32+1</f>
        <v>419</v>
      </c>
      <c r="B33" s="886" t="str">
        <f>CONCATENATE("Totaal overige vergoedingen (",A29," t/m ",A32,")")</f>
        <v>Totaal overige vergoedingen (415 t/m 418)</v>
      </c>
      <c r="C33" s="574"/>
      <c r="D33" s="575"/>
      <c r="E33" s="993">
        <f>SUM(E29:E32)</f>
        <v>0</v>
      </c>
      <c r="F33" s="649"/>
      <c r="G33" s="1212"/>
      <c r="H33" s="1212"/>
      <c r="I33" s="1212"/>
      <c r="J33" s="1212"/>
      <c r="K33" s="524"/>
      <c r="L33" s="524"/>
      <c r="M33" s="524"/>
      <c r="P33" s="524"/>
    </row>
    <row r="34" spans="1:16" ht="12.75" customHeight="1" x14ac:dyDescent="0.15">
      <c r="A34" s="649"/>
      <c r="B34" s="649"/>
      <c r="C34" s="649"/>
      <c r="D34" s="649"/>
      <c r="E34" s="649"/>
      <c r="F34" s="649"/>
      <c r="G34" s="1212"/>
      <c r="H34" s="1212"/>
      <c r="I34" s="1212"/>
      <c r="J34" s="1212"/>
      <c r="K34" s="524"/>
      <c r="L34" s="524"/>
      <c r="M34" s="524"/>
      <c r="P34" s="524"/>
    </row>
    <row r="35" spans="1:16" ht="12" x14ac:dyDescent="0.2">
      <c r="A35" s="1040" t="str">
        <f>"Werkelijk verrekende opbrengsten via vaste bedragen in "&amp;Voorblad!K4&amp;" *"</f>
        <v>Werkelijk verrekende opbrengsten via vaste bedragen in 2013 *</v>
      </c>
      <c r="B35" s="524"/>
      <c r="C35" s="1041"/>
      <c r="D35" s="1041"/>
      <c r="E35" s="524"/>
      <c r="F35" s="524"/>
      <c r="G35" s="1212"/>
      <c r="H35" s="1212"/>
      <c r="I35" s="1212"/>
      <c r="J35" s="1212"/>
      <c r="K35" s="524"/>
      <c r="L35" s="524"/>
      <c r="M35" s="524"/>
      <c r="P35" s="524"/>
    </row>
    <row r="36" spans="1:16" ht="12.75" customHeight="1" x14ac:dyDescent="0.15">
      <c r="A36" s="976">
        <f>A33+1</f>
        <v>420</v>
      </c>
      <c r="B36" s="1209" t="s">
        <v>427</v>
      </c>
      <c r="C36" s="1210"/>
      <c r="D36" s="1211"/>
      <c r="E36" s="977"/>
      <c r="F36" s="524"/>
      <c r="G36" s="1212"/>
      <c r="H36" s="1212"/>
      <c r="I36" s="1212"/>
      <c r="J36" s="1212"/>
      <c r="K36" s="524"/>
      <c r="L36" s="524"/>
      <c r="M36" s="524"/>
      <c r="P36" s="524"/>
    </row>
    <row r="37" spans="1:16" ht="12.75" customHeight="1" x14ac:dyDescent="0.15">
      <c r="A37" s="976">
        <f t="shared" ref="A37:A42" si="1">A36+1</f>
        <v>421</v>
      </c>
      <c r="B37" s="1209" t="s">
        <v>428</v>
      </c>
      <c r="C37" s="1210"/>
      <c r="D37" s="1211"/>
      <c r="E37" s="977"/>
      <c r="F37" s="524"/>
      <c r="G37" s="1212"/>
      <c r="H37" s="1212"/>
      <c r="I37" s="1212"/>
      <c r="J37" s="1212"/>
      <c r="K37" s="524"/>
      <c r="L37" s="524"/>
      <c r="M37" s="524"/>
      <c r="P37" s="524"/>
    </row>
    <row r="38" spans="1:16" ht="12.75" customHeight="1" x14ac:dyDescent="0.15">
      <c r="A38" s="976">
        <f t="shared" si="1"/>
        <v>422</v>
      </c>
      <c r="B38" s="1042" t="s">
        <v>0</v>
      </c>
      <c r="C38" s="1043"/>
      <c r="D38" s="1044"/>
      <c r="E38" s="977"/>
      <c r="F38" s="524"/>
      <c r="G38" s="1212"/>
      <c r="H38" s="1212"/>
      <c r="I38" s="1212"/>
      <c r="J38" s="1212"/>
      <c r="K38" s="524"/>
      <c r="L38" s="524"/>
      <c r="M38" s="524"/>
      <c r="P38" s="524"/>
    </row>
    <row r="39" spans="1:16" ht="12.75" customHeight="1" x14ac:dyDescent="0.2">
      <c r="A39" s="976">
        <f t="shared" si="1"/>
        <v>423</v>
      </c>
      <c r="B39" s="1209" t="s">
        <v>1</v>
      </c>
      <c r="C39" s="1210"/>
      <c r="D39" s="1211"/>
      <c r="E39" s="977"/>
      <c r="F39" s="524"/>
      <c r="G39" s="1117" t="s">
        <v>46</v>
      </c>
      <c r="H39" s="1040" t="s">
        <v>462</v>
      </c>
      <c r="I39" s="432"/>
      <c r="J39" s="432"/>
      <c r="K39" s="524"/>
      <c r="L39" s="524"/>
      <c r="M39" s="524"/>
      <c r="P39" s="524"/>
    </row>
    <row r="40" spans="1:16" ht="12.75" customHeight="1" x14ac:dyDescent="0.15">
      <c r="A40" s="976">
        <f t="shared" si="1"/>
        <v>424</v>
      </c>
      <c r="B40" s="1209" t="s">
        <v>435</v>
      </c>
      <c r="C40" s="1210"/>
      <c r="D40" s="1211"/>
      <c r="E40" s="977"/>
      <c r="F40" s="524"/>
      <c r="G40" s="976">
        <f>G24+1</f>
        <v>442</v>
      </c>
      <c r="H40" s="1042" t="s">
        <v>463</v>
      </c>
      <c r="I40" s="1044"/>
      <c r="J40" s="977"/>
      <c r="K40" s="524"/>
      <c r="L40" s="524"/>
      <c r="M40" s="524"/>
      <c r="P40" s="524"/>
    </row>
    <row r="41" spans="1:16" ht="12.75" customHeight="1" x14ac:dyDescent="0.15">
      <c r="A41" s="976">
        <f t="shared" si="1"/>
        <v>425</v>
      </c>
      <c r="B41" s="1209" t="s">
        <v>441</v>
      </c>
      <c r="C41" s="1210"/>
      <c r="D41" s="1211"/>
      <c r="E41" s="977"/>
      <c r="F41" s="524"/>
      <c r="G41" s="976">
        <f>G40+1</f>
        <v>443</v>
      </c>
      <c r="H41" s="1114" t="s">
        <v>436</v>
      </c>
      <c r="I41" s="1115"/>
      <c r="J41" s="982">
        <f>J40</f>
        <v>0</v>
      </c>
      <c r="K41" s="524"/>
      <c r="L41" s="524"/>
      <c r="M41" s="524"/>
      <c r="P41" s="524"/>
    </row>
    <row r="42" spans="1:16" ht="12.75" customHeight="1" x14ac:dyDescent="0.15">
      <c r="A42" s="976">
        <f t="shared" si="1"/>
        <v>426</v>
      </c>
      <c r="B42" s="1221" t="str">
        <f>"Totaal werkelijk verrekende opbrengsten via vaste bedragen in "&amp;Voorblad!K4</f>
        <v>Totaal werkelijk verrekende opbrengsten via vaste bedragen in 2013</v>
      </c>
      <c r="C42" s="1222"/>
      <c r="D42" s="1223"/>
      <c r="E42" s="982">
        <f>E36+E37+E38+E39</f>
        <v>0</v>
      </c>
      <c r="F42" s="524"/>
      <c r="G42" s="1219" t="str">
        <f>IF(J41&gt;0,"LET OP: Bedrag (" &amp; J41&amp; ")wel als vordering/schuld aan de zorgverzekeraar in de rente normeringsbalans opnemen in de maand van verrekening!","")</f>
        <v/>
      </c>
      <c r="H42" s="1219"/>
      <c r="I42" s="1219"/>
      <c r="J42" s="1219"/>
      <c r="K42" s="524"/>
      <c r="L42" s="524"/>
      <c r="M42" s="524"/>
      <c r="P42" s="524"/>
    </row>
    <row r="43" spans="1:16" x14ac:dyDescent="0.15">
      <c r="E43" s="965"/>
      <c r="G43" s="1220"/>
      <c r="H43" s="1220"/>
      <c r="I43" s="1220"/>
      <c r="J43" s="1220"/>
    </row>
    <row r="44" spans="1:16" ht="12" customHeight="1" x14ac:dyDescent="0.15">
      <c r="A44" s="976">
        <f>A42+1</f>
        <v>427</v>
      </c>
      <c r="B44" s="886" t="s">
        <v>461</v>
      </c>
      <c r="C44" s="574"/>
      <c r="D44" s="575"/>
      <c r="E44" s="985">
        <f>E33+E26+E20+E14+E42</f>
        <v>0</v>
      </c>
      <c r="G44" s="1220"/>
      <c r="H44" s="1220"/>
      <c r="I44" s="1220"/>
      <c r="J44" s="1220"/>
    </row>
  </sheetData>
  <sheetProtection password="CA39" sheet="1" objects="1" scenarios="1"/>
  <mergeCells count="12">
    <mergeCell ref="G42:J44"/>
    <mergeCell ref="B42:D42"/>
    <mergeCell ref="B39:D39"/>
    <mergeCell ref="B40:D40"/>
    <mergeCell ref="B41:D41"/>
    <mergeCell ref="B37:D37"/>
    <mergeCell ref="G26:J38"/>
    <mergeCell ref="A5:C5"/>
    <mergeCell ref="H6:I6"/>
    <mergeCell ref="B6:D6"/>
    <mergeCell ref="B36:D36"/>
    <mergeCell ref="B8:D8"/>
  </mergeCells>
  <phoneticPr fontId="17" type="noConversion"/>
  <conditionalFormatting sqref="B32:D32 E29:E32 E23:E25 E17:E19 J9:J10 J14:J23 E9:E13 E36:E41 J40">
    <cfRule type="expression" dxfId="21" priority="1" stopIfTrue="1">
      <formula>$G$2=TRUE</formula>
    </cfRule>
  </conditionalFormatting>
  <conditionalFormatting sqref="A5">
    <cfRule type="cellIs" dxfId="20" priority="2" stopIfTrue="1" operator="equal">
      <formula>"Vul het Nza-nummer in op het voorblad"</formula>
    </cfRule>
  </conditionalFormatting>
  <pageMargins left="0.39370078740157483" right="0.39370078740157483" top="0.39370078740157483" bottom="0.39370078740157483" header="0.51181102362204722" footer="0.51181102362204722"/>
  <pageSetup paperSize="9" scale="82" orientation="landscape" horizontalDpi="300" verticalDpi="300" r:id="rId1"/>
  <headerFooter alignWithMargins="0"/>
  <drawing r:id="rId2"/>
  <legacyDrawing r:id="rId3"/>
  <oleObjects>
    <mc:AlternateContent xmlns:mc="http://schemas.openxmlformats.org/markup-compatibility/2006">
      <mc:Choice Requires="x14">
        <oleObject progId="MSPhotoEd.3" shapeId="20636" r:id="rId4">
          <objectPr defaultSize="0" autoPict="0" r:id="rId5">
            <anchor moveWithCells="1" sizeWithCells="1">
              <from>
                <xdr:col>8</xdr:col>
                <xdr:colOff>514350</xdr:colOff>
                <xdr:row>1</xdr:row>
                <xdr:rowOff>19050</xdr:rowOff>
              </from>
              <to>
                <xdr:col>9</xdr:col>
                <xdr:colOff>228600</xdr:colOff>
                <xdr:row>1</xdr:row>
                <xdr:rowOff>161925</xdr:rowOff>
              </to>
            </anchor>
          </objectPr>
        </oleObject>
      </mc:Choice>
      <mc:Fallback>
        <oleObject progId="MSPhotoEd.3" shapeId="20636"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2">
    <pageSetUpPr fitToPage="1"/>
  </sheetPr>
  <dimension ref="A1:L25"/>
  <sheetViews>
    <sheetView showGridLines="0" showZeros="0" showOutlineSymbols="0" zoomScaleNormal="86" workbookViewId="0"/>
  </sheetViews>
  <sheetFormatPr defaultRowHeight="11.25" x14ac:dyDescent="0.15"/>
  <cols>
    <col min="1" max="1" width="5.140625" style="524" customWidth="1"/>
    <col min="2" max="2" width="43.42578125" style="524" customWidth="1"/>
    <col min="3" max="3" width="15.7109375" style="524" customWidth="1"/>
    <col min="4" max="7" width="16.7109375" style="524" customWidth="1"/>
    <col min="8" max="9" width="13.7109375" style="524" customWidth="1"/>
    <col min="10" max="10" width="7.85546875" style="524" customWidth="1"/>
    <col min="11" max="16384" width="9.140625" style="524"/>
  </cols>
  <sheetData>
    <row r="1" spans="1:12" ht="15.95" customHeight="1" x14ac:dyDescent="0.15">
      <c r="A1" s="507"/>
      <c r="B1" s="509"/>
      <c r="C1" s="640"/>
      <c r="D1" s="509"/>
      <c r="E1" s="509"/>
      <c r="F1" s="641"/>
      <c r="G1" s="507"/>
      <c r="H1" s="509"/>
      <c r="I1" s="598"/>
      <c r="J1" s="598"/>
      <c r="L1" s="523"/>
    </row>
    <row r="2" spans="1:12" s="582" customFormat="1" ht="15.75" customHeight="1" x14ac:dyDescent="0.2">
      <c r="A2" s="657" t="str">
        <f>CONCATENATE("Vaststelling Transitiebedrag ",Voorblad!K4)</f>
        <v>Vaststelling Transitiebedrag 2013</v>
      </c>
      <c r="C2" s="658"/>
      <c r="D2" s="639"/>
      <c r="E2" s="650" t="b">
        <f>Voorblad!D26</f>
        <v>1</v>
      </c>
      <c r="F2" s="712">
        <f>Voorblad!D39</f>
        <v>0</v>
      </c>
      <c r="G2" s="657">
        <f>Opbrengsten!J2+1</f>
        <v>5</v>
      </c>
      <c r="I2" s="659"/>
      <c r="J2" s="650"/>
    </row>
    <row r="3" spans="1:12" s="523" customFormat="1" ht="12.75" customHeight="1" x14ac:dyDescent="0.15">
      <c r="A3" s="620"/>
      <c r="B3" s="598"/>
      <c r="C3" s="578"/>
      <c r="D3" s="598"/>
      <c r="E3" s="598"/>
      <c r="F3" s="641"/>
      <c r="G3" s="620"/>
      <c r="H3" s="598"/>
      <c r="I3" s="598"/>
      <c r="J3" s="598"/>
    </row>
    <row r="4" spans="1:12" ht="12.75" customHeight="1" x14ac:dyDescent="0.15">
      <c r="A4" s="513" t="s">
        <v>311</v>
      </c>
      <c r="B4" s="621"/>
      <c r="C4" s="903"/>
      <c r="D4" s="621"/>
      <c r="E4" s="621"/>
      <c r="F4" s="646"/>
      <c r="G4" s="513"/>
      <c r="H4" s="621"/>
      <c r="I4" s="904"/>
      <c r="J4" s="621"/>
    </row>
    <row r="5" spans="1:12" x14ac:dyDescent="0.15">
      <c r="A5" s="527"/>
    </row>
    <row r="6" spans="1:12" x14ac:dyDescent="0.15">
      <c r="A6" s="527" t="s">
        <v>109</v>
      </c>
      <c r="B6" s="527" t="s">
        <v>179</v>
      </c>
    </row>
    <row r="8" spans="1:12" x14ac:dyDescent="0.15">
      <c r="C8" s="849" t="s">
        <v>182</v>
      </c>
      <c r="D8" s="905" t="s">
        <v>342</v>
      </c>
      <c r="E8" s="906" t="s">
        <v>305</v>
      </c>
      <c r="F8" s="906" t="s">
        <v>233</v>
      </c>
      <c r="G8" s="849" t="s">
        <v>184</v>
      </c>
    </row>
    <row r="9" spans="1:12" x14ac:dyDescent="0.15">
      <c r="C9" s="907" t="s">
        <v>183</v>
      </c>
      <c r="D9" s="908">
        <f>Voorblad!K4-1</f>
        <v>2012</v>
      </c>
      <c r="E9" s="909" t="s">
        <v>307</v>
      </c>
      <c r="F9" s="909" t="s">
        <v>232</v>
      </c>
      <c r="G9" s="909">
        <f>E10</f>
        <v>2013</v>
      </c>
    </row>
    <row r="10" spans="1:12" x14ac:dyDescent="0.15">
      <c r="C10" s="910"/>
      <c r="D10" s="911" t="s">
        <v>231</v>
      </c>
      <c r="E10" s="912">
        <f>Voorblad!K4</f>
        <v>2013</v>
      </c>
      <c r="F10" s="912" t="str">
        <f>CONCATENATE("of vrijval ",Voorblad!K4)</f>
        <v>of vrijval 2013</v>
      </c>
      <c r="G10" s="912"/>
    </row>
    <row r="11" spans="1:12" ht="12.75" x14ac:dyDescent="0.2">
      <c r="A11" s="1213" t="str">
        <f>IF(Voorblad!$F$9&lt;1,"Vul het NZa-nummer in op het voorblad","")</f>
        <v>Vul het NZa-nummer in op het voorblad</v>
      </c>
      <c r="B11" s="1214"/>
      <c r="C11" s="1214"/>
      <c r="D11" s="819"/>
      <c r="E11" s="819"/>
      <c r="F11" s="819"/>
      <c r="G11" s="819"/>
    </row>
    <row r="12" spans="1:12" x14ac:dyDescent="0.15">
      <c r="A12" s="812">
        <f>G2*100+1</f>
        <v>501</v>
      </c>
      <c r="B12" s="813" t="s">
        <v>113</v>
      </c>
      <c r="C12" s="913">
        <v>2.5000000000000001E-2</v>
      </c>
      <c r="D12" s="525"/>
      <c r="E12" s="525"/>
      <c r="F12" s="637"/>
      <c r="G12" s="932">
        <f>D12+E12-F12</f>
        <v>0</v>
      </c>
    </row>
    <row r="13" spans="1:12" x14ac:dyDescent="0.15">
      <c r="A13" s="812">
        <f>A12+1</f>
        <v>502</v>
      </c>
      <c r="B13" s="813" t="s">
        <v>70</v>
      </c>
      <c r="C13" s="914">
        <v>0</v>
      </c>
      <c r="D13" s="525"/>
      <c r="E13" s="525"/>
      <c r="F13" s="637"/>
      <c r="G13" s="932">
        <f t="shared" ref="G13:G18" si="0">D13+E13-F13</f>
        <v>0</v>
      </c>
    </row>
    <row r="14" spans="1:12" x14ac:dyDescent="0.15">
      <c r="A14" s="812">
        <f>A13+1</f>
        <v>503</v>
      </c>
      <c r="B14" s="813" t="s">
        <v>180</v>
      </c>
      <c r="C14" s="914">
        <v>0.05</v>
      </c>
      <c r="D14" s="525"/>
      <c r="E14" s="525"/>
      <c r="F14" s="637"/>
      <c r="G14" s="932">
        <f t="shared" si="0"/>
        <v>0</v>
      </c>
    </row>
    <row r="15" spans="1:12" x14ac:dyDescent="0.15">
      <c r="A15" s="812">
        <f t="shared" ref="A15:A21" si="1">A14+1</f>
        <v>504</v>
      </c>
      <c r="B15" s="813" t="s">
        <v>114</v>
      </c>
      <c r="C15" s="914">
        <v>0.02</v>
      </c>
      <c r="D15" s="525"/>
      <c r="E15" s="525"/>
      <c r="F15" s="637"/>
      <c r="G15" s="932">
        <f t="shared" si="0"/>
        <v>0</v>
      </c>
    </row>
    <row r="16" spans="1:12" x14ac:dyDescent="0.15">
      <c r="A16" s="812">
        <f t="shared" si="1"/>
        <v>505</v>
      </c>
      <c r="B16" s="813" t="s">
        <v>181</v>
      </c>
      <c r="C16" s="915">
        <v>0.05</v>
      </c>
      <c r="D16" s="525"/>
      <c r="E16" s="525"/>
      <c r="F16" s="637"/>
      <c r="G16" s="932">
        <f t="shared" si="0"/>
        <v>0</v>
      </c>
    </row>
    <row r="17" spans="1:7" x14ac:dyDescent="0.15">
      <c r="A17" s="812">
        <f t="shared" si="1"/>
        <v>506</v>
      </c>
      <c r="B17" s="813" t="s">
        <v>270</v>
      </c>
      <c r="C17" s="915">
        <v>0.05</v>
      </c>
      <c r="D17" s="525"/>
      <c r="E17" s="525"/>
      <c r="F17" s="637"/>
      <c r="G17" s="932">
        <f t="shared" si="0"/>
        <v>0</v>
      </c>
    </row>
    <row r="18" spans="1:7" x14ac:dyDescent="0.15">
      <c r="A18" s="812">
        <f t="shared" si="1"/>
        <v>507</v>
      </c>
      <c r="B18" s="609" t="s">
        <v>115</v>
      </c>
      <c r="C18" s="834"/>
      <c r="D18" s="525"/>
      <c r="E18" s="525"/>
      <c r="F18" s="637"/>
      <c r="G18" s="932">
        <f t="shared" si="0"/>
        <v>0</v>
      </c>
    </row>
    <row r="19" spans="1:7" s="527" customFormat="1" x14ac:dyDescent="0.15">
      <c r="A19" s="812">
        <f t="shared" si="1"/>
        <v>508</v>
      </c>
      <c r="B19" s="817" t="s">
        <v>116</v>
      </c>
      <c r="C19" s="817"/>
      <c r="D19" s="619">
        <f>SUM(D12:D18)</f>
        <v>0</v>
      </c>
      <c r="E19" s="619">
        <f>SUM(E12:E18)</f>
        <v>0</v>
      </c>
      <c r="F19" s="916">
        <f>SUM(F12:F18)</f>
        <v>0</v>
      </c>
      <c r="G19" s="619">
        <f>SUM(G12:G18)</f>
        <v>0</v>
      </c>
    </row>
    <row r="20" spans="1:7" x14ac:dyDescent="0.15">
      <c r="A20" s="812">
        <f t="shared" si="1"/>
        <v>509</v>
      </c>
      <c r="B20" s="609" t="s">
        <v>117</v>
      </c>
      <c r="C20" s="834"/>
      <c r="D20" s="525"/>
      <c r="E20" s="525"/>
      <c r="F20" s="637"/>
      <c r="G20" s="932">
        <f>D20+E20-F20</f>
        <v>0</v>
      </c>
    </row>
    <row r="21" spans="1:7" s="527" customFormat="1" x14ac:dyDescent="0.15">
      <c r="A21" s="812">
        <f t="shared" si="1"/>
        <v>510</v>
      </c>
      <c r="B21" s="817" t="s">
        <v>321</v>
      </c>
      <c r="C21" s="817"/>
      <c r="D21" s="619">
        <f>D19+D20</f>
        <v>0</v>
      </c>
      <c r="E21" s="619">
        <f>E19+E20</f>
        <v>0</v>
      </c>
      <c r="F21" s="619">
        <f>F19+F20</f>
        <v>0</v>
      </c>
      <c r="G21" s="619">
        <f>G19+G20</f>
        <v>0</v>
      </c>
    </row>
    <row r="23" spans="1:7" x14ac:dyDescent="0.15">
      <c r="A23" s="812">
        <f>A21+1</f>
        <v>511</v>
      </c>
      <c r="B23" s="817" t="s">
        <v>8</v>
      </c>
      <c r="C23" s="817"/>
      <c r="D23" s="619">
        <f>D21+D22</f>
        <v>0</v>
      </c>
      <c r="E23" s="619">
        <f>E21+E22</f>
        <v>0</v>
      </c>
      <c r="F23" s="619">
        <f>F21+F22</f>
        <v>0</v>
      </c>
      <c r="G23" s="932"/>
    </row>
    <row r="25" spans="1:7" customFormat="1" ht="12.75" x14ac:dyDescent="0.2"/>
  </sheetData>
  <sheetProtection password="CA39" sheet="1" objects="1" scenarios="1"/>
  <mergeCells count="1">
    <mergeCell ref="A11:C11"/>
  </mergeCells>
  <phoneticPr fontId="17" type="noConversion"/>
  <conditionalFormatting sqref="D12:G18 D20:G20 G23">
    <cfRule type="expression" dxfId="19" priority="3" stopIfTrue="1">
      <formula>$E$2=TRUE</formula>
    </cfRule>
  </conditionalFormatting>
  <conditionalFormatting sqref="A11">
    <cfRule type="cellIs" dxfId="18" priority="4" stopIfTrue="1" operator="equal">
      <formula>"Vul het Nza-nummer in op het voorblad"</formula>
    </cfRule>
  </conditionalFormatting>
  <pageMargins left="0.39370078740157483" right="0.39370078740157483" top="0.39370078740157483" bottom="0.39370078740157483" header="0.51181102362204722" footer="0.51181102362204722"/>
  <pageSetup paperSize="9" scale="88" orientation="landscape" horizontalDpi="300" verticalDpi="300" r:id="rId1"/>
  <headerFooter alignWithMargins="0"/>
  <ignoredErrors>
    <ignoredError sqref="G19" formula="1" unlockedFormula="1"/>
    <ignoredError sqref="G20 G12:G18" unlockedFormula="1"/>
  </ignoredErrors>
  <drawing r:id="rId2"/>
  <legacyDrawing r:id="rId3"/>
  <oleObjects>
    <mc:AlternateContent xmlns:mc="http://schemas.openxmlformats.org/markup-compatibility/2006">
      <mc:Choice Requires="x14">
        <oleObject progId="MSPhotoEd.3" shapeId="74806" r:id="rId4">
          <objectPr defaultSize="0" autoPict="0" r:id="rId5">
            <anchor moveWithCells="1" sizeWithCells="1">
              <from>
                <xdr:col>5</xdr:col>
                <xdr:colOff>333375</xdr:colOff>
                <xdr:row>1</xdr:row>
                <xdr:rowOff>47625</xdr:rowOff>
              </from>
              <to>
                <xdr:col>6</xdr:col>
                <xdr:colOff>752475</xdr:colOff>
                <xdr:row>1</xdr:row>
                <xdr:rowOff>190500</xdr:rowOff>
              </to>
            </anchor>
          </objectPr>
        </oleObject>
      </mc:Choice>
      <mc:Fallback>
        <oleObject progId="MSPhotoEd.3" shapeId="74806"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2">
    <pageSetUpPr autoPageBreaks="0" fitToPage="1"/>
  </sheetPr>
  <dimension ref="A1:S56"/>
  <sheetViews>
    <sheetView showGridLines="0" showZeros="0" showOutlineSymbols="0" zoomScaleNormal="100" zoomScaleSheetLayoutView="100" workbookViewId="0"/>
  </sheetViews>
  <sheetFormatPr defaultRowHeight="12" x14ac:dyDescent="0.2"/>
  <cols>
    <col min="1" max="1" width="5.85546875" style="901" customWidth="1"/>
    <col min="2" max="2" width="19.85546875" style="889" customWidth="1"/>
    <col min="3" max="3" width="1.140625" style="889" customWidth="1"/>
    <col min="4" max="4" width="13.28515625" style="889" customWidth="1"/>
    <col min="5" max="5" width="12.28515625" style="889" customWidth="1"/>
    <col min="6" max="6" width="13.85546875" style="889" bestFit="1" customWidth="1"/>
    <col min="7" max="7" width="15.42578125" style="889" bestFit="1" customWidth="1"/>
    <col min="8" max="8" width="8.42578125" style="871" customWidth="1"/>
    <col min="9" max="9" width="5.140625" style="902" bestFit="1" customWidth="1"/>
    <col min="10" max="10" width="13.140625" style="889" bestFit="1" customWidth="1"/>
    <col min="11" max="11" width="5.28515625" style="889" customWidth="1"/>
    <col min="12" max="12" width="11.85546875" style="889" bestFit="1" customWidth="1"/>
    <col min="13" max="13" width="13.28515625" style="889" customWidth="1"/>
    <col min="14" max="14" width="13.140625" style="889" customWidth="1"/>
    <col min="15" max="16384" width="9.140625" style="871"/>
  </cols>
  <sheetData>
    <row r="1" spans="1:19" ht="15.95" customHeight="1" x14ac:dyDescent="0.2">
      <c r="A1" s="870"/>
      <c r="B1" s="509"/>
      <c r="C1" s="509"/>
      <c r="D1" s="509"/>
      <c r="E1" s="509"/>
      <c r="F1" s="509"/>
      <c r="G1" s="509"/>
      <c r="H1" s="524"/>
      <c r="I1" s="581"/>
      <c r="J1" s="509"/>
      <c r="K1" s="509"/>
      <c r="L1" s="509"/>
      <c r="M1" s="509"/>
      <c r="N1" s="509"/>
      <c r="O1" s="524"/>
      <c r="P1" s="524"/>
      <c r="Q1" s="524"/>
      <c r="R1" s="524"/>
      <c r="S1" s="524"/>
    </row>
    <row r="2" spans="1:19" s="873" customFormat="1" ht="15.75" customHeight="1" x14ac:dyDescent="0.2">
      <c r="A2" s="872" t="str">
        <f>CONCATENATE("Vaststelling Transitiebedrag ",Voorblad!K4)</f>
        <v>Vaststelling Transitiebedrag 2013</v>
      </c>
      <c r="B2" s="582"/>
      <c r="C2" s="639"/>
      <c r="D2" s="650"/>
      <c r="E2" s="650"/>
      <c r="F2" s="650"/>
      <c r="G2" s="650"/>
      <c r="H2" s="650" t="b">
        <f>Voorblad!D26</f>
        <v>1</v>
      </c>
      <c r="I2" s="650"/>
      <c r="J2" s="650"/>
      <c r="K2" s="650">
        <v>0</v>
      </c>
      <c r="L2" s="650"/>
      <c r="M2" s="650"/>
      <c r="N2" s="659">
        <f>Afschrijvingen!G2+1</f>
        <v>6</v>
      </c>
      <c r="O2" s="582"/>
      <c r="P2" s="582"/>
      <c r="Q2" s="582"/>
      <c r="R2" s="582"/>
      <c r="S2" s="582"/>
    </row>
    <row r="3" spans="1:19" s="874" customFormat="1" ht="15.75" customHeight="1" x14ac:dyDescent="0.2">
      <c r="A3" s="1266" t="str">
        <f>IF(Voorblad!$F$9&lt;1,"Vul het NZa-nummer in op het voorblad","")</f>
        <v>Vul het NZa-nummer in op het voorblad</v>
      </c>
      <c r="B3" s="1267"/>
      <c r="C3" s="1267"/>
      <c r="D3" s="1268"/>
      <c r="E3" s="1268"/>
      <c r="F3" s="650"/>
      <c r="G3" s="650"/>
      <c r="H3" s="650"/>
      <c r="I3" s="650"/>
      <c r="J3" s="650"/>
      <c r="K3" s="650"/>
      <c r="L3" s="650"/>
      <c r="M3" s="650"/>
      <c r="N3" s="659"/>
      <c r="O3" s="544"/>
      <c r="P3" s="544"/>
      <c r="Q3" s="544"/>
      <c r="R3" s="544"/>
      <c r="S3" s="544"/>
    </row>
    <row r="4" spans="1:19" ht="12.75" customHeight="1" x14ac:dyDescent="0.2">
      <c r="A4" s="513" t="s">
        <v>110</v>
      </c>
      <c r="B4" s="720" t="s">
        <v>130</v>
      </c>
      <c r="C4" s="626"/>
      <c r="D4" s="509"/>
      <c r="E4" s="509"/>
      <c r="F4" s="509"/>
      <c r="G4" s="509"/>
      <c r="H4" s="524"/>
      <c r="I4" s="581"/>
      <c r="J4" s="509"/>
      <c r="K4" s="509"/>
      <c r="L4" s="509"/>
      <c r="M4" s="509"/>
      <c r="N4" s="509"/>
      <c r="O4" s="524"/>
      <c r="P4" s="524"/>
      <c r="Q4" s="524"/>
      <c r="R4" s="524"/>
      <c r="S4" s="524"/>
    </row>
    <row r="5" spans="1:19" ht="6.75" customHeight="1" x14ac:dyDescent="0.2">
      <c r="A5" s="513"/>
      <c r="B5" s="720"/>
      <c r="C5" s="626"/>
      <c r="D5" s="509"/>
      <c r="E5" s="509"/>
      <c r="F5" s="509"/>
      <c r="G5" s="509"/>
      <c r="H5" s="524"/>
      <c r="I5" s="581"/>
      <c r="J5" s="509"/>
      <c r="K5" s="509"/>
      <c r="L5" s="509"/>
      <c r="M5" s="509"/>
      <c r="N5" s="509"/>
      <c r="O5" s="524"/>
      <c r="P5" s="524"/>
      <c r="Q5" s="524"/>
      <c r="R5" s="524"/>
      <c r="S5" s="524"/>
    </row>
    <row r="6" spans="1:19" ht="12.75" customHeight="1" x14ac:dyDescent="0.2">
      <c r="A6" s="870"/>
      <c r="B6" s="1269" t="s">
        <v>93</v>
      </c>
      <c r="C6" s="1270"/>
      <c r="D6" s="1270"/>
      <c r="E6" s="1270"/>
      <c r="F6" s="1271"/>
      <c r="G6" s="1013"/>
      <c r="H6" s="524"/>
      <c r="I6" s="581"/>
      <c r="J6" s="1269" t="s">
        <v>95</v>
      </c>
      <c r="K6" s="1279"/>
      <c r="L6" s="1279"/>
      <c r="M6" s="1279"/>
      <c r="N6" s="1280"/>
      <c r="O6" s="524"/>
      <c r="P6" s="524"/>
      <c r="Q6" s="524"/>
      <c r="R6" s="524"/>
      <c r="S6" s="524"/>
    </row>
    <row r="7" spans="1:19" ht="12.75" customHeight="1" x14ac:dyDescent="0.2">
      <c r="A7" s="638">
        <f>(100*N2)+1</f>
        <v>601</v>
      </c>
      <c r="B7" s="1275"/>
      <c r="C7" s="1276"/>
      <c r="D7" s="1276"/>
      <c r="E7" s="1276"/>
      <c r="F7" s="1277"/>
      <c r="G7" s="1017"/>
      <c r="H7" s="524"/>
      <c r="I7" s="638">
        <f>A20+1</f>
        <v>611</v>
      </c>
      <c r="J7" s="1281"/>
      <c r="K7" s="1279"/>
      <c r="L7" s="1279"/>
      <c r="M7" s="1279"/>
      <c r="N7" s="1282"/>
      <c r="O7" s="524"/>
      <c r="P7" s="524"/>
      <c r="Q7" s="524"/>
      <c r="R7" s="524"/>
      <c r="S7" s="524"/>
    </row>
    <row r="8" spans="1:19" s="874" customFormat="1" ht="25.5" customHeight="1" x14ac:dyDescent="0.2">
      <c r="A8" s="790"/>
      <c r="B8" s="1252" t="s">
        <v>362</v>
      </c>
      <c r="C8" s="1253"/>
      <c r="D8" s="781" t="s">
        <v>282</v>
      </c>
      <c r="E8" s="1254" t="s">
        <v>94</v>
      </c>
      <c r="F8" s="1255"/>
      <c r="G8" s="883"/>
      <c r="H8" s="664"/>
      <c r="I8" s="875"/>
      <c r="J8" s="1252" t="s">
        <v>362</v>
      </c>
      <c r="K8" s="1283"/>
      <c r="L8" s="781" t="s">
        <v>282</v>
      </c>
      <c r="M8" s="1254" t="s">
        <v>94</v>
      </c>
      <c r="N8" s="1280"/>
      <c r="O8" s="544"/>
      <c r="P8" s="544"/>
      <c r="Q8" s="544"/>
      <c r="R8" s="544"/>
      <c r="S8" s="544"/>
    </row>
    <row r="9" spans="1:19" s="874" customFormat="1" ht="12.75" customHeight="1" x14ac:dyDescent="0.2">
      <c r="A9" s="638">
        <f>A7+1</f>
        <v>602</v>
      </c>
      <c r="B9" s="1272"/>
      <c r="C9" s="1273"/>
      <c r="D9" s="672"/>
      <c r="E9" s="1258"/>
      <c r="F9" s="1274"/>
      <c r="G9" s="1018"/>
      <c r="H9" s="524"/>
      <c r="I9" s="638">
        <f>I7+1</f>
        <v>612</v>
      </c>
      <c r="J9" s="1262"/>
      <c r="K9" s="1263"/>
      <c r="L9" s="673"/>
      <c r="M9" s="1258"/>
      <c r="N9" s="1259"/>
      <c r="O9" s="544"/>
      <c r="P9" s="544"/>
      <c r="Q9" s="544"/>
      <c r="R9" s="544"/>
      <c r="S9" s="544"/>
    </row>
    <row r="10" spans="1:19" s="874" customFormat="1" ht="12.75" customHeight="1" x14ac:dyDescent="0.15">
      <c r="A10" s="638">
        <f>A9+1</f>
        <v>603</v>
      </c>
      <c r="B10" s="1256"/>
      <c r="C10" s="1257"/>
      <c r="D10" s="674"/>
      <c r="E10" s="1278"/>
      <c r="F10" s="1278"/>
      <c r="G10" s="1018"/>
      <c r="H10" s="524"/>
      <c r="I10" s="638">
        <f>I9+1</f>
        <v>613</v>
      </c>
      <c r="J10" s="1260"/>
      <c r="K10" s="1261"/>
      <c r="L10" s="675"/>
      <c r="M10" s="1264"/>
      <c r="N10" s="1265"/>
      <c r="O10" s="544"/>
      <c r="P10" s="544"/>
      <c r="Q10" s="544"/>
      <c r="R10" s="544"/>
      <c r="S10" s="544"/>
    </row>
    <row r="11" spans="1:19" s="874" customFormat="1" ht="12.75" customHeight="1" x14ac:dyDescent="0.15">
      <c r="A11" s="758"/>
      <c r="B11" s="758"/>
      <c r="C11" s="758"/>
      <c r="D11" s="758"/>
      <c r="E11" s="758"/>
      <c r="F11" s="758"/>
      <c r="G11" s="758"/>
      <c r="H11" s="524"/>
      <c r="I11" s="758"/>
      <c r="J11" s="758"/>
      <c r="K11" s="876"/>
      <c r="L11" s="758"/>
      <c r="M11" s="758"/>
      <c r="N11" s="758"/>
      <c r="O11" s="544"/>
      <c r="P11" s="544"/>
      <c r="Q11" s="544"/>
      <c r="R11" s="544"/>
      <c r="S11" s="544"/>
    </row>
    <row r="12" spans="1:19" s="882" customFormat="1" ht="12.75" customHeight="1" x14ac:dyDescent="0.2">
      <c r="A12" s="877"/>
      <c r="B12" s="878"/>
      <c r="C12" s="878"/>
      <c r="D12" s="879" t="s">
        <v>363</v>
      </c>
      <c r="E12" s="779" t="s">
        <v>190</v>
      </c>
      <c r="F12" s="779" t="s">
        <v>306</v>
      </c>
      <c r="G12" s="1014"/>
      <c r="H12" s="880"/>
      <c r="I12" s="881"/>
      <c r="J12" s="878"/>
      <c r="K12" s="878"/>
      <c r="L12" s="879" t="s">
        <v>364</v>
      </c>
      <c r="M12" s="779" t="s">
        <v>190</v>
      </c>
      <c r="N12" s="779" t="s">
        <v>306</v>
      </c>
      <c r="O12" s="880"/>
      <c r="P12" s="880"/>
      <c r="Q12" s="880"/>
      <c r="R12" s="880"/>
      <c r="S12" s="880"/>
    </row>
    <row r="13" spans="1:19" s="882" customFormat="1" ht="12.75" customHeight="1" x14ac:dyDescent="0.2">
      <c r="A13" s="877"/>
      <c r="B13" s="883"/>
      <c r="C13" s="883"/>
      <c r="D13" s="884"/>
      <c r="E13" s="885" t="s">
        <v>112</v>
      </c>
      <c r="F13" s="885">
        <f>Voorblad!K4</f>
        <v>2013</v>
      </c>
      <c r="G13" s="1015"/>
      <c r="H13" s="880"/>
      <c r="I13" s="881"/>
      <c r="J13" s="883"/>
      <c r="K13" s="883"/>
      <c r="L13" s="884"/>
      <c r="M13" s="885" t="s">
        <v>112</v>
      </c>
      <c r="N13" s="885">
        <f>Voorblad!K4</f>
        <v>2013</v>
      </c>
      <c r="O13" s="880"/>
      <c r="P13" s="880"/>
      <c r="Q13" s="880"/>
      <c r="R13" s="880"/>
      <c r="S13" s="880"/>
    </row>
    <row r="14" spans="1:19" ht="12.75" customHeight="1" x14ac:dyDescent="0.2">
      <c r="A14" s="638">
        <f>A10+1</f>
        <v>604</v>
      </c>
      <c r="B14" s="1248" t="s">
        <v>188</v>
      </c>
      <c r="C14" s="1249"/>
      <c r="D14" s="676"/>
      <c r="E14" s="676"/>
      <c r="F14" s="676"/>
      <c r="G14" s="1019"/>
      <c r="H14" s="524"/>
      <c r="I14" s="638">
        <f>I10+1</f>
        <v>614</v>
      </c>
      <c r="J14" s="1248" t="s">
        <v>188</v>
      </c>
      <c r="K14" s="1249"/>
      <c r="L14" s="676"/>
      <c r="M14" s="676"/>
      <c r="N14" s="676"/>
      <c r="O14" s="524"/>
      <c r="P14" s="524"/>
      <c r="Q14" s="524"/>
      <c r="R14" s="524"/>
      <c r="S14" s="524"/>
    </row>
    <row r="15" spans="1:19" ht="12.75" customHeight="1" x14ac:dyDescent="0.2">
      <c r="A15" s="638">
        <f t="shared" ref="A15:A20" si="0">A14+1</f>
        <v>605</v>
      </c>
      <c r="B15" s="1237" t="s">
        <v>70</v>
      </c>
      <c r="C15" s="1238"/>
      <c r="D15" s="677"/>
      <c r="E15" s="677"/>
      <c r="F15" s="677"/>
      <c r="G15" s="1019"/>
      <c r="H15" s="524"/>
      <c r="I15" s="638">
        <f t="shared" ref="I15:I20" si="1">I14+1</f>
        <v>615</v>
      </c>
      <c r="J15" s="1248" t="s">
        <v>70</v>
      </c>
      <c r="K15" s="1249"/>
      <c r="L15" s="677"/>
      <c r="M15" s="677"/>
      <c r="N15" s="677"/>
      <c r="O15" s="524"/>
      <c r="P15" s="524"/>
      <c r="Q15" s="524"/>
      <c r="R15" s="524"/>
      <c r="S15" s="524"/>
    </row>
    <row r="16" spans="1:19" ht="12.75" customHeight="1" x14ac:dyDescent="0.2">
      <c r="A16" s="638">
        <f t="shared" si="0"/>
        <v>606</v>
      </c>
      <c r="B16" s="1237" t="s">
        <v>189</v>
      </c>
      <c r="C16" s="1238"/>
      <c r="D16" s="677"/>
      <c r="E16" s="677"/>
      <c r="F16" s="677"/>
      <c r="G16" s="1019"/>
      <c r="H16" s="524"/>
      <c r="I16" s="638">
        <f t="shared" si="1"/>
        <v>616</v>
      </c>
      <c r="J16" s="1248" t="s">
        <v>189</v>
      </c>
      <c r="K16" s="1249"/>
      <c r="L16" s="677"/>
      <c r="M16" s="677"/>
      <c r="N16" s="677"/>
      <c r="O16" s="524"/>
      <c r="P16" s="524"/>
      <c r="Q16" s="524"/>
      <c r="R16" s="524"/>
      <c r="S16" s="524"/>
    </row>
    <row r="17" spans="1:19" ht="12.75" customHeight="1" x14ac:dyDescent="0.2">
      <c r="A17" s="638">
        <f t="shared" si="0"/>
        <v>607</v>
      </c>
      <c r="B17" s="1237" t="s">
        <v>114</v>
      </c>
      <c r="C17" s="1238"/>
      <c r="D17" s="677"/>
      <c r="E17" s="677"/>
      <c r="F17" s="677"/>
      <c r="G17" s="1019"/>
      <c r="H17" s="524"/>
      <c r="I17" s="638">
        <f t="shared" si="1"/>
        <v>617</v>
      </c>
      <c r="J17" s="1248" t="s">
        <v>114</v>
      </c>
      <c r="K17" s="1249"/>
      <c r="L17" s="677"/>
      <c r="M17" s="677"/>
      <c r="N17" s="677"/>
      <c r="O17" s="524"/>
      <c r="P17" s="524"/>
      <c r="Q17" s="524"/>
      <c r="R17" s="524"/>
      <c r="S17" s="524"/>
    </row>
    <row r="18" spans="1:19" ht="12.75" customHeight="1" x14ac:dyDescent="0.2">
      <c r="A18" s="638">
        <f t="shared" si="0"/>
        <v>608</v>
      </c>
      <c r="B18" s="1237" t="s">
        <v>181</v>
      </c>
      <c r="C18" s="1238"/>
      <c r="D18" s="677"/>
      <c r="E18" s="677"/>
      <c r="F18" s="677"/>
      <c r="G18" s="1019"/>
      <c r="H18" s="524"/>
      <c r="I18" s="638">
        <f t="shared" si="1"/>
        <v>618</v>
      </c>
      <c r="J18" s="1248" t="s">
        <v>181</v>
      </c>
      <c r="K18" s="1249"/>
      <c r="L18" s="677"/>
      <c r="M18" s="677"/>
      <c r="N18" s="677"/>
      <c r="O18" s="524"/>
      <c r="P18" s="524"/>
      <c r="Q18" s="524"/>
      <c r="R18" s="524"/>
      <c r="S18" s="524"/>
    </row>
    <row r="19" spans="1:19" ht="12.75" customHeight="1" x14ac:dyDescent="0.2">
      <c r="A19" s="638">
        <f t="shared" si="0"/>
        <v>609</v>
      </c>
      <c r="B19" s="1237" t="s">
        <v>270</v>
      </c>
      <c r="C19" s="1238"/>
      <c r="D19" s="677"/>
      <c r="E19" s="677"/>
      <c r="F19" s="677"/>
      <c r="G19" s="1019"/>
      <c r="H19" s="524"/>
      <c r="I19" s="638">
        <f t="shared" si="1"/>
        <v>619</v>
      </c>
      <c r="J19" s="1248" t="s">
        <v>270</v>
      </c>
      <c r="K19" s="1249"/>
      <c r="L19" s="677"/>
      <c r="M19" s="677"/>
      <c r="N19" s="677"/>
      <c r="O19" s="524"/>
      <c r="P19" s="524"/>
      <c r="Q19" s="524"/>
      <c r="R19" s="524"/>
      <c r="S19" s="524"/>
    </row>
    <row r="20" spans="1:19" ht="12.75" customHeight="1" x14ac:dyDescent="0.2">
      <c r="A20" s="638">
        <f t="shared" si="0"/>
        <v>610</v>
      </c>
      <c r="B20" s="1239" t="s">
        <v>317</v>
      </c>
      <c r="C20" s="1240"/>
      <c r="D20" s="678">
        <f>SUM(D14:D19)</f>
        <v>0</v>
      </c>
      <c r="E20" s="678">
        <f>SUM(E14:E19)</f>
        <v>0</v>
      </c>
      <c r="F20" s="678">
        <f>SUM(F14:F19)</f>
        <v>0</v>
      </c>
      <c r="G20" s="1016"/>
      <c r="H20" s="524"/>
      <c r="I20" s="638">
        <f t="shared" si="1"/>
        <v>620</v>
      </c>
      <c r="J20" s="1239" t="s">
        <v>317</v>
      </c>
      <c r="K20" s="1240"/>
      <c r="L20" s="679"/>
      <c r="M20" s="678">
        <f>SUM(M14:M19)</f>
        <v>0</v>
      </c>
      <c r="N20" s="678">
        <f>SUM(N14:N19)</f>
        <v>0</v>
      </c>
      <c r="O20" s="524"/>
      <c r="P20" s="524"/>
      <c r="Q20" s="524"/>
      <c r="R20" s="524"/>
      <c r="S20" s="524"/>
    </row>
    <row r="21" spans="1:19" ht="12.75" customHeight="1" x14ac:dyDescent="0.2">
      <c r="A21" s="870"/>
      <c r="B21" s="509"/>
      <c r="C21" s="509"/>
      <c r="D21" s="509"/>
      <c r="E21" s="509"/>
      <c r="F21" s="509"/>
      <c r="G21" s="509"/>
      <c r="H21" s="524"/>
      <c r="I21" s="638">
        <f>I20+1</f>
        <v>621</v>
      </c>
      <c r="J21" s="775" t="s">
        <v>468</v>
      </c>
      <c r="K21" s="1246">
        <f>C20+K20</f>
        <v>0</v>
      </c>
      <c r="L21" s="1247"/>
      <c r="M21" s="680">
        <f>E20+M20</f>
        <v>0</v>
      </c>
      <c r="N21" s="680">
        <f>F20+N20</f>
        <v>0</v>
      </c>
      <c r="O21" s="524"/>
      <c r="P21" s="524"/>
      <c r="Q21" s="524"/>
      <c r="R21" s="524"/>
      <c r="S21" s="524"/>
    </row>
    <row r="22" spans="1:19" ht="9" customHeight="1" x14ac:dyDescent="0.2">
      <c r="A22" s="870"/>
      <c r="B22" s="509"/>
      <c r="C22" s="509"/>
      <c r="D22" s="509"/>
      <c r="E22" s="509"/>
      <c r="F22" s="509"/>
      <c r="G22" s="509"/>
      <c r="H22" s="524"/>
      <c r="I22" s="527"/>
      <c r="J22" s="527"/>
      <c r="K22" s="527"/>
      <c r="L22" s="509"/>
      <c r="M22" s="509"/>
      <c r="N22" s="509"/>
      <c r="O22" s="524"/>
      <c r="P22" s="524"/>
      <c r="Q22" s="524"/>
      <c r="R22" s="524"/>
      <c r="S22" s="524"/>
    </row>
    <row r="23" spans="1:19" ht="12.75" customHeight="1" x14ac:dyDescent="0.2">
      <c r="A23" s="888" t="s">
        <v>326</v>
      </c>
      <c r="B23" s="527" t="s">
        <v>325</v>
      </c>
      <c r="C23" s="527"/>
      <c r="D23" s="527"/>
      <c r="E23" s="527"/>
      <c r="F23" s="527"/>
      <c r="G23" s="527"/>
      <c r="H23" s="527"/>
      <c r="I23" s="527"/>
      <c r="J23" s="527"/>
      <c r="K23" s="527"/>
      <c r="L23" s="509"/>
      <c r="M23" s="509"/>
      <c r="N23" s="509"/>
      <c r="O23" s="524"/>
      <c r="P23" s="524"/>
      <c r="Q23" s="524"/>
      <c r="R23" s="524"/>
      <c r="S23" s="524"/>
    </row>
    <row r="24" spans="1:19" ht="7.5" customHeight="1" x14ac:dyDescent="0.2">
      <c r="A24" s="640"/>
      <c r="B24" s="524"/>
      <c r="C24" s="524"/>
      <c r="D24" s="524"/>
      <c r="E24" s="524"/>
      <c r="F24" s="524"/>
      <c r="G24" s="524"/>
      <c r="H24" s="524"/>
      <c r="I24" s="524"/>
      <c r="J24" s="524"/>
      <c r="K24" s="524"/>
      <c r="L24" s="509"/>
      <c r="M24" s="509"/>
      <c r="N24" s="509"/>
      <c r="O24" s="524"/>
      <c r="P24" s="524"/>
      <c r="Q24" s="524"/>
      <c r="R24" s="524"/>
      <c r="S24" s="524"/>
    </row>
    <row r="25" spans="1:19" ht="12.75" customHeight="1" x14ac:dyDescent="0.2">
      <c r="A25" s="640"/>
      <c r="B25" s="524"/>
      <c r="D25" s="944" t="s">
        <v>395</v>
      </c>
      <c r="E25" s="890" t="s">
        <v>365</v>
      </c>
      <c r="F25" s="890" t="s">
        <v>10</v>
      </c>
      <c r="G25" s="890" t="s">
        <v>366</v>
      </c>
      <c r="H25" s="1225" t="s">
        <v>397</v>
      </c>
      <c r="I25" s="1226"/>
      <c r="J25" s="947" t="s">
        <v>395</v>
      </c>
      <c r="K25" s="1241" t="s">
        <v>399</v>
      </c>
      <c r="L25" s="1242"/>
      <c r="M25" s="950" t="s">
        <v>400</v>
      </c>
      <c r="N25" s="950" t="s">
        <v>402</v>
      </c>
      <c r="O25" s="524"/>
      <c r="P25" s="524"/>
      <c r="Q25" s="524"/>
      <c r="R25" s="524"/>
    </row>
    <row r="26" spans="1:19" s="891" customFormat="1" ht="12.75" customHeight="1" x14ac:dyDescent="0.2">
      <c r="A26" s="640"/>
      <c r="B26" s="524"/>
      <c r="D26" s="945" t="s">
        <v>396</v>
      </c>
      <c r="E26" s="892" t="s">
        <v>367</v>
      </c>
      <c r="F26" s="892" t="s">
        <v>11</v>
      </c>
      <c r="G26" s="892" t="s">
        <v>307</v>
      </c>
      <c r="H26" s="1227" t="s">
        <v>398</v>
      </c>
      <c r="I26" s="1228"/>
      <c r="J26" s="948" t="s">
        <v>396</v>
      </c>
      <c r="K26" s="1235">
        <f>Voorblad!K4</f>
        <v>2013</v>
      </c>
      <c r="L26" s="1236"/>
      <c r="M26" s="951" t="s">
        <v>401</v>
      </c>
      <c r="N26" s="951" t="s">
        <v>403</v>
      </c>
      <c r="O26" s="524"/>
      <c r="P26" s="819"/>
      <c r="Q26" s="819"/>
      <c r="R26" s="819"/>
    </row>
    <row r="27" spans="1:19" s="891" customFormat="1" ht="12.75" customHeight="1" x14ac:dyDescent="0.2">
      <c r="A27" s="640"/>
      <c r="B27" s="524"/>
      <c r="D27" s="945" t="str">
        <f>CONCATENATE(Voorblad!K4-1)</f>
        <v>2012</v>
      </c>
      <c r="E27" s="892" t="s">
        <v>13</v>
      </c>
      <c r="F27" s="892" t="s">
        <v>12</v>
      </c>
      <c r="G27" s="892" t="s">
        <v>9</v>
      </c>
      <c r="H27" s="1227">
        <f>Voorblad!K4</f>
        <v>2013</v>
      </c>
      <c r="I27" s="1228"/>
      <c r="J27" s="948"/>
      <c r="K27" s="956"/>
      <c r="L27" s="957"/>
      <c r="M27" s="951"/>
      <c r="N27" s="951"/>
      <c r="O27" s="524"/>
      <c r="P27" s="819"/>
      <c r="Q27" s="819"/>
      <c r="R27" s="819"/>
    </row>
    <row r="28" spans="1:19" s="891" customFormat="1" ht="12.75" customHeight="1" x14ac:dyDescent="0.2">
      <c r="A28" s="640"/>
      <c r="B28" s="524"/>
      <c r="D28" s="946"/>
      <c r="E28" s="946" t="str">
        <f>CONCATENATE(Voorblad!K4,"*")</f>
        <v>2013*</v>
      </c>
      <c r="F28" s="893">
        <f>Voorblad!K4</f>
        <v>2013</v>
      </c>
      <c r="G28" s="893">
        <f>Voorblad!K4</f>
        <v>2013</v>
      </c>
      <c r="H28" s="1229"/>
      <c r="I28" s="1230"/>
      <c r="J28" s="949">
        <f>Voorblad!K4</f>
        <v>2013</v>
      </c>
      <c r="K28" s="1007"/>
      <c r="L28" s="1008"/>
      <c r="M28" s="952">
        <f>Voorblad!K4</f>
        <v>2013</v>
      </c>
      <c r="N28" s="952">
        <f>Voorblad!K4</f>
        <v>2013</v>
      </c>
      <c r="O28" s="524"/>
      <c r="P28" s="819"/>
      <c r="Q28" s="819"/>
      <c r="R28" s="819"/>
    </row>
    <row r="29" spans="1:19" ht="7.5" customHeight="1" x14ac:dyDescent="0.2">
      <c r="A29" s="894"/>
      <c r="B29" s="605"/>
      <c r="D29" s="623"/>
      <c r="E29" s="623"/>
      <c r="F29" s="623"/>
      <c r="G29" s="623"/>
      <c r="H29" s="623"/>
      <c r="I29" s="895"/>
      <c r="J29" s="896"/>
      <c r="K29" s="623"/>
      <c r="L29" s="897"/>
      <c r="M29" s="898"/>
      <c r="N29" s="524"/>
      <c r="O29" s="524"/>
      <c r="P29" s="524"/>
      <c r="Q29" s="524"/>
      <c r="R29" s="524"/>
    </row>
    <row r="30" spans="1:19" ht="12.75" customHeight="1" x14ac:dyDescent="0.2">
      <c r="A30" s="899">
        <f>I21+1</f>
        <v>622</v>
      </c>
      <c r="B30" s="1248" t="s">
        <v>368</v>
      </c>
      <c r="C30" s="1249"/>
      <c r="D30" s="681"/>
      <c r="E30" s="681"/>
      <c r="F30" s="681"/>
      <c r="G30" s="681"/>
      <c r="H30" s="1233"/>
      <c r="I30" s="1234"/>
      <c r="J30" s="682">
        <f>F30-G30-H30</f>
        <v>0</v>
      </c>
      <c r="K30" s="1233"/>
      <c r="L30" s="1234"/>
      <c r="M30" s="681"/>
      <c r="N30" s="682">
        <f>+J30-K30-M30</f>
        <v>0</v>
      </c>
      <c r="O30" s="524"/>
      <c r="P30" s="524"/>
      <c r="Q30" s="524"/>
      <c r="R30" s="524"/>
    </row>
    <row r="31" spans="1:19" ht="12.75" customHeight="1" x14ac:dyDescent="0.2">
      <c r="A31" s="812">
        <f>A30+1</f>
        <v>623</v>
      </c>
      <c r="B31" s="1244" t="s">
        <v>369</v>
      </c>
      <c r="C31" s="1245"/>
      <c r="D31" s="681"/>
      <c r="E31" s="681"/>
      <c r="F31" s="681"/>
      <c r="G31" s="681"/>
      <c r="H31" s="1233"/>
      <c r="I31" s="1234"/>
      <c r="J31" s="682">
        <f>F31-G31-H31</f>
        <v>0</v>
      </c>
      <c r="K31" s="1233"/>
      <c r="L31" s="1234"/>
      <c r="M31" s="681"/>
      <c r="N31" s="682">
        <f>+J31-K31-M31</f>
        <v>0</v>
      </c>
      <c r="O31" s="524"/>
      <c r="P31" s="524"/>
      <c r="Q31" s="524"/>
      <c r="R31" s="524"/>
    </row>
    <row r="32" spans="1:19" ht="12" customHeight="1" x14ac:dyDescent="0.2">
      <c r="A32" s="640"/>
      <c r="B32" s="509"/>
      <c r="C32" s="509"/>
      <c r="D32" s="509"/>
      <c r="E32" s="509"/>
      <c r="F32" s="509"/>
      <c r="G32" s="509"/>
      <c r="H32" s="509"/>
      <c r="I32" s="509"/>
      <c r="J32" s="509"/>
      <c r="K32" s="509"/>
      <c r="L32" s="509"/>
      <c r="M32" s="509"/>
      <c r="N32" s="509"/>
      <c r="O32" s="524"/>
      <c r="P32" s="524"/>
      <c r="Q32" s="524"/>
      <c r="R32" s="524"/>
      <c r="S32" s="524"/>
    </row>
    <row r="33" spans="1:19" ht="12.75" customHeight="1" x14ac:dyDescent="0.2">
      <c r="A33" s="595" t="s">
        <v>330</v>
      </c>
      <c r="B33" s="595" t="s">
        <v>66</v>
      </c>
      <c r="C33" s="595"/>
      <c r="D33" s="595"/>
      <c r="E33" s="523"/>
      <c r="F33" s="523"/>
      <c r="G33" s="523"/>
      <c r="H33" s="523"/>
      <c r="I33" s="581"/>
      <c r="J33" s="509"/>
      <c r="K33" s="509"/>
      <c r="L33" s="509"/>
      <c r="M33" s="509"/>
      <c r="N33" s="509"/>
      <c r="O33" s="524"/>
      <c r="P33" s="524"/>
      <c r="Q33" s="524"/>
      <c r="R33" s="524"/>
      <c r="S33" s="524"/>
    </row>
    <row r="34" spans="1:19" ht="4.5" customHeight="1" x14ac:dyDescent="0.2">
      <c r="A34" s="595"/>
      <c r="B34" s="595"/>
      <c r="C34" s="595"/>
      <c r="D34" s="595"/>
      <c r="E34" s="595"/>
      <c r="F34" s="595"/>
      <c r="G34" s="595"/>
      <c r="H34" s="595"/>
      <c r="I34" s="581"/>
      <c r="J34" s="509"/>
      <c r="K34" s="509"/>
      <c r="L34" s="509"/>
      <c r="M34" s="509"/>
      <c r="N34" s="509"/>
      <c r="O34" s="524"/>
      <c r="P34" s="524"/>
      <c r="Q34" s="524"/>
      <c r="R34" s="524"/>
      <c r="S34" s="524"/>
    </row>
    <row r="35" spans="1:19" ht="12.75" customHeight="1" x14ac:dyDescent="0.2">
      <c r="A35" s="638">
        <f>A31+1</f>
        <v>624</v>
      </c>
      <c r="B35" s="1251" t="str">
        <f>"Afschrijvingsbedragen in aanvaardbare kosten "&amp;Voorblad!K4-1&amp;" opgenomen"</f>
        <v>Afschrijvingsbedragen in aanvaardbare kosten 2012 opgenomen</v>
      </c>
      <c r="C35" s="1251"/>
      <c r="D35" s="1251"/>
      <c r="E35" s="1251"/>
      <c r="F35" s="1251"/>
      <c r="G35" s="1251"/>
      <c r="H35" s="1232"/>
      <c r="I35" s="1232"/>
      <c r="J35" s="1232"/>
      <c r="K35" s="1232"/>
      <c r="L35" s="1232"/>
      <c r="M35" s="1232"/>
      <c r="N35" s="681"/>
      <c r="O35" s="524"/>
      <c r="P35" s="524"/>
      <c r="Q35" s="524"/>
      <c r="R35" s="524"/>
      <c r="S35" s="524"/>
    </row>
    <row r="36" spans="1:19" ht="12.75" customHeight="1" x14ac:dyDescent="0.2">
      <c r="A36" s="638">
        <f>A35+1</f>
        <v>625</v>
      </c>
      <c r="B36" s="1251" t="str">
        <f>"Afschrijvingsbedragen Cure in aanvaardbare kosten "&amp;Voorblad!K4-1&amp;" opgenomen"</f>
        <v>Afschrijvingsbedragen Cure in aanvaardbare kosten 2012 opgenomen</v>
      </c>
      <c r="C36" s="1251"/>
      <c r="D36" s="1251"/>
      <c r="E36" s="1251"/>
      <c r="F36" s="1251"/>
      <c r="G36" s="1251"/>
      <c r="H36" s="1232"/>
      <c r="I36" s="1232"/>
      <c r="J36" s="1232"/>
      <c r="K36" s="1232"/>
      <c r="L36" s="1232"/>
      <c r="M36" s="1232"/>
      <c r="N36" s="681"/>
      <c r="O36" s="524"/>
      <c r="P36" s="524"/>
      <c r="Q36" s="524"/>
      <c r="R36" s="524"/>
      <c r="S36" s="524"/>
    </row>
    <row r="37" spans="1:19" ht="12.75" x14ac:dyDescent="0.2">
      <c r="A37" s="638">
        <f>A36+1</f>
        <v>626</v>
      </c>
      <c r="B37" s="1251" t="str">
        <f>"Afschrijvingsbedragen in budget Cure "&amp;Voorblad!K4&amp;" opgenomen"</f>
        <v>Afschrijvingsbedragen in budget Cure 2013 opgenomen</v>
      </c>
      <c r="C37" s="1251"/>
      <c r="D37" s="1251"/>
      <c r="E37" s="1251"/>
      <c r="F37" s="1251"/>
      <c r="G37" s="1251"/>
      <c r="H37" s="1232"/>
      <c r="I37" s="1232"/>
      <c r="J37" s="1232"/>
      <c r="K37" s="1232"/>
      <c r="L37" s="1232"/>
      <c r="M37" s="1232"/>
      <c r="N37" s="681"/>
      <c r="O37" s="900"/>
      <c r="P37" s="900"/>
      <c r="Q37" s="524"/>
      <c r="R37" s="524"/>
      <c r="S37" s="524"/>
    </row>
    <row r="38" spans="1:19" ht="12.75" customHeight="1" x14ac:dyDescent="0.2">
      <c r="A38" s="638">
        <f>+A37+1</f>
        <v>627</v>
      </c>
      <c r="B38" s="1251" t="s">
        <v>21</v>
      </c>
      <c r="C38" s="1251"/>
      <c r="D38" s="1251"/>
      <c r="E38" s="1251"/>
      <c r="F38" s="1251"/>
      <c r="G38" s="1251"/>
      <c r="H38" s="1232"/>
      <c r="I38" s="1232"/>
      <c r="J38" s="1232"/>
      <c r="K38" s="1232"/>
      <c r="L38" s="1232"/>
      <c r="M38" s="1232"/>
      <c r="N38" s="635">
        <f>+N36*1.0225</f>
        <v>0</v>
      </c>
      <c r="O38" s="524"/>
      <c r="P38" s="524"/>
      <c r="Q38" s="524"/>
      <c r="R38" s="524"/>
      <c r="S38" s="524"/>
    </row>
    <row r="39" spans="1:19" ht="12.75" x14ac:dyDescent="0.2">
      <c r="A39" s="638">
        <f>+A38+1</f>
        <v>628</v>
      </c>
      <c r="B39" s="1250" t="s">
        <v>434</v>
      </c>
      <c r="C39" s="1250"/>
      <c r="D39" s="1250"/>
      <c r="E39" s="1250"/>
      <c r="F39" s="1250"/>
      <c r="G39" s="1250"/>
      <c r="H39" s="1232"/>
      <c r="I39" s="1232"/>
      <c r="J39" s="1232"/>
      <c r="K39" s="1232"/>
      <c r="L39" s="1232"/>
      <c r="M39" s="1232"/>
      <c r="N39" s="681"/>
      <c r="O39" s="524"/>
      <c r="P39" s="524"/>
      <c r="Q39" s="524"/>
      <c r="R39" s="524"/>
      <c r="S39" s="524"/>
    </row>
    <row r="40" spans="1:19" ht="12.75" x14ac:dyDescent="0.2">
      <c r="A40" s="638">
        <f>+A39+1</f>
        <v>629</v>
      </c>
      <c r="B40" s="1231" t="s">
        <v>67</v>
      </c>
      <c r="C40" s="1231"/>
      <c r="D40" s="1231"/>
      <c r="E40" s="1231"/>
      <c r="F40" s="1231"/>
      <c r="G40" s="1231"/>
      <c r="H40" s="1232"/>
      <c r="I40" s="1232"/>
      <c r="J40" s="1232"/>
      <c r="K40" s="1232"/>
      <c r="L40" s="1232"/>
      <c r="M40" s="1232"/>
      <c r="N40" s="681">
        <f>+IF(N39&lt;N37,(N39-N37),IF(N39&gt;N38,N38-N37,N38-N39))</f>
        <v>0</v>
      </c>
      <c r="O40" s="524"/>
      <c r="P40" s="524"/>
      <c r="Q40" s="524"/>
      <c r="R40" s="524"/>
      <c r="S40" s="524"/>
    </row>
    <row r="41" spans="1:19" x14ac:dyDescent="0.2">
      <c r="A41" s="871"/>
      <c r="B41" s="871"/>
      <c r="C41" s="867"/>
      <c r="D41" s="867"/>
      <c r="E41" s="867"/>
      <c r="F41" s="867"/>
      <c r="G41" s="867"/>
      <c r="H41" s="856"/>
      <c r="I41" s="581"/>
      <c r="J41" s="509"/>
      <c r="K41" s="509"/>
      <c r="L41" s="509"/>
      <c r="M41" s="509"/>
      <c r="N41" s="509"/>
      <c r="O41" s="524"/>
      <c r="P41" s="524"/>
      <c r="Q41" s="524"/>
      <c r="R41" s="524"/>
      <c r="S41" s="524"/>
    </row>
    <row r="42" spans="1:19" ht="12" customHeight="1" x14ac:dyDescent="0.2">
      <c r="A42" s="1243" t="s">
        <v>469</v>
      </c>
      <c r="B42" s="1243"/>
      <c r="C42" s="1243"/>
      <c r="D42" s="1243"/>
      <c r="E42" s="1243"/>
      <c r="F42" s="1243"/>
      <c r="G42" s="1243"/>
      <c r="H42" s="1243"/>
      <c r="I42" s="1243"/>
      <c r="J42" s="1243"/>
      <c r="K42" s="1243"/>
      <c r="L42" s="1243"/>
      <c r="M42" s="1243"/>
      <c r="N42" s="1243"/>
      <c r="O42" s="524"/>
      <c r="P42" s="524"/>
      <c r="Q42" s="524"/>
      <c r="R42" s="524"/>
      <c r="S42" s="524"/>
    </row>
    <row r="43" spans="1:19" x14ac:dyDescent="0.2">
      <c r="A43" s="1243"/>
      <c r="B43" s="1243"/>
      <c r="C43" s="1243"/>
      <c r="D43" s="1243"/>
      <c r="E43" s="1243"/>
      <c r="F43" s="1243"/>
      <c r="G43" s="1243"/>
      <c r="H43" s="1243"/>
      <c r="I43" s="1243"/>
      <c r="J43" s="1243"/>
      <c r="K43" s="1243"/>
      <c r="L43" s="1243"/>
      <c r="M43" s="1243"/>
      <c r="N43" s="1243"/>
      <c r="O43" s="524"/>
      <c r="P43" s="524"/>
      <c r="Q43" s="524"/>
      <c r="R43" s="524"/>
      <c r="S43" s="524"/>
    </row>
    <row r="44" spans="1:19" x14ac:dyDescent="0.2">
      <c r="A44" s="1224" t="s">
        <v>14</v>
      </c>
      <c r="B44" s="1224"/>
      <c r="C44" s="1224"/>
      <c r="D44" s="1224"/>
      <c r="E44" s="1224"/>
      <c r="F44" s="1224"/>
      <c r="G44" s="1224"/>
      <c r="H44" s="1224"/>
      <c r="I44" s="1224"/>
      <c r="J44" s="1224"/>
      <c r="K44" s="1224"/>
      <c r="L44" s="1224"/>
      <c r="M44" s="1224"/>
      <c r="N44" s="1224"/>
      <c r="O44" s="524"/>
      <c r="P44" s="524"/>
      <c r="Q44" s="524"/>
      <c r="R44" s="524"/>
      <c r="S44" s="524"/>
    </row>
    <row r="45" spans="1:19" x14ac:dyDescent="0.2">
      <c r="O45" s="524"/>
      <c r="P45" s="524"/>
      <c r="Q45" s="524"/>
      <c r="R45" s="524"/>
      <c r="S45" s="524"/>
    </row>
    <row r="46" spans="1:19" x14ac:dyDescent="0.2">
      <c r="O46" s="524"/>
      <c r="P46" s="524"/>
      <c r="Q46" s="524"/>
      <c r="R46" s="524"/>
      <c r="S46" s="524"/>
    </row>
    <row r="47" spans="1:19" x14ac:dyDescent="0.2">
      <c r="O47" s="524"/>
      <c r="P47" s="524"/>
      <c r="Q47" s="524"/>
      <c r="R47" s="524"/>
      <c r="S47" s="524"/>
    </row>
    <row r="48" spans="1:19" x14ac:dyDescent="0.2">
      <c r="O48" s="524"/>
      <c r="P48" s="524"/>
      <c r="Q48" s="524"/>
      <c r="R48" s="524"/>
      <c r="S48" s="524"/>
    </row>
    <row r="49" spans="15:19" x14ac:dyDescent="0.2">
      <c r="O49" s="524"/>
      <c r="P49" s="524"/>
      <c r="Q49" s="524"/>
      <c r="R49" s="524"/>
      <c r="S49" s="524"/>
    </row>
    <row r="50" spans="15:19" x14ac:dyDescent="0.2">
      <c r="O50" s="524"/>
      <c r="P50" s="524"/>
      <c r="Q50" s="524"/>
      <c r="R50" s="524"/>
      <c r="S50" s="524"/>
    </row>
    <row r="51" spans="15:19" x14ac:dyDescent="0.2">
      <c r="O51" s="524"/>
      <c r="P51" s="524"/>
      <c r="Q51" s="524"/>
      <c r="R51" s="524"/>
      <c r="S51" s="524"/>
    </row>
    <row r="52" spans="15:19" x14ac:dyDescent="0.2">
      <c r="O52" s="524"/>
      <c r="P52" s="524"/>
      <c r="Q52" s="524"/>
      <c r="R52" s="524"/>
      <c r="S52" s="524"/>
    </row>
    <row r="53" spans="15:19" x14ac:dyDescent="0.2">
      <c r="O53" s="524"/>
      <c r="P53" s="524"/>
      <c r="Q53" s="524"/>
      <c r="R53" s="524"/>
      <c r="S53" s="524"/>
    </row>
    <row r="54" spans="15:19" x14ac:dyDescent="0.2">
      <c r="O54" s="524"/>
      <c r="P54" s="524"/>
      <c r="Q54" s="524"/>
      <c r="R54" s="524"/>
      <c r="S54" s="524"/>
    </row>
    <row r="55" spans="15:19" x14ac:dyDescent="0.2">
      <c r="O55" s="524"/>
      <c r="P55" s="524"/>
      <c r="Q55" s="524"/>
      <c r="R55" s="524"/>
      <c r="S55" s="524"/>
    </row>
    <row r="56" spans="15:19" x14ac:dyDescent="0.2">
      <c r="O56" s="524"/>
      <c r="P56" s="524"/>
      <c r="Q56" s="524"/>
      <c r="R56" s="524"/>
      <c r="S56" s="524"/>
    </row>
  </sheetData>
  <sheetProtection password="CA39" sheet="1" objects="1" scenarios="1"/>
  <mergeCells count="52">
    <mergeCell ref="J17:K17"/>
    <mergeCell ref="J18:K18"/>
    <mergeCell ref="J19:K19"/>
    <mergeCell ref="B14:C14"/>
    <mergeCell ref="A3:E3"/>
    <mergeCell ref="J16:K16"/>
    <mergeCell ref="B6:F6"/>
    <mergeCell ref="B9:C9"/>
    <mergeCell ref="E9:F9"/>
    <mergeCell ref="B7:F7"/>
    <mergeCell ref="E10:F10"/>
    <mergeCell ref="J6:N6"/>
    <mergeCell ref="J7:N7"/>
    <mergeCell ref="J8:K8"/>
    <mergeCell ref="M8:N8"/>
    <mergeCell ref="B15:C15"/>
    <mergeCell ref="M9:N9"/>
    <mergeCell ref="J14:K14"/>
    <mergeCell ref="J15:K15"/>
    <mergeCell ref="J10:K10"/>
    <mergeCell ref="J9:K9"/>
    <mergeCell ref="M10:N10"/>
    <mergeCell ref="B16:C16"/>
    <mergeCell ref="B17:C17"/>
    <mergeCell ref="B18:C18"/>
    <mergeCell ref="B8:C8"/>
    <mergeCell ref="E8:F8"/>
    <mergeCell ref="B10:C10"/>
    <mergeCell ref="B19:C19"/>
    <mergeCell ref="B20:C20"/>
    <mergeCell ref="K25:L25"/>
    <mergeCell ref="A42:N43"/>
    <mergeCell ref="B31:C31"/>
    <mergeCell ref="K21:L21"/>
    <mergeCell ref="J20:K20"/>
    <mergeCell ref="B30:C30"/>
    <mergeCell ref="B39:M39"/>
    <mergeCell ref="H30:I30"/>
    <mergeCell ref="B38:M38"/>
    <mergeCell ref="B37:M37"/>
    <mergeCell ref="B36:M36"/>
    <mergeCell ref="B35:M35"/>
    <mergeCell ref="K31:L31"/>
    <mergeCell ref="A44:N44"/>
    <mergeCell ref="H25:I25"/>
    <mergeCell ref="H26:I26"/>
    <mergeCell ref="H28:I28"/>
    <mergeCell ref="H27:I27"/>
    <mergeCell ref="B40:M40"/>
    <mergeCell ref="K30:L30"/>
    <mergeCell ref="K26:L26"/>
    <mergeCell ref="H31:I31"/>
  </mergeCells>
  <phoneticPr fontId="17" type="noConversion"/>
  <conditionalFormatting sqref="N38">
    <cfRule type="expression" dxfId="17" priority="1" stopIfTrue="1">
      <formula>C31=TRUE</formula>
    </cfRule>
  </conditionalFormatting>
  <conditionalFormatting sqref="K30:K31 M30:M31 D9:F10 B7 B9:B10 J9:J10 J7 D14:F19 L14:N19 L9:M10 N35:N37 N39:N40 D30:I31">
    <cfRule type="expression" dxfId="16" priority="2" stopIfTrue="1">
      <formula>$H$2=TRUE</formula>
    </cfRule>
  </conditionalFormatting>
  <conditionalFormatting sqref="A3">
    <cfRule type="cellIs" dxfId="15" priority="3" stopIfTrue="1" operator="equal">
      <formula>"Vul het Nza-nummer in op het voorblad"</formula>
    </cfRule>
  </conditionalFormatting>
  <pageMargins left="0.39370078740157483" right="0.39370078740157483" top="0.39370078740157483" bottom="0.39370078740157483" header="0.51181102362204722" footer="0.51181102362204722"/>
  <pageSetup paperSize="9" scale="84" orientation="landscape" cellComments="asDisplayed" horizontalDpi="300" verticalDpi="300" r:id="rId1"/>
  <headerFooter alignWithMargins="0"/>
  <ignoredErrors>
    <ignoredError sqref="F20 N20" formulaRange="1"/>
    <ignoredError sqref="N40" unlockedFormula="1"/>
  </ignoredErrors>
  <drawing r:id="rId2"/>
  <legacyDrawing r:id="rId3"/>
  <oleObjects>
    <mc:AlternateContent xmlns:mc="http://schemas.openxmlformats.org/markup-compatibility/2006">
      <mc:Choice Requires="x14">
        <oleObject progId="MSPhotoEd.3" shapeId="82960" r:id="rId4">
          <objectPr defaultSize="0" autoPict="0" r:id="rId5">
            <anchor moveWithCells="1" sizeWithCells="1">
              <from>
                <xdr:col>11</xdr:col>
                <xdr:colOff>447675</xdr:colOff>
                <xdr:row>1</xdr:row>
                <xdr:rowOff>47625</xdr:rowOff>
              </from>
              <to>
                <xdr:col>13</xdr:col>
                <xdr:colOff>333375</xdr:colOff>
                <xdr:row>1</xdr:row>
                <xdr:rowOff>190500</xdr:rowOff>
              </to>
            </anchor>
          </objectPr>
        </oleObject>
      </mc:Choice>
      <mc:Fallback>
        <oleObject progId="MSPhotoEd.3" shapeId="82960"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6">
    <pageSetUpPr fitToPage="1"/>
  </sheetPr>
  <dimension ref="A1:L29"/>
  <sheetViews>
    <sheetView showGridLines="0" showZeros="0" showOutlineSymbols="0" zoomScaleNormal="100" workbookViewId="0">
      <selection activeCell="A2" sqref="A2"/>
    </sheetView>
  </sheetViews>
  <sheetFormatPr defaultRowHeight="11.25" x14ac:dyDescent="0.15"/>
  <cols>
    <col min="1" max="1" width="7.5703125" style="527" customWidth="1"/>
    <col min="2" max="2" width="78" style="524" customWidth="1"/>
    <col min="3" max="4" width="15.7109375" style="524" customWidth="1"/>
    <col min="5" max="5" width="15.7109375" style="767" customWidth="1"/>
    <col min="6" max="6" width="2.7109375" style="524" customWidth="1"/>
    <col min="7" max="7" width="12.7109375" style="739" customWidth="1"/>
    <col min="8" max="8" width="2.7109375" style="524" customWidth="1"/>
    <col min="9" max="16384" width="9.140625" style="524"/>
  </cols>
  <sheetData>
    <row r="1" spans="1:12" ht="15.95" customHeight="1" x14ac:dyDescent="0.15">
      <c r="A1" s="507"/>
      <c r="B1" s="509"/>
      <c r="C1" s="640"/>
      <c r="D1" s="509"/>
      <c r="E1" s="598"/>
      <c r="F1" s="641"/>
      <c r="G1" s="641"/>
      <c r="H1" s="620"/>
      <c r="I1" s="509"/>
      <c r="L1" s="523"/>
    </row>
    <row r="2" spans="1:12" s="582" customFormat="1" ht="15.75" customHeight="1" x14ac:dyDescent="0.2">
      <c r="A2" s="657" t="str">
        <f>CONCATENATE("Vaststelling Transitiebedrag ",Voorblad!K4)</f>
        <v>Vaststelling Transitiebedrag 2013</v>
      </c>
      <c r="C2" s="650" t="b">
        <f>Voorblad!D26</f>
        <v>1</v>
      </c>
      <c r="D2" s="639"/>
      <c r="E2" s="659">
        <f>investeringen!N2+1</f>
        <v>7</v>
      </c>
      <c r="F2" s="639"/>
      <c r="G2" s="639"/>
      <c r="H2" s="639"/>
    </row>
    <row r="3" spans="1:12" s="523" customFormat="1" x14ac:dyDescent="0.15">
      <c r="A3" s="620"/>
      <c r="B3" s="598"/>
      <c r="C3" s="578"/>
      <c r="D3" s="598"/>
      <c r="E3" s="598"/>
      <c r="F3" s="641"/>
      <c r="G3" s="641"/>
      <c r="H3" s="620"/>
      <c r="I3" s="598"/>
    </row>
    <row r="4" spans="1:12" ht="12.75" customHeight="1" x14ac:dyDescent="0.15">
      <c r="A4" s="513" t="s">
        <v>111</v>
      </c>
      <c r="B4" s="621"/>
      <c r="C4" s="847"/>
      <c r="D4" s="598"/>
      <c r="E4" s="768"/>
      <c r="F4" s="768"/>
      <c r="G4" s="621"/>
      <c r="H4" s="621"/>
      <c r="I4" s="523"/>
    </row>
    <row r="5" spans="1:12" x14ac:dyDescent="0.15">
      <c r="E5" s="739"/>
    </row>
    <row r="6" spans="1:12" x14ac:dyDescent="0.15">
      <c r="C6" s="848" t="s">
        <v>186</v>
      </c>
      <c r="D6" s="849" t="s">
        <v>404</v>
      </c>
      <c r="E6" s="850" t="s">
        <v>118</v>
      </c>
      <c r="F6" s="523"/>
      <c r="G6" s="523"/>
      <c r="H6" s="523"/>
      <c r="I6" s="523"/>
      <c r="J6" s="523"/>
      <c r="K6" s="523"/>
    </row>
    <row r="7" spans="1:12" x14ac:dyDescent="0.15">
      <c r="A7" s="527" t="s">
        <v>338</v>
      </c>
      <c r="B7" s="527" t="s">
        <v>185</v>
      </c>
      <c r="C7" s="851" t="s">
        <v>187</v>
      </c>
      <c r="D7" s="852" t="s">
        <v>405</v>
      </c>
      <c r="E7" s="853"/>
      <c r="F7" s="523"/>
      <c r="G7" s="523"/>
      <c r="H7" s="523"/>
      <c r="I7" s="523"/>
      <c r="J7" s="523"/>
      <c r="K7" s="523"/>
    </row>
    <row r="8" spans="1:12" ht="12.75" x14ac:dyDescent="0.2">
      <c r="A8" s="1213" t="str">
        <f>IF(Voorblad!$F$9&lt;1,"Vul het NZa-nummer in op het voorblad","")</f>
        <v>Vul het NZa-nummer in op het voorblad</v>
      </c>
      <c r="B8" s="1214"/>
      <c r="C8" s="1214"/>
      <c r="D8" s="624"/>
      <c r="E8" s="854"/>
      <c r="F8" s="523"/>
      <c r="G8" s="523"/>
      <c r="H8" s="523"/>
      <c r="I8" s="523"/>
      <c r="J8" s="523"/>
      <c r="K8" s="523"/>
    </row>
    <row r="9" spans="1:12" x14ac:dyDescent="0.15">
      <c r="A9" s="812">
        <f>(E2*100)+1</f>
        <v>701</v>
      </c>
      <c r="B9" s="813" t="str">
        <f>Afschrijvingen!B6</f>
        <v>Nacalculeerbare afschrijvingskosten (normale en verkorte procedures)</v>
      </c>
      <c r="C9" s="635">
        <f>Afschrijvingen!G23</f>
        <v>0</v>
      </c>
      <c r="D9" s="549"/>
      <c r="E9" s="635">
        <f>C9-D9</f>
        <v>0</v>
      </c>
      <c r="G9" s="524"/>
    </row>
    <row r="10" spans="1:12" x14ac:dyDescent="0.15">
      <c r="A10" s="812">
        <f t="shared" ref="A10:A18" si="0">+A9+1</f>
        <v>702</v>
      </c>
      <c r="B10" s="813" t="s">
        <v>234</v>
      </c>
      <c r="C10" s="856"/>
      <c r="D10" s="856"/>
      <c r="E10" s="635">
        <f>investeringen!G31*5%</f>
        <v>0</v>
      </c>
      <c r="G10" s="524"/>
    </row>
    <row r="11" spans="1:12" x14ac:dyDescent="0.15">
      <c r="A11" s="812">
        <f t="shared" si="0"/>
        <v>703</v>
      </c>
      <c r="B11" s="813" t="s">
        <v>235</v>
      </c>
      <c r="C11" s="724"/>
      <c r="D11" s="724"/>
      <c r="E11" s="635">
        <f>investeringen!N40</f>
        <v>0</v>
      </c>
      <c r="G11" s="524"/>
    </row>
    <row r="12" spans="1:12" x14ac:dyDescent="0.15">
      <c r="A12" s="812">
        <f>+A11+1</f>
        <v>704</v>
      </c>
      <c r="B12" s="813" t="s">
        <v>407</v>
      </c>
      <c r="C12" s="549"/>
      <c r="D12" s="549"/>
      <c r="E12" s="635">
        <f>C12-D12</f>
        <v>0</v>
      </c>
      <c r="G12" s="524"/>
    </row>
    <row r="13" spans="1:12" x14ac:dyDescent="0.15">
      <c r="A13" s="812">
        <f>+A12+1</f>
        <v>705</v>
      </c>
      <c r="B13" s="813" t="s">
        <v>423</v>
      </c>
      <c r="C13" s="724"/>
      <c r="D13" s="724"/>
      <c r="E13" s="549"/>
      <c r="G13" s="524"/>
    </row>
    <row r="14" spans="1:12" x14ac:dyDescent="0.15">
      <c r="A14" s="812">
        <f>+A13+1</f>
        <v>706</v>
      </c>
      <c r="B14" s="817" t="s">
        <v>406</v>
      </c>
      <c r="C14" s="857"/>
      <c r="D14" s="857"/>
      <c r="E14" s="619">
        <f>SUM(E9:E13)</f>
        <v>0</v>
      </c>
      <c r="G14" s="524"/>
    </row>
    <row r="15" spans="1:12" x14ac:dyDescent="0.15">
      <c r="A15" s="812">
        <f t="shared" si="0"/>
        <v>707</v>
      </c>
      <c r="B15" s="858" t="str">
        <f>CONCATENATE("Aanvaardbare kosten op kasbasis volgens laatst afgegeven budgetoverzicht ",Voorblad!K4)</f>
        <v>Aanvaardbare kosten op kasbasis volgens laatst afgegeven budgetoverzicht 2013</v>
      </c>
      <c r="C15" s="636"/>
      <c r="D15" s="859"/>
      <c r="E15" s="549"/>
      <c r="G15" s="524"/>
    </row>
    <row r="16" spans="1:12" x14ac:dyDescent="0.15">
      <c r="A16" s="812">
        <f t="shared" si="0"/>
        <v>708</v>
      </c>
      <c r="B16" s="860" t="str">
        <f>CONCATENATE("Subtotaal (regel ",A14," + ",A15,")")</f>
        <v>Subtotaal (regel 706 + 707)</v>
      </c>
      <c r="C16" s="861"/>
      <c r="D16" s="861"/>
      <c r="E16" s="635">
        <f>E14+E15</f>
        <v>0</v>
      </c>
      <c r="G16" s="524"/>
    </row>
    <row r="17" spans="1:7" x14ac:dyDescent="0.15">
      <c r="A17" s="812">
        <f t="shared" si="0"/>
        <v>709</v>
      </c>
      <c r="B17" s="862" t="s">
        <v>236</v>
      </c>
      <c r="C17" s="635">
        <f>+Rentecalc.!E31</f>
        <v>0</v>
      </c>
      <c r="D17" s="1011"/>
      <c r="E17" s="863">
        <f>C17-D17</f>
        <v>0</v>
      </c>
      <c r="G17" s="524"/>
    </row>
    <row r="18" spans="1:7" x14ac:dyDescent="0.15">
      <c r="A18" s="812">
        <f t="shared" si="0"/>
        <v>710</v>
      </c>
      <c r="B18" s="817" t="str">
        <f>CONCATENATE("Definitief budget ",Voorblad!K4," (regel ",A16," + ",A17,")")</f>
        <v>Definitief budget 2013 (regel 708 + 709)</v>
      </c>
      <c r="C18" s="864"/>
      <c r="D18" s="864"/>
      <c r="E18" s="865">
        <f>E16+E17</f>
        <v>0</v>
      </c>
      <c r="G18" s="524"/>
    </row>
    <row r="19" spans="1:7" x14ac:dyDescent="0.15">
      <c r="A19" s="866"/>
      <c r="C19" s="527"/>
      <c r="E19" s="739"/>
      <c r="G19" s="524"/>
    </row>
    <row r="20" spans="1:7" x14ac:dyDescent="0.15">
      <c r="A20" s="527" t="s">
        <v>38</v>
      </c>
      <c r="B20" s="527" t="str">
        <f>CONCATENATE("Opbrengstverrekening ",Voorblad!K4,)</f>
        <v>Opbrengstverrekening 2013</v>
      </c>
      <c r="E20" s="739"/>
      <c r="G20" s="524"/>
    </row>
    <row r="21" spans="1:7" x14ac:dyDescent="0.15">
      <c r="A21" s="524"/>
      <c r="B21" s="527"/>
      <c r="E21" s="739"/>
      <c r="G21" s="524"/>
    </row>
    <row r="22" spans="1:7" x14ac:dyDescent="0.15">
      <c r="A22" s="812">
        <f>+A18+1</f>
        <v>711</v>
      </c>
      <c r="B22" s="1248" t="s">
        <v>470</v>
      </c>
      <c r="C22" s="1284"/>
      <c r="D22" s="1249"/>
      <c r="E22" s="549"/>
      <c r="G22" s="524"/>
    </row>
    <row r="23" spans="1:7" x14ac:dyDescent="0.15">
      <c r="A23" s="812">
        <f>A22+1</f>
        <v>712</v>
      </c>
      <c r="B23" s="1248" t="str">
        <f>CONCATENATE("Werkelijke opbrengsten ",Voorblad!K4," (regel 427 van pagina ",Opbrengsten!J2,")")</f>
        <v>Werkelijke opbrengsten 2013 (regel 427 van pagina 4)</v>
      </c>
      <c r="C23" s="1284"/>
      <c r="D23" s="1249"/>
      <c r="E23" s="635">
        <f>Opbrengsten!E44</f>
        <v>0</v>
      </c>
      <c r="G23" s="524"/>
    </row>
    <row r="24" spans="1:7" x14ac:dyDescent="0.15">
      <c r="A24" s="812">
        <f>A23+1</f>
        <v>713</v>
      </c>
      <c r="B24" s="1285" t="str">
        <f>CONCATENATE("Nog te verrekenen opbrengsten m.b.t. ",Voorblad!K4,"")</f>
        <v>Nog te verrekenen opbrengsten m.b.t. 2013</v>
      </c>
      <c r="C24" s="1286"/>
      <c r="D24" s="1287"/>
      <c r="E24" s="619">
        <f>E22-E23</f>
        <v>0</v>
      </c>
    </row>
    <row r="25" spans="1:7" x14ac:dyDescent="0.15">
      <c r="A25" s="867"/>
      <c r="B25" s="866"/>
      <c r="C25" s="866"/>
      <c r="D25" s="866"/>
      <c r="E25" s="868"/>
    </row>
    <row r="26" spans="1:7" x14ac:dyDescent="0.15">
      <c r="A26" s="1145" t="s">
        <v>426</v>
      </c>
      <c r="B26" s="1145"/>
      <c r="C26" s="1145"/>
      <c r="D26" s="1145"/>
      <c r="E26" s="1146"/>
    </row>
    <row r="27" spans="1:7" x14ac:dyDescent="0.15">
      <c r="A27" s="1145" t="s">
        <v>453</v>
      </c>
      <c r="B27" s="1145"/>
      <c r="C27" s="1145"/>
      <c r="D27" s="1145"/>
      <c r="E27" s="1146"/>
      <c r="G27" s="869"/>
    </row>
    <row r="28" spans="1:7" x14ac:dyDescent="0.15">
      <c r="A28" s="1145" t="s">
        <v>3</v>
      </c>
      <c r="B28" s="1145"/>
      <c r="C28" s="1145"/>
      <c r="D28" s="1145"/>
      <c r="E28" s="1146"/>
    </row>
    <row r="29" spans="1:7" x14ac:dyDescent="0.15">
      <c r="A29" s="1145" t="s">
        <v>424</v>
      </c>
      <c r="B29" s="1145"/>
      <c r="C29" s="1145"/>
      <c r="D29" s="1145"/>
      <c r="E29" s="1146"/>
    </row>
  </sheetData>
  <sheetProtection password="CA39" sheet="1" objects="1" scenarios="1"/>
  <mergeCells count="4">
    <mergeCell ref="B23:D23"/>
    <mergeCell ref="B24:D24"/>
    <mergeCell ref="B22:D22"/>
    <mergeCell ref="A8:C8"/>
  </mergeCells>
  <phoneticPr fontId="17" type="noConversion"/>
  <conditionalFormatting sqref="E22 D9 E15 D17 C12:D12 E13">
    <cfRule type="expression" dxfId="14" priority="1" stopIfTrue="1">
      <formula>$C$2=TRUE</formula>
    </cfRule>
  </conditionalFormatting>
  <conditionalFormatting sqref="A8">
    <cfRule type="cellIs" dxfId="13" priority="2" stopIfTrue="1" operator="equal">
      <formula>"Vul het Nza-nummer in op het voorblad"</formula>
    </cfRule>
  </conditionalFormatting>
  <pageMargins left="0.39370078740157483" right="0.39370078740157483" top="0.39370078740157483" bottom="0.39370078740157483" header="0.51181102362204722" footer="0.51181102362204722"/>
  <pageSetup paperSize="9" orientation="landscape" horizontalDpi="300" verticalDpi="300" r:id="rId1"/>
  <headerFooter alignWithMargins="0"/>
  <ignoredErrors>
    <ignoredError sqref="E17" formula="1"/>
  </ignoredErrors>
  <drawing r:id="rId2"/>
  <legacyDrawing r:id="rId3"/>
  <oleObjects>
    <mc:AlternateContent xmlns:mc="http://schemas.openxmlformats.org/markup-compatibility/2006">
      <mc:Choice Requires="x14">
        <oleObject progId="MSPhotoEd.3" shapeId="75793" r:id="rId4">
          <objectPr defaultSize="0" autoPict="0" r:id="rId5">
            <anchor moveWithCells="1" sizeWithCells="1">
              <from>
                <xdr:col>3</xdr:col>
                <xdr:colOff>38100</xdr:colOff>
                <xdr:row>1</xdr:row>
                <xdr:rowOff>38100</xdr:rowOff>
              </from>
              <to>
                <xdr:col>4</xdr:col>
                <xdr:colOff>523875</xdr:colOff>
                <xdr:row>1</xdr:row>
                <xdr:rowOff>180975</xdr:rowOff>
              </to>
            </anchor>
          </objectPr>
        </oleObject>
      </mc:Choice>
      <mc:Fallback>
        <oleObject progId="MSPhotoEd.3" shapeId="75793"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1">
    <pageSetUpPr autoPageBreaks="0"/>
  </sheetPr>
  <dimension ref="A1:F2892"/>
  <sheetViews>
    <sheetView showGridLines="0" showZeros="0" showOutlineSymbols="0" zoomScaleNormal="100" zoomScaleSheetLayoutView="100" workbookViewId="0"/>
  </sheetViews>
  <sheetFormatPr defaultRowHeight="11.25" x14ac:dyDescent="0.15"/>
  <cols>
    <col min="1" max="1" width="5.7109375" style="524" customWidth="1"/>
    <col min="2" max="2" width="104" style="524" customWidth="1"/>
    <col min="3" max="3" width="4.28515625" style="524" customWidth="1"/>
    <col min="4" max="6" width="8.28515625" style="524" customWidth="1"/>
    <col min="7" max="7" width="0.85546875" style="524" customWidth="1"/>
    <col min="8" max="16384" width="9.140625" style="524"/>
  </cols>
  <sheetData>
    <row r="1" spans="1:6" ht="15" customHeight="1" x14ac:dyDescent="0.15">
      <c r="A1" s="695"/>
      <c r="B1" s="696"/>
      <c r="C1" s="697"/>
      <c r="D1" s="698"/>
      <c r="E1" s="698"/>
      <c r="F1" s="699"/>
    </row>
    <row r="2" spans="1:6" s="523" customFormat="1" x14ac:dyDescent="0.15">
      <c r="A2" s="657" t="str">
        <f>CONCATENATE("Vaststelling Transitiebedrag ",Voorblad!K4)</f>
        <v>Vaststelling Transitiebedrag 2013</v>
      </c>
      <c r="B2" s="700"/>
      <c r="C2" s="701" t="b">
        <f>Voorblad!D26</f>
        <v>1</v>
      </c>
      <c r="D2" s="702"/>
      <c r="E2" s="703" t="b">
        <f>Voorblad!D26</f>
        <v>1</v>
      </c>
      <c r="F2" s="704">
        <v>1</v>
      </c>
    </row>
    <row r="3" spans="1:6" s="523" customFormat="1" x14ac:dyDescent="0.15">
      <c r="A3" s="705"/>
      <c r="B3" s="697"/>
      <c r="C3" s="697"/>
      <c r="D3" s="706"/>
      <c r="E3" s="706"/>
      <c r="F3" s="699"/>
    </row>
    <row r="4" spans="1:6" x14ac:dyDescent="0.15">
      <c r="A4" s="707" t="s">
        <v>408</v>
      </c>
      <c r="B4" s="662"/>
      <c r="C4" s="522"/>
      <c r="D4" s="522"/>
      <c r="E4" s="522"/>
      <c r="F4" s="522"/>
    </row>
    <row r="5" spans="1:6" x14ac:dyDescent="0.15">
      <c r="A5" s="524" t="s">
        <v>227</v>
      </c>
      <c r="B5" s="521"/>
      <c r="C5" s="522"/>
      <c r="D5" s="522"/>
      <c r="E5" s="522"/>
      <c r="F5" s="522"/>
    </row>
    <row r="6" spans="1:6" x14ac:dyDescent="0.15">
      <c r="A6" s="522" t="s">
        <v>228</v>
      </c>
      <c r="B6" s="521"/>
      <c r="C6" s="522"/>
      <c r="D6" s="522"/>
      <c r="E6" s="522"/>
      <c r="F6" s="521"/>
    </row>
    <row r="7" spans="1:6" x14ac:dyDescent="0.15">
      <c r="A7" s="522" t="s">
        <v>229</v>
      </c>
      <c r="B7" s="521"/>
      <c r="C7" s="522"/>
      <c r="D7" s="522"/>
      <c r="E7" s="522"/>
      <c r="F7" s="522"/>
    </row>
    <row r="8" spans="1:6" ht="12.6" customHeight="1" x14ac:dyDescent="0.15">
      <c r="A8" s="522"/>
      <c r="B8" s="522"/>
      <c r="C8" s="522"/>
      <c r="D8" s="522"/>
      <c r="E8" s="522"/>
      <c r="F8" s="522"/>
    </row>
    <row r="9" spans="1:6" ht="12.6" customHeight="1" x14ac:dyDescent="0.15">
      <c r="A9" s="522"/>
      <c r="B9" s="522"/>
      <c r="C9" s="522"/>
      <c r="D9" s="522"/>
      <c r="E9" s="522"/>
      <c r="F9" s="522"/>
    </row>
    <row r="10" spans="1:6" ht="12.6" customHeight="1" x14ac:dyDescent="0.15">
      <c r="A10" s="522"/>
      <c r="B10" s="522"/>
      <c r="C10" s="522"/>
      <c r="D10" s="1304" t="s">
        <v>225</v>
      </c>
      <c r="E10" s="1305"/>
      <c r="F10" s="1306"/>
    </row>
    <row r="11" spans="1:6" ht="12.6" customHeight="1" x14ac:dyDescent="0.15">
      <c r="A11" s="522"/>
      <c r="B11" s="522"/>
      <c r="C11" s="522"/>
      <c r="D11" s="708">
        <v>1</v>
      </c>
      <c r="E11" s="708">
        <v>2</v>
      </c>
      <c r="F11" s="708">
        <v>3</v>
      </c>
    </row>
    <row r="12" spans="1:6" ht="12.6" customHeight="1" x14ac:dyDescent="0.15">
      <c r="A12" s="707" t="s">
        <v>226</v>
      </c>
      <c r="B12" s="522"/>
      <c r="C12" s="522"/>
      <c r="D12" s="522"/>
      <c r="E12" s="522"/>
      <c r="F12" s="522"/>
    </row>
    <row r="13" spans="1:6" ht="12.6" customHeight="1" x14ac:dyDescent="0.15">
      <c r="A13" s="1299">
        <v>1</v>
      </c>
      <c r="B13" s="1295" t="s">
        <v>99</v>
      </c>
      <c r="C13" s="1302"/>
      <c r="D13" s="1296"/>
      <c r="E13" s="1296"/>
      <c r="F13" s="1307"/>
    </row>
    <row r="14" spans="1:6" ht="12.6" customHeight="1" x14ac:dyDescent="0.15">
      <c r="A14" s="1300"/>
      <c r="B14" s="1295"/>
      <c r="C14" s="1302"/>
      <c r="D14" s="1297"/>
      <c r="E14" s="1297"/>
      <c r="F14" s="1307"/>
    </row>
    <row r="15" spans="1:6" ht="13.15" customHeight="1" x14ac:dyDescent="0.15">
      <c r="A15" s="1301"/>
      <c r="B15" s="1295"/>
      <c r="C15" s="1302"/>
      <c r="D15" s="1297"/>
      <c r="E15" s="1297"/>
      <c r="F15" s="1307"/>
    </row>
    <row r="16" spans="1:6" ht="12.6" customHeight="1" x14ac:dyDescent="0.15"/>
    <row r="17" spans="1:6" ht="12.6" customHeight="1" x14ac:dyDescent="0.15">
      <c r="A17" s="707" t="s">
        <v>252</v>
      </c>
    </row>
    <row r="18" spans="1:6" ht="12.6" customHeight="1" x14ac:dyDescent="0.15">
      <c r="A18" s="1299">
        <f>A13+1</f>
        <v>2</v>
      </c>
      <c r="B18" s="1295" t="str">
        <f>CONCATENATE("Wijkt de definitieve nacalculatie op de productie parameters aanzienlijk af van de voorlopige nacalculatie, zoals die is opgegeven bij de productieafspraken ",Voorblad!K4,"?")</f>
        <v>Wijkt de definitieve nacalculatie op de productie parameters aanzienlijk af van de voorlopige nacalculatie, zoals die is opgegeven bij de productieafspraken 2013?</v>
      </c>
      <c r="C18" s="1302"/>
      <c r="D18" s="1296"/>
      <c r="E18" s="1296"/>
      <c r="F18" s="1291"/>
    </row>
    <row r="19" spans="1:6" ht="12.6" customHeight="1" x14ac:dyDescent="0.15">
      <c r="A19" s="1300"/>
      <c r="B19" s="1295"/>
      <c r="C19" s="1302"/>
      <c r="D19" s="1297"/>
      <c r="E19" s="1297"/>
      <c r="F19" s="1291"/>
    </row>
    <row r="20" spans="1:6" ht="12.6" customHeight="1" x14ac:dyDescent="0.15">
      <c r="A20" s="1301"/>
      <c r="B20" s="1295"/>
      <c r="C20" s="1302"/>
      <c r="D20" s="1298"/>
      <c r="E20" s="1298"/>
      <c r="F20" s="1291"/>
    </row>
    <row r="21" spans="1:6" ht="12.6" customHeight="1" x14ac:dyDescent="0.15">
      <c r="A21" s="1299">
        <f>A18+1</f>
        <v>3</v>
      </c>
      <c r="B21" s="1295" t="s">
        <v>353</v>
      </c>
      <c r="C21" s="1302"/>
      <c r="D21" s="1296"/>
      <c r="E21" s="1296"/>
      <c r="F21" s="1291"/>
    </row>
    <row r="22" spans="1:6" ht="12.6" customHeight="1" x14ac:dyDescent="0.15">
      <c r="A22" s="1300"/>
      <c r="B22" s="1295"/>
      <c r="C22" s="1302"/>
      <c r="D22" s="1297"/>
      <c r="E22" s="1297"/>
      <c r="F22" s="1291"/>
    </row>
    <row r="23" spans="1:6" ht="12.6" customHeight="1" x14ac:dyDescent="0.15">
      <c r="A23" s="1301"/>
      <c r="B23" s="1295"/>
      <c r="C23" s="1302"/>
      <c r="D23" s="1298"/>
      <c r="E23" s="1298"/>
      <c r="F23" s="1291"/>
    </row>
    <row r="24" spans="1:6" ht="12.6" customHeight="1" x14ac:dyDescent="0.15">
      <c r="A24" s="1299">
        <f>A21+1</f>
        <v>4</v>
      </c>
      <c r="B24" s="1295" t="s">
        <v>30</v>
      </c>
      <c r="C24" s="1302"/>
      <c r="D24" s="1296"/>
      <c r="E24" s="1296"/>
      <c r="F24" s="1291"/>
    </row>
    <row r="25" spans="1:6" ht="12.6" customHeight="1" x14ac:dyDescent="0.15">
      <c r="A25" s="1300"/>
      <c r="B25" s="1295"/>
      <c r="C25" s="1302"/>
      <c r="D25" s="1297"/>
      <c r="E25" s="1297"/>
      <c r="F25" s="1291"/>
    </row>
    <row r="26" spans="1:6" ht="12.6" customHeight="1" x14ac:dyDescent="0.15">
      <c r="A26" s="1301"/>
      <c r="B26" s="1295"/>
      <c r="C26" s="1302"/>
      <c r="D26" s="1298"/>
      <c r="E26" s="1298"/>
      <c r="F26" s="1291"/>
    </row>
    <row r="27" spans="1:6" ht="12.6" customHeight="1" x14ac:dyDescent="0.15"/>
    <row r="28" spans="1:6" ht="12.6" customHeight="1" x14ac:dyDescent="0.15">
      <c r="A28" s="707" t="s">
        <v>253</v>
      </c>
    </row>
    <row r="29" spans="1:6" ht="12.6" customHeight="1" x14ac:dyDescent="0.15">
      <c r="A29" s="1299">
        <f>+A24+1</f>
        <v>5</v>
      </c>
      <c r="B29" s="1295" t="s">
        <v>354</v>
      </c>
      <c r="C29" s="1302"/>
      <c r="D29" s="1296"/>
      <c r="E29" s="1296"/>
      <c r="F29" s="522"/>
    </row>
    <row r="30" spans="1:6" ht="12.6" customHeight="1" x14ac:dyDescent="0.15">
      <c r="A30" s="1300"/>
      <c r="B30" s="1295"/>
      <c r="C30" s="1302"/>
      <c r="D30" s="1297"/>
      <c r="E30" s="1297"/>
      <c r="F30" s="522"/>
    </row>
    <row r="31" spans="1:6" ht="12.6" customHeight="1" x14ac:dyDescent="0.15">
      <c r="A31" s="1301"/>
      <c r="B31" s="1295"/>
      <c r="C31" s="1302"/>
      <c r="D31" s="1298"/>
      <c r="E31" s="1298"/>
      <c r="F31" s="522"/>
    </row>
    <row r="32" spans="1:6" ht="12.6" customHeight="1" x14ac:dyDescent="0.15">
      <c r="A32" s="1299">
        <v>7</v>
      </c>
      <c r="B32" s="1295" t="s">
        <v>355</v>
      </c>
      <c r="C32" s="1302"/>
      <c r="D32" s="1296"/>
      <c r="E32" s="1296"/>
      <c r="F32" s="522"/>
    </row>
    <row r="33" spans="1:6" ht="12.6" customHeight="1" x14ac:dyDescent="0.15">
      <c r="A33" s="1300"/>
      <c r="B33" s="1295"/>
      <c r="C33" s="1302"/>
      <c r="D33" s="1297"/>
      <c r="E33" s="1297"/>
      <c r="F33" s="709"/>
    </row>
    <row r="34" spans="1:6" ht="12.6" customHeight="1" x14ac:dyDescent="0.15">
      <c r="A34" s="1301"/>
      <c r="B34" s="1295"/>
      <c r="C34" s="1302"/>
      <c r="D34" s="1298"/>
      <c r="E34" s="1298"/>
      <c r="F34" s="522"/>
    </row>
    <row r="35" spans="1:6" ht="12.6" customHeight="1" x14ac:dyDescent="0.15">
      <c r="A35" s="1299">
        <f>A32+1</f>
        <v>8</v>
      </c>
      <c r="B35" s="1303" t="s">
        <v>20</v>
      </c>
      <c r="C35" s="1302"/>
      <c r="D35" s="1296"/>
      <c r="E35" s="1288"/>
      <c r="F35" s="1291"/>
    </row>
    <row r="36" spans="1:6" ht="12.6" customHeight="1" x14ac:dyDescent="0.15">
      <c r="A36" s="1300"/>
      <c r="B36" s="1303"/>
      <c r="C36" s="1302"/>
      <c r="D36" s="1297"/>
      <c r="E36" s="1289"/>
      <c r="F36" s="1291"/>
    </row>
    <row r="37" spans="1:6" ht="12.6" customHeight="1" x14ac:dyDescent="0.15">
      <c r="A37" s="1301"/>
      <c r="B37" s="1303"/>
      <c r="C37" s="1302"/>
      <c r="D37" s="1298"/>
      <c r="E37" s="1290"/>
      <c r="F37" s="1291"/>
    </row>
    <row r="38" spans="1:6" ht="12.6" customHeight="1" x14ac:dyDescent="0.15">
      <c r="A38" s="522"/>
      <c r="B38" s="522"/>
      <c r="C38" s="522"/>
      <c r="D38" s="522"/>
      <c r="E38" s="522"/>
      <c r="F38" s="522"/>
    </row>
    <row r="39" spans="1:6" ht="12.6" customHeight="1" x14ac:dyDescent="0.15">
      <c r="A39" s="695"/>
      <c r="B39" s="696"/>
      <c r="C39" s="696"/>
      <c r="D39" s="698"/>
      <c r="E39" s="698"/>
      <c r="F39" s="699"/>
    </row>
    <row r="40" spans="1:6" s="523" customFormat="1" ht="12.6" customHeight="1" x14ac:dyDescent="0.15">
      <c r="A40" s="710" t="str">
        <f>Inhoud!A2</f>
        <v>Vaststelling Transitiebedrag 2013</v>
      </c>
      <c r="B40" s="700"/>
      <c r="C40" s="700"/>
      <c r="D40" s="702"/>
      <c r="E40" s="703"/>
      <c r="F40" s="704">
        <f>F2+1</f>
        <v>2</v>
      </c>
    </row>
    <row r="41" spans="1:6" ht="12.6" customHeight="1" x14ac:dyDescent="0.15">
      <c r="A41" s="695"/>
      <c r="B41" s="696"/>
      <c r="C41" s="696"/>
      <c r="D41" s="698"/>
      <c r="E41" s="698"/>
      <c r="F41" s="699"/>
    </row>
    <row r="42" spans="1:6" ht="12.6" customHeight="1" x14ac:dyDescent="0.15">
      <c r="A42" s="707" t="s">
        <v>230</v>
      </c>
      <c r="B42" s="662"/>
      <c r="C42" s="522"/>
      <c r="D42" s="1304" t="s">
        <v>225</v>
      </c>
      <c r="E42" s="1305"/>
      <c r="F42" s="1306"/>
    </row>
    <row r="43" spans="1:6" ht="12.6" customHeight="1" x14ac:dyDescent="0.15">
      <c r="A43" s="522"/>
      <c r="B43" s="522"/>
      <c r="C43" s="522"/>
      <c r="D43" s="708">
        <v>1</v>
      </c>
      <c r="E43" s="708">
        <v>2</v>
      </c>
      <c r="F43" s="708">
        <v>3</v>
      </c>
    </row>
    <row r="44" spans="1:6" ht="12.6" customHeight="1" x14ac:dyDescent="0.15">
      <c r="A44" s="707" t="s">
        <v>254</v>
      </c>
      <c r="B44" s="522"/>
      <c r="C44" s="522"/>
      <c r="D44" s="522"/>
      <c r="E44" s="522"/>
      <c r="F44" s="522"/>
    </row>
    <row r="45" spans="1:6" ht="12.6" customHeight="1" x14ac:dyDescent="0.15">
      <c r="A45" s="707"/>
      <c r="B45" s="522"/>
      <c r="C45" s="522"/>
      <c r="D45" s="522"/>
      <c r="E45" s="522"/>
      <c r="F45" s="522"/>
    </row>
    <row r="46" spans="1:6" ht="12.6" customHeight="1" x14ac:dyDescent="0.15">
      <c r="A46" s="1299">
        <v>9</v>
      </c>
      <c r="B46" s="1295" t="str">
        <f>CONCATENATE("Zijn, voor de berekening van de nacalculeerbare afschrijvingskosten van de voor ",Voorblad!K4," geactiveerde activa, de door de NZa geaccepteerde afschrijvingspercentages, gecontinueerd? Indien voor ",Voorblad!K4," geen activa zijn geactiveerd, kies dan 'nvt'")</f>
        <v>Zijn, voor de berekening van de nacalculeerbare afschrijvingskosten van de voor 2013 geactiveerde activa, de door de NZa geaccepteerde afschrijvingspercentages, gecontinueerd? Indien voor 2013 geen activa zijn geactiveerd, kies dan 'nvt'</v>
      </c>
      <c r="C46" s="1302"/>
      <c r="D46" s="1296"/>
      <c r="E46" s="1288"/>
      <c r="F46" s="1291"/>
    </row>
    <row r="47" spans="1:6" ht="12.6" customHeight="1" x14ac:dyDescent="0.15">
      <c r="A47" s="1300"/>
      <c r="B47" s="1295"/>
      <c r="C47" s="1302"/>
      <c r="D47" s="1297"/>
      <c r="E47" s="1289"/>
      <c r="F47" s="1291"/>
    </row>
    <row r="48" spans="1:6" ht="12.6" customHeight="1" x14ac:dyDescent="0.15">
      <c r="A48" s="1301"/>
      <c r="B48" s="1295"/>
      <c r="C48" s="1302"/>
      <c r="D48" s="1298"/>
      <c r="E48" s="1290"/>
      <c r="F48" s="1291"/>
    </row>
    <row r="49" spans="1:6" ht="12.6" customHeight="1" x14ac:dyDescent="0.15">
      <c r="A49" s="1299">
        <f>A46+1</f>
        <v>10</v>
      </c>
      <c r="B49" s="1295" t="str">
        <f>CONCATENATE("Passen de in ",Voorblad!K4," geactiveerde investeringen in immateriele en materiele vaste activa (investeringskosten) binnen de WZV/WTZi-vergunningen die voor deze projecten zijn afgegeven? Als er geen investeringen zijn geactiveerd, kies dan 'nvt'")</f>
        <v>Passen de in 2013 geactiveerde investeringen in immateriele en materiele vaste activa (investeringskosten) binnen de WZV/WTZi-vergunningen die voor deze projecten zijn afgegeven? Als er geen investeringen zijn geactiveerd, kies dan 'nvt'</v>
      </c>
      <c r="C49" s="1302"/>
      <c r="D49" s="1296"/>
      <c r="E49" s="1288"/>
      <c r="F49" s="1291"/>
    </row>
    <row r="50" spans="1:6" ht="12.6" customHeight="1" x14ac:dyDescent="0.15">
      <c r="A50" s="1300"/>
      <c r="B50" s="1295"/>
      <c r="C50" s="1302"/>
      <c r="D50" s="1297"/>
      <c r="E50" s="1289"/>
      <c r="F50" s="1291"/>
    </row>
    <row r="51" spans="1:6" ht="12.6" customHeight="1" x14ac:dyDescent="0.15">
      <c r="A51" s="1301"/>
      <c r="B51" s="1295"/>
      <c r="C51" s="1302"/>
      <c r="D51" s="1298"/>
      <c r="E51" s="1290"/>
      <c r="F51" s="1291"/>
    </row>
    <row r="52" spans="1:6" ht="12.6" customHeight="1" x14ac:dyDescent="0.15">
      <c r="A52" s="1299">
        <f>A49+1</f>
        <v>11</v>
      </c>
      <c r="B52" s="1295" t="str">
        <f>CONCATENATE("Passen de in ",Voorblad!K4," geactiveerde instandhoudingsinvesteringen binnen de meldingsverklaringen die door het CBZ zijn afgegeven voor deze projecten? Als er geen investeringen zijn geactiveerd, kies dan 'nvt'")</f>
        <v>Passen de in 2013 geactiveerde instandhoudingsinvesteringen binnen de meldingsverklaringen die door het CBZ zijn afgegeven voor deze projecten? Als er geen investeringen zijn geactiveerd, kies dan 'nvt'</v>
      </c>
      <c r="C52" s="1302"/>
      <c r="D52" s="1296"/>
      <c r="E52" s="1288"/>
      <c r="F52" s="1291"/>
    </row>
    <row r="53" spans="1:6" ht="12.6" customHeight="1" x14ac:dyDescent="0.15">
      <c r="A53" s="1300"/>
      <c r="B53" s="1295"/>
      <c r="C53" s="1302"/>
      <c r="D53" s="1297"/>
      <c r="E53" s="1289"/>
      <c r="F53" s="1291"/>
    </row>
    <row r="54" spans="1:6" ht="12.6" customHeight="1" x14ac:dyDescent="0.15">
      <c r="A54" s="1301"/>
      <c r="B54" s="1295"/>
      <c r="C54" s="1302"/>
      <c r="D54" s="1298"/>
      <c r="E54" s="1290"/>
      <c r="F54" s="1291"/>
    </row>
    <row r="55" spans="1:6" ht="12.6" customHeight="1" x14ac:dyDescent="0.15">
      <c r="A55" s="1299">
        <f>A52+1</f>
        <v>12</v>
      </c>
      <c r="B55" s="1295" t="s">
        <v>445</v>
      </c>
      <c r="C55" s="1302"/>
      <c r="D55" s="1296"/>
      <c r="E55" s="1288"/>
      <c r="F55" s="1291"/>
    </row>
    <row r="56" spans="1:6" ht="12.6" customHeight="1" x14ac:dyDescent="0.15">
      <c r="A56" s="1300"/>
      <c r="B56" s="1295"/>
      <c r="C56" s="1302"/>
      <c r="D56" s="1297"/>
      <c r="E56" s="1289"/>
      <c r="F56" s="1291"/>
    </row>
    <row r="57" spans="1:6" ht="12.6" customHeight="1" x14ac:dyDescent="0.15">
      <c r="A57" s="1301"/>
      <c r="B57" s="1295"/>
      <c r="C57" s="1302"/>
      <c r="D57" s="1298"/>
      <c r="E57" s="1290"/>
      <c r="F57" s="1291"/>
    </row>
    <row r="58" spans="1:6" ht="12.6" customHeight="1" x14ac:dyDescent="0.15">
      <c r="A58" s="1299">
        <f>A55+1</f>
        <v>13</v>
      </c>
      <c r="B58" s="1295" t="s">
        <v>237</v>
      </c>
      <c r="C58" s="1302"/>
      <c r="D58" s="1296"/>
      <c r="E58" s="1288"/>
      <c r="F58" s="1291"/>
    </row>
    <row r="59" spans="1:6" ht="12.6" customHeight="1" x14ac:dyDescent="0.15">
      <c r="A59" s="1300"/>
      <c r="B59" s="1295"/>
      <c r="C59" s="1302"/>
      <c r="D59" s="1297"/>
      <c r="E59" s="1289"/>
      <c r="F59" s="1291"/>
    </row>
    <row r="60" spans="1:6" ht="12.6" customHeight="1" x14ac:dyDescent="0.15">
      <c r="A60" s="1301"/>
      <c r="B60" s="1295"/>
      <c r="C60" s="1302"/>
      <c r="D60" s="1298"/>
      <c r="E60" s="1290"/>
      <c r="F60" s="1291"/>
    </row>
    <row r="61" spans="1:6" ht="12.6" customHeight="1" x14ac:dyDescent="0.15">
      <c r="A61" s="1299">
        <f>A58+1</f>
        <v>14</v>
      </c>
      <c r="B61" s="1295" t="s">
        <v>356</v>
      </c>
      <c r="C61" s="1302"/>
      <c r="D61" s="1296"/>
      <c r="E61" s="1296"/>
      <c r="F61" s="522"/>
    </row>
    <row r="62" spans="1:6" ht="12.6" customHeight="1" x14ac:dyDescent="0.15">
      <c r="A62" s="1300"/>
      <c r="B62" s="1295"/>
      <c r="C62" s="1302"/>
      <c r="D62" s="1297"/>
      <c r="E62" s="1297"/>
      <c r="F62" s="522"/>
    </row>
    <row r="63" spans="1:6" ht="12.6" customHeight="1" x14ac:dyDescent="0.15">
      <c r="A63" s="1301"/>
      <c r="B63" s="1295"/>
      <c r="C63" s="1302"/>
      <c r="D63" s="1298"/>
      <c r="E63" s="1298"/>
      <c r="F63" s="522"/>
    </row>
    <row r="64" spans="1:6" ht="12.6" customHeight="1" x14ac:dyDescent="0.15">
      <c r="A64" s="1299">
        <f>A61+1</f>
        <v>15</v>
      </c>
      <c r="B64" s="1295" t="s">
        <v>29</v>
      </c>
      <c r="C64" s="1302"/>
      <c r="D64" s="1296"/>
      <c r="E64" s="1296"/>
      <c r="F64" s="1291"/>
    </row>
    <row r="65" spans="1:6" ht="12.6" customHeight="1" x14ac:dyDescent="0.15">
      <c r="A65" s="1300"/>
      <c r="B65" s="1295"/>
      <c r="C65" s="1302"/>
      <c r="D65" s="1297"/>
      <c r="E65" s="1297"/>
      <c r="F65" s="1291"/>
    </row>
    <row r="66" spans="1:6" ht="12.6" customHeight="1" x14ac:dyDescent="0.15">
      <c r="A66" s="1301"/>
      <c r="B66" s="1295"/>
      <c r="C66" s="1302"/>
      <c r="D66" s="1298"/>
      <c r="E66" s="1298"/>
      <c r="F66" s="1291"/>
    </row>
    <row r="67" spans="1:6" ht="12.6" customHeight="1" x14ac:dyDescent="0.15">
      <c r="A67" s="1292">
        <f>A64+1</f>
        <v>16</v>
      </c>
      <c r="B67" s="1295" t="s">
        <v>357</v>
      </c>
      <c r="C67" s="1302"/>
      <c r="D67" s="1296"/>
      <c r="E67" s="1296"/>
      <c r="F67" s="1291"/>
    </row>
    <row r="68" spans="1:6" ht="12.6" customHeight="1" x14ac:dyDescent="0.15">
      <c r="A68" s="1293"/>
      <c r="B68" s="1295"/>
      <c r="C68" s="1302"/>
      <c r="D68" s="1297"/>
      <c r="E68" s="1297"/>
      <c r="F68" s="1291"/>
    </row>
    <row r="69" spans="1:6" ht="12.6" customHeight="1" x14ac:dyDescent="0.15">
      <c r="A69" s="1294"/>
      <c r="B69" s="1295"/>
      <c r="C69" s="1302"/>
      <c r="D69" s="1298"/>
      <c r="E69" s="1298"/>
      <c r="F69" s="1291"/>
    </row>
    <row r="70" spans="1:6" ht="12.6" customHeight="1" x14ac:dyDescent="0.15">
      <c r="A70" s="1292">
        <f>A67+1</f>
        <v>17</v>
      </c>
      <c r="B70" s="1295" t="s">
        <v>238</v>
      </c>
      <c r="C70" s="1302"/>
      <c r="D70" s="1296"/>
      <c r="E70" s="1296"/>
      <c r="F70" s="1291"/>
    </row>
    <row r="71" spans="1:6" ht="12.6" customHeight="1" x14ac:dyDescent="0.15">
      <c r="A71" s="1293"/>
      <c r="B71" s="1295"/>
      <c r="C71" s="1302"/>
      <c r="D71" s="1297"/>
      <c r="E71" s="1308"/>
      <c r="F71" s="1291"/>
    </row>
    <row r="72" spans="1:6" ht="12.6" customHeight="1" x14ac:dyDescent="0.15">
      <c r="A72" s="1294"/>
      <c r="B72" s="1295"/>
      <c r="C72" s="1302"/>
      <c r="D72" s="1298"/>
      <c r="E72" s="1309"/>
      <c r="F72" s="1291"/>
    </row>
    <row r="73" spans="1:6" ht="12.6" customHeight="1" x14ac:dyDescent="0.15"/>
    <row r="74" spans="1:6" ht="12.6" customHeight="1" x14ac:dyDescent="0.15">
      <c r="A74" s="707" t="s">
        <v>255</v>
      </c>
    </row>
    <row r="75" spans="1:6" ht="12.6" customHeight="1" x14ac:dyDescent="0.15">
      <c r="A75" s="1292">
        <v>19</v>
      </c>
      <c r="B75" s="1295" t="s">
        <v>256</v>
      </c>
      <c r="C75" s="1302"/>
      <c r="D75" s="1296"/>
      <c r="E75" s="1296"/>
      <c r="F75" s="522"/>
    </row>
    <row r="76" spans="1:6" ht="12.6" customHeight="1" x14ac:dyDescent="0.15">
      <c r="A76" s="1293"/>
      <c r="B76" s="1295"/>
      <c r="C76" s="1302"/>
      <c r="D76" s="1297"/>
      <c r="E76" s="1297"/>
      <c r="F76" s="522"/>
    </row>
    <row r="77" spans="1:6" ht="12.6" customHeight="1" x14ac:dyDescent="0.15">
      <c r="A77" s="1294"/>
      <c r="B77" s="1295"/>
      <c r="C77" s="1302"/>
      <c r="D77" s="1297"/>
      <c r="E77" s="1297"/>
      <c r="F77" s="522"/>
    </row>
    <row r="78" spans="1:6" ht="12.6" customHeight="1" x14ac:dyDescent="0.15">
      <c r="A78" s="1292">
        <f>A75+1</f>
        <v>20</v>
      </c>
      <c r="B78" s="1295" t="str">
        <f>"Is het verschil op regel "&amp;'A-G'!A25&amp;" van het nacalculatieformulier verklaard? Als er geen verschil is, kies dan nvt."</f>
        <v>Is het verschil op regel 417 van het nacalculatieformulier verklaard? Als er geen verschil is, kies dan nvt.</v>
      </c>
      <c r="C78" s="711"/>
      <c r="D78" s="1296"/>
      <c r="E78" s="1288"/>
      <c r="F78" s="1291"/>
    </row>
    <row r="79" spans="1:6" ht="12" customHeight="1" x14ac:dyDescent="0.15">
      <c r="A79" s="1293"/>
      <c r="B79" s="1295"/>
      <c r="C79" s="711"/>
      <c r="D79" s="1297"/>
      <c r="E79" s="1289"/>
      <c r="F79" s="1291"/>
    </row>
    <row r="80" spans="1:6" ht="12.6" customHeight="1" x14ac:dyDescent="0.15">
      <c r="A80" s="1294"/>
      <c r="B80" s="1295"/>
      <c r="C80" s="711"/>
      <c r="D80" s="1298"/>
      <c r="E80" s="1290"/>
      <c r="F80" s="1291"/>
    </row>
    <row r="81" ht="12.6" customHeight="1" x14ac:dyDescent="0.15"/>
    <row r="82" ht="12.6" customHeight="1" x14ac:dyDescent="0.15"/>
    <row r="83" ht="12.6" customHeight="1" x14ac:dyDescent="0.15"/>
    <row r="84" ht="12.6" customHeight="1" x14ac:dyDescent="0.15"/>
    <row r="85" ht="12.6" customHeight="1" x14ac:dyDescent="0.15"/>
    <row r="86" ht="12.6" customHeight="1" x14ac:dyDescent="0.15"/>
    <row r="87" ht="12.6" customHeight="1" x14ac:dyDescent="0.15"/>
    <row r="88" ht="12.6" customHeight="1" x14ac:dyDescent="0.15"/>
    <row r="89" ht="12.6" customHeight="1" x14ac:dyDescent="0.15"/>
    <row r="90" ht="12.6" customHeight="1" x14ac:dyDescent="0.15"/>
    <row r="91" ht="12.6" customHeight="1" x14ac:dyDescent="0.15"/>
    <row r="92" ht="12.6" customHeight="1" x14ac:dyDescent="0.15"/>
    <row r="93" ht="12.6" customHeight="1" x14ac:dyDescent="0.15"/>
    <row r="94" ht="12.6" customHeight="1" x14ac:dyDescent="0.15"/>
    <row r="95" ht="12.6" customHeight="1" x14ac:dyDescent="0.15"/>
    <row r="96" ht="12.6" customHeight="1" x14ac:dyDescent="0.15"/>
    <row r="97" ht="12.6" customHeight="1" x14ac:dyDescent="0.15"/>
    <row r="98" ht="12.6" customHeight="1" x14ac:dyDescent="0.15"/>
    <row r="99" ht="12.6" customHeight="1" x14ac:dyDescent="0.15"/>
    <row r="100" ht="12.6" customHeight="1" x14ac:dyDescent="0.15"/>
    <row r="101" ht="12.6" customHeight="1" x14ac:dyDescent="0.15"/>
    <row r="102" ht="12.6" customHeight="1" x14ac:dyDescent="0.15"/>
    <row r="103" ht="12.6" customHeight="1" x14ac:dyDescent="0.15"/>
    <row r="104" ht="12.6" customHeight="1" x14ac:dyDescent="0.15"/>
    <row r="105" ht="12.6" customHeight="1" x14ac:dyDescent="0.15"/>
    <row r="106" ht="12.6" customHeight="1" x14ac:dyDescent="0.15"/>
    <row r="107" ht="12.6" customHeight="1" x14ac:dyDescent="0.15"/>
    <row r="108" ht="12.6" customHeight="1" x14ac:dyDescent="0.15"/>
    <row r="109" ht="12.6" customHeight="1" x14ac:dyDescent="0.15"/>
    <row r="110" ht="12.6" customHeight="1" x14ac:dyDescent="0.15"/>
    <row r="111" ht="12.6" customHeight="1" x14ac:dyDescent="0.15"/>
    <row r="112" ht="12.6" customHeight="1" x14ac:dyDescent="0.15"/>
    <row r="113" ht="12.6" customHeight="1" x14ac:dyDescent="0.15"/>
    <row r="114" ht="12.6" customHeight="1" x14ac:dyDescent="0.15"/>
    <row r="115" ht="12.6" customHeight="1" x14ac:dyDescent="0.15"/>
    <row r="116" ht="12.6" customHeight="1" x14ac:dyDescent="0.15"/>
    <row r="117" ht="12.6" customHeight="1" x14ac:dyDescent="0.15"/>
    <row r="118" ht="12.6" customHeight="1" x14ac:dyDescent="0.15"/>
    <row r="119" ht="12.6" customHeight="1" x14ac:dyDescent="0.15"/>
    <row r="120" ht="12.6" customHeight="1" x14ac:dyDescent="0.15"/>
    <row r="121" ht="12.6" customHeight="1" x14ac:dyDescent="0.15"/>
    <row r="122" ht="12.6" customHeight="1" x14ac:dyDescent="0.15"/>
    <row r="123" ht="12.6" customHeight="1" x14ac:dyDescent="0.15"/>
    <row r="124" ht="12.6" customHeight="1" x14ac:dyDescent="0.15"/>
    <row r="125" ht="12.6" customHeight="1" x14ac:dyDescent="0.15"/>
    <row r="126" ht="12.6" customHeight="1" x14ac:dyDescent="0.15"/>
    <row r="127" ht="12.6" customHeight="1" x14ac:dyDescent="0.15"/>
    <row r="128" ht="12.6" customHeight="1" x14ac:dyDescent="0.15"/>
    <row r="129" ht="12.6" customHeight="1" x14ac:dyDescent="0.15"/>
    <row r="130" ht="12.6" customHeight="1" x14ac:dyDescent="0.15"/>
    <row r="131" ht="12.6" customHeight="1" x14ac:dyDescent="0.15"/>
    <row r="132" ht="12.6" customHeight="1" x14ac:dyDescent="0.15"/>
    <row r="133" ht="12.6" customHeight="1" x14ac:dyDescent="0.15"/>
    <row r="134" ht="12.6" customHeight="1" x14ac:dyDescent="0.15"/>
    <row r="135" ht="12.6" customHeight="1" x14ac:dyDescent="0.15"/>
    <row r="136" ht="12.6" customHeight="1" x14ac:dyDescent="0.15"/>
    <row r="137" ht="12.6" customHeight="1" x14ac:dyDescent="0.15"/>
    <row r="138" ht="12.6" customHeight="1" x14ac:dyDescent="0.15"/>
    <row r="139" ht="12.6" customHeight="1" x14ac:dyDescent="0.15"/>
    <row r="140" ht="12.6" customHeight="1" x14ac:dyDescent="0.15"/>
    <row r="141" ht="12.6" customHeight="1" x14ac:dyDescent="0.15"/>
    <row r="142" ht="12.6" customHeight="1" x14ac:dyDescent="0.15"/>
    <row r="143" ht="12.6" customHeight="1" x14ac:dyDescent="0.15"/>
    <row r="144" ht="12.6" customHeight="1" x14ac:dyDescent="0.15"/>
    <row r="145" ht="12.6" customHeight="1" x14ac:dyDescent="0.15"/>
    <row r="146" ht="12.6" customHeight="1" x14ac:dyDescent="0.15"/>
    <row r="147" ht="12.6" customHeight="1" x14ac:dyDescent="0.15"/>
    <row r="148" ht="12.6" customHeight="1" x14ac:dyDescent="0.15"/>
    <row r="149" ht="12.6" customHeight="1" x14ac:dyDescent="0.15"/>
    <row r="150" ht="12.6" customHeight="1" x14ac:dyDescent="0.15"/>
    <row r="151" ht="12.6" customHeight="1" x14ac:dyDescent="0.15"/>
    <row r="152" ht="12.6" customHeight="1" x14ac:dyDescent="0.15"/>
    <row r="153" ht="12.6" customHeight="1" x14ac:dyDescent="0.15"/>
    <row r="154" ht="12.6" customHeight="1" x14ac:dyDescent="0.15"/>
    <row r="155" ht="12.6" customHeight="1" x14ac:dyDescent="0.15"/>
    <row r="156" ht="12.6" customHeight="1" x14ac:dyDescent="0.15"/>
    <row r="157" ht="12.6" customHeight="1" x14ac:dyDescent="0.15"/>
    <row r="158" ht="12.6" customHeight="1" x14ac:dyDescent="0.15"/>
    <row r="159" ht="12.6" customHeight="1" x14ac:dyDescent="0.15"/>
    <row r="160" ht="12.6" customHeight="1" x14ac:dyDescent="0.15"/>
    <row r="161" ht="12.6" customHeight="1" x14ac:dyDescent="0.15"/>
    <row r="162" ht="12.6" customHeight="1" x14ac:dyDescent="0.15"/>
    <row r="163" ht="12.6" customHeight="1" x14ac:dyDescent="0.15"/>
    <row r="164" ht="12.6" customHeight="1" x14ac:dyDescent="0.15"/>
    <row r="165" ht="12.6" customHeight="1" x14ac:dyDescent="0.15"/>
    <row r="166" ht="12.6" customHeight="1" x14ac:dyDescent="0.15"/>
    <row r="167" ht="12.6" customHeight="1" x14ac:dyDescent="0.15"/>
    <row r="168" ht="12.6" customHeight="1" x14ac:dyDescent="0.15"/>
    <row r="169" ht="12.6" customHeight="1" x14ac:dyDescent="0.15"/>
    <row r="170" ht="12.6" customHeight="1" x14ac:dyDescent="0.15"/>
    <row r="171" ht="12.6" customHeight="1" x14ac:dyDescent="0.15"/>
    <row r="172" ht="12.6" customHeight="1" x14ac:dyDescent="0.15"/>
    <row r="173" ht="12.6" customHeight="1" x14ac:dyDescent="0.15"/>
    <row r="174" ht="12.6" customHeight="1" x14ac:dyDescent="0.15"/>
    <row r="175" ht="12.6" customHeight="1" x14ac:dyDescent="0.15"/>
    <row r="176" ht="12.6" customHeight="1" x14ac:dyDescent="0.15"/>
    <row r="177" ht="12.6" customHeight="1" x14ac:dyDescent="0.15"/>
    <row r="178" ht="12.6" customHeight="1" x14ac:dyDescent="0.15"/>
    <row r="179" ht="12.6" customHeight="1" x14ac:dyDescent="0.15"/>
    <row r="180" ht="12.6" customHeight="1" x14ac:dyDescent="0.15"/>
    <row r="181" ht="12.6" customHeight="1" x14ac:dyDescent="0.15"/>
    <row r="182" ht="12.6" customHeight="1" x14ac:dyDescent="0.15"/>
    <row r="183" ht="12.6" customHeight="1" x14ac:dyDescent="0.15"/>
    <row r="184" ht="12.6" customHeight="1" x14ac:dyDescent="0.15"/>
    <row r="185" ht="12.6" customHeight="1" x14ac:dyDescent="0.15"/>
    <row r="186" ht="12.6" customHeight="1" x14ac:dyDescent="0.15"/>
    <row r="187" ht="12.6" customHeight="1" x14ac:dyDescent="0.15"/>
    <row r="188" ht="12.6" customHeight="1" x14ac:dyDescent="0.15"/>
    <row r="189" ht="12.6" customHeight="1" x14ac:dyDescent="0.15"/>
    <row r="190" ht="12.6" customHeight="1" x14ac:dyDescent="0.15"/>
    <row r="191" ht="12.6" customHeight="1" x14ac:dyDescent="0.15"/>
    <row r="192" ht="12.6" customHeight="1" x14ac:dyDescent="0.15"/>
    <row r="193" ht="12.6" customHeight="1" x14ac:dyDescent="0.15"/>
    <row r="194" ht="12.6" customHeight="1" x14ac:dyDescent="0.15"/>
    <row r="195" ht="12.6" customHeight="1" x14ac:dyDescent="0.15"/>
    <row r="196" ht="12.6" customHeight="1" x14ac:dyDescent="0.15"/>
    <row r="197" ht="12.6" customHeight="1" x14ac:dyDescent="0.15"/>
    <row r="198" ht="12.6" customHeight="1" x14ac:dyDescent="0.15"/>
    <row r="199" ht="12.6" customHeight="1" x14ac:dyDescent="0.15"/>
    <row r="200" ht="12.6" customHeight="1" x14ac:dyDescent="0.15"/>
    <row r="201" ht="12.6" customHeight="1" x14ac:dyDescent="0.15"/>
    <row r="202" ht="12.6" customHeight="1" x14ac:dyDescent="0.15"/>
    <row r="203" ht="12.6" customHeight="1" x14ac:dyDescent="0.15"/>
    <row r="204" ht="12.6" customHeight="1" x14ac:dyDescent="0.15"/>
    <row r="205" ht="12.6" customHeight="1" x14ac:dyDescent="0.15"/>
    <row r="206" ht="12.6" customHeight="1" x14ac:dyDescent="0.15"/>
    <row r="207" ht="12.6" customHeight="1" x14ac:dyDescent="0.15"/>
    <row r="208" ht="12.6" customHeight="1" x14ac:dyDescent="0.15"/>
    <row r="209" ht="12.6" customHeight="1" x14ac:dyDescent="0.15"/>
    <row r="210" ht="12.6" customHeight="1" x14ac:dyDescent="0.15"/>
    <row r="211" ht="12.6" customHeight="1" x14ac:dyDescent="0.15"/>
    <row r="212" ht="12.6" customHeight="1" x14ac:dyDescent="0.15"/>
    <row r="213" ht="12.6" customHeight="1" x14ac:dyDescent="0.15"/>
    <row r="214" ht="12.6" customHeight="1" x14ac:dyDescent="0.15"/>
    <row r="215" ht="12.6" customHeight="1" x14ac:dyDescent="0.15"/>
    <row r="216" ht="12.6" customHeight="1" x14ac:dyDescent="0.15"/>
    <row r="217" ht="12.6" customHeight="1" x14ac:dyDescent="0.15"/>
    <row r="218" ht="12.6" customHeight="1" x14ac:dyDescent="0.15"/>
    <row r="219" ht="12.6" customHeight="1" x14ac:dyDescent="0.15"/>
    <row r="220" ht="12.6" customHeight="1" x14ac:dyDescent="0.15"/>
    <row r="221" ht="12.6" customHeight="1" x14ac:dyDescent="0.15"/>
    <row r="222" ht="12.6" customHeight="1" x14ac:dyDescent="0.15"/>
    <row r="223" ht="12.6" customHeight="1" x14ac:dyDescent="0.15"/>
    <row r="224" ht="12.6" customHeight="1" x14ac:dyDescent="0.15"/>
    <row r="225" ht="12.6" customHeight="1" x14ac:dyDescent="0.15"/>
    <row r="226" ht="12.6" customHeight="1" x14ac:dyDescent="0.15"/>
    <row r="227" ht="12.6" customHeight="1" x14ac:dyDescent="0.15"/>
    <row r="228" ht="12.6" customHeight="1" x14ac:dyDescent="0.15"/>
    <row r="229" ht="12.6" customHeight="1" x14ac:dyDescent="0.15"/>
    <row r="230" ht="12.6" customHeight="1" x14ac:dyDescent="0.15"/>
    <row r="231" ht="12.6" customHeight="1" x14ac:dyDescent="0.15"/>
    <row r="232" ht="12.6" customHeight="1" x14ac:dyDescent="0.15"/>
    <row r="233" ht="12.6" customHeight="1" x14ac:dyDescent="0.15"/>
    <row r="234" ht="12.6" customHeight="1" x14ac:dyDescent="0.15"/>
    <row r="235" ht="12.6" customHeight="1" x14ac:dyDescent="0.15"/>
    <row r="236" ht="12.6" customHeight="1" x14ac:dyDescent="0.15"/>
    <row r="237" ht="12.6" customHeight="1" x14ac:dyDescent="0.15"/>
    <row r="238" ht="12.6" customHeight="1" x14ac:dyDescent="0.15"/>
    <row r="239" ht="12.6" customHeight="1" x14ac:dyDescent="0.15"/>
    <row r="240" ht="12.6" customHeight="1" x14ac:dyDescent="0.15"/>
    <row r="241" ht="12.6" customHeight="1" x14ac:dyDescent="0.15"/>
    <row r="242" ht="12.6" customHeight="1" x14ac:dyDescent="0.15"/>
    <row r="243" ht="12.6" customHeight="1" x14ac:dyDescent="0.15"/>
    <row r="244" ht="12.6" customHeight="1" x14ac:dyDescent="0.15"/>
    <row r="245" ht="12.6" customHeight="1" x14ac:dyDescent="0.15"/>
    <row r="246" ht="12.6" customHeight="1" x14ac:dyDescent="0.15"/>
    <row r="247" ht="12.6" customHeight="1" x14ac:dyDescent="0.15"/>
    <row r="248" ht="12.6" customHeight="1" x14ac:dyDescent="0.15"/>
    <row r="249" ht="12.6" customHeight="1" x14ac:dyDescent="0.15"/>
    <row r="250" ht="12.6" customHeight="1" x14ac:dyDescent="0.15"/>
    <row r="251" ht="12.6" customHeight="1" x14ac:dyDescent="0.15"/>
    <row r="252" ht="12.6" customHeight="1" x14ac:dyDescent="0.15"/>
    <row r="253" ht="12.6" customHeight="1" x14ac:dyDescent="0.15"/>
    <row r="254" ht="12.6" customHeight="1" x14ac:dyDescent="0.15"/>
    <row r="255" ht="12.6" customHeight="1" x14ac:dyDescent="0.15"/>
    <row r="256" ht="12.6" customHeight="1" x14ac:dyDescent="0.15"/>
    <row r="257" ht="12.6" customHeight="1" x14ac:dyDescent="0.15"/>
    <row r="258" ht="12.6" customHeight="1" x14ac:dyDescent="0.15"/>
    <row r="259" ht="12.6" customHeight="1" x14ac:dyDescent="0.15"/>
    <row r="260" ht="12.6" customHeight="1" x14ac:dyDescent="0.15"/>
    <row r="261" ht="12.6" customHeight="1" x14ac:dyDescent="0.15"/>
    <row r="262" ht="12.6" customHeight="1" x14ac:dyDescent="0.15"/>
    <row r="263" ht="12.6" customHeight="1" x14ac:dyDescent="0.15"/>
    <row r="264" ht="12.6" customHeight="1" x14ac:dyDescent="0.15"/>
    <row r="265" ht="12.6" customHeight="1" x14ac:dyDescent="0.15"/>
    <row r="266" ht="12.6" customHeight="1" x14ac:dyDescent="0.15"/>
    <row r="267" ht="12.6" customHeight="1" x14ac:dyDescent="0.15"/>
    <row r="268" ht="12.6" customHeight="1" x14ac:dyDescent="0.15"/>
    <row r="269" ht="12.6" customHeight="1" x14ac:dyDescent="0.15"/>
    <row r="270" ht="12.6" customHeight="1" x14ac:dyDescent="0.15"/>
    <row r="271" ht="12.6" customHeight="1" x14ac:dyDescent="0.15"/>
    <row r="272" ht="12.6" customHeight="1" x14ac:dyDescent="0.15"/>
    <row r="273" ht="12.6" customHeight="1" x14ac:dyDescent="0.15"/>
    <row r="274" ht="12.6" customHeight="1" x14ac:dyDescent="0.15"/>
    <row r="275" ht="12.6" customHeight="1" x14ac:dyDescent="0.15"/>
    <row r="276" ht="12.6" customHeight="1" x14ac:dyDescent="0.15"/>
    <row r="277" ht="12.6" customHeight="1" x14ac:dyDescent="0.15"/>
    <row r="278" ht="12.6" customHeight="1" x14ac:dyDescent="0.15"/>
    <row r="279" ht="12.6" customHeight="1" x14ac:dyDescent="0.15"/>
    <row r="280" ht="12.6" customHeight="1" x14ac:dyDescent="0.15"/>
    <row r="281" ht="12.6" customHeight="1" x14ac:dyDescent="0.15"/>
    <row r="282" ht="12.6" customHeight="1" x14ac:dyDescent="0.15"/>
    <row r="283" ht="12.6" customHeight="1" x14ac:dyDescent="0.15"/>
    <row r="284" ht="12.6" customHeight="1" x14ac:dyDescent="0.15"/>
    <row r="285" ht="12.6" customHeight="1" x14ac:dyDescent="0.15"/>
    <row r="286" ht="12.6" customHeight="1" x14ac:dyDescent="0.15"/>
    <row r="287" ht="12.6" customHeight="1" x14ac:dyDescent="0.15"/>
    <row r="288" ht="12.6" customHeight="1" x14ac:dyDescent="0.15"/>
    <row r="289" ht="12.6" customHeight="1" x14ac:dyDescent="0.15"/>
    <row r="290" ht="12.6" customHeight="1" x14ac:dyDescent="0.15"/>
    <row r="291" ht="12.6" customHeight="1" x14ac:dyDescent="0.15"/>
    <row r="292" ht="12.6" customHeight="1" x14ac:dyDescent="0.15"/>
    <row r="293" ht="12.6" customHeight="1" x14ac:dyDescent="0.15"/>
    <row r="294" ht="12.6" customHeight="1" x14ac:dyDescent="0.15"/>
    <row r="295" ht="12.6" customHeight="1" x14ac:dyDescent="0.15"/>
    <row r="296" ht="12.6" customHeight="1" x14ac:dyDescent="0.15"/>
    <row r="297" ht="12.6" customHeight="1" x14ac:dyDescent="0.15"/>
    <row r="298" ht="12.6" customHeight="1" x14ac:dyDescent="0.15"/>
    <row r="299" ht="12.6" customHeight="1" x14ac:dyDescent="0.15"/>
    <row r="300" ht="12.6" customHeight="1" x14ac:dyDescent="0.15"/>
    <row r="301" ht="12.6" customHeight="1" x14ac:dyDescent="0.15"/>
    <row r="302" ht="12.6" customHeight="1" x14ac:dyDescent="0.15"/>
    <row r="303" ht="12.6" customHeight="1" x14ac:dyDescent="0.15"/>
    <row r="304" ht="12.6" customHeight="1" x14ac:dyDescent="0.15"/>
    <row r="305" ht="12.6" customHeight="1" x14ac:dyDescent="0.15"/>
    <row r="306" ht="12.6" customHeight="1" x14ac:dyDescent="0.15"/>
    <row r="307" ht="12.6" customHeight="1" x14ac:dyDescent="0.15"/>
    <row r="308" ht="12.6" customHeight="1" x14ac:dyDescent="0.15"/>
    <row r="309" ht="12.6" customHeight="1" x14ac:dyDescent="0.15"/>
    <row r="310" ht="12.6" customHeight="1" x14ac:dyDescent="0.15"/>
    <row r="311" ht="12.6" customHeight="1" x14ac:dyDescent="0.15"/>
    <row r="312" ht="12.6" customHeight="1" x14ac:dyDescent="0.15"/>
    <row r="313" ht="12.6" customHeight="1" x14ac:dyDescent="0.15"/>
    <row r="314" ht="12.6" customHeight="1" x14ac:dyDescent="0.15"/>
    <row r="315" ht="12.6" customHeight="1" x14ac:dyDescent="0.15"/>
    <row r="316" ht="12.6" customHeight="1" x14ac:dyDescent="0.15"/>
    <row r="317" ht="12.6" customHeight="1" x14ac:dyDescent="0.15"/>
    <row r="318" ht="12.6" customHeight="1" x14ac:dyDescent="0.15"/>
    <row r="319" ht="12.6" customHeight="1" x14ac:dyDescent="0.15"/>
    <row r="320" ht="12.6" customHeight="1" x14ac:dyDescent="0.15"/>
    <row r="321" ht="12.6" customHeight="1" x14ac:dyDescent="0.15"/>
    <row r="322" ht="12.6" customHeight="1" x14ac:dyDescent="0.15"/>
    <row r="323" ht="12.6" customHeight="1" x14ac:dyDescent="0.15"/>
    <row r="324" ht="12.6" customHeight="1" x14ac:dyDescent="0.15"/>
    <row r="325" ht="12.6" customHeight="1" x14ac:dyDescent="0.15"/>
    <row r="326" ht="12.6" customHeight="1" x14ac:dyDescent="0.15"/>
    <row r="327" ht="12.6" customHeight="1" x14ac:dyDescent="0.15"/>
    <row r="328" ht="12.6" customHeight="1" x14ac:dyDescent="0.15"/>
    <row r="329" ht="12.6" customHeight="1" x14ac:dyDescent="0.15"/>
    <row r="330" ht="12.6" customHeight="1" x14ac:dyDescent="0.15"/>
    <row r="331" ht="12.6" customHeight="1" x14ac:dyDescent="0.15"/>
    <row r="332" ht="12.6" customHeight="1" x14ac:dyDescent="0.15"/>
    <row r="333" ht="12.6" customHeight="1" x14ac:dyDescent="0.15"/>
    <row r="334" ht="12.6" customHeight="1" x14ac:dyDescent="0.15"/>
    <row r="335" ht="12.6" customHeight="1" x14ac:dyDescent="0.15"/>
    <row r="336" ht="12.6" customHeight="1" x14ac:dyDescent="0.15"/>
    <row r="337" ht="12.6" customHeight="1" x14ac:dyDescent="0.15"/>
    <row r="338" ht="12.6" customHeight="1" x14ac:dyDescent="0.15"/>
    <row r="339" ht="12.6" customHeight="1" x14ac:dyDescent="0.15"/>
    <row r="340" ht="12.6" customHeight="1" x14ac:dyDescent="0.15"/>
    <row r="341" ht="12.6" customHeight="1" x14ac:dyDescent="0.15"/>
    <row r="342" ht="12.6" customHeight="1" x14ac:dyDescent="0.15"/>
    <row r="343" ht="12.6" customHeight="1" x14ac:dyDescent="0.15"/>
    <row r="344" ht="12.6" customHeight="1" x14ac:dyDescent="0.15"/>
    <row r="345" ht="12.6" customHeight="1" x14ac:dyDescent="0.15"/>
    <row r="346" ht="12.6" customHeight="1" x14ac:dyDescent="0.15"/>
    <row r="347" ht="12.6" customHeight="1" x14ac:dyDescent="0.15"/>
    <row r="348" ht="12.6" customHeight="1" x14ac:dyDescent="0.15"/>
    <row r="349" ht="12.6" customHeight="1" x14ac:dyDescent="0.15"/>
    <row r="350" ht="12.6" customHeight="1" x14ac:dyDescent="0.15"/>
    <row r="351" ht="12.6" customHeight="1" x14ac:dyDescent="0.15"/>
    <row r="352" ht="12.6" customHeight="1" x14ac:dyDescent="0.15"/>
    <row r="353" ht="12.6" customHeight="1" x14ac:dyDescent="0.15"/>
    <row r="354" ht="12.6" customHeight="1" x14ac:dyDescent="0.15"/>
    <row r="355" ht="12.6" customHeight="1" x14ac:dyDescent="0.15"/>
    <row r="356" ht="12.6" customHeight="1" x14ac:dyDescent="0.15"/>
    <row r="357" ht="12.6" customHeight="1" x14ac:dyDescent="0.15"/>
    <row r="358" ht="12.6" customHeight="1" x14ac:dyDescent="0.15"/>
    <row r="359" ht="12.6" customHeight="1" x14ac:dyDescent="0.15"/>
    <row r="360" ht="12.6" customHeight="1" x14ac:dyDescent="0.15"/>
    <row r="361" ht="12.6" customHeight="1" x14ac:dyDescent="0.15"/>
    <row r="362" ht="12.6" customHeight="1" x14ac:dyDescent="0.15"/>
    <row r="363" ht="12.6" customHeight="1" x14ac:dyDescent="0.15"/>
    <row r="364" ht="12.6" customHeight="1" x14ac:dyDescent="0.15"/>
    <row r="365" ht="12.6" customHeight="1" x14ac:dyDescent="0.15"/>
    <row r="366" ht="12.6" customHeight="1" x14ac:dyDescent="0.15"/>
    <row r="367" ht="12.6" customHeight="1" x14ac:dyDescent="0.15"/>
    <row r="368" ht="12.6" customHeight="1" x14ac:dyDescent="0.15"/>
    <row r="369" ht="12.6" customHeight="1" x14ac:dyDescent="0.15"/>
    <row r="370" ht="12.6" customHeight="1" x14ac:dyDescent="0.15"/>
    <row r="371" ht="12.6" customHeight="1" x14ac:dyDescent="0.15"/>
    <row r="372" ht="12.6" customHeight="1" x14ac:dyDescent="0.15"/>
    <row r="373" ht="12.6" customHeight="1" x14ac:dyDescent="0.15"/>
    <row r="374" ht="12.6" customHeight="1" x14ac:dyDescent="0.15"/>
    <row r="375" ht="12.6" customHeight="1" x14ac:dyDescent="0.15"/>
    <row r="376" ht="12.6" customHeight="1" x14ac:dyDescent="0.15"/>
    <row r="377" ht="12.6" customHeight="1" x14ac:dyDescent="0.15"/>
    <row r="378" ht="12.6" customHeight="1" x14ac:dyDescent="0.15"/>
    <row r="379" ht="12.6" customHeight="1" x14ac:dyDescent="0.15"/>
    <row r="380" ht="12.6" customHeight="1" x14ac:dyDescent="0.15"/>
    <row r="381" ht="12.6" customHeight="1" x14ac:dyDescent="0.15"/>
    <row r="382" ht="12.6" customHeight="1" x14ac:dyDescent="0.15"/>
    <row r="383" ht="12.6" customHeight="1" x14ac:dyDescent="0.15"/>
    <row r="384" ht="12.6" customHeight="1" x14ac:dyDescent="0.15"/>
    <row r="385" ht="12.6" customHeight="1" x14ac:dyDescent="0.15"/>
    <row r="386" ht="12.6" customHeight="1" x14ac:dyDescent="0.15"/>
    <row r="387" ht="12.6" customHeight="1" x14ac:dyDescent="0.15"/>
    <row r="388" ht="12.6" customHeight="1" x14ac:dyDescent="0.15"/>
    <row r="389" ht="12.6" customHeight="1" x14ac:dyDescent="0.15"/>
    <row r="390" ht="12.6" customHeight="1" x14ac:dyDescent="0.15"/>
    <row r="391" ht="12.6" customHeight="1" x14ac:dyDescent="0.15"/>
    <row r="392" ht="12.6" customHeight="1" x14ac:dyDescent="0.15"/>
    <row r="393" ht="12.6" customHeight="1" x14ac:dyDescent="0.15"/>
    <row r="394" ht="12.6" customHeight="1" x14ac:dyDescent="0.15"/>
    <row r="395" ht="12.6" customHeight="1" x14ac:dyDescent="0.15"/>
    <row r="396" ht="12.6" customHeight="1" x14ac:dyDescent="0.15"/>
    <row r="397" ht="12.6" customHeight="1" x14ac:dyDescent="0.15"/>
    <row r="398" ht="12.6" customHeight="1" x14ac:dyDescent="0.15"/>
    <row r="399" ht="12.6" customHeight="1" x14ac:dyDescent="0.15"/>
    <row r="400" ht="12.6" customHeight="1" x14ac:dyDescent="0.15"/>
    <row r="401" ht="12.6" customHeight="1" x14ac:dyDescent="0.15"/>
    <row r="402" ht="12.6" customHeight="1" x14ac:dyDescent="0.15"/>
    <row r="403" ht="12.6" customHeight="1" x14ac:dyDescent="0.15"/>
    <row r="404" ht="12.6" customHeight="1" x14ac:dyDescent="0.15"/>
    <row r="405" ht="12.6" customHeight="1" x14ac:dyDescent="0.15"/>
    <row r="406" ht="12.6" customHeight="1" x14ac:dyDescent="0.15"/>
    <row r="407" ht="12.6" customHeight="1" x14ac:dyDescent="0.15"/>
    <row r="408" ht="12.6" customHeight="1" x14ac:dyDescent="0.15"/>
    <row r="409" ht="12.6" customHeight="1" x14ac:dyDescent="0.15"/>
    <row r="410" ht="12.6" customHeight="1" x14ac:dyDescent="0.15"/>
    <row r="411" ht="12.6" customHeight="1" x14ac:dyDescent="0.15"/>
    <row r="412" ht="12.6" customHeight="1" x14ac:dyDescent="0.15"/>
    <row r="413" ht="12.6" customHeight="1" x14ac:dyDescent="0.15"/>
    <row r="414" ht="12.6" customHeight="1" x14ac:dyDescent="0.15"/>
    <row r="415" ht="12.6" customHeight="1" x14ac:dyDescent="0.15"/>
    <row r="416" ht="12.6" customHeight="1" x14ac:dyDescent="0.15"/>
    <row r="417" ht="12.6" customHeight="1" x14ac:dyDescent="0.15"/>
    <row r="418" ht="12.6" customHeight="1" x14ac:dyDescent="0.15"/>
    <row r="419" ht="12.6" customHeight="1" x14ac:dyDescent="0.15"/>
    <row r="420" ht="12.6" customHeight="1" x14ac:dyDescent="0.15"/>
    <row r="421" ht="12.6" customHeight="1" x14ac:dyDescent="0.15"/>
    <row r="422" ht="12.6" customHeight="1" x14ac:dyDescent="0.15"/>
    <row r="423" ht="12.6" customHeight="1" x14ac:dyDescent="0.15"/>
    <row r="424" ht="12.6" customHeight="1" x14ac:dyDescent="0.15"/>
    <row r="425" ht="12.6" customHeight="1" x14ac:dyDescent="0.15"/>
    <row r="426" ht="12.6" customHeight="1" x14ac:dyDescent="0.15"/>
    <row r="427" ht="12.6" customHeight="1" x14ac:dyDescent="0.15"/>
    <row r="428" ht="12.6" customHeight="1" x14ac:dyDescent="0.15"/>
    <row r="429" ht="12.6" customHeight="1" x14ac:dyDescent="0.15"/>
    <row r="430" ht="12.6" customHeight="1" x14ac:dyDescent="0.15"/>
    <row r="431" ht="12.6" customHeight="1" x14ac:dyDescent="0.15"/>
    <row r="432" ht="12.6" customHeight="1" x14ac:dyDescent="0.15"/>
    <row r="433" ht="12.6" customHeight="1" x14ac:dyDescent="0.15"/>
    <row r="434" ht="12.6" customHeight="1" x14ac:dyDescent="0.15"/>
    <row r="435" ht="12.6" customHeight="1" x14ac:dyDescent="0.15"/>
    <row r="436" ht="12.6" customHeight="1" x14ac:dyDescent="0.15"/>
    <row r="437" ht="12.6" customHeight="1" x14ac:dyDescent="0.15"/>
    <row r="438" ht="12.6" customHeight="1" x14ac:dyDescent="0.15"/>
    <row r="439" ht="12.6" customHeight="1" x14ac:dyDescent="0.15"/>
    <row r="440" ht="12.6" customHeight="1" x14ac:dyDescent="0.15"/>
    <row r="441" ht="12.6" customHeight="1" x14ac:dyDescent="0.15"/>
    <row r="442" ht="12.6" customHeight="1" x14ac:dyDescent="0.15"/>
    <row r="443" ht="12.6" customHeight="1" x14ac:dyDescent="0.15"/>
    <row r="444" ht="12.6" customHeight="1" x14ac:dyDescent="0.15"/>
    <row r="445" ht="12.6" customHeight="1" x14ac:dyDescent="0.15"/>
    <row r="446" ht="12.6" customHeight="1" x14ac:dyDescent="0.15"/>
    <row r="447" ht="12.6" customHeight="1" x14ac:dyDescent="0.15"/>
    <row r="448" ht="12.6" customHeight="1" x14ac:dyDescent="0.15"/>
    <row r="449" ht="12.6" customHeight="1" x14ac:dyDescent="0.15"/>
    <row r="450" ht="12.6" customHeight="1" x14ac:dyDescent="0.15"/>
    <row r="451" ht="12.6" customHeight="1" x14ac:dyDescent="0.15"/>
    <row r="452" ht="12.6" customHeight="1" x14ac:dyDescent="0.15"/>
    <row r="453" ht="12.6" customHeight="1" x14ac:dyDescent="0.15"/>
    <row r="454" ht="12.6" customHeight="1" x14ac:dyDescent="0.15"/>
    <row r="455" ht="12.6" customHeight="1" x14ac:dyDescent="0.15"/>
    <row r="456" ht="12.6" customHeight="1" x14ac:dyDescent="0.15"/>
    <row r="457" ht="12.6" customHeight="1" x14ac:dyDescent="0.15"/>
    <row r="458" ht="12.6" customHeight="1" x14ac:dyDescent="0.15"/>
    <row r="459" ht="12.6" customHeight="1" x14ac:dyDescent="0.15"/>
    <row r="460" ht="12.6" customHeight="1" x14ac:dyDescent="0.15"/>
    <row r="461" ht="12.6" customHeight="1" x14ac:dyDescent="0.15"/>
    <row r="462" ht="12.6" customHeight="1" x14ac:dyDescent="0.15"/>
    <row r="463" ht="12.6" customHeight="1" x14ac:dyDescent="0.15"/>
    <row r="464" ht="12.6" customHeight="1" x14ac:dyDescent="0.15"/>
    <row r="465" ht="12.6" customHeight="1" x14ac:dyDescent="0.15"/>
    <row r="466" ht="12.6" customHeight="1" x14ac:dyDescent="0.15"/>
    <row r="467" ht="12.6" customHeight="1" x14ac:dyDescent="0.15"/>
    <row r="468" ht="12.6" customHeight="1" x14ac:dyDescent="0.15"/>
    <row r="469" ht="12.6" customHeight="1" x14ac:dyDescent="0.15"/>
    <row r="470" ht="12.6" customHeight="1" x14ac:dyDescent="0.15"/>
    <row r="471" ht="12.6" customHeight="1" x14ac:dyDescent="0.15"/>
    <row r="472" ht="12.6" customHeight="1" x14ac:dyDescent="0.15"/>
    <row r="473" ht="12.6" customHeight="1" x14ac:dyDescent="0.15"/>
    <row r="474" ht="12.6" customHeight="1" x14ac:dyDescent="0.15"/>
    <row r="475" ht="12.6" customHeight="1" x14ac:dyDescent="0.15"/>
    <row r="476" ht="12.6" customHeight="1" x14ac:dyDescent="0.15"/>
    <row r="477" ht="12.6" customHeight="1" x14ac:dyDescent="0.15"/>
    <row r="478" ht="12.6" customHeight="1" x14ac:dyDescent="0.15"/>
    <row r="479" ht="12.6" customHeight="1" x14ac:dyDescent="0.15"/>
    <row r="480" ht="12.6" customHeight="1" x14ac:dyDescent="0.15"/>
    <row r="481" ht="12.6" customHeight="1" x14ac:dyDescent="0.15"/>
    <row r="482" ht="12.6" customHeight="1" x14ac:dyDescent="0.15"/>
    <row r="483" ht="12.6" customHeight="1" x14ac:dyDescent="0.15"/>
    <row r="484" ht="12.6" customHeight="1" x14ac:dyDescent="0.15"/>
    <row r="485" ht="12.6" customHeight="1" x14ac:dyDescent="0.15"/>
    <row r="486" ht="12.6" customHeight="1" x14ac:dyDescent="0.15"/>
    <row r="487" ht="12.6" customHeight="1" x14ac:dyDescent="0.15"/>
    <row r="488" ht="12.6" customHeight="1" x14ac:dyDescent="0.15"/>
    <row r="489" ht="12.6" customHeight="1" x14ac:dyDescent="0.15"/>
    <row r="490" ht="12.6" customHeight="1" x14ac:dyDescent="0.15"/>
    <row r="491" ht="12.6" customHeight="1" x14ac:dyDescent="0.15"/>
    <row r="492" ht="12.6" customHeight="1" x14ac:dyDescent="0.15"/>
    <row r="493" ht="12.6" customHeight="1" x14ac:dyDescent="0.15"/>
    <row r="494" ht="12.6" customHeight="1" x14ac:dyDescent="0.15"/>
    <row r="495" ht="12.6" customHeight="1" x14ac:dyDescent="0.15"/>
    <row r="496" ht="12.6" customHeight="1" x14ac:dyDescent="0.15"/>
    <row r="497" ht="12.6" customHeight="1" x14ac:dyDescent="0.15"/>
    <row r="498" ht="12.6" customHeight="1" x14ac:dyDescent="0.15"/>
    <row r="499" ht="12.6" customHeight="1" x14ac:dyDescent="0.15"/>
    <row r="500" ht="12.6" customHeight="1" x14ac:dyDescent="0.15"/>
    <row r="501" ht="12.6" customHeight="1" x14ac:dyDescent="0.15"/>
    <row r="502" ht="12.6" customHeight="1" x14ac:dyDescent="0.15"/>
    <row r="503" ht="12.6" customHeight="1" x14ac:dyDescent="0.15"/>
    <row r="504" ht="12.6" customHeight="1" x14ac:dyDescent="0.15"/>
    <row r="505" ht="12.6" customHeight="1" x14ac:dyDescent="0.15"/>
    <row r="506" ht="12.6" customHeight="1" x14ac:dyDescent="0.15"/>
    <row r="507" ht="12.6" customHeight="1" x14ac:dyDescent="0.15"/>
    <row r="508" ht="12.6" customHeight="1" x14ac:dyDescent="0.15"/>
    <row r="509" ht="12.6" customHeight="1" x14ac:dyDescent="0.15"/>
    <row r="510" ht="12.6" customHeight="1" x14ac:dyDescent="0.15"/>
    <row r="511" ht="12.6" customHeight="1" x14ac:dyDescent="0.15"/>
    <row r="512" ht="12.6" customHeight="1" x14ac:dyDescent="0.15"/>
    <row r="513" ht="12.6" customHeight="1" x14ac:dyDescent="0.15"/>
    <row r="514" ht="12.6" customHeight="1" x14ac:dyDescent="0.15"/>
    <row r="515" ht="12.6" customHeight="1" x14ac:dyDescent="0.15"/>
    <row r="516" ht="12.6" customHeight="1" x14ac:dyDescent="0.15"/>
    <row r="517" ht="12.6" customHeight="1" x14ac:dyDescent="0.15"/>
    <row r="518" ht="12.6" customHeight="1" x14ac:dyDescent="0.15"/>
    <row r="519" ht="12.6" customHeight="1" x14ac:dyDescent="0.15"/>
    <row r="520" ht="12.6" customHeight="1" x14ac:dyDescent="0.15"/>
    <row r="521" ht="12.6" customHeight="1" x14ac:dyDescent="0.15"/>
    <row r="522" ht="12.6" customHeight="1" x14ac:dyDescent="0.15"/>
    <row r="523" ht="12.6" customHeight="1" x14ac:dyDescent="0.15"/>
    <row r="524" ht="12.6" customHeight="1" x14ac:dyDescent="0.15"/>
    <row r="525" ht="12.6" customHeight="1" x14ac:dyDescent="0.15"/>
    <row r="526" ht="12.6" customHeight="1" x14ac:dyDescent="0.15"/>
    <row r="527" ht="12.6" customHeight="1" x14ac:dyDescent="0.15"/>
    <row r="528" ht="12.6" customHeight="1" x14ac:dyDescent="0.15"/>
    <row r="529" ht="12.6" customHeight="1" x14ac:dyDescent="0.15"/>
    <row r="530" ht="12.6" customHeight="1" x14ac:dyDescent="0.15"/>
    <row r="531" ht="12.6" customHeight="1" x14ac:dyDescent="0.15"/>
    <row r="532" ht="12.6" customHeight="1" x14ac:dyDescent="0.15"/>
    <row r="533" ht="12.6" customHeight="1" x14ac:dyDescent="0.15"/>
    <row r="534" ht="12.6" customHeight="1" x14ac:dyDescent="0.15"/>
    <row r="535" ht="12.6" customHeight="1" x14ac:dyDescent="0.15"/>
    <row r="536" ht="12.6" customHeight="1" x14ac:dyDescent="0.15"/>
    <row r="537" ht="12.6" customHeight="1" x14ac:dyDescent="0.15"/>
    <row r="538" ht="12.6" customHeight="1" x14ac:dyDescent="0.15"/>
    <row r="539" ht="12.6" customHeight="1" x14ac:dyDescent="0.15"/>
    <row r="540" ht="12.6" customHeight="1" x14ac:dyDescent="0.15"/>
    <row r="541" ht="12.6" customHeight="1" x14ac:dyDescent="0.15"/>
    <row r="542" ht="12.6" customHeight="1" x14ac:dyDescent="0.15"/>
    <row r="543" ht="12.6" customHeight="1" x14ac:dyDescent="0.15"/>
    <row r="544" ht="12.6" customHeight="1" x14ac:dyDescent="0.15"/>
    <row r="545" ht="12.6" customHeight="1" x14ac:dyDescent="0.15"/>
    <row r="546" ht="12.6" customHeight="1" x14ac:dyDescent="0.15"/>
    <row r="547" ht="12.6" customHeight="1" x14ac:dyDescent="0.15"/>
    <row r="548" ht="12.6" customHeight="1" x14ac:dyDescent="0.15"/>
    <row r="549" ht="12.6" customHeight="1" x14ac:dyDescent="0.15"/>
    <row r="550" ht="12.6" customHeight="1" x14ac:dyDescent="0.15"/>
    <row r="551" ht="12.6" customHeight="1" x14ac:dyDescent="0.15"/>
    <row r="552" ht="12.6" customHeight="1" x14ac:dyDescent="0.15"/>
    <row r="553" ht="12.6" customHeight="1" x14ac:dyDescent="0.15"/>
    <row r="554" ht="12.6" customHeight="1" x14ac:dyDescent="0.15"/>
    <row r="555" ht="12.6" customHeight="1" x14ac:dyDescent="0.15"/>
    <row r="556" ht="12.6" customHeight="1" x14ac:dyDescent="0.15"/>
    <row r="557" ht="12.6" customHeight="1" x14ac:dyDescent="0.15"/>
    <row r="558" ht="12.6" customHeight="1" x14ac:dyDescent="0.15"/>
    <row r="559" ht="12.6" customHeight="1" x14ac:dyDescent="0.15"/>
    <row r="560" ht="12.6" customHeight="1" x14ac:dyDescent="0.15"/>
    <row r="561" ht="12.6" customHeight="1" x14ac:dyDescent="0.15"/>
    <row r="562" ht="12.6" customHeight="1" x14ac:dyDescent="0.15"/>
    <row r="563" ht="12.6" customHeight="1" x14ac:dyDescent="0.15"/>
    <row r="564" ht="12.6" customHeight="1" x14ac:dyDescent="0.15"/>
    <row r="565" ht="12.6" customHeight="1" x14ac:dyDescent="0.15"/>
    <row r="566" ht="12.6" customHeight="1" x14ac:dyDescent="0.15"/>
    <row r="567" ht="12.6" customHeight="1" x14ac:dyDescent="0.15"/>
    <row r="568" ht="12.6" customHeight="1" x14ac:dyDescent="0.15"/>
    <row r="569" ht="12.6" customHeight="1" x14ac:dyDescent="0.15"/>
    <row r="570" ht="12.6" customHeight="1" x14ac:dyDescent="0.15"/>
    <row r="571" ht="12.6" customHeight="1" x14ac:dyDescent="0.15"/>
    <row r="572" ht="12.6" customHeight="1" x14ac:dyDescent="0.15"/>
    <row r="573" ht="12.6" customHeight="1" x14ac:dyDescent="0.15"/>
    <row r="574" ht="12.6" customHeight="1" x14ac:dyDescent="0.15"/>
    <row r="575" ht="12.6" customHeight="1" x14ac:dyDescent="0.15"/>
    <row r="576" ht="12.6" customHeight="1" x14ac:dyDescent="0.15"/>
    <row r="577" ht="12.6" customHeight="1" x14ac:dyDescent="0.15"/>
    <row r="578" ht="12.6" customHeight="1" x14ac:dyDescent="0.15"/>
    <row r="579" ht="12.6" customHeight="1" x14ac:dyDescent="0.15"/>
    <row r="580" ht="12.6" customHeight="1" x14ac:dyDescent="0.15"/>
    <row r="581" ht="12.6" customHeight="1" x14ac:dyDescent="0.15"/>
    <row r="582" ht="12.6" customHeight="1" x14ac:dyDescent="0.15"/>
    <row r="583" ht="12.6" customHeight="1" x14ac:dyDescent="0.15"/>
    <row r="584" ht="12.6" customHeight="1" x14ac:dyDescent="0.15"/>
    <row r="585" ht="12.6" customHeight="1" x14ac:dyDescent="0.15"/>
    <row r="586" ht="12.6" customHeight="1" x14ac:dyDescent="0.15"/>
    <row r="587" ht="12.6" customHeight="1" x14ac:dyDescent="0.15"/>
    <row r="588" ht="12.6" customHeight="1" x14ac:dyDescent="0.15"/>
    <row r="589" ht="12.6" customHeight="1" x14ac:dyDescent="0.15"/>
    <row r="590" ht="12.6" customHeight="1" x14ac:dyDescent="0.15"/>
    <row r="591" ht="12.6" customHeight="1" x14ac:dyDescent="0.15"/>
    <row r="592" ht="12.6" customHeight="1" x14ac:dyDescent="0.15"/>
    <row r="593" ht="12.6" customHeight="1" x14ac:dyDescent="0.15"/>
    <row r="594" ht="12.6" customHeight="1" x14ac:dyDescent="0.15"/>
    <row r="595" ht="12.6" customHeight="1" x14ac:dyDescent="0.15"/>
    <row r="596" ht="12.6" customHeight="1" x14ac:dyDescent="0.15"/>
    <row r="597" ht="12.6" customHeight="1" x14ac:dyDescent="0.15"/>
    <row r="598" ht="12.6" customHeight="1" x14ac:dyDescent="0.15"/>
    <row r="599" ht="12.6" customHeight="1" x14ac:dyDescent="0.15"/>
    <row r="600" ht="12.6" customHeight="1" x14ac:dyDescent="0.15"/>
    <row r="601" ht="12.6" customHeight="1" x14ac:dyDescent="0.15"/>
    <row r="602" ht="12.6" customHeight="1" x14ac:dyDescent="0.15"/>
    <row r="603" ht="12.6" customHeight="1" x14ac:dyDescent="0.15"/>
    <row r="604" ht="12.6" customHeight="1" x14ac:dyDescent="0.15"/>
    <row r="605" ht="12.6" customHeight="1" x14ac:dyDescent="0.15"/>
    <row r="606" ht="12.6" customHeight="1" x14ac:dyDescent="0.15"/>
    <row r="607" ht="12.6" customHeight="1" x14ac:dyDescent="0.15"/>
    <row r="608" ht="12.6" customHeight="1" x14ac:dyDescent="0.15"/>
    <row r="609" ht="12.6" customHeight="1" x14ac:dyDescent="0.15"/>
    <row r="610" ht="12.6" customHeight="1" x14ac:dyDescent="0.15"/>
    <row r="611" ht="12.6" customHeight="1" x14ac:dyDescent="0.15"/>
    <row r="612" ht="12.6" customHeight="1" x14ac:dyDescent="0.15"/>
    <row r="613" ht="12.6" customHeight="1" x14ac:dyDescent="0.15"/>
    <row r="614" ht="12.6" customHeight="1" x14ac:dyDescent="0.15"/>
    <row r="615" ht="12.6" customHeight="1" x14ac:dyDescent="0.15"/>
    <row r="616" ht="12.6" customHeight="1" x14ac:dyDescent="0.15"/>
    <row r="617" ht="12.6" customHeight="1" x14ac:dyDescent="0.15"/>
    <row r="618" ht="12.6" customHeight="1" x14ac:dyDescent="0.15"/>
    <row r="619" ht="12.6" customHeight="1" x14ac:dyDescent="0.15"/>
    <row r="620" ht="12.6" customHeight="1" x14ac:dyDescent="0.15"/>
    <row r="621" ht="12.6" customHeight="1" x14ac:dyDescent="0.15"/>
    <row r="622" ht="12.6" customHeight="1" x14ac:dyDescent="0.15"/>
    <row r="623" ht="12.6" customHeight="1" x14ac:dyDescent="0.15"/>
    <row r="624" ht="12.6" customHeight="1" x14ac:dyDescent="0.15"/>
    <row r="625" ht="12.6" customHeight="1" x14ac:dyDescent="0.15"/>
    <row r="626" ht="12.6" customHeight="1" x14ac:dyDescent="0.15"/>
    <row r="627" ht="12.6" customHeight="1" x14ac:dyDescent="0.15"/>
    <row r="628" ht="12.6" customHeight="1" x14ac:dyDescent="0.15"/>
    <row r="629" ht="12.6" customHeight="1" x14ac:dyDescent="0.15"/>
    <row r="630" ht="12.6" customHeight="1" x14ac:dyDescent="0.15"/>
    <row r="631" ht="12.6" customHeight="1" x14ac:dyDescent="0.15"/>
    <row r="632" ht="12.6" customHeight="1" x14ac:dyDescent="0.15"/>
    <row r="633" ht="12.6" customHeight="1" x14ac:dyDescent="0.15"/>
    <row r="634" ht="12.6" customHeight="1" x14ac:dyDescent="0.15"/>
    <row r="635" ht="12.6" customHeight="1" x14ac:dyDescent="0.15"/>
    <row r="636" ht="12.6" customHeight="1" x14ac:dyDescent="0.15"/>
    <row r="637" ht="12.6" customHeight="1" x14ac:dyDescent="0.15"/>
    <row r="638" ht="12.6" customHeight="1" x14ac:dyDescent="0.15"/>
    <row r="639" ht="12.6" customHeight="1" x14ac:dyDescent="0.15"/>
    <row r="640" ht="12.6" customHeight="1" x14ac:dyDescent="0.15"/>
    <row r="641" ht="12.6" customHeight="1" x14ac:dyDescent="0.15"/>
    <row r="642" ht="12.6" customHeight="1" x14ac:dyDescent="0.15"/>
    <row r="643" ht="12.6" customHeight="1" x14ac:dyDescent="0.15"/>
    <row r="644" ht="12.6" customHeight="1" x14ac:dyDescent="0.15"/>
    <row r="645" ht="12.6" customHeight="1" x14ac:dyDescent="0.15"/>
    <row r="646" ht="12.6" customHeight="1" x14ac:dyDescent="0.15"/>
    <row r="647" ht="12.6" customHeight="1" x14ac:dyDescent="0.15"/>
    <row r="648" ht="12.6" customHeight="1" x14ac:dyDescent="0.15"/>
    <row r="649" ht="12.6" customHeight="1" x14ac:dyDescent="0.15"/>
    <row r="650" ht="12.6" customHeight="1" x14ac:dyDescent="0.15"/>
    <row r="651" ht="12.6" customHeight="1" x14ac:dyDescent="0.15"/>
    <row r="652" ht="12.6" customHeight="1" x14ac:dyDescent="0.15"/>
    <row r="653" ht="12.6" customHeight="1" x14ac:dyDescent="0.15"/>
    <row r="654" ht="12.6" customHeight="1" x14ac:dyDescent="0.15"/>
    <row r="655" ht="12.6" customHeight="1" x14ac:dyDescent="0.15"/>
    <row r="656" ht="12.6" customHeight="1" x14ac:dyDescent="0.15"/>
    <row r="657" ht="12.6" customHeight="1" x14ac:dyDescent="0.15"/>
    <row r="658" ht="12.6" customHeight="1" x14ac:dyDescent="0.15"/>
    <row r="659" ht="12.6" customHeight="1" x14ac:dyDescent="0.15"/>
    <row r="660" ht="12.6" customHeight="1" x14ac:dyDescent="0.15"/>
    <row r="661" ht="12.6" customHeight="1" x14ac:dyDescent="0.15"/>
    <row r="662" ht="12.6" customHeight="1" x14ac:dyDescent="0.15"/>
    <row r="663" ht="12.6" customHeight="1" x14ac:dyDescent="0.15"/>
    <row r="664" ht="12.6" customHeight="1" x14ac:dyDescent="0.15"/>
    <row r="665" ht="12.6" customHeight="1" x14ac:dyDescent="0.15"/>
    <row r="666" ht="12.6" customHeight="1" x14ac:dyDescent="0.15"/>
    <row r="667" ht="12.6" customHeight="1" x14ac:dyDescent="0.15"/>
    <row r="668" ht="12.6" customHeight="1" x14ac:dyDescent="0.15"/>
    <row r="669" ht="12.6" customHeight="1" x14ac:dyDescent="0.15"/>
    <row r="670" ht="12.6" customHeight="1" x14ac:dyDescent="0.15"/>
    <row r="671" ht="12.6" customHeight="1" x14ac:dyDescent="0.15"/>
    <row r="672" ht="12.6" customHeight="1" x14ac:dyDescent="0.15"/>
    <row r="673" ht="12.6" customHeight="1" x14ac:dyDescent="0.15"/>
    <row r="674" ht="12.6" customHeight="1" x14ac:dyDescent="0.15"/>
    <row r="675" ht="12.6" customHeight="1" x14ac:dyDescent="0.15"/>
    <row r="676" ht="12.6" customHeight="1" x14ac:dyDescent="0.15"/>
    <row r="677" ht="12.6" customHeight="1" x14ac:dyDescent="0.15"/>
    <row r="678" ht="12.6" customHeight="1" x14ac:dyDescent="0.15"/>
    <row r="679" ht="12.6" customHeight="1" x14ac:dyDescent="0.15"/>
    <row r="680" ht="12.6" customHeight="1" x14ac:dyDescent="0.15"/>
    <row r="681" ht="12.6" customHeight="1" x14ac:dyDescent="0.15"/>
    <row r="682" ht="12.6" customHeight="1" x14ac:dyDescent="0.15"/>
    <row r="683" ht="12.6" customHeight="1" x14ac:dyDescent="0.15"/>
    <row r="684" ht="12.6" customHeight="1" x14ac:dyDescent="0.15"/>
    <row r="685" ht="12.6" customHeight="1" x14ac:dyDescent="0.15"/>
    <row r="686" ht="12.6" customHeight="1" x14ac:dyDescent="0.15"/>
    <row r="687" ht="12.6" customHeight="1" x14ac:dyDescent="0.15"/>
    <row r="688" ht="12.6" customHeight="1" x14ac:dyDescent="0.15"/>
    <row r="689" ht="12.6" customHeight="1" x14ac:dyDescent="0.15"/>
    <row r="690" ht="12.6" customHeight="1" x14ac:dyDescent="0.15"/>
    <row r="691" ht="12.6" customHeight="1" x14ac:dyDescent="0.15"/>
    <row r="692" ht="12.6" customHeight="1" x14ac:dyDescent="0.15"/>
    <row r="693" ht="12.6" customHeight="1" x14ac:dyDescent="0.15"/>
    <row r="694" ht="12.6" customHeight="1" x14ac:dyDescent="0.15"/>
    <row r="695" ht="12.6" customHeight="1" x14ac:dyDescent="0.15"/>
    <row r="696" ht="12.6" customHeight="1" x14ac:dyDescent="0.15"/>
    <row r="697" ht="12.6" customHeight="1" x14ac:dyDescent="0.15"/>
    <row r="698" ht="12.6" customHeight="1" x14ac:dyDescent="0.15"/>
    <row r="699" ht="12.6" customHeight="1" x14ac:dyDescent="0.15"/>
    <row r="700" ht="12.6" customHeight="1" x14ac:dyDescent="0.15"/>
    <row r="701" ht="12.6" customHeight="1" x14ac:dyDescent="0.15"/>
    <row r="702" ht="12.6" customHeight="1" x14ac:dyDescent="0.15"/>
    <row r="703" ht="12.6" customHeight="1" x14ac:dyDescent="0.15"/>
    <row r="704" ht="12.6" customHeight="1" x14ac:dyDescent="0.15"/>
    <row r="705" ht="12.6" customHeight="1" x14ac:dyDescent="0.15"/>
    <row r="706" ht="12.6" customHeight="1" x14ac:dyDescent="0.15"/>
    <row r="707" ht="12.6" customHeight="1" x14ac:dyDescent="0.15"/>
    <row r="708" ht="12.6" customHeight="1" x14ac:dyDescent="0.15"/>
    <row r="709" ht="12.6" customHeight="1" x14ac:dyDescent="0.15"/>
    <row r="710" ht="12.6" customHeight="1" x14ac:dyDescent="0.15"/>
    <row r="711" ht="12.6" customHeight="1" x14ac:dyDescent="0.15"/>
    <row r="712" ht="12.6" customHeight="1" x14ac:dyDescent="0.15"/>
    <row r="713" ht="12.6" customHeight="1" x14ac:dyDescent="0.15"/>
    <row r="714" ht="12.6" customHeight="1" x14ac:dyDescent="0.15"/>
    <row r="715" ht="12.6" customHeight="1" x14ac:dyDescent="0.15"/>
    <row r="716" ht="12.6" customHeight="1" x14ac:dyDescent="0.15"/>
    <row r="717" ht="12.6" customHeight="1" x14ac:dyDescent="0.15"/>
    <row r="718" ht="12.6" customHeight="1" x14ac:dyDescent="0.15"/>
    <row r="719" ht="12.6" customHeight="1" x14ac:dyDescent="0.15"/>
    <row r="720" ht="12.6" customHeight="1" x14ac:dyDescent="0.15"/>
    <row r="721" ht="12.6" customHeight="1" x14ac:dyDescent="0.15"/>
    <row r="722" ht="12.6" customHeight="1" x14ac:dyDescent="0.15"/>
    <row r="723" ht="12.6" customHeight="1" x14ac:dyDescent="0.15"/>
    <row r="724" ht="12.6" customHeight="1" x14ac:dyDescent="0.15"/>
    <row r="725" ht="12.6" customHeight="1" x14ac:dyDescent="0.15"/>
    <row r="726" ht="12.6" customHeight="1" x14ac:dyDescent="0.15"/>
    <row r="727" ht="12.6" customHeight="1" x14ac:dyDescent="0.15"/>
    <row r="728" ht="12.6" customHeight="1" x14ac:dyDescent="0.15"/>
    <row r="729" ht="12.6" customHeight="1" x14ac:dyDescent="0.15"/>
    <row r="730" ht="12.6" customHeight="1" x14ac:dyDescent="0.15"/>
    <row r="731" ht="12.6" customHeight="1" x14ac:dyDescent="0.15"/>
    <row r="732" ht="12.6" customHeight="1" x14ac:dyDescent="0.15"/>
    <row r="733" ht="12.6" customHeight="1" x14ac:dyDescent="0.15"/>
    <row r="734" ht="12.6" customHeight="1" x14ac:dyDescent="0.15"/>
    <row r="735" ht="12.6" customHeight="1" x14ac:dyDescent="0.15"/>
    <row r="736" ht="12.6" customHeight="1" x14ac:dyDescent="0.15"/>
    <row r="737" ht="12.6" customHeight="1" x14ac:dyDescent="0.15"/>
    <row r="738" ht="12.6" customHeight="1" x14ac:dyDescent="0.15"/>
    <row r="739" ht="12.6" customHeight="1" x14ac:dyDescent="0.15"/>
    <row r="740" ht="12.6" customHeight="1" x14ac:dyDescent="0.15"/>
    <row r="741" ht="12.6" customHeight="1" x14ac:dyDescent="0.15"/>
    <row r="742" ht="12.6" customHeight="1" x14ac:dyDescent="0.15"/>
    <row r="743" ht="12.6" customHeight="1" x14ac:dyDescent="0.15"/>
    <row r="744" ht="12.6" customHeight="1" x14ac:dyDescent="0.15"/>
    <row r="745" ht="12.6" customHeight="1" x14ac:dyDescent="0.15"/>
    <row r="746" ht="12.6" customHeight="1" x14ac:dyDescent="0.15"/>
    <row r="747" ht="12.6" customHeight="1" x14ac:dyDescent="0.15"/>
    <row r="748" ht="12.6" customHeight="1" x14ac:dyDescent="0.15"/>
    <row r="749" ht="12.6" customHeight="1" x14ac:dyDescent="0.15"/>
    <row r="750" ht="12.6" customHeight="1" x14ac:dyDescent="0.15"/>
    <row r="751" ht="12.6" customHeight="1" x14ac:dyDescent="0.15"/>
    <row r="752" ht="12.6" customHeight="1" x14ac:dyDescent="0.15"/>
    <row r="753" ht="12.6" customHeight="1" x14ac:dyDescent="0.15"/>
    <row r="754" ht="12.6" customHeight="1" x14ac:dyDescent="0.15"/>
    <row r="755" ht="12.6" customHeight="1" x14ac:dyDescent="0.15"/>
    <row r="756" ht="12.6" customHeight="1" x14ac:dyDescent="0.15"/>
    <row r="757" ht="12.6" customHeight="1" x14ac:dyDescent="0.15"/>
    <row r="758" ht="12.6" customHeight="1" x14ac:dyDescent="0.15"/>
    <row r="759" ht="12.6" customHeight="1" x14ac:dyDescent="0.15"/>
    <row r="760" ht="12.6" customHeight="1" x14ac:dyDescent="0.15"/>
    <row r="761" ht="12.6" customHeight="1" x14ac:dyDescent="0.15"/>
    <row r="762" ht="12.6" customHeight="1" x14ac:dyDescent="0.15"/>
    <row r="763" ht="12.6" customHeight="1" x14ac:dyDescent="0.15"/>
    <row r="764" ht="12.6" customHeight="1" x14ac:dyDescent="0.15"/>
    <row r="765" ht="12.6" customHeight="1" x14ac:dyDescent="0.15"/>
    <row r="766" ht="12.6" customHeight="1" x14ac:dyDescent="0.15"/>
    <row r="767" ht="12.6" customHeight="1" x14ac:dyDescent="0.15"/>
    <row r="768" ht="12.6" customHeight="1" x14ac:dyDescent="0.15"/>
    <row r="769" ht="12.6" customHeight="1" x14ac:dyDescent="0.15"/>
    <row r="770" ht="12.6" customHeight="1" x14ac:dyDescent="0.15"/>
    <row r="771" ht="12.6" customHeight="1" x14ac:dyDescent="0.15"/>
    <row r="772" ht="12.6" customHeight="1" x14ac:dyDescent="0.15"/>
    <row r="773" ht="12.6" customHeight="1" x14ac:dyDescent="0.15"/>
    <row r="774" ht="12.6" customHeight="1" x14ac:dyDescent="0.15"/>
    <row r="775" ht="12.6" customHeight="1" x14ac:dyDescent="0.15"/>
    <row r="776" ht="12.6" customHeight="1" x14ac:dyDescent="0.15"/>
    <row r="777" ht="12.6" customHeight="1" x14ac:dyDescent="0.15"/>
    <row r="778" ht="12.6" customHeight="1" x14ac:dyDescent="0.15"/>
    <row r="779" ht="12.6" customHeight="1" x14ac:dyDescent="0.15"/>
    <row r="780" ht="12.6" customHeight="1" x14ac:dyDescent="0.15"/>
    <row r="781" ht="12.6" customHeight="1" x14ac:dyDescent="0.15"/>
    <row r="782" ht="12.6" customHeight="1" x14ac:dyDescent="0.15"/>
    <row r="783" ht="12.6" customHeight="1" x14ac:dyDescent="0.15"/>
    <row r="784" ht="12.6" customHeight="1" x14ac:dyDescent="0.15"/>
    <row r="785" ht="12.6" customHeight="1" x14ac:dyDescent="0.15"/>
    <row r="786" ht="12.6" customHeight="1" x14ac:dyDescent="0.15"/>
    <row r="787" ht="12.6" customHeight="1" x14ac:dyDescent="0.15"/>
    <row r="788" ht="12.6" customHeight="1" x14ac:dyDescent="0.15"/>
    <row r="789" ht="12.6" customHeight="1" x14ac:dyDescent="0.15"/>
    <row r="790" ht="12.6" customHeight="1" x14ac:dyDescent="0.15"/>
    <row r="791" ht="12.6" customHeight="1" x14ac:dyDescent="0.15"/>
    <row r="792" ht="12.6" customHeight="1" x14ac:dyDescent="0.15"/>
    <row r="793" ht="12.6" customHeight="1" x14ac:dyDescent="0.15"/>
    <row r="794" ht="12.6" customHeight="1" x14ac:dyDescent="0.15"/>
    <row r="795" ht="12.6" customHeight="1" x14ac:dyDescent="0.15"/>
    <row r="796" ht="12.6" customHeight="1" x14ac:dyDescent="0.15"/>
    <row r="797" ht="12.6" customHeight="1" x14ac:dyDescent="0.15"/>
    <row r="798" ht="12.6" customHeight="1" x14ac:dyDescent="0.15"/>
    <row r="799" ht="12.6" customHeight="1" x14ac:dyDescent="0.15"/>
    <row r="800" ht="12.6" customHeight="1" x14ac:dyDescent="0.15"/>
    <row r="801" ht="12.6" customHeight="1" x14ac:dyDescent="0.15"/>
    <row r="802" ht="12.6" customHeight="1" x14ac:dyDescent="0.15"/>
    <row r="803" ht="12.6" customHeight="1" x14ac:dyDescent="0.15"/>
    <row r="804" ht="12.6" customHeight="1" x14ac:dyDescent="0.15"/>
    <row r="805" ht="12.6" customHeight="1" x14ac:dyDescent="0.15"/>
    <row r="806" ht="12.6" customHeight="1" x14ac:dyDescent="0.15"/>
    <row r="807" ht="12.6" customHeight="1" x14ac:dyDescent="0.15"/>
    <row r="808" ht="12.6" customHeight="1" x14ac:dyDescent="0.15"/>
    <row r="809" ht="12.6" customHeight="1" x14ac:dyDescent="0.15"/>
    <row r="810" ht="12.6" customHeight="1" x14ac:dyDescent="0.15"/>
    <row r="811" ht="12.6" customHeight="1" x14ac:dyDescent="0.15"/>
    <row r="812" ht="12.6" customHeight="1" x14ac:dyDescent="0.15"/>
    <row r="813" ht="12.6" customHeight="1" x14ac:dyDescent="0.15"/>
    <row r="814" ht="12.6" customHeight="1" x14ac:dyDescent="0.15"/>
    <row r="815" ht="12.6" customHeight="1" x14ac:dyDescent="0.15"/>
    <row r="816" ht="12.6" customHeight="1" x14ac:dyDescent="0.15"/>
    <row r="817" ht="12.6" customHeight="1" x14ac:dyDescent="0.15"/>
    <row r="818" ht="12.6" customHeight="1" x14ac:dyDescent="0.15"/>
    <row r="819" ht="12.6" customHeight="1" x14ac:dyDescent="0.15"/>
    <row r="820" ht="12.6" customHeight="1" x14ac:dyDescent="0.15"/>
    <row r="821" ht="12.6" customHeight="1" x14ac:dyDescent="0.15"/>
    <row r="822" ht="12.6" customHeight="1" x14ac:dyDescent="0.15"/>
    <row r="823" ht="12.6" customHeight="1" x14ac:dyDescent="0.15"/>
    <row r="824" ht="12.6" customHeight="1" x14ac:dyDescent="0.15"/>
    <row r="825" ht="12.6" customHeight="1" x14ac:dyDescent="0.15"/>
    <row r="826" ht="12.6" customHeight="1" x14ac:dyDescent="0.15"/>
    <row r="827" ht="12.6" customHeight="1" x14ac:dyDescent="0.15"/>
    <row r="828" ht="12.6" customHeight="1" x14ac:dyDescent="0.15"/>
    <row r="829" ht="12.6" customHeight="1" x14ac:dyDescent="0.15"/>
    <row r="830" ht="12.6" customHeight="1" x14ac:dyDescent="0.15"/>
    <row r="831" ht="12.6" customHeight="1" x14ac:dyDescent="0.15"/>
    <row r="832" ht="12.6" customHeight="1" x14ac:dyDescent="0.15"/>
    <row r="833" ht="12.6" customHeight="1" x14ac:dyDescent="0.15"/>
    <row r="834" ht="12.6" customHeight="1" x14ac:dyDescent="0.15"/>
    <row r="835" ht="12.6" customHeight="1" x14ac:dyDescent="0.15"/>
    <row r="836" ht="12.6" customHeight="1" x14ac:dyDescent="0.15"/>
    <row r="837" ht="12.6" customHeight="1" x14ac:dyDescent="0.15"/>
    <row r="838" ht="12.6" customHeight="1" x14ac:dyDescent="0.15"/>
    <row r="839" ht="12.6" customHeight="1" x14ac:dyDescent="0.15"/>
    <row r="840" ht="12.6" customHeight="1" x14ac:dyDescent="0.15"/>
    <row r="841" ht="12.6" customHeight="1" x14ac:dyDescent="0.15"/>
    <row r="842" ht="12.6" customHeight="1" x14ac:dyDescent="0.15"/>
    <row r="843" ht="12.6" customHeight="1" x14ac:dyDescent="0.15"/>
    <row r="844" ht="12.6" customHeight="1" x14ac:dyDescent="0.15"/>
    <row r="845" ht="12.6" customHeight="1" x14ac:dyDescent="0.15"/>
    <row r="846" ht="12.6" customHeight="1" x14ac:dyDescent="0.15"/>
    <row r="847" ht="12.6" customHeight="1" x14ac:dyDescent="0.15"/>
    <row r="848" ht="12.6" customHeight="1" x14ac:dyDescent="0.15"/>
    <row r="849" ht="12.6" customHeight="1" x14ac:dyDescent="0.15"/>
    <row r="850" ht="12.6" customHeight="1" x14ac:dyDescent="0.15"/>
    <row r="851" ht="12.6" customHeight="1" x14ac:dyDescent="0.15"/>
    <row r="852" ht="12.6" customHeight="1" x14ac:dyDescent="0.15"/>
    <row r="853" ht="12.6" customHeight="1" x14ac:dyDescent="0.15"/>
    <row r="854" ht="12.6" customHeight="1" x14ac:dyDescent="0.15"/>
    <row r="855" ht="12.6" customHeight="1" x14ac:dyDescent="0.15"/>
    <row r="856" ht="12.6" customHeight="1" x14ac:dyDescent="0.15"/>
    <row r="857" ht="12.6" customHeight="1" x14ac:dyDescent="0.15"/>
    <row r="858" ht="12.6" customHeight="1" x14ac:dyDescent="0.15"/>
    <row r="859" ht="12.6" customHeight="1" x14ac:dyDescent="0.15"/>
    <row r="860" ht="12.6" customHeight="1" x14ac:dyDescent="0.15"/>
    <row r="861" ht="12.6" customHeight="1" x14ac:dyDescent="0.15"/>
    <row r="862" ht="12.6" customHeight="1" x14ac:dyDescent="0.15"/>
    <row r="863" ht="12.6" customHeight="1" x14ac:dyDescent="0.15"/>
    <row r="864" ht="12.6" customHeight="1" x14ac:dyDescent="0.15"/>
    <row r="865" ht="12.6" customHeight="1" x14ac:dyDescent="0.15"/>
    <row r="866" ht="12.6" customHeight="1" x14ac:dyDescent="0.15"/>
    <row r="867" ht="12.6" customHeight="1" x14ac:dyDescent="0.15"/>
    <row r="868" ht="12.6" customHeight="1" x14ac:dyDescent="0.15"/>
    <row r="869" ht="12.6" customHeight="1" x14ac:dyDescent="0.15"/>
    <row r="870" ht="12.6" customHeight="1" x14ac:dyDescent="0.15"/>
    <row r="871" ht="12.6" customHeight="1" x14ac:dyDescent="0.15"/>
    <row r="872" ht="12.6" customHeight="1" x14ac:dyDescent="0.15"/>
    <row r="873" ht="12.6" customHeight="1" x14ac:dyDescent="0.15"/>
    <row r="874" ht="12.6" customHeight="1" x14ac:dyDescent="0.15"/>
    <row r="875" ht="12.6" customHeight="1" x14ac:dyDescent="0.15"/>
    <row r="876" ht="12.6" customHeight="1" x14ac:dyDescent="0.15"/>
    <row r="877" ht="12.6" customHeight="1" x14ac:dyDescent="0.15"/>
    <row r="878" ht="12.6" customHeight="1" x14ac:dyDescent="0.15"/>
    <row r="879" ht="12.6" customHeight="1" x14ac:dyDescent="0.15"/>
    <row r="880" ht="12.6" customHeight="1" x14ac:dyDescent="0.15"/>
    <row r="881" ht="12.6" customHeight="1" x14ac:dyDescent="0.15"/>
    <row r="882" ht="12.6" customHeight="1" x14ac:dyDescent="0.15"/>
    <row r="883" ht="12.6" customHeight="1" x14ac:dyDescent="0.15"/>
    <row r="884" ht="12.6" customHeight="1" x14ac:dyDescent="0.15"/>
    <row r="885" ht="12.6" customHeight="1" x14ac:dyDescent="0.15"/>
    <row r="886" ht="12.6" customHeight="1" x14ac:dyDescent="0.15"/>
    <row r="887" ht="12.6" customHeight="1" x14ac:dyDescent="0.15"/>
    <row r="888" ht="12.6" customHeight="1" x14ac:dyDescent="0.15"/>
    <row r="889" ht="12.6" customHeight="1" x14ac:dyDescent="0.15"/>
    <row r="890" ht="12.6" customHeight="1" x14ac:dyDescent="0.15"/>
    <row r="891" ht="12.6" customHeight="1" x14ac:dyDescent="0.15"/>
    <row r="892" ht="12.6" customHeight="1" x14ac:dyDescent="0.15"/>
    <row r="893" ht="12.6" customHeight="1" x14ac:dyDescent="0.15"/>
    <row r="894" ht="12.6" customHeight="1" x14ac:dyDescent="0.15"/>
    <row r="895" ht="12.6" customHeight="1" x14ac:dyDescent="0.15"/>
    <row r="896" ht="12.6" customHeight="1" x14ac:dyDescent="0.15"/>
    <row r="897" ht="12.6" customHeight="1" x14ac:dyDescent="0.15"/>
    <row r="898" ht="12.6" customHeight="1" x14ac:dyDescent="0.15"/>
    <row r="899" ht="12.6" customHeight="1" x14ac:dyDescent="0.15"/>
    <row r="900" ht="12.6" customHeight="1" x14ac:dyDescent="0.15"/>
    <row r="901" ht="12.6" customHeight="1" x14ac:dyDescent="0.15"/>
    <row r="902" ht="12.6" customHeight="1" x14ac:dyDescent="0.15"/>
    <row r="903" ht="12.6" customHeight="1" x14ac:dyDescent="0.15"/>
    <row r="904" ht="12.6" customHeight="1" x14ac:dyDescent="0.15"/>
    <row r="905" ht="12.6" customHeight="1" x14ac:dyDescent="0.15"/>
    <row r="906" ht="12.6" customHeight="1" x14ac:dyDescent="0.15"/>
    <row r="907" ht="12.6" customHeight="1" x14ac:dyDescent="0.15"/>
    <row r="908" ht="12.6" customHeight="1" x14ac:dyDescent="0.15"/>
    <row r="909" ht="12.6" customHeight="1" x14ac:dyDescent="0.15"/>
    <row r="910" ht="12.6" customHeight="1" x14ac:dyDescent="0.15"/>
    <row r="911" ht="12.6" customHeight="1" x14ac:dyDescent="0.15"/>
    <row r="912" ht="12.6" customHeight="1" x14ac:dyDescent="0.15"/>
    <row r="913" ht="12.6" customHeight="1" x14ac:dyDescent="0.15"/>
    <row r="914" ht="12.6" customHeight="1" x14ac:dyDescent="0.15"/>
    <row r="915" ht="12.6" customHeight="1" x14ac:dyDescent="0.15"/>
    <row r="916" ht="12.6" customHeight="1" x14ac:dyDescent="0.15"/>
    <row r="917" ht="12.6" customHeight="1" x14ac:dyDescent="0.15"/>
    <row r="918" ht="12.6" customHeight="1" x14ac:dyDescent="0.15"/>
    <row r="919" ht="12.6" customHeight="1" x14ac:dyDescent="0.15"/>
    <row r="920" ht="12.6" customHeight="1" x14ac:dyDescent="0.15"/>
    <row r="921" ht="12.6" customHeight="1" x14ac:dyDescent="0.15"/>
    <row r="922" ht="12.6" customHeight="1" x14ac:dyDescent="0.15"/>
    <row r="923" ht="12.6" customHeight="1" x14ac:dyDescent="0.15"/>
    <row r="924" ht="12.6" customHeight="1" x14ac:dyDescent="0.15"/>
    <row r="925" ht="12.6" customHeight="1" x14ac:dyDescent="0.15"/>
    <row r="926" ht="12.6" customHeight="1" x14ac:dyDescent="0.15"/>
    <row r="927" ht="12.6" customHeight="1" x14ac:dyDescent="0.15"/>
    <row r="928" ht="12.6" customHeight="1" x14ac:dyDescent="0.15"/>
    <row r="929" ht="12.6" customHeight="1" x14ac:dyDescent="0.15"/>
    <row r="930" ht="12.6" customHeight="1" x14ac:dyDescent="0.15"/>
    <row r="931" ht="12.6" customHeight="1" x14ac:dyDescent="0.15"/>
    <row r="932" ht="12.6" customHeight="1" x14ac:dyDescent="0.15"/>
    <row r="933" ht="12.6" customHeight="1" x14ac:dyDescent="0.15"/>
    <row r="934" ht="12.6" customHeight="1" x14ac:dyDescent="0.15"/>
    <row r="935" ht="12.6" customHeight="1" x14ac:dyDescent="0.15"/>
    <row r="936" ht="12.6" customHeight="1" x14ac:dyDescent="0.15"/>
    <row r="937" ht="12.6" customHeight="1" x14ac:dyDescent="0.15"/>
    <row r="938" ht="12.6" customHeight="1" x14ac:dyDescent="0.15"/>
    <row r="939" ht="12.6" customHeight="1" x14ac:dyDescent="0.15"/>
    <row r="940" ht="12.6" customHeight="1" x14ac:dyDescent="0.15"/>
    <row r="941" ht="12.6" customHeight="1" x14ac:dyDescent="0.15"/>
    <row r="942" ht="12.6" customHeight="1" x14ac:dyDescent="0.15"/>
    <row r="943" ht="12.6" customHeight="1" x14ac:dyDescent="0.15"/>
    <row r="944" ht="12.6" customHeight="1" x14ac:dyDescent="0.15"/>
    <row r="945" ht="12.6" customHeight="1" x14ac:dyDescent="0.15"/>
    <row r="946" ht="12.6" customHeight="1" x14ac:dyDescent="0.15"/>
    <row r="947" ht="12.6" customHeight="1" x14ac:dyDescent="0.15"/>
    <row r="948" ht="12.6" customHeight="1" x14ac:dyDescent="0.15"/>
    <row r="949" ht="12.6" customHeight="1" x14ac:dyDescent="0.15"/>
    <row r="950" ht="12.6" customHeight="1" x14ac:dyDescent="0.15"/>
    <row r="951" ht="12.6" customHeight="1" x14ac:dyDescent="0.15"/>
    <row r="952" ht="12.6" customHeight="1" x14ac:dyDescent="0.15"/>
    <row r="953" ht="12.6" customHeight="1" x14ac:dyDescent="0.15"/>
    <row r="954" ht="12.6" customHeight="1" x14ac:dyDescent="0.15"/>
    <row r="955" ht="12.6" customHeight="1" x14ac:dyDescent="0.15"/>
    <row r="956" ht="12.6" customHeight="1" x14ac:dyDescent="0.15"/>
    <row r="957" ht="12.6" customHeight="1" x14ac:dyDescent="0.15"/>
    <row r="958" ht="12.6" customHeight="1" x14ac:dyDescent="0.15"/>
    <row r="959" ht="12.6" customHeight="1" x14ac:dyDescent="0.15"/>
    <row r="960" ht="12.6" customHeight="1" x14ac:dyDescent="0.15"/>
    <row r="961" ht="12.6" customHeight="1" x14ac:dyDescent="0.15"/>
    <row r="962" ht="12.6" customHeight="1" x14ac:dyDescent="0.15"/>
    <row r="963" ht="12.6" customHeight="1" x14ac:dyDescent="0.15"/>
    <row r="964" ht="12.6" customHeight="1" x14ac:dyDescent="0.15"/>
    <row r="965" ht="12.6" customHeight="1" x14ac:dyDescent="0.15"/>
    <row r="966" ht="12.6" customHeight="1" x14ac:dyDescent="0.15"/>
    <row r="967" ht="12.6" customHeight="1" x14ac:dyDescent="0.15"/>
    <row r="968" ht="12.6" customHeight="1" x14ac:dyDescent="0.15"/>
    <row r="969" ht="12.6" customHeight="1" x14ac:dyDescent="0.15"/>
    <row r="970" ht="12.6" customHeight="1" x14ac:dyDescent="0.15"/>
    <row r="971" ht="12.6" customHeight="1" x14ac:dyDescent="0.15"/>
    <row r="972" ht="12.6" customHeight="1" x14ac:dyDescent="0.15"/>
    <row r="973" ht="12.6" customHeight="1" x14ac:dyDescent="0.15"/>
    <row r="974" ht="12.6" customHeight="1" x14ac:dyDescent="0.15"/>
    <row r="975" ht="12.6" customHeight="1" x14ac:dyDescent="0.15"/>
    <row r="976" ht="12.6" customHeight="1" x14ac:dyDescent="0.15"/>
    <row r="977" ht="12.6" customHeight="1" x14ac:dyDescent="0.15"/>
    <row r="978" ht="12.6" customHeight="1" x14ac:dyDescent="0.15"/>
    <row r="979" ht="12.6" customHeight="1" x14ac:dyDescent="0.15"/>
    <row r="980" ht="12.6" customHeight="1" x14ac:dyDescent="0.15"/>
    <row r="981" ht="12.6" customHeight="1" x14ac:dyDescent="0.15"/>
    <row r="982" ht="12.6" customHeight="1" x14ac:dyDescent="0.15"/>
    <row r="983" ht="12.6" customHeight="1" x14ac:dyDescent="0.15"/>
    <row r="984" ht="12.6" customHeight="1" x14ac:dyDescent="0.15"/>
    <row r="985" ht="12.6" customHeight="1" x14ac:dyDescent="0.15"/>
    <row r="986" ht="12.6" customHeight="1" x14ac:dyDescent="0.15"/>
    <row r="987" ht="12.6" customHeight="1" x14ac:dyDescent="0.15"/>
    <row r="988" ht="12.6" customHeight="1" x14ac:dyDescent="0.15"/>
    <row r="989" ht="12.6" customHeight="1" x14ac:dyDescent="0.15"/>
    <row r="990" ht="12.6" customHeight="1" x14ac:dyDescent="0.15"/>
    <row r="991" ht="12.6" customHeight="1" x14ac:dyDescent="0.15"/>
    <row r="992" ht="12.6" customHeight="1" x14ac:dyDescent="0.15"/>
    <row r="993" ht="12.6" customHeight="1" x14ac:dyDescent="0.15"/>
    <row r="994" ht="12.6" customHeight="1" x14ac:dyDescent="0.15"/>
    <row r="995" ht="12.6" customHeight="1" x14ac:dyDescent="0.15"/>
    <row r="996" ht="12.6" customHeight="1" x14ac:dyDescent="0.15"/>
    <row r="997" ht="12.6" customHeight="1" x14ac:dyDescent="0.15"/>
    <row r="998" ht="12.6" customHeight="1" x14ac:dyDescent="0.15"/>
    <row r="999" ht="12.6" customHeight="1" x14ac:dyDescent="0.15"/>
    <row r="1000" ht="12.6" customHeight="1" x14ac:dyDescent="0.15"/>
    <row r="1001" ht="12.6" customHeight="1" x14ac:dyDescent="0.15"/>
    <row r="1002" ht="12.6" customHeight="1" x14ac:dyDescent="0.15"/>
    <row r="1003" ht="12.6" customHeight="1" x14ac:dyDescent="0.15"/>
    <row r="1004" ht="12.6" customHeight="1" x14ac:dyDescent="0.15"/>
    <row r="1005" ht="12.6" customHeight="1" x14ac:dyDescent="0.15"/>
    <row r="1006" ht="12.6" customHeight="1" x14ac:dyDescent="0.15"/>
    <row r="1007" ht="12.6" customHeight="1" x14ac:dyDescent="0.15"/>
    <row r="1008" ht="12.6" customHeight="1" x14ac:dyDescent="0.15"/>
    <row r="1009" ht="12.6" customHeight="1" x14ac:dyDescent="0.15"/>
    <row r="1010" ht="12.6" customHeight="1" x14ac:dyDescent="0.15"/>
    <row r="1011" ht="12.6" customHeight="1" x14ac:dyDescent="0.15"/>
    <row r="1012" ht="12.6" customHeight="1" x14ac:dyDescent="0.15"/>
    <row r="1013" ht="12.6" customHeight="1" x14ac:dyDescent="0.15"/>
    <row r="1014" ht="12.6" customHeight="1" x14ac:dyDescent="0.15"/>
    <row r="1015" ht="12.6" customHeight="1" x14ac:dyDescent="0.15"/>
    <row r="1016" ht="12.6" customHeight="1" x14ac:dyDescent="0.15"/>
    <row r="1017" ht="12.6" customHeight="1" x14ac:dyDescent="0.15"/>
    <row r="1018" ht="12.6" customHeight="1" x14ac:dyDescent="0.15"/>
    <row r="1019" ht="12.6" customHeight="1" x14ac:dyDescent="0.15"/>
    <row r="1020" ht="12.6" customHeight="1" x14ac:dyDescent="0.15"/>
    <row r="1021" ht="12.6" customHeight="1" x14ac:dyDescent="0.15"/>
    <row r="1022" ht="12.6" customHeight="1" x14ac:dyDescent="0.15"/>
    <row r="1023" ht="12.6" customHeight="1" x14ac:dyDescent="0.15"/>
    <row r="1024" ht="12.6" customHeight="1" x14ac:dyDescent="0.15"/>
    <row r="1025" ht="12.6" customHeight="1" x14ac:dyDescent="0.15"/>
    <row r="1026" ht="12.6" customHeight="1" x14ac:dyDescent="0.15"/>
    <row r="1027" ht="12.6" customHeight="1" x14ac:dyDescent="0.15"/>
    <row r="1028" ht="12.6" customHeight="1" x14ac:dyDescent="0.15"/>
    <row r="1029" ht="12.6" customHeight="1" x14ac:dyDescent="0.15"/>
    <row r="1030" ht="12.6" customHeight="1" x14ac:dyDescent="0.15"/>
    <row r="1031" ht="12.6" customHeight="1" x14ac:dyDescent="0.15"/>
    <row r="1032" ht="12.6" customHeight="1" x14ac:dyDescent="0.15"/>
    <row r="1033" ht="12.6" customHeight="1" x14ac:dyDescent="0.15"/>
    <row r="1034" ht="12.6" customHeight="1" x14ac:dyDescent="0.15"/>
    <row r="1035" ht="12.6" customHeight="1" x14ac:dyDescent="0.15"/>
    <row r="1036" ht="12.6" customHeight="1" x14ac:dyDescent="0.15"/>
    <row r="1037" ht="12.6" customHeight="1" x14ac:dyDescent="0.15"/>
    <row r="1038" ht="12.6" customHeight="1" x14ac:dyDescent="0.15"/>
    <row r="1039" ht="12.6" customHeight="1" x14ac:dyDescent="0.15"/>
    <row r="1040" ht="12.6" customHeight="1" x14ac:dyDescent="0.15"/>
    <row r="1041" ht="12.6" customHeight="1" x14ac:dyDescent="0.15"/>
    <row r="1042" ht="12.6" customHeight="1" x14ac:dyDescent="0.15"/>
    <row r="1043" ht="12.6" customHeight="1" x14ac:dyDescent="0.15"/>
    <row r="1044" ht="12.6" customHeight="1" x14ac:dyDescent="0.15"/>
    <row r="1045" ht="12.6" customHeight="1" x14ac:dyDescent="0.15"/>
    <row r="1046" ht="12.6" customHeight="1" x14ac:dyDescent="0.15"/>
    <row r="1047" ht="12.6" customHeight="1" x14ac:dyDescent="0.15"/>
    <row r="1048" ht="12.6" customHeight="1" x14ac:dyDescent="0.15"/>
    <row r="1049" ht="12.6" customHeight="1" x14ac:dyDescent="0.15"/>
    <row r="1050" ht="12.6" customHeight="1" x14ac:dyDescent="0.15"/>
    <row r="1051" ht="12.6" customHeight="1" x14ac:dyDescent="0.15"/>
    <row r="1052" ht="12.6" customHeight="1" x14ac:dyDescent="0.15"/>
    <row r="1053" ht="12.6" customHeight="1" x14ac:dyDescent="0.15"/>
    <row r="1054" ht="12.6" customHeight="1" x14ac:dyDescent="0.15"/>
    <row r="1055" ht="12.6" customHeight="1" x14ac:dyDescent="0.15"/>
    <row r="1056" ht="12.6" customHeight="1" x14ac:dyDescent="0.15"/>
    <row r="1057" ht="12.6" customHeight="1" x14ac:dyDescent="0.15"/>
    <row r="1058" ht="12.6" customHeight="1" x14ac:dyDescent="0.15"/>
    <row r="1059" ht="12.6" customHeight="1" x14ac:dyDescent="0.15"/>
    <row r="1060" ht="12.6" customHeight="1" x14ac:dyDescent="0.15"/>
    <row r="1061" ht="12.6" customHeight="1" x14ac:dyDescent="0.15"/>
    <row r="1062" ht="12.6" customHeight="1" x14ac:dyDescent="0.15"/>
    <row r="1063" ht="12.6" customHeight="1" x14ac:dyDescent="0.15"/>
    <row r="1064" ht="12.6" customHeight="1" x14ac:dyDescent="0.15"/>
    <row r="1065" ht="12.6" customHeight="1" x14ac:dyDescent="0.15"/>
    <row r="1066" ht="12.6" customHeight="1" x14ac:dyDescent="0.15"/>
    <row r="1067" ht="12.6" customHeight="1" x14ac:dyDescent="0.15"/>
    <row r="1068" ht="12.6" customHeight="1" x14ac:dyDescent="0.15"/>
    <row r="1069" ht="12.6" customHeight="1" x14ac:dyDescent="0.15"/>
    <row r="1070" ht="12.6" customHeight="1" x14ac:dyDescent="0.15"/>
    <row r="1071" ht="12.6" customHeight="1" x14ac:dyDescent="0.15"/>
    <row r="1072" ht="12.6" customHeight="1" x14ac:dyDescent="0.15"/>
    <row r="1073" ht="12.6" customHeight="1" x14ac:dyDescent="0.15"/>
    <row r="1074" ht="12.6" customHeight="1" x14ac:dyDescent="0.15"/>
    <row r="1075" ht="12.6" customHeight="1" x14ac:dyDescent="0.15"/>
    <row r="1076" ht="12.6" customHeight="1" x14ac:dyDescent="0.15"/>
    <row r="1077" ht="12.6" customHeight="1" x14ac:dyDescent="0.15"/>
    <row r="1078" ht="12.6" customHeight="1" x14ac:dyDescent="0.15"/>
    <row r="1079" ht="12.6" customHeight="1" x14ac:dyDescent="0.15"/>
    <row r="1080" ht="12.6" customHeight="1" x14ac:dyDescent="0.15"/>
    <row r="1081" ht="12.6" customHeight="1" x14ac:dyDescent="0.15"/>
    <row r="1082" ht="12.6" customHeight="1" x14ac:dyDescent="0.15"/>
    <row r="1083" ht="12.6" customHeight="1" x14ac:dyDescent="0.15"/>
    <row r="1084" ht="12.6" customHeight="1" x14ac:dyDescent="0.15"/>
    <row r="1085" ht="12.6" customHeight="1" x14ac:dyDescent="0.15"/>
    <row r="1086" ht="12.6" customHeight="1" x14ac:dyDescent="0.15"/>
    <row r="1087" ht="12.6" customHeight="1" x14ac:dyDescent="0.15"/>
    <row r="1088" ht="12.6" customHeight="1" x14ac:dyDescent="0.15"/>
    <row r="1089" ht="12.6" customHeight="1" x14ac:dyDescent="0.15"/>
    <row r="1090" ht="12.6" customHeight="1" x14ac:dyDescent="0.15"/>
    <row r="1091" ht="12.6" customHeight="1" x14ac:dyDescent="0.15"/>
    <row r="1092" ht="12.6" customHeight="1" x14ac:dyDescent="0.15"/>
    <row r="1093" ht="12.6" customHeight="1" x14ac:dyDescent="0.15"/>
    <row r="1094" ht="12.6" customHeight="1" x14ac:dyDescent="0.15"/>
    <row r="1095" ht="12.6" customHeight="1" x14ac:dyDescent="0.15"/>
    <row r="1096" ht="12.6" customHeight="1" x14ac:dyDescent="0.15"/>
    <row r="1097" ht="12.6" customHeight="1" x14ac:dyDescent="0.15"/>
    <row r="1098" ht="12.6" customHeight="1" x14ac:dyDescent="0.15"/>
    <row r="1099" ht="12.6" customHeight="1" x14ac:dyDescent="0.15"/>
    <row r="1100" ht="12.6" customHeight="1" x14ac:dyDescent="0.15"/>
    <row r="1101" ht="12.6" customHeight="1" x14ac:dyDescent="0.15"/>
    <row r="1102" ht="12.6" customHeight="1" x14ac:dyDescent="0.15"/>
    <row r="1103" ht="12.6" customHeight="1" x14ac:dyDescent="0.15"/>
    <row r="1104" ht="12.6" customHeight="1" x14ac:dyDescent="0.15"/>
    <row r="1105" ht="12.6" customHeight="1" x14ac:dyDescent="0.15"/>
    <row r="1106" ht="12.6" customHeight="1" x14ac:dyDescent="0.15"/>
    <row r="1107" ht="12.6" customHeight="1" x14ac:dyDescent="0.15"/>
    <row r="1108" ht="12.6" customHeight="1" x14ac:dyDescent="0.15"/>
    <row r="1109" ht="12.6" customHeight="1" x14ac:dyDescent="0.15"/>
    <row r="1110" ht="12.6" customHeight="1" x14ac:dyDescent="0.15"/>
    <row r="1111" ht="12.6" customHeight="1" x14ac:dyDescent="0.15"/>
    <row r="1112" ht="12.6" customHeight="1" x14ac:dyDescent="0.15"/>
    <row r="1113" ht="12.6" customHeight="1" x14ac:dyDescent="0.15"/>
    <row r="1114" ht="12.6" customHeight="1" x14ac:dyDescent="0.15"/>
    <row r="1115" ht="12.6" customHeight="1" x14ac:dyDescent="0.15"/>
    <row r="1116" ht="12.6" customHeight="1" x14ac:dyDescent="0.15"/>
    <row r="1117" ht="12.6" customHeight="1" x14ac:dyDescent="0.15"/>
    <row r="1118" ht="12.6" customHeight="1" x14ac:dyDescent="0.15"/>
    <row r="1119" ht="12.6" customHeight="1" x14ac:dyDescent="0.15"/>
    <row r="1120" ht="12.6" customHeight="1" x14ac:dyDescent="0.15"/>
    <row r="1121" ht="12.6" customHeight="1" x14ac:dyDescent="0.15"/>
    <row r="1122" ht="12.6" customHeight="1" x14ac:dyDescent="0.15"/>
    <row r="1123" ht="12.6" customHeight="1" x14ac:dyDescent="0.15"/>
    <row r="1124" ht="12.6" customHeight="1" x14ac:dyDescent="0.15"/>
    <row r="1125" ht="12.6" customHeight="1" x14ac:dyDescent="0.15"/>
    <row r="1126" ht="12.6" customHeight="1" x14ac:dyDescent="0.15"/>
    <row r="1127" ht="12.6" customHeight="1" x14ac:dyDescent="0.15"/>
    <row r="1128" ht="12.6" customHeight="1" x14ac:dyDescent="0.15"/>
    <row r="1129" ht="12.6" customHeight="1" x14ac:dyDescent="0.15"/>
    <row r="1130" ht="12.6" customHeight="1" x14ac:dyDescent="0.15"/>
    <row r="1131" ht="12.6" customHeight="1" x14ac:dyDescent="0.15"/>
    <row r="1132" ht="12.6" customHeight="1" x14ac:dyDescent="0.15"/>
    <row r="1133" ht="12.6" customHeight="1" x14ac:dyDescent="0.15"/>
    <row r="1134" ht="12.6" customHeight="1" x14ac:dyDescent="0.15"/>
    <row r="1135" ht="12.6" customHeight="1" x14ac:dyDescent="0.15"/>
    <row r="1136" ht="12.6" customHeight="1" x14ac:dyDescent="0.15"/>
    <row r="1137" ht="12.6" customHeight="1" x14ac:dyDescent="0.15"/>
    <row r="1138" ht="12.6" customHeight="1" x14ac:dyDescent="0.15"/>
    <row r="1139" ht="12.6" customHeight="1" x14ac:dyDescent="0.15"/>
    <row r="1140" ht="12.6" customHeight="1" x14ac:dyDescent="0.15"/>
    <row r="1141" ht="12.6" customHeight="1" x14ac:dyDescent="0.15"/>
    <row r="1142" ht="12.6" customHeight="1" x14ac:dyDescent="0.15"/>
    <row r="1143" ht="12.6" customHeight="1" x14ac:dyDescent="0.15"/>
    <row r="1144" ht="12.6" customHeight="1" x14ac:dyDescent="0.15"/>
    <row r="1145" ht="12.6" customHeight="1" x14ac:dyDescent="0.15"/>
    <row r="1146" ht="12.6" customHeight="1" x14ac:dyDescent="0.15"/>
    <row r="1147" ht="12.6" customHeight="1" x14ac:dyDescent="0.15"/>
    <row r="1148" ht="12.6" customHeight="1" x14ac:dyDescent="0.15"/>
    <row r="1149" ht="12.6" customHeight="1" x14ac:dyDescent="0.15"/>
    <row r="1150" ht="12.6" customHeight="1" x14ac:dyDescent="0.15"/>
    <row r="1151" ht="12.6" customHeight="1" x14ac:dyDescent="0.15"/>
    <row r="1152" ht="12.6" customHeight="1" x14ac:dyDescent="0.15"/>
    <row r="1153" ht="12.6" customHeight="1" x14ac:dyDescent="0.15"/>
    <row r="1154" ht="12.6" customHeight="1" x14ac:dyDescent="0.15"/>
    <row r="1155" ht="12.6" customHeight="1" x14ac:dyDescent="0.15"/>
    <row r="1156" ht="12.6" customHeight="1" x14ac:dyDescent="0.15"/>
    <row r="1157" ht="12.6" customHeight="1" x14ac:dyDescent="0.15"/>
    <row r="1158" ht="12.6" customHeight="1" x14ac:dyDescent="0.15"/>
    <row r="1159" ht="12.6" customHeight="1" x14ac:dyDescent="0.15"/>
    <row r="1160" ht="12.6" customHeight="1" x14ac:dyDescent="0.15"/>
    <row r="1161" ht="12.6" customHeight="1" x14ac:dyDescent="0.15"/>
    <row r="1162" ht="12.6" customHeight="1" x14ac:dyDescent="0.15"/>
    <row r="1163" ht="12.6" customHeight="1" x14ac:dyDescent="0.15"/>
    <row r="1164" ht="12.6" customHeight="1" x14ac:dyDescent="0.15"/>
    <row r="1165" ht="12.6" customHeight="1" x14ac:dyDescent="0.15"/>
    <row r="1166" ht="12.6" customHeight="1" x14ac:dyDescent="0.15"/>
    <row r="1167" ht="12.6" customHeight="1" x14ac:dyDescent="0.15"/>
    <row r="1168" ht="12.6" customHeight="1" x14ac:dyDescent="0.15"/>
    <row r="1169" ht="12.6" customHeight="1" x14ac:dyDescent="0.15"/>
    <row r="1170" ht="12.6" customHeight="1" x14ac:dyDescent="0.15"/>
    <row r="1171" ht="12.6" customHeight="1" x14ac:dyDescent="0.15"/>
    <row r="1172" ht="12.6" customHeight="1" x14ac:dyDescent="0.15"/>
    <row r="1173" ht="12.6" customHeight="1" x14ac:dyDescent="0.15"/>
    <row r="1174" ht="12.6" customHeight="1" x14ac:dyDescent="0.15"/>
    <row r="1175" ht="12.6" customHeight="1" x14ac:dyDescent="0.15"/>
    <row r="1176" ht="12.6" customHeight="1" x14ac:dyDescent="0.15"/>
    <row r="1177" ht="12.6" customHeight="1" x14ac:dyDescent="0.15"/>
    <row r="1178" ht="12.6" customHeight="1" x14ac:dyDescent="0.15"/>
    <row r="1179" ht="12.6" customHeight="1" x14ac:dyDescent="0.15"/>
    <row r="1180" ht="12.6" customHeight="1" x14ac:dyDescent="0.15"/>
    <row r="1181" ht="12.6" customHeight="1" x14ac:dyDescent="0.15"/>
    <row r="1182" ht="12.6" customHeight="1" x14ac:dyDescent="0.15"/>
    <row r="1183" ht="12.6" customHeight="1" x14ac:dyDescent="0.15"/>
    <row r="1184" ht="12.6" customHeight="1" x14ac:dyDescent="0.15"/>
    <row r="1185" ht="12.6" customHeight="1" x14ac:dyDescent="0.15"/>
    <row r="1186" ht="12.6" customHeight="1" x14ac:dyDescent="0.15"/>
    <row r="1187" ht="12.6" customHeight="1" x14ac:dyDescent="0.15"/>
    <row r="1188" ht="12.6" customHeight="1" x14ac:dyDescent="0.15"/>
    <row r="1189" ht="12.6" customHeight="1" x14ac:dyDescent="0.15"/>
    <row r="1190" ht="12.6" customHeight="1" x14ac:dyDescent="0.15"/>
    <row r="1191" ht="12.6" customHeight="1" x14ac:dyDescent="0.15"/>
    <row r="1192" ht="12.6" customHeight="1" x14ac:dyDescent="0.15"/>
    <row r="1193" ht="12.6" customHeight="1" x14ac:dyDescent="0.15"/>
    <row r="1194" ht="12.6" customHeight="1" x14ac:dyDescent="0.15"/>
    <row r="1195" ht="12.6" customHeight="1" x14ac:dyDescent="0.15"/>
    <row r="1196" ht="12.6" customHeight="1" x14ac:dyDescent="0.15"/>
    <row r="1197" ht="12.6" customHeight="1" x14ac:dyDescent="0.15"/>
    <row r="1198" ht="12.6" customHeight="1" x14ac:dyDescent="0.15"/>
    <row r="1199" ht="12.6" customHeight="1" x14ac:dyDescent="0.15"/>
    <row r="1200" ht="12.6" customHeight="1" x14ac:dyDescent="0.15"/>
    <row r="1201" ht="12.6" customHeight="1" x14ac:dyDescent="0.15"/>
    <row r="1202" ht="12.6" customHeight="1" x14ac:dyDescent="0.15"/>
    <row r="1203" ht="12.6" customHeight="1" x14ac:dyDescent="0.15"/>
    <row r="1204" ht="12.6" customHeight="1" x14ac:dyDescent="0.15"/>
    <row r="1205" ht="12.6" customHeight="1" x14ac:dyDescent="0.15"/>
    <row r="1206" ht="12.6" customHeight="1" x14ac:dyDescent="0.15"/>
    <row r="1207" ht="12.6" customHeight="1" x14ac:dyDescent="0.15"/>
    <row r="1208" ht="12.6" customHeight="1" x14ac:dyDescent="0.15"/>
    <row r="1209" ht="12.6" customHeight="1" x14ac:dyDescent="0.15"/>
    <row r="1210" ht="12.6" customHeight="1" x14ac:dyDescent="0.15"/>
    <row r="1211" ht="12.6" customHeight="1" x14ac:dyDescent="0.15"/>
    <row r="1212" ht="12.6" customHeight="1" x14ac:dyDescent="0.15"/>
    <row r="1213" ht="12.6" customHeight="1" x14ac:dyDescent="0.15"/>
    <row r="1214" ht="12.6" customHeight="1" x14ac:dyDescent="0.15"/>
    <row r="1215" ht="12.6" customHeight="1" x14ac:dyDescent="0.15"/>
    <row r="1216" ht="12.6" customHeight="1" x14ac:dyDescent="0.15"/>
    <row r="1217" ht="12.6" customHeight="1" x14ac:dyDescent="0.15"/>
    <row r="1218" ht="12.6" customHeight="1" x14ac:dyDescent="0.15"/>
    <row r="1219" ht="12.6" customHeight="1" x14ac:dyDescent="0.15"/>
    <row r="1220" ht="12.6" customHeight="1" x14ac:dyDescent="0.15"/>
    <row r="1221" ht="12.6" customHeight="1" x14ac:dyDescent="0.15"/>
    <row r="1222" ht="12.6" customHeight="1" x14ac:dyDescent="0.15"/>
    <row r="1223" ht="12.6" customHeight="1" x14ac:dyDescent="0.15"/>
    <row r="1224" ht="12.6" customHeight="1" x14ac:dyDescent="0.15"/>
    <row r="1225" ht="12.6" customHeight="1" x14ac:dyDescent="0.15"/>
    <row r="1226" ht="12.6" customHeight="1" x14ac:dyDescent="0.15"/>
    <row r="1227" ht="12.6" customHeight="1" x14ac:dyDescent="0.15"/>
    <row r="1228" ht="12.6" customHeight="1" x14ac:dyDescent="0.15"/>
    <row r="1229" ht="12.6" customHeight="1" x14ac:dyDescent="0.15"/>
    <row r="1230" ht="12.6" customHeight="1" x14ac:dyDescent="0.15"/>
    <row r="1231" ht="12.6" customHeight="1" x14ac:dyDescent="0.15"/>
    <row r="1232" ht="12.6" customHeight="1" x14ac:dyDescent="0.15"/>
    <row r="1233" ht="12.6" customHeight="1" x14ac:dyDescent="0.15"/>
    <row r="1234" ht="12.6" customHeight="1" x14ac:dyDescent="0.15"/>
    <row r="1235" ht="12.6" customHeight="1" x14ac:dyDescent="0.15"/>
    <row r="1236" ht="12.6" customHeight="1" x14ac:dyDescent="0.15"/>
    <row r="1237" ht="12.6" customHeight="1" x14ac:dyDescent="0.15"/>
    <row r="1238" ht="12.6" customHeight="1" x14ac:dyDescent="0.15"/>
    <row r="1239" ht="12.6" customHeight="1" x14ac:dyDescent="0.15"/>
    <row r="1240" ht="12.6" customHeight="1" x14ac:dyDescent="0.15"/>
    <row r="1241" ht="12.6" customHeight="1" x14ac:dyDescent="0.15"/>
    <row r="1242" ht="12.6" customHeight="1" x14ac:dyDescent="0.15"/>
    <row r="1243" ht="12.6" customHeight="1" x14ac:dyDescent="0.15"/>
    <row r="1244" ht="12.6" customHeight="1" x14ac:dyDescent="0.15"/>
    <row r="1245" ht="12.6" customHeight="1" x14ac:dyDescent="0.15"/>
    <row r="1246" ht="12.6" customHeight="1" x14ac:dyDescent="0.15"/>
    <row r="1247" ht="12.6" customHeight="1" x14ac:dyDescent="0.15"/>
    <row r="1248" ht="12.6" customHeight="1" x14ac:dyDescent="0.15"/>
    <row r="1249" ht="12.6" customHeight="1" x14ac:dyDescent="0.15"/>
    <row r="1250" ht="12.6" customHeight="1" x14ac:dyDescent="0.15"/>
    <row r="1251" ht="12.6" customHeight="1" x14ac:dyDescent="0.15"/>
    <row r="1252" ht="12.6" customHeight="1" x14ac:dyDescent="0.15"/>
    <row r="1253" ht="12.6" customHeight="1" x14ac:dyDescent="0.15"/>
    <row r="1254" ht="12.6" customHeight="1" x14ac:dyDescent="0.15"/>
    <row r="1255" ht="12.6" customHeight="1" x14ac:dyDescent="0.15"/>
    <row r="1256" ht="12.6" customHeight="1" x14ac:dyDescent="0.15"/>
    <row r="1257" ht="12.6" customHeight="1" x14ac:dyDescent="0.15"/>
    <row r="1258" ht="12.6" customHeight="1" x14ac:dyDescent="0.15"/>
    <row r="1259" ht="12.6" customHeight="1" x14ac:dyDescent="0.15"/>
    <row r="1260" ht="12.6" customHeight="1" x14ac:dyDescent="0.15"/>
    <row r="1261" ht="12.6" customHeight="1" x14ac:dyDescent="0.15"/>
    <row r="1262" ht="12.6" customHeight="1" x14ac:dyDescent="0.15"/>
    <row r="1263" ht="12.6" customHeight="1" x14ac:dyDescent="0.15"/>
    <row r="1264" ht="12.6" customHeight="1" x14ac:dyDescent="0.15"/>
    <row r="1265" ht="12.6" customHeight="1" x14ac:dyDescent="0.15"/>
    <row r="1266" ht="12.6" customHeight="1" x14ac:dyDescent="0.15"/>
    <row r="1267" ht="12.6" customHeight="1" x14ac:dyDescent="0.15"/>
    <row r="1268" ht="12.6" customHeight="1" x14ac:dyDescent="0.15"/>
    <row r="1269" ht="12.6" customHeight="1" x14ac:dyDescent="0.15"/>
    <row r="1270" ht="12.6" customHeight="1" x14ac:dyDescent="0.15"/>
    <row r="1271" ht="12.6" customHeight="1" x14ac:dyDescent="0.15"/>
    <row r="1272" ht="12.6" customHeight="1" x14ac:dyDescent="0.15"/>
    <row r="1273" ht="12.6" customHeight="1" x14ac:dyDescent="0.15"/>
    <row r="1274" ht="12.6" customHeight="1" x14ac:dyDescent="0.15"/>
    <row r="1275" ht="12.6" customHeight="1" x14ac:dyDescent="0.15"/>
    <row r="1276" ht="12.6" customHeight="1" x14ac:dyDescent="0.15"/>
    <row r="1277" ht="12.6" customHeight="1" x14ac:dyDescent="0.15"/>
    <row r="1278" ht="12.6" customHeight="1" x14ac:dyDescent="0.15"/>
    <row r="1279" ht="12.6" customHeight="1" x14ac:dyDescent="0.15"/>
    <row r="1280" ht="12.6" customHeight="1" x14ac:dyDescent="0.15"/>
    <row r="1281" ht="12.6" customHeight="1" x14ac:dyDescent="0.15"/>
    <row r="1282" ht="12.6" customHeight="1" x14ac:dyDescent="0.15"/>
    <row r="1283" ht="12.6" customHeight="1" x14ac:dyDescent="0.15"/>
    <row r="1284" ht="12.6" customHeight="1" x14ac:dyDescent="0.15"/>
    <row r="1285" ht="12.6" customHeight="1" x14ac:dyDescent="0.15"/>
    <row r="1286" ht="12.6" customHeight="1" x14ac:dyDescent="0.15"/>
    <row r="1287" ht="12.6" customHeight="1" x14ac:dyDescent="0.15"/>
    <row r="1288" ht="12.6" customHeight="1" x14ac:dyDescent="0.15"/>
    <row r="1289" ht="12.6" customHeight="1" x14ac:dyDescent="0.15"/>
    <row r="1290" ht="12.6" customHeight="1" x14ac:dyDescent="0.15"/>
    <row r="1291" ht="12.6" customHeight="1" x14ac:dyDescent="0.15"/>
    <row r="1292" ht="12.6" customHeight="1" x14ac:dyDescent="0.15"/>
    <row r="1293" ht="12.6" customHeight="1" x14ac:dyDescent="0.15"/>
    <row r="1294" ht="12.6" customHeight="1" x14ac:dyDescent="0.15"/>
    <row r="1295" ht="12.6" customHeight="1" x14ac:dyDescent="0.15"/>
    <row r="1296" ht="12.6" customHeight="1" x14ac:dyDescent="0.15"/>
    <row r="1297" ht="12.6" customHeight="1" x14ac:dyDescent="0.15"/>
    <row r="1298" ht="12.6" customHeight="1" x14ac:dyDescent="0.15"/>
    <row r="1299" ht="12.6" customHeight="1" x14ac:dyDescent="0.15"/>
    <row r="1300" ht="12.6" customHeight="1" x14ac:dyDescent="0.15"/>
    <row r="1301" ht="12.6" customHeight="1" x14ac:dyDescent="0.15"/>
    <row r="1302" ht="12.6" customHeight="1" x14ac:dyDescent="0.15"/>
    <row r="1303" ht="12.6" customHeight="1" x14ac:dyDescent="0.15"/>
    <row r="1304" ht="12.6" customHeight="1" x14ac:dyDescent="0.15"/>
    <row r="1305" ht="12.6" customHeight="1" x14ac:dyDescent="0.15"/>
    <row r="1306" ht="12.6" customHeight="1" x14ac:dyDescent="0.15"/>
    <row r="1307" ht="12.6" customHeight="1" x14ac:dyDescent="0.15"/>
    <row r="1308" ht="12.6" customHeight="1" x14ac:dyDescent="0.15"/>
    <row r="1309" ht="12.6" customHeight="1" x14ac:dyDescent="0.15"/>
    <row r="1310" ht="12.6" customHeight="1" x14ac:dyDescent="0.15"/>
    <row r="1311" ht="12.6" customHeight="1" x14ac:dyDescent="0.15"/>
    <row r="1312" ht="12.6" customHeight="1" x14ac:dyDescent="0.15"/>
    <row r="1313" ht="12.6" customHeight="1" x14ac:dyDescent="0.15"/>
    <row r="1314" ht="12.6" customHeight="1" x14ac:dyDescent="0.15"/>
    <row r="1315" ht="12.6" customHeight="1" x14ac:dyDescent="0.15"/>
    <row r="1316" ht="12.6" customHeight="1" x14ac:dyDescent="0.15"/>
    <row r="1317" ht="12.6" customHeight="1" x14ac:dyDescent="0.15"/>
    <row r="1318" ht="12.6" customHeight="1" x14ac:dyDescent="0.15"/>
    <row r="1319" ht="12.6" customHeight="1" x14ac:dyDescent="0.15"/>
    <row r="1320" ht="12.6" customHeight="1" x14ac:dyDescent="0.15"/>
    <row r="1321" ht="12.6" customHeight="1" x14ac:dyDescent="0.15"/>
    <row r="1322" ht="12.6" customHeight="1" x14ac:dyDescent="0.15"/>
    <row r="1323" ht="12.6" customHeight="1" x14ac:dyDescent="0.15"/>
    <row r="1324" ht="12.6" customHeight="1" x14ac:dyDescent="0.15"/>
    <row r="1325" ht="12.6" customHeight="1" x14ac:dyDescent="0.15"/>
    <row r="1326" ht="12.6" customHeight="1" x14ac:dyDescent="0.15"/>
    <row r="1327" ht="12.6" customHeight="1" x14ac:dyDescent="0.15"/>
    <row r="1328" ht="12.6" customHeight="1" x14ac:dyDescent="0.15"/>
    <row r="1329" ht="12.6" customHeight="1" x14ac:dyDescent="0.15"/>
    <row r="1330" ht="12.6" customHeight="1" x14ac:dyDescent="0.15"/>
    <row r="1331" ht="12.6" customHeight="1" x14ac:dyDescent="0.15"/>
    <row r="1332" ht="12.6" customHeight="1" x14ac:dyDescent="0.15"/>
    <row r="1333" ht="12.6" customHeight="1" x14ac:dyDescent="0.15"/>
    <row r="1334" ht="12.6" customHeight="1" x14ac:dyDescent="0.15"/>
    <row r="1335" ht="12.6" customHeight="1" x14ac:dyDescent="0.15"/>
    <row r="1336" ht="12.6" customHeight="1" x14ac:dyDescent="0.15"/>
    <row r="1337" ht="12.6" customHeight="1" x14ac:dyDescent="0.15"/>
    <row r="1338" ht="12.6" customHeight="1" x14ac:dyDescent="0.15"/>
    <row r="1339" ht="12.6" customHeight="1" x14ac:dyDescent="0.15"/>
    <row r="1340" ht="12.6" customHeight="1" x14ac:dyDescent="0.15"/>
    <row r="1341" ht="12.6" customHeight="1" x14ac:dyDescent="0.15"/>
    <row r="1342" ht="12.6" customHeight="1" x14ac:dyDescent="0.15"/>
    <row r="1343" ht="12.6" customHeight="1" x14ac:dyDescent="0.15"/>
    <row r="1344" ht="12.6" customHeight="1" x14ac:dyDescent="0.15"/>
    <row r="1345" ht="12.6" customHeight="1" x14ac:dyDescent="0.15"/>
    <row r="1346" ht="12.6" customHeight="1" x14ac:dyDescent="0.15"/>
    <row r="1347" ht="12.6" customHeight="1" x14ac:dyDescent="0.15"/>
    <row r="1348" ht="12.6" customHeight="1" x14ac:dyDescent="0.15"/>
    <row r="1349" ht="12.6" customHeight="1" x14ac:dyDescent="0.15"/>
    <row r="1350" ht="12.6" customHeight="1" x14ac:dyDescent="0.15"/>
    <row r="1351" ht="12.6" customHeight="1" x14ac:dyDescent="0.15"/>
    <row r="1352" ht="12.6" customHeight="1" x14ac:dyDescent="0.15"/>
    <row r="1353" ht="12.6" customHeight="1" x14ac:dyDescent="0.15"/>
    <row r="1354" ht="12.6" customHeight="1" x14ac:dyDescent="0.15"/>
    <row r="1355" ht="12.6" customHeight="1" x14ac:dyDescent="0.15"/>
    <row r="1356" ht="12.6" customHeight="1" x14ac:dyDescent="0.15"/>
    <row r="1357" ht="12.6" customHeight="1" x14ac:dyDescent="0.15"/>
    <row r="1358" ht="12.6" customHeight="1" x14ac:dyDescent="0.15"/>
    <row r="1359" ht="12.6" customHeight="1" x14ac:dyDescent="0.15"/>
    <row r="1360" ht="12.6" customHeight="1" x14ac:dyDescent="0.15"/>
    <row r="1361" ht="12.6" customHeight="1" x14ac:dyDescent="0.15"/>
    <row r="1362" ht="12.6" customHeight="1" x14ac:dyDescent="0.15"/>
    <row r="1363" ht="12.6" customHeight="1" x14ac:dyDescent="0.15"/>
    <row r="1364" ht="12.6" customHeight="1" x14ac:dyDescent="0.15"/>
    <row r="1365" ht="12.6" customHeight="1" x14ac:dyDescent="0.15"/>
    <row r="1366" ht="12.6" customHeight="1" x14ac:dyDescent="0.15"/>
    <row r="1367" ht="12.6" customHeight="1" x14ac:dyDescent="0.15"/>
    <row r="1368" ht="12.6" customHeight="1" x14ac:dyDescent="0.15"/>
    <row r="1369" ht="12.6" customHeight="1" x14ac:dyDescent="0.15"/>
    <row r="1370" ht="12.6" customHeight="1" x14ac:dyDescent="0.15"/>
    <row r="1371" ht="12.6" customHeight="1" x14ac:dyDescent="0.15"/>
    <row r="1372" ht="12.6" customHeight="1" x14ac:dyDescent="0.15"/>
    <row r="1373" ht="12.6" customHeight="1" x14ac:dyDescent="0.15"/>
    <row r="1374" ht="12.6" customHeight="1" x14ac:dyDescent="0.15"/>
    <row r="1375" ht="12.6" customHeight="1" x14ac:dyDescent="0.15"/>
    <row r="1376" ht="12.6" customHeight="1" x14ac:dyDescent="0.15"/>
    <row r="1377" ht="12.6" customHeight="1" x14ac:dyDescent="0.15"/>
    <row r="1378" ht="12.6" customHeight="1" x14ac:dyDescent="0.15"/>
    <row r="1379" ht="12.6" customHeight="1" x14ac:dyDescent="0.15"/>
    <row r="1380" ht="12.6" customHeight="1" x14ac:dyDescent="0.15"/>
    <row r="1381" ht="12.6" customHeight="1" x14ac:dyDescent="0.15"/>
    <row r="1382" ht="12.6" customHeight="1" x14ac:dyDescent="0.15"/>
    <row r="1383" ht="12.6" customHeight="1" x14ac:dyDescent="0.15"/>
    <row r="1384" ht="12.6" customHeight="1" x14ac:dyDescent="0.15"/>
    <row r="1385" ht="12.6" customHeight="1" x14ac:dyDescent="0.15"/>
    <row r="1386" ht="12.6" customHeight="1" x14ac:dyDescent="0.15"/>
    <row r="1387" ht="12.6" customHeight="1" x14ac:dyDescent="0.15"/>
    <row r="1388" ht="12.6" customHeight="1" x14ac:dyDescent="0.15"/>
    <row r="1389" ht="12.6" customHeight="1" x14ac:dyDescent="0.15"/>
    <row r="1390" ht="12.6" customHeight="1" x14ac:dyDescent="0.15"/>
    <row r="1391" ht="12.6" customHeight="1" x14ac:dyDescent="0.15"/>
    <row r="1392" ht="12.6" customHeight="1" x14ac:dyDescent="0.15"/>
    <row r="1393" ht="12.6" customHeight="1" x14ac:dyDescent="0.15"/>
    <row r="1394" ht="12.6" customHeight="1" x14ac:dyDescent="0.15"/>
    <row r="1395" ht="12.6" customHeight="1" x14ac:dyDescent="0.15"/>
    <row r="1396" ht="12.6" customHeight="1" x14ac:dyDescent="0.15"/>
    <row r="1397" ht="12.6" customHeight="1" x14ac:dyDescent="0.15"/>
    <row r="1398" ht="12.6" customHeight="1" x14ac:dyDescent="0.15"/>
    <row r="1399" ht="12.6" customHeight="1" x14ac:dyDescent="0.15"/>
    <row r="1400" ht="12.6" customHeight="1" x14ac:dyDescent="0.15"/>
    <row r="1401" ht="12.6" customHeight="1" x14ac:dyDescent="0.15"/>
    <row r="1402" ht="12.6" customHeight="1" x14ac:dyDescent="0.15"/>
    <row r="1403" ht="12.6" customHeight="1" x14ac:dyDescent="0.15"/>
    <row r="1404" ht="12.6" customHeight="1" x14ac:dyDescent="0.15"/>
    <row r="1405" ht="12.6" customHeight="1" x14ac:dyDescent="0.15"/>
    <row r="1406" ht="12.6" customHeight="1" x14ac:dyDescent="0.15"/>
    <row r="1407" ht="12.6" customHeight="1" x14ac:dyDescent="0.15"/>
    <row r="1408" ht="12.6" customHeight="1" x14ac:dyDescent="0.15"/>
    <row r="1409" ht="12.6" customHeight="1" x14ac:dyDescent="0.15"/>
    <row r="1410" ht="12.6" customHeight="1" x14ac:dyDescent="0.15"/>
    <row r="1411" ht="12.6" customHeight="1" x14ac:dyDescent="0.15"/>
    <row r="1412" ht="12.6" customHeight="1" x14ac:dyDescent="0.15"/>
    <row r="1413" ht="12.6" customHeight="1" x14ac:dyDescent="0.15"/>
    <row r="1414" ht="12.6" customHeight="1" x14ac:dyDescent="0.15"/>
    <row r="1415" ht="12.6" customHeight="1" x14ac:dyDescent="0.15"/>
    <row r="1416" ht="12.6" customHeight="1" x14ac:dyDescent="0.15"/>
    <row r="1417" ht="12.6" customHeight="1" x14ac:dyDescent="0.15"/>
    <row r="1418" ht="12.6" customHeight="1" x14ac:dyDescent="0.15"/>
    <row r="1419" ht="12.6" customHeight="1" x14ac:dyDescent="0.15"/>
    <row r="1420" ht="12.6" customHeight="1" x14ac:dyDescent="0.15"/>
    <row r="1421" ht="12.6" customHeight="1" x14ac:dyDescent="0.15"/>
    <row r="1422" ht="12.6" customHeight="1" x14ac:dyDescent="0.15"/>
    <row r="1423" ht="12.6" customHeight="1" x14ac:dyDescent="0.15"/>
    <row r="1424" ht="12.6" customHeight="1" x14ac:dyDescent="0.15"/>
    <row r="1425" ht="12.6" customHeight="1" x14ac:dyDescent="0.15"/>
    <row r="1426" ht="12.6" customHeight="1" x14ac:dyDescent="0.15"/>
    <row r="1427" ht="12.6" customHeight="1" x14ac:dyDescent="0.15"/>
    <row r="1428" ht="12.6" customHeight="1" x14ac:dyDescent="0.15"/>
    <row r="1429" ht="12.6" customHeight="1" x14ac:dyDescent="0.15"/>
    <row r="1430" ht="12.6" customHeight="1" x14ac:dyDescent="0.15"/>
    <row r="1431" ht="12.6" customHeight="1" x14ac:dyDescent="0.15"/>
    <row r="1432" ht="12.6" customHeight="1" x14ac:dyDescent="0.15"/>
    <row r="1433" ht="12.6" customHeight="1" x14ac:dyDescent="0.15"/>
    <row r="1434" ht="12.6" customHeight="1" x14ac:dyDescent="0.15"/>
    <row r="1435" ht="12.6" customHeight="1" x14ac:dyDescent="0.15"/>
    <row r="1436" ht="12.6" customHeight="1" x14ac:dyDescent="0.15"/>
    <row r="1437" ht="12.6" customHeight="1" x14ac:dyDescent="0.15"/>
    <row r="1438" ht="12.6" customHeight="1" x14ac:dyDescent="0.15"/>
    <row r="1439" ht="12.6" customHeight="1" x14ac:dyDescent="0.15"/>
    <row r="1440" ht="12.6" customHeight="1" x14ac:dyDescent="0.15"/>
    <row r="1441" ht="12.6" customHeight="1" x14ac:dyDescent="0.15"/>
    <row r="1442" ht="12.6" customHeight="1" x14ac:dyDescent="0.15"/>
    <row r="1443" ht="12.6" customHeight="1" x14ac:dyDescent="0.15"/>
    <row r="1444" ht="12.6" customHeight="1" x14ac:dyDescent="0.15"/>
    <row r="1445" ht="12.6" customHeight="1" x14ac:dyDescent="0.15"/>
    <row r="1446" ht="12.6" customHeight="1" x14ac:dyDescent="0.15"/>
    <row r="1447" ht="12.6" customHeight="1" x14ac:dyDescent="0.15"/>
    <row r="1448" ht="12.6" customHeight="1" x14ac:dyDescent="0.15"/>
    <row r="1449" ht="12.6" customHeight="1" x14ac:dyDescent="0.15"/>
    <row r="1450" ht="12.6" customHeight="1" x14ac:dyDescent="0.15"/>
    <row r="1451" ht="12.6" customHeight="1" x14ac:dyDescent="0.15"/>
    <row r="1452" ht="12.6" customHeight="1" x14ac:dyDescent="0.15"/>
    <row r="1453" ht="12.6" customHeight="1" x14ac:dyDescent="0.15"/>
    <row r="1454" ht="12.6" customHeight="1" x14ac:dyDescent="0.15"/>
    <row r="1455" ht="12.6" customHeight="1" x14ac:dyDescent="0.15"/>
    <row r="1456" ht="12.6" customHeight="1" x14ac:dyDescent="0.15"/>
    <row r="1457" ht="12.6" customHeight="1" x14ac:dyDescent="0.15"/>
    <row r="1458" ht="12.6" customHeight="1" x14ac:dyDescent="0.15"/>
    <row r="1459" ht="12.6" customHeight="1" x14ac:dyDescent="0.15"/>
    <row r="1460" ht="12.6" customHeight="1" x14ac:dyDescent="0.15"/>
    <row r="1461" ht="12.6" customHeight="1" x14ac:dyDescent="0.15"/>
    <row r="1462" ht="12.6" customHeight="1" x14ac:dyDescent="0.15"/>
    <row r="1463" ht="12.6" customHeight="1" x14ac:dyDescent="0.15"/>
    <row r="1464" ht="12.6" customHeight="1" x14ac:dyDescent="0.15"/>
    <row r="1465" ht="12.6" customHeight="1" x14ac:dyDescent="0.15"/>
    <row r="1466" ht="12.6" customHeight="1" x14ac:dyDescent="0.15"/>
    <row r="1467" ht="12.6" customHeight="1" x14ac:dyDescent="0.15"/>
    <row r="1468" ht="12.6" customHeight="1" x14ac:dyDescent="0.15"/>
    <row r="1469" ht="12.6" customHeight="1" x14ac:dyDescent="0.15"/>
    <row r="1470" ht="12.6" customHeight="1" x14ac:dyDescent="0.15"/>
    <row r="1471" ht="12.6" customHeight="1" x14ac:dyDescent="0.15"/>
    <row r="1472" ht="12.6" customHeight="1" x14ac:dyDescent="0.15"/>
    <row r="1473" ht="12.6" customHeight="1" x14ac:dyDescent="0.15"/>
    <row r="1474" ht="12.6" customHeight="1" x14ac:dyDescent="0.15"/>
    <row r="1475" ht="12.6" customHeight="1" x14ac:dyDescent="0.15"/>
    <row r="1476" ht="12.6" customHeight="1" x14ac:dyDescent="0.15"/>
    <row r="1477" ht="12.6" customHeight="1" x14ac:dyDescent="0.15"/>
    <row r="1478" ht="12.6" customHeight="1" x14ac:dyDescent="0.15"/>
    <row r="1479" ht="12.6" customHeight="1" x14ac:dyDescent="0.15"/>
    <row r="1480" ht="12.6" customHeight="1" x14ac:dyDescent="0.15"/>
    <row r="1481" ht="12.6" customHeight="1" x14ac:dyDescent="0.15"/>
    <row r="1482" ht="12.6" customHeight="1" x14ac:dyDescent="0.15"/>
    <row r="1483" ht="12.6" customHeight="1" x14ac:dyDescent="0.15"/>
    <row r="1484" ht="12.6" customHeight="1" x14ac:dyDescent="0.15"/>
    <row r="1485" ht="12.6" customHeight="1" x14ac:dyDescent="0.15"/>
    <row r="1486" ht="12.6" customHeight="1" x14ac:dyDescent="0.15"/>
    <row r="1487" ht="12.6" customHeight="1" x14ac:dyDescent="0.15"/>
    <row r="1488" ht="12.6" customHeight="1" x14ac:dyDescent="0.15"/>
    <row r="1489" ht="12.6" customHeight="1" x14ac:dyDescent="0.15"/>
    <row r="1490" ht="12.6" customHeight="1" x14ac:dyDescent="0.15"/>
    <row r="1491" ht="12.6" customHeight="1" x14ac:dyDescent="0.15"/>
    <row r="1492" ht="12.6" customHeight="1" x14ac:dyDescent="0.15"/>
    <row r="1493" ht="12.6" customHeight="1" x14ac:dyDescent="0.15"/>
    <row r="1494" ht="12.6" customHeight="1" x14ac:dyDescent="0.15"/>
    <row r="1495" ht="12.6" customHeight="1" x14ac:dyDescent="0.15"/>
    <row r="1496" ht="12.6" customHeight="1" x14ac:dyDescent="0.15"/>
    <row r="1497" ht="12.6" customHeight="1" x14ac:dyDescent="0.15"/>
    <row r="1498" ht="12.6" customHeight="1" x14ac:dyDescent="0.15"/>
    <row r="1499" ht="12.6" customHeight="1" x14ac:dyDescent="0.15"/>
    <row r="1500" ht="12.6" customHeight="1" x14ac:dyDescent="0.15"/>
    <row r="1501" ht="12.6" customHeight="1" x14ac:dyDescent="0.15"/>
    <row r="1502" ht="12.6" customHeight="1" x14ac:dyDescent="0.15"/>
    <row r="1503" ht="12.6" customHeight="1" x14ac:dyDescent="0.15"/>
    <row r="1504" ht="12.6" customHeight="1" x14ac:dyDescent="0.15"/>
    <row r="1505" ht="12.6" customHeight="1" x14ac:dyDescent="0.15"/>
    <row r="1506" ht="12.6" customHeight="1" x14ac:dyDescent="0.15"/>
    <row r="1507" ht="12.6" customHeight="1" x14ac:dyDescent="0.15"/>
    <row r="1508" ht="12.6" customHeight="1" x14ac:dyDescent="0.15"/>
    <row r="1509" ht="12.6" customHeight="1" x14ac:dyDescent="0.15"/>
    <row r="1510" ht="12.6" customHeight="1" x14ac:dyDescent="0.15"/>
    <row r="1511" ht="12.6" customHeight="1" x14ac:dyDescent="0.15"/>
    <row r="1512" ht="12.6" customHeight="1" x14ac:dyDescent="0.15"/>
    <row r="1513" ht="12.6" customHeight="1" x14ac:dyDescent="0.15"/>
    <row r="1514" ht="12.6" customHeight="1" x14ac:dyDescent="0.15"/>
    <row r="1515" ht="12.6" customHeight="1" x14ac:dyDescent="0.15"/>
    <row r="1516" ht="12.6" customHeight="1" x14ac:dyDescent="0.15"/>
    <row r="1517" ht="12.6" customHeight="1" x14ac:dyDescent="0.15"/>
    <row r="1518" ht="12.6" customHeight="1" x14ac:dyDescent="0.15"/>
    <row r="1519" ht="12.6" customHeight="1" x14ac:dyDescent="0.15"/>
    <row r="1520" ht="12.6" customHeight="1" x14ac:dyDescent="0.15"/>
    <row r="1521" ht="12.6" customHeight="1" x14ac:dyDescent="0.15"/>
    <row r="1522" ht="12.6" customHeight="1" x14ac:dyDescent="0.15"/>
    <row r="1523" ht="12.6" customHeight="1" x14ac:dyDescent="0.15"/>
    <row r="1524" ht="12.6" customHeight="1" x14ac:dyDescent="0.15"/>
    <row r="1525" ht="12.6" customHeight="1" x14ac:dyDescent="0.15"/>
    <row r="1526" ht="12.6" customHeight="1" x14ac:dyDescent="0.15"/>
    <row r="1527" ht="12.6" customHeight="1" x14ac:dyDescent="0.15"/>
    <row r="1528" ht="12.6" customHeight="1" x14ac:dyDescent="0.15"/>
    <row r="1529" ht="12.6" customHeight="1" x14ac:dyDescent="0.15"/>
    <row r="1530" ht="12.6" customHeight="1" x14ac:dyDescent="0.15"/>
    <row r="1531" ht="12.6" customHeight="1" x14ac:dyDescent="0.15"/>
    <row r="1532" ht="12.6" customHeight="1" x14ac:dyDescent="0.15"/>
    <row r="1533" ht="12.6" customHeight="1" x14ac:dyDescent="0.15"/>
    <row r="1534" ht="12.6" customHeight="1" x14ac:dyDescent="0.15"/>
    <row r="1535" ht="12.6" customHeight="1" x14ac:dyDescent="0.15"/>
    <row r="1536" ht="12.6" customHeight="1" x14ac:dyDescent="0.15"/>
    <row r="1537" ht="12.6" customHeight="1" x14ac:dyDescent="0.15"/>
    <row r="1538" ht="12.6" customHeight="1" x14ac:dyDescent="0.15"/>
    <row r="1539" ht="12.6" customHeight="1" x14ac:dyDescent="0.15"/>
    <row r="1540" ht="12.6" customHeight="1" x14ac:dyDescent="0.15"/>
    <row r="1541" ht="12.6" customHeight="1" x14ac:dyDescent="0.15"/>
    <row r="1542" ht="12.6" customHeight="1" x14ac:dyDescent="0.15"/>
    <row r="1543" ht="12.6" customHeight="1" x14ac:dyDescent="0.15"/>
    <row r="1544" ht="12.6" customHeight="1" x14ac:dyDescent="0.15"/>
    <row r="1545" ht="12.6" customHeight="1" x14ac:dyDescent="0.15"/>
    <row r="1546" ht="12.6" customHeight="1" x14ac:dyDescent="0.15"/>
    <row r="1547" ht="12.6" customHeight="1" x14ac:dyDescent="0.15"/>
    <row r="1548" ht="12.6" customHeight="1" x14ac:dyDescent="0.15"/>
    <row r="1549" ht="12.6" customHeight="1" x14ac:dyDescent="0.15"/>
    <row r="1550" ht="12.6" customHeight="1" x14ac:dyDescent="0.15"/>
    <row r="1551" ht="12.6" customHeight="1" x14ac:dyDescent="0.15"/>
    <row r="1552" ht="12.6" customHeight="1" x14ac:dyDescent="0.15"/>
    <row r="1553" ht="12.6" customHeight="1" x14ac:dyDescent="0.15"/>
    <row r="1554" ht="12.6" customHeight="1" x14ac:dyDescent="0.15"/>
    <row r="1555" ht="12.6" customHeight="1" x14ac:dyDescent="0.15"/>
    <row r="1556" ht="12.6" customHeight="1" x14ac:dyDescent="0.15"/>
    <row r="1557" ht="12.6" customHeight="1" x14ac:dyDescent="0.15"/>
    <row r="1558" ht="12.6" customHeight="1" x14ac:dyDescent="0.15"/>
    <row r="1559" ht="12.6" customHeight="1" x14ac:dyDescent="0.15"/>
    <row r="1560" ht="12.6" customHeight="1" x14ac:dyDescent="0.15"/>
    <row r="1561" ht="12.6" customHeight="1" x14ac:dyDescent="0.15"/>
    <row r="1562" ht="12.6" customHeight="1" x14ac:dyDescent="0.15"/>
    <row r="1563" ht="12.6" customHeight="1" x14ac:dyDescent="0.15"/>
    <row r="1564" ht="12.6" customHeight="1" x14ac:dyDescent="0.15"/>
    <row r="1565" ht="12.6" customHeight="1" x14ac:dyDescent="0.15"/>
    <row r="1566" ht="12.6" customHeight="1" x14ac:dyDescent="0.15"/>
    <row r="1567" ht="12.6" customHeight="1" x14ac:dyDescent="0.15"/>
    <row r="1568" ht="12.6" customHeight="1" x14ac:dyDescent="0.15"/>
    <row r="1569" ht="12.6" customHeight="1" x14ac:dyDescent="0.15"/>
    <row r="1570" ht="12.6" customHeight="1" x14ac:dyDescent="0.15"/>
    <row r="1571" ht="12.6" customHeight="1" x14ac:dyDescent="0.15"/>
    <row r="1572" ht="12.6" customHeight="1" x14ac:dyDescent="0.15"/>
    <row r="1573" ht="12.6" customHeight="1" x14ac:dyDescent="0.15"/>
    <row r="1574" ht="12.6" customHeight="1" x14ac:dyDescent="0.15"/>
    <row r="1575" ht="12.6" customHeight="1" x14ac:dyDescent="0.15"/>
    <row r="1576" ht="12.6" customHeight="1" x14ac:dyDescent="0.15"/>
    <row r="1577" ht="12.6" customHeight="1" x14ac:dyDescent="0.15"/>
    <row r="1578" ht="12.6" customHeight="1" x14ac:dyDescent="0.15"/>
    <row r="1579" ht="12.6" customHeight="1" x14ac:dyDescent="0.15"/>
    <row r="1580" ht="12.6" customHeight="1" x14ac:dyDescent="0.15"/>
    <row r="1581" ht="12.6" customHeight="1" x14ac:dyDescent="0.15"/>
    <row r="1582" ht="12.6" customHeight="1" x14ac:dyDescent="0.15"/>
    <row r="1583" ht="12.6" customHeight="1" x14ac:dyDescent="0.15"/>
    <row r="1584" ht="12.6" customHeight="1" x14ac:dyDescent="0.15"/>
    <row r="1585" ht="12.6" customHeight="1" x14ac:dyDescent="0.15"/>
    <row r="1586" ht="12.6" customHeight="1" x14ac:dyDescent="0.15"/>
    <row r="1587" ht="12.6" customHeight="1" x14ac:dyDescent="0.15"/>
    <row r="1588" ht="12.6" customHeight="1" x14ac:dyDescent="0.15"/>
    <row r="1589" ht="12.6" customHeight="1" x14ac:dyDescent="0.15"/>
    <row r="1590" ht="12.6" customHeight="1" x14ac:dyDescent="0.15"/>
    <row r="1591" ht="12.6" customHeight="1" x14ac:dyDescent="0.15"/>
    <row r="1592" ht="12.6" customHeight="1" x14ac:dyDescent="0.15"/>
    <row r="1593" ht="12.6" customHeight="1" x14ac:dyDescent="0.15"/>
    <row r="1594" ht="12.6" customHeight="1" x14ac:dyDescent="0.15"/>
    <row r="1595" ht="12.6" customHeight="1" x14ac:dyDescent="0.15"/>
    <row r="1596" ht="12.6" customHeight="1" x14ac:dyDescent="0.15"/>
    <row r="1597" ht="12.6" customHeight="1" x14ac:dyDescent="0.15"/>
    <row r="1598" ht="12.6" customHeight="1" x14ac:dyDescent="0.15"/>
    <row r="1599" ht="12.6" customHeight="1" x14ac:dyDescent="0.15"/>
    <row r="1600" ht="12.6" customHeight="1" x14ac:dyDescent="0.15"/>
    <row r="1601" ht="12.6" customHeight="1" x14ac:dyDescent="0.15"/>
    <row r="1602" ht="12.6" customHeight="1" x14ac:dyDescent="0.15"/>
    <row r="1603" ht="12.6" customHeight="1" x14ac:dyDescent="0.15"/>
    <row r="1604" ht="12.6" customHeight="1" x14ac:dyDescent="0.15"/>
    <row r="1605" ht="12.6" customHeight="1" x14ac:dyDescent="0.15"/>
    <row r="1606" ht="12.6" customHeight="1" x14ac:dyDescent="0.15"/>
    <row r="1607" ht="12.6" customHeight="1" x14ac:dyDescent="0.15"/>
    <row r="1608" ht="12.6" customHeight="1" x14ac:dyDescent="0.15"/>
    <row r="1609" ht="12.6" customHeight="1" x14ac:dyDescent="0.15"/>
    <row r="1610" ht="12.6" customHeight="1" x14ac:dyDescent="0.15"/>
    <row r="1611" ht="12.6" customHeight="1" x14ac:dyDescent="0.15"/>
    <row r="1612" ht="12.6" customHeight="1" x14ac:dyDescent="0.15"/>
    <row r="1613" ht="12.6" customHeight="1" x14ac:dyDescent="0.15"/>
    <row r="1614" ht="12.6" customHeight="1" x14ac:dyDescent="0.15"/>
    <row r="1615" ht="12.6" customHeight="1" x14ac:dyDescent="0.15"/>
    <row r="1616" ht="12.6" customHeight="1" x14ac:dyDescent="0.15"/>
    <row r="1617" ht="12.6" customHeight="1" x14ac:dyDescent="0.15"/>
    <row r="1618" ht="12.6" customHeight="1" x14ac:dyDescent="0.15"/>
    <row r="1619" ht="12.6" customHeight="1" x14ac:dyDescent="0.15"/>
    <row r="1620" ht="12.6" customHeight="1" x14ac:dyDescent="0.15"/>
    <row r="1621" ht="12.6" customHeight="1" x14ac:dyDescent="0.15"/>
    <row r="1622" ht="12.6" customHeight="1" x14ac:dyDescent="0.15"/>
    <row r="1623" ht="12.6" customHeight="1" x14ac:dyDescent="0.15"/>
    <row r="1624" ht="12.6" customHeight="1" x14ac:dyDescent="0.15"/>
    <row r="1625" ht="12.6" customHeight="1" x14ac:dyDescent="0.15"/>
    <row r="1626" ht="12.6" customHeight="1" x14ac:dyDescent="0.15"/>
    <row r="1627" ht="12.6" customHeight="1" x14ac:dyDescent="0.15"/>
    <row r="1628" ht="12.6" customHeight="1" x14ac:dyDescent="0.15"/>
    <row r="1629" ht="12.6" customHeight="1" x14ac:dyDescent="0.15"/>
    <row r="1630" ht="12.6" customHeight="1" x14ac:dyDescent="0.15"/>
    <row r="1631" ht="12.6" customHeight="1" x14ac:dyDescent="0.15"/>
    <row r="1632" ht="12.6" customHeight="1" x14ac:dyDescent="0.15"/>
    <row r="1633" ht="12.6" customHeight="1" x14ac:dyDescent="0.15"/>
    <row r="1634" ht="12.6" customHeight="1" x14ac:dyDescent="0.15"/>
    <row r="1635" ht="12.6" customHeight="1" x14ac:dyDescent="0.15"/>
    <row r="1636" ht="12.6" customHeight="1" x14ac:dyDescent="0.15"/>
    <row r="1637" ht="12.6" customHeight="1" x14ac:dyDescent="0.15"/>
    <row r="1638" ht="12.6" customHeight="1" x14ac:dyDescent="0.15"/>
    <row r="1639" ht="12.6" customHeight="1" x14ac:dyDescent="0.15"/>
    <row r="1640" ht="12.6" customHeight="1" x14ac:dyDescent="0.15"/>
    <row r="1641" ht="12.6" customHeight="1" x14ac:dyDescent="0.15"/>
    <row r="1642" ht="12.6" customHeight="1" x14ac:dyDescent="0.15"/>
    <row r="1643" ht="12.6" customHeight="1" x14ac:dyDescent="0.15"/>
    <row r="1644" ht="12.6" customHeight="1" x14ac:dyDescent="0.15"/>
    <row r="1645" ht="12.6" customHeight="1" x14ac:dyDescent="0.15"/>
    <row r="1646" ht="12.6" customHeight="1" x14ac:dyDescent="0.15"/>
    <row r="1647" ht="12.6" customHeight="1" x14ac:dyDescent="0.15"/>
    <row r="1648" ht="12.6" customHeight="1" x14ac:dyDescent="0.15"/>
    <row r="1649" ht="12.6" customHeight="1" x14ac:dyDescent="0.15"/>
    <row r="1650" ht="12.6" customHeight="1" x14ac:dyDescent="0.15"/>
    <row r="1651" ht="12.6" customHeight="1" x14ac:dyDescent="0.15"/>
    <row r="1652" ht="12.6" customHeight="1" x14ac:dyDescent="0.15"/>
    <row r="1653" ht="12.6" customHeight="1" x14ac:dyDescent="0.15"/>
    <row r="1654" ht="12.6" customHeight="1" x14ac:dyDescent="0.15"/>
    <row r="1655" ht="12.6" customHeight="1" x14ac:dyDescent="0.15"/>
    <row r="1656" ht="12.6" customHeight="1" x14ac:dyDescent="0.15"/>
    <row r="1657" ht="12.6" customHeight="1" x14ac:dyDescent="0.15"/>
    <row r="1658" ht="12.6" customHeight="1" x14ac:dyDescent="0.15"/>
    <row r="1659" ht="12.6" customHeight="1" x14ac:dyDescent="0.15"/>
    <row r="1660" ht="12.6" customHeight="1" x14ac:dyDescent="0.15"/>
    <row r="1661" ht="12.6" customHeight="1" x14ac:dyDescent="0.15"/>
    <row r="1662" ht="12.6" customHeight="1" x14ac:dyDescent="0.15"/>
    <row r="1663" ht="12.6" customHeight="1" x14ac:dyDescent="0.15"/>
    <row r="1664" ht="12.6" customHeight="1" x14ac:dyDescent="0.15"/>
    <row r="1665" ht="12.6" customHeight="1" x14ac:dyDescent="0.15"/>
    <row r="1666" ht="12.6" customHeight="1" x14ac:dyDescent="0.15"/>
    <row r="1667" ht="12.6" customHeight="1" x14ac:dyDescent="0.15"/>
    <row r="1668" ht="12.6" customHeight="1" x14ac:dyDescent="0.15"/>
    <row r="1669" ht="12.6" customHeight="1" x14ac:dyDescent="0.15"/>
    <row r="1670" ht="12.6" customHeight="1" x14ac:dyDescent="0.15"/>
    <row r="1671" ht="12.6" customHeight="1" x14ac:dyDescent="0.15"/>
    <row r="1672" ht="12.6" customHeight="1" x14ac:dyDescent="0.15"/>
    <row r="1673" ht="12.6" customHeight="1" x14ac:dyDescent="0.15"/>
    <row r="1674" ht="12.6" customHeight="1" x14ac:dyDescent="0.15"/>
    <row r="1675" ht="12.6" customHeight="1" x14ac:dyDescent="0.15"/>
    <row r="1676" ht="12.6" customHeight="1" x14ac:dyDescent="0.15"/>
    <row r="1677" ht="12.6" customHeight="1" x14ac:dyDescent="0.15"/>
    <row r="1678" ht="12.6" customHeight="1" x14ac:dyDescent="0.15"/>
    <row r="1679" ht="12.6" customHeight="1" x14ac:dyDescent="0.15"/>
    <row r="1680" ht="12.6" customHeight="1" x14ac:dyDescent="0.15"/>
    <row r="1681" ht="12.6" customHeight="1" x14ac:dyDescent="0.15"/>
    <row r="1682" ht="12.6" customHeight="1" x14ac:dyDescent="0.15"/>
    <row r="1683" ht="12.6" customHeight="1" x14ac:dyDescent="0.15"/>
    <row r="1684" ht="12.6" customHeight="1" x14ac:dyDescent="0.15"/>
    <row r="1685" ht="12.6" customHeight="1" x14ac:dyDescent="0.15"/>
    <row r="1686" ht="12.6" customHeight="1" x14ac:dyDescent="0.15"/>
    <row r="1687" ht="12.6" customHeight="1" x14ac:dyDescent="0.15"/>
    <row r="1688" ht="12.6" customHeight="1" x14ac:dyDescent="0.15"/>
    <row r="1689" ht="12.6" customHeight="1" x14ac:dyDescent="0.15"/>
    <row r="1690" ht="12.6" customHeight="1" x14ac:dyDescent="0.15"/>
    <row r="1691" ht="12.6" customHeight="1" x14ac:dyDescent="0.15"/>
    <row r="1692" ht="12.6" customHeight="1" x14ac:dyDescent="0.15"/>
    <row r="1693" ht="12.6" customHeight="1" x14ac:dyDescent="0.15"/>
    <row r="1694" ht="12.6" customHeight="1" x14ac:dyDescent="0.15"/>
    <row r="1695" ht="12.6" customHeight="1" x14ac:dyDescent="0.15"/>
    <row r="1696" ht="12.6" customHeight="1" x14ac:dyDescent="0.15"/>
    <row r="1697" ht="12.6" customHeight="1" x14ac:dyDescent="0.15"/>
    <row r="1698" ht="12.6" customHeight="1" x14ac:dyDescent="0.15"/>
    <row r="1699" ht="12.6" customHeight="1" x14ac:dyDescent="0.15"/>
    <row r="1700" ht="12.6" customHeight="1" x14ac:dyDescent="0.15"/>
    <row r="1701" ht="12.6" customHeight="1" x14ac:dyDescent="0.15"/>
    <row r="1702" ht="12.6" customHeight="1" x14ac:dyDescent="0.15"/>
    <row r="1703" ht="12.6" customHeight="1" x14ac:dyDescent="0.15"/>
    <row r="1704" ht="12.6" customHeight="1" x14ac:dyDescent="0.15"/>
    <row r="1705" ht="12.6" customHeight="1" x14ac:dyDescent="0.15"/>
    <row r="1706" ht="12.6" customHeight="1" x14ac:dyDescent="0.15"/>
    <row r="1707" ht="12.6" customHeight="1" x14ac:dyDescent="0.15"/>
    <row r="1708" ht="12.6" customHeight="1" x14ac:dyDescent="0.15"/>
    <row r="1709" ht="12.6" customHeight="1" x14ac:dyDescent="0.15"/>
    <row r="1710" ht="12.6" customHeight="1" x14ac:dyDescent="0.15"/>
    <row r="1711" ht="12.6" customHeight="1" x14ac:dyDescent="0.15"/>
    <row r="1712" ht="12.6" customHeight="1" x14ac:dyDescent="0.15"/>
    <row r="1713" ht="12.6" customHeight="1" x14ac:dyDescent="0.15"/>
    <row r="1714" ht="12.6" customHeight="1" x14ac:dyDescent="0.15"/>
    <row r="1715" ht="12.6" customHeight="1" x14ac:dyDescent="0.15"/>
    <row r="1716" ht="12.6" customHeight="1" x14ac:dyDescent="0.15"/>
    <row r="1717" ht="12.6" customHeight="1" x14ac:dyDescent="0.15"/>
    <row r="1718" ht="12.6" customHeight="1" x14ac:dyDescent="0.15"/>
    <row r="1719" ht="12.6" customHeight="1" x14ac:dyDescent="0.15"/>
    <row r="1720" ht="12.6" customHeight="1" x14ac:dyDescent="0.15"/>
    <row r="1721" ht="12.6" customHeight="1" x14ac:dyDescent="0.15"/>
    <row r="1722" ht="12.6" customHeight="1" x14ac:dyDescent="0.15"/>
    <row r="1723" ht="12.6" customHeight="1" x14ac:dyDescent="0.15"/>
    <row r="1724" ht="12.6" customHeight="1" x14ac:dyDescent="0.15"/>
    <row r="1725" ht="12.6" customHeight="1" x14ac:dyDescent="0.15"/>
    <row r="1726" ht="12.6" customHeight="1" x14ac:dyDescent="0.15"/>
    <row r="1727" ht="12.6" customHeight="1" x14ac:dyDescent="0.15"/>
    <row r="1728" ht="12.6" customHeight="1" x14ac:dyDescent="0.15"/>
    <row r="1729" ht="12.6" customHeight="1" x14ac:dyDescent="0.15"/>
    <row r="1730" ht="12.6" customHeight="1" x14ac:dyDescent="0.15"/>
    <row r="1731" ht="12.6" customHeight="1" x14ac:dyDescent="0.15"/>
    <row r="1732" ht="12.6" customHeight="1" x14ac:dyDescent="0.15"/>
    <row r="1733" ht="12.6" customHeight="1" x14ac:dyDescent="0.15"/>
    <row r="1734" ht="12.6" customHeight="1" x14ac:dyDescent="0.15"/>
    <row r="1735" ht="12.6" customHeight="1" x14ac:dyDescent="0.15"/>
    <row r="1736" ht="12.6" customHeight="1" x14ac:dyDescent="0.15"/>
    <row r="1737" ht="12.6" customHeight="1" x14ac:dyDescent="0.15"/>
    <row r="1738" ht="12.6" customHeight="1" x14ac:dyDescent="0.15"/>
    <row r="1739" ht="12.6" customHeight="1" x14ac:dyDescent="0.15"/>
    <row r="1740" ht="12.6" customHeight="1" x14ac:dyDescent="0.15"/>
    <row r="1741" ht="12.6" customHeight="1" x14ac:dyDescent="0.15"/>
    <row r="1742" ht="12.6" customHeight="1" x14ac:dyDescent="0.15"/>
    <row r="1743" ht="12.6" customHeight="1" x14ac:dyDescent="0.15"/>
    <row r="1744" ht="12.6" customHeight="1" x14ac:dyDescent="0.15"/>
    <row r="1745" ht="12.6" customHeight="1" x14ac:dyDescent="0.15"/>
    <row r="1746" ht="12.6" customHeight="1" x14ac:dyDescent="0.15"/>
    <row r="1747" ht="12.6" customHeight="1" x14ac:dyDescent="0.15"/>
    <row r="1748" ht="12.6" customHeight="1" x14ac:dyDescent="0.15"/>
    <row r="1749" ht="12.6" customHeight="1" x14ac:dyDescent="0.15"/>
    <row r="1750" ht="12.6" customHeight="1" x14ac:dyDescent="0.15"/>
    <row r="1751" ht="12.6" customHeight="1" x14ac:dyDescent="0.15"/>
    <row r="1752" ht="12.6" customHeight="1" x14ac:dyDescent="0.15"/>
    <row r="1753" ht="12.6" customHeight="1" x14ac:dyDescent="0.15"/>
    <row r="1754" ht="12.6" customHeight="1" x14ac:dyDescent="0.15"/>
    <row r="1755" ht="12.6" customHeight="1" x14ac:dyDescent="0.15"/>
    <row r="1756" ht="12.6" customHeight="1" x14ac:dyDescent="0.15"/>
    <row r="1757" ht="12.6" customHeight="1" x14ac:dyDescent="0.15"/>
    <row r="1758" ht="12.6" customHeight="1" x14ac:dyDescent="0.15"/>
    <row r="1759" ht="12.6" customHeight="1" x14ac:dyDescent="0.15"/>
    <row r="1760" ht="12.6" customHeight="1" x14ac:dyDescent="0.15"/>
    <row r="1761" ht="12.6" customHeight="1" x14ac:dyDescent="0.15"/>
    <row r="1762" ht="12.6" customHeight="1" x14ac:dyDescent="0.15"/>
    <row r="1763" ht="12.6" customHeight="1" x14ac:dyDescent="0.15"/>
    <row r="1764" ht="12.6" customHeight="1" x14ac:dyDescent="0.15"/>
    <row r="1765" ht="12.6" customHeight="1" x14ac:dyDescent="0.15"/>
    <row r="1766" ht="12.6" customHeight="1" x14ac:dyDescent="0.15"/>
    <row r="1767" ht="12.6" customHeight="1" x14ac:dyDescent="0.15"/>
    <row r="1768" ht="12.6" customHeight="1" x14ac:dyDescent="0.15"/>
    <row r="1769" ht="12.6" customHeight="1" x14ac:dyDescent="0.15"/>
    <row r="1770" ht="12.6" customHeight="1" x14ac:dyDescent="0.15"/>
    <row r="1771" ht="12.6" customHeight="1" x14ac:dyDescent="0.15"/>
    <row r="1772" ht="12.6" customHeight="1" x14ac:dyDescent="0.15"/>
    <row r="1773" ht="12.6" customHeight="1" x14ac:dyDescent="0.15"/>
    <row r="1774" ht="12.6" customHeight="1" x14ac:dyDescent="0.15"/>
    <row r="1775" ht="12.6" customHeight="1" x14ac:dyDescent="0.15"/>
    <row r="1776" ht="12.6" customHeight="1" x14ac:dyDescent="0.15"/>
    <row r="1777" ht="12.6" customHeight="1" x14ac:dyDescent="0.15"/>
    <row r="1778" ht="12.6" customHeight="1" x14ac:dyDescent="0.15"/>
    <row r="1779" ht="12.6" customHeight="1" x14ac:dyDescent="0.15"/>
    <row r="1780" ht="12.6" customHeight="1" x14ac:dyDescent="0.15"/>
    <row r="1781" ht="12.6" customHeight="1" x14ac:dyDescent="0.15"/>
    <row r="1782" ht="12.6" customHeight="1" x14ac:dyDescent="0.15"/>
    <row r="1783" ht="12.6" customHeight="1" x14ac:dyDescent="0.15"/>
    <row r="1784" ht="12.6" customHeight="1" x14ac:dyDescent="0.15"/>
    <row r="1785" ht="12.6" customHeight="1" x14ac:dyDescent="0.15"/>
    <row r="1786" ht="12.6" customHeight="1" x14ac:dyDescent="0.15"/>
    <row r="1787" ht="12.6" customHeight="1" x14ac:dyDescent="0.15"/>
    <row r="1788" ht="12.6" customHeight="1" x14ac:dyDescent="0.15"/>
    <row r="1789" ht="12.6" customHeight="1" x14ac:dyDescent="0.15"/>
    <row r="1790" ht="12.6" customHeight="1" x14ac:dyDescent="0.15"/>
    <row r="1791" ht="12.6" customHeight="1" x14ac:dyDescent="0.15"/>
    <row r="1792" ht="12.6" customHeight="1" x14ac:dyDescent="0.15"/>
    <row r="1793" ht="12.6" customHeight="1" x14ac:dyDescent="0.15"/>
    <row r="1794" ht="12.6" customHeight="1" x14ac:dyDescent="0.15"/>
    <row r="1795" ht="12.6" customHeight="1" x14ac:dyDescent="0.15"/>
    <row r="1796" ht="12.6" customHeight="1" x14ac:dyDescent="0.15"/>
    <row r="1797" ht="12.6" customHeight="1" x14ac:dyDescent="0.15"/>
    <row r="1798" ht="12.6" customHeight="1" x14ac:dyDescent="0.15"/>
    <row r="1799" ht="12.6" customHeight="1" x14ac:dyDescent="0.15"/>
    <row r="1800" ht="12.6" customHeight="1" x14ac:dyDescent="0.15"/>
    <row r="1801" ht="12.6" customHeight="1" x14ac:dyDescent="0.15"/>
    <row r="1802" ht="12.6" customHeight="1" x14ac:dyDescent="0.15"/>
    <row r="1803" ht="12.6" customHeight="1" x14ac:dyDescent="0.15"/>
    <row r="1804" ht="12.6" customHeight="1" x14ac:dyDescent="0.15"/>
    <row r="1805" ht="12.6" customHeight="1" x14ac:dyDescent="0.15"/>
    <row r="1806" ht="12.6" customHeight="1" x14ac:dyDescent="0.15"/>
    <row r="1807" ht="12.6" customHeight="1" x14ac:dyDescent="0.15"/>
    <row r="1808" ht="12.6" customHeight="1" x14ac:dyDescent="0.15"/>
    <row r="1809" ht="12.6" customHeight="1" x14ac:dyDescent="0.15"/>
    <row r="1810" ht="12.6" customHeight="1" x14ac:dyDescent="0.15"/>
    <row r="1811" ht="12.6" customHeight="1" x14ac:dyDescent="0.15"/>
    <row r="1812" ht="12.6" customHeight="1" x14ac:dyDescent="0.15"/>
    <row r="1813" ht="12.6" customHeight="1" x14ac:dyDescent="0.15"/>
    <row r="1814" ht="12.6" customHeight="1" x14ac:dyDescent="0.15"/>
    <row r="1815" ht="12.6" customHeight="1" x14ac:dyDescent="0.15"/>
    <row r="1816" ht="12.6" customHeight="1" x14ac:dyDescent="0.15"/>
    <row r="1817" ht="12.6" customHeight="1" x14ac:dyDescent="0.15"/>
    <row r="1818" ht="12.6" customHeight="1" x14ac:dyDescent="0.15"/>
    <row r="1819" ht="12.6" customHeight="1" x14ac:dyDescent="0.15"/>
    <row r="1820" ht="12.6" customHeight="1" x14ac:dyDescent="0.15"/>
    <row r="1821" ht="12.6" customHeight="1" x14ac:dyDescent="0.15"/>
    <row r="1822" ht="12.6" customHeight="1" x14ac:dyDescent="0.15"/>
    <row r="1823" ht="12.6" customHeight="1" x14ac:dyDescent="0.15"/>
    <row r="1824" ht="12.6" customHeight="1" x14ac:dyDescent="0.15"/>
    <row r="1825" ht="12.6" customHeight="1" x14ac:dyDescent="0.15"/>
    <row r="1826" ht="12.6" customHeight="1" x14ac:dyDescent="0.15"/>
    <row r="1827" ht="12.6" customHeight="1" x14ac:dyDescent="0.15"/>
    <row r="1828" ht="12.6" customHeight="1" x14ac:dyDescent="0.15"/>
    <row r="1829" ht="12.6" customHeight="1" x14ac:dyDescent="0.15"/>
    <row r="1830" ht="12.6" customHeight="1" x14ac:dyDescent="0.15"/>
    <row r="1831" ht="12.6" customHeight="1" x14ac:dyDescent="0.15"/>
    <row r="1832" ht="12.6" customHeight="1" x14ac:dyDescent="0.15"/>
    <row r="1833" ht="12.6" customHeight="1" x14ac:dyDescent="0.15"/>
    <row r="1834" ht="12.6" customHeight="1" x14ac:dyDescent="0.15"/>
    <row r="1835" ht="12.6" customHeight="1" x14ac:dyDescent="0.15"/>
    <row r="1836" ht="12.6" customHeight="1" x14ac:dyDescent="0.15"/>
    <row r="1837" ht="12.6" customHeight="1" x14ac:dyDescent="0.15"/>
    <row r="1838" ht="12.6" customHeight="1" x14ac:dyDescent="0.15"/>
    <row r="1839" ht="12.6" customHeight="1" x14ac:dyDescent="0.15"/>
    <row r="1840" ht="12.6" customHeight="1" x14ac:dyDescent="0.15"/>
    <row r="1841" ht="12.6" customHeight="1" x14ac:dyDescent="0.15"/>
    <row r="1842" ht="12.6" customHeight="1" x14ac:dyDescent="0.15"/>
    <row r="1843" ht="12.6" customHeight="1" x14ac:dyDescent="0.15"/>
    <row r="1844" ht="12.6" customHeight="1" x14ac:dyDescent="0.15"/>
    <row r="1845" ht="12.6" customHeight="1" x14ac:dyDescent="0.15"/>
    <row r="1846" ht="12.6" customHeight="1" x14ac:dyDescent="0.15"/>
    <row r="1847" ht="12.6" customHeight="1" x14ac:dyDescent="0.15"/>
    <row r="1848" ht="12.6" customHeight="1" x14ac:dyDescent="0.15"/>
    <row r="1849" ht="12.6" customHeight="1" x14ac:dyDescent="0.15"/>
    <row r="1850" ht="12.6" customHeight="1" x14ac:dyDescent="0.15"/>
    <row r="1851" ht="12.6" customHeight="1" x14ac:dyDescent="0.15"/>
    <row r="1852" ht="12.6" customHeight="1" x14ac:dyDescent="0.15"/>
    <row r="1853" ht="12.6" customHeight="1" x14ac:dyDescent="0.15"/>
    <row r="1854" ht="12.6" customHeight="1" x14ac:dyDescent="0.15"/>
    <row r="1855" ht="12.6" customHeight="1" x14ac:dyDescent="0.15"/>
    <row r="1856" ht="12.6" customHeight="1" x14ac:dyDescent="0.15"/>
    <row r="1857" ht="12.6" customHeight="1" x14ac:dyDescent="0.15"/>
    <row r="1858" ht="12.6" customHeight="1" x14ac:dyDescent="0.15"/>
    <row r="1859" ht="12.6" customHeight="1" x14ac:dyDescent="0.15"/>
    <row r="1860" ht="12.6" customHeight="1" x14ac:dyDescent="0.15"/>
    <row r="1861" ht="12.6" customHeight="1" x14ac:dyDescent="0.15"/>
    <row r="1862" ht="12.6" customHeight="1" x14ac:dyDescent="0.15"/>
    <row r="1863" ht="12.6" customHeight="1" x14ac:dyDescent="0.15"/>
    <row r="1864" ht="12.6" customHeight="1" x14ac:dyDescent="0.15"/>
    <row r="1865" ht="12.6" customHeight="1" x14ac:dyDescent="0.15"/>
    <row r="1866" ht="12.6" customHeight="1" x14ac:dyDescent="0.15"/>
    <row r="1867" ht="12.6" customHeight="1" x14ac:dyDescent="0.15"/>
    <row r="1868" ht="12.6" customHeight="1" x14ac:dyDescent="0.15"/>
    <row r="1869" ht="12.6" customHeight="1" x14ac:dyDescent="0.15"/>
    <row r="1870" ht="12.6" customHeight="1" x14ac:dyDescent="0.15"/>
    <row r="1871" ht="12.6" customHeight="1" x14ac:dyDescent="0.15"/>
    <row r="1872" ht="12.6" customHeight="1" x14ac:dyDescent="0.15"/>
    <row r="1873" ht="12.6" customHeight="1" x14ac:dyDescent="0.15"/>
    <row r="1874" ht="12.6" customHeight="1" x14ac:dyDescent="0.15"/>
    <row r="1875" ht="12.6" customHeight="1" x14ac:dyDescent="0.15"/>
    <row r="1876" ht="12.6" customHeight="1" x14ac:dyDescent="0.15"/>
    <row r="1877" ht="12.6" customHeight="1" x14ac:dyDescent="0.15"/>
    <row r="1878" ht="12.6" customHeight="1" x14ac:dyDescent="0.15"/>
    <row r="1879" ht="12.6" customHeight="1" x14ac:dyDescent="0.15"/>
    <row r="1880" ht="12.6" customHeight="1" x14ac:dyDescent="0.15"/>
    <row r="1881" ht="12.6" customHeight="1" x14ac:dyDescent="0.15"/>
    <row r="1882" ht="12.6" customHeight="1" x14ac:dyDescent="0.15"/>
    <row r="1883" ht="12.6" customHeight="1" x14ac:dyDescent="0.15"/>
    <row r="1884" ht="12.6" customHeight="1" x14ac:dyDescent="0.15"/>
    <row r="1885" ht="12.6" customHeight="1" x14ac:dyDescent="0.15"/>
    <row r="1886" ht="12.6" customHeight="1" x14ac:dyDescent="0.15"/>
    <row r="1887" ht="12.6" customHeight="1" x14ac:dyDescent="0.15"/>
    <row r="1888" ht="12.6" customHeight="1" x14ac:dyDescent="0.15"/>
    <row r="1889" ht="12.6" customHeight="1" x14ac:dyDescent="0.15"/>
    <row r="1890" ht="12.6" customHeight="1" x14ac:dyDescent="0.15"/>
    <row r="1891" ht="12.6" customHeight="1" x14ac:dyDescent="0.15"/>
    <row r="1892" ht="12.6" customHeight="1" x14ac:dyDescent="0.15"/>
    <row r="1893" ht="12.6" customHeight="1" x14ac:dyDescent="0.15"/>
    <row r="1894" ht="12.6" customHeight="1" x14ac:dyDescent="0.15"/>
    <row r="1895" ht="12.6" customHeight="1" x14ac:dyDescent="0.15"/>
    <row r="1896" ht="12.6" customHeight="1" x14ac:dyDescent="0.15"/>
    <row r="1897" ht="12.6" customHeight="1" x14ac:dyDescent="0.15"/>
    <row r="1898" ht="12.6" customHeight="1" x14ac:dyDescent="0.15"/>
    <row r="1899" ht="12.6" customHeight="1" x14ac:dyDescent="0.15"/>
    <row r="1900" ht="12.6" customHeight="1" x14ac:dyDescent="0.15"/>
    <row r="1901" ht="12.6" customHeight="1" x14ac:dyDescent="0.15"/>
    <row r="1902" ht="12.6" customHeight="1" x14ac:dyDescent="0.15"/>
    <row r="1903" ht="12.6" customHeight="1" x14ac:dyDescent="0.15"/>
    <row r="1904" ht="12.6" customHeight="1" x14ac:dyDescent="0.15"/>
    <row r="1905" ht="12.6" customHeight="1" x14ac:dyDescent="0.15"/>
    <row r="1906" ht="12.6" customHeight="1" x14ac:dyDescent="0.15"/>
    <row r="1907" ht="12.6" customHeight="1" x14ac:dyDescent="0.15"/>
    <row r="1908" ht="12.6" customHeight="1" x14ac:dyDescent="0.15"/>
    <row r="1909" ht="12.6" customHeight="1" x14ac:dyDescent="0.15"/>
    <row r="1910" ht="12.6" customHeight="1" x14ac:dyDescent="0.15"/>
    <row r="1911" ht="12.6" customHeight="1" x14ac:dyDescent="0.15"/>
    <row r="1912" ht="12.6" customHeight="1" x14ac:dyDescent="0.15"/>
    <row r="1913" ht="12.6" customHeight="1" x14ac:dyDescent="0.15"/>
    <row r="1914" ht="12.6" customHeight="1" x14ac:dyDescent="0.15"/>
    <row r="1915" ht="12.6" customHeight="1" x14ac:dyDescent="0.15"/>
    <row r="1916" ht="12.6" customHeight="1" x14ac:dyDescent="0.15"/>
    <row r="1917" ht="12.6" customHeight="1" x14ac:dyDescent="0.15"/>
    <row r="1918" ht="12.6" customHeight="1" x14ac:dyDescent="0.15"/>
    <row r="1919" ht="12.6" customHeight="1" x14ac:dyDescent="0.15"/>
    <row r="1920" ht="12.6" customHeight="1" x14ac:dyDescent="0.15"/>
    <row r="1921" ht="12.6" customHeight="1" x14ac:dyDescent="0.15"/>
    <row r="1922" ht="12.6" customHeight="1" x14ac:dyDescent="0.15"/>
    <row r="1923" ht="12.6" customHeight="1" x14ac:dyDescent="0.15"/>
    <row r="1924" ht="12.6" customHeight="1" x14ac:dyDescent="0.15"/>
    <row r="1925" ht="12.6" customHeight="1" x14ac:dyDescent="0.15"/>
    <row r="1926" ht="12.6" customHeight="1" x14ac:dyDescent="0.15"/>
    <row r="1927" ht="12.6" customHeight="1" x14ac:dyDescent="0.15"/>
    <row r="1928" ht="12.6" customHeight="1" x14ac:dyDescent="0.15"/>
    <row r="1929" ht="12.6" customHeight="1" x14ac:dyDescent="0.15"/>
    <row r="1930" ht="12.6" customHeight="1" x14ac:dyDescent="0.15"/>
    <row r="1931" ht="12.6" customHeight="1" x14ac:dyDescent="0.15"/>
    <row r="1932" ht="12.6" customHeight="1" x14ac:dyDescent="0.15"/>
    <row r="1933" ht="12.6" customHeight="1" x14ac:dyDescent="0.15"/>
    <row r="1934" ht="12.6" customHeight="1" x14ac:dyDescent="0.15"/>
    <row r="1935" ht="12.6" customHeight="1" x14ac:dyDescent="0.15"/>
    <row r="1936" ht="12.6" customHeight="1" x14ac:dyDescent="0.15"/>
    <row r="1937" ht="12.6" customHeight="1" x14ac:dyDescent="0.15"/>
    <row r="1938" ht="12.6" customHeight="1" x14ac:dyDescent="0.15"/>
    <row r="1939" ht="12.6" customHeight="1" x14ac:dyDescent="0.15"/>
    <row r="1940" ht="12.6" customHeight="1" x14ac:dyDescent="0.15"/>
    <row r="1941" ht="12.6" customHeight="1" x14ac:dyDescent="0.15"/>
    <row r="1942" ht="12.6" customHeight="1" x14ac:dyDescent="0.15"/>
    <row r="1943" ht="12.6" customHeight="1" x14ac:dyDescent="0.15"/>
    <row r="1944" ht="12.6" customHeight="1" x14ac:dyDescent="0.15"/>
    <row r="1945" ht="12.6" customHeight="1" x14ac:dyDescent="0.15"/>
    <row r="1946" ht="12.6" customHeight="1" x14ac:dyDescent="0.15"/>
    <row r="1947" ht="12.6" customHeight="1" x14ac:dyDescent="0.15"/>
    <row r="1948" ht="12.6" customHeight="1" x14ac:dyDescent="0.15"/>
    <row r="1949" ht="12.6" customHeight="1" x14ac:dyDescent="0.15"/>
    <row r="1950" ht="12.6" customHeight="1" x14ac:dyDescent="0.15"/>
    <row r="1951" ht="12.6" customHeight="1" x14ac:dyDescent="0.15"/>
    <row r="1952" ht="12.6" customHeight="1" x14ac:dyDescent="0.15"/>
    <row r="1953" ht="12.6" customHeight="1" x14ac:dyDescent="0.15"/>
    <row r="1954" ht="12.6" customHeight="1" x14ac:dyDescent="0.15"/>
    <row r="1955" ht="12.6" customHeight="1" x14ac:dyDescent="0.15"/>
    <row r="1956" ht="12.6" customHeight="1" x14ac:dyDescent="0.15"/>
    <row r="1957" ht="12.6" customHeight="1" x14ac:dyDescent="0.15"/>
    <row r="1958" ht="12.6" customHeight="1" x14ac:dyDescent="0.15"/>
    <row r="1959" ht="12.6" customHeight="1" x14ac:dyDescent="0.15"/>
    <row r="1960" ht="12.6" customHeight="1" x14ac:dyDescent="0.15"/>
    <row r="1961" ht="12.6" customHeight="1" x14ac:dyDescent="0.15"/>
    <row r="1962" ht="12.6" customHeight="1" x14ac:dyDescent="0.15"/>
    <row r="1963" ht="12.6" customHeight="1" x14ac:dyDescent="0.15"/>
    <row r="1964" ht="12.6" customHeight="1" x14ac:dyDescent="0.15"/>
    <row r="1965" ht="12.6" customHeight="1" x14ac:dyDescent="0.15"/>
    <row r="1966" ht="12.6" customHeight="1" x14ac:dyDescent="0.15"/>
    <row r="1967" ht="12.6" customHeight="1" x14ac:dyDescent="0.15"/>
    <row r="1968" ht="12.6" customHeight="1" x14ac:dyDescent="0.15"/>
    <row r="1969" ht="12.6" customHeight="1" x14ac:dyDescent="0.15"/>
    <row r="1970" ht="12.6" customHeight="1" x14ac:dyDescent="0.15"/>
    <row r="1971" ht="12.6" customHeight="1" x14ac:dyDescent="0.15"/>
    <row r="1972" ht="12.6" customHeight="1" x14ac:dyDescent="0.15"/>
    <row r="1973" ht="12.6" customHeight="1" x14ac:dyDescent="0.15"/>
    <row r="1974" ht="12.6" customHeight="1" x14ac:dyDescent="0.15"/>
    <row r="1975" ht="12.6" customHeight="1" x14ac:dyDescent="0.15"/>
    <row r="1976" ht="12.6" customHeight="1" x14ac:dyDescent="0.15"/>
    <row r="1977" ht="12.6" customHeight="1" x14ac:dyDescent="0.15"/>
    <row r="1978" ht="12.6" customHeight="1" x14ac:dyDescent="0.15"/>
    <row r="1979" ht="12.6" customHeight="1" x14ac:dyDescent="0.15"/>
    <row r="1980" ht="12.6" customHeight="1" x14ac:dyDescent="0.15"/>
    <row r="1981" ht="12.6" customHeight="1" x14ac:dyDescent="0.15"/>
    <row r="1982" ht="12.6" customHeight="1" x14ac:dyDescent="0.15"/>
    <row r="1983" ht="12.6" customHeight="1" x14ac:dyDescent="0.15"/>
    <row r="1984" ht="12.6" customHeight="1" x14ac:dyDescent="0.15"/>
    <row r="1985" ht="12.6" customHeight="1" x14ac:dyDescent="0.15"/>
    <row r="1986" ht="12.6" customHeight="1" x14ac:dyDescent="0.15"/>
    <row r="1987" ht="12.6" customHeight="1" x14ac:dyDescent="0.15"/>
    <row r="1988" ht="12.6" customHeight="1" x14ac:dyDescent="0.15"/>
    <row r="1989" ht="12.6" customHeight="1" x14ac:dyDescent="0.15"/>
    <row r="1990" ht="12.6" customHeight="1" x14ac:dyDescent="0.15"/>
    <row r="1991" ht="12.6" customHeight="1" x14ac:dyDescent="0.15"/>
    <row r="1992" ht="12.6" customHeight="1" x14ac:dyDescent="0.15"/>
    <row r="1993" ht="12.6" customHeight="1" x14ac:dyDescent="0.15"/>
    <row r="1994" ht="12.6" customHeight="1" x14ac:dyDescent="0.15"/>
    <row r="1995" ht="12.6" customHeight="1" x14ac:dyDescent="0.15"/>
    <row r="1996" ht="12.6" customHeight="1" x14ac:dyDescent="0.15"/>
    <row r="1997" ht="12.6" customHeight="1" x14ac:dyDescent="0.15"/>
    <row r="1998" ht="12.6" customHeight="1" x14ac:dyDescent="0.15"/>
    <row r="1999" ht="12.6" customHeight="1" x14ac:dyDescent="0.15"/>
    <row r="2000" ht="12.6" customHeight="1" x14ac:dyDescent="0.15"/>
    <row r="2001" ht="12.6" customHeight="1" x14ac:dyDescent="0.15"/>
    <row r="2002" ht="12.6" customHeight="1" x14ac:dyDescent="0.15"/>
    <row r="2003" ht="12.6" customHeight="1" x14ac:dyDescent="0.15"/>
    <row r="2004" ht="12.6" customHeight="1" x14ac:dyDescent="0.15"/>
    <row r="2005" ht="12.6" customHeight="1" x14ac:dyDescent="0.15"/>
    <row r="2006" ht="12.6" customHeight="1" x14ac:dyDescent="0.15"/>
    <row r="2007" ht="12.6" customHeight="1" x14ac:dyDescent="0.15"/>
    <row r="2008" ht="12.6" customHeight="1" x14ac:dyDescent="0.15"/>
    <row r="2009" ht="12.6" customHeight="1" x14ac:dyDescent="0.15"/>
    <row r="2010" ht="12.6" customHeight="1" x14ac:dyDescent="0.15"/>
    <row r="2011" ht="12.6" customHeight="1" x14ac:dyDescent="0.15"/>
    <row r="2012" ht="12.6" customHeight="1" x14ac:dyDescent="0.15"/>
    <row r="2013" ht="12.6" customHeight="1" x14ac:dyDescent="0.15"/>
    <row r="2014" ht="12.6" customHeight="1" x14ac:dyDescent="0.15"/>
    <row r="2015" ht="12.6" customHeight="1" x14ac:dyDescent="0.15"/>
    <row r="2016" ht="12.6" customHeight="1" x14ac:dyDescent="0.15"/>
    <row r="2017" ht="12.6" customHeight="1" x14ac:dyDescent="0.15"/>
    <row r="2018" ht="12.6" customHeight="1" x14ac:dyDescent="0.15"/>
    <row r="2019" ht="12.6" customHeight="1" x14ac:dyDescent="0.15"/>
    <row r="2020" ht="12.6" customHeight="1" x14ac:dyDescent="0.15"/>
    <row r="2021" ht="12.6" customHeight="1" x14ac:dyDescent="0.15"/>
    <row r="2022" ht="12.6" customHeight="1" x14ac:dyDescent="0.15"/>
    <row r="2023" ht="12.6" customHeight="1" x14ac:dyDescent="0.15"/>
    <row r="2024" ht="12.6" customHeight="1" x14ac:dyDescent="0.15"/>
    <row r="2025" ht="12.6" customHeight="1" x14ac:dyDescent="0.15"/>
    <row r="2026" ht="12.6" customHeight="1" x14ac:dyDescent="0.15"/>
    <row r="2027" ht="12.6" customHeight="1" x14ac:dyDescent="0.15"/>
    <row r="2028" ht="12.6" customHeight="1" x14ac:dyDescent="0.15"/>
    <row r="2029" ht="12.6" customHeight="1" x14ac:dyDescent="0.15"/>
    <row r="2030" ht="12.6" customHeight="1" x14ac:dyDescent="0.15"/>
    <row r="2031" ht="12.6" customHeight="1" x14ac:dyDescent="0.15"/>
    <row r="2032" ht="12.6" customHeight="1" x14ac:dyDescent="0.15"/>
    <row r="2033" ht="12.6" customHeight="1" x14ac:dyDescent="0.15"/>
    <row r="2034" ht="12.6" customHeight="1" x14ac:dyDescent="0.15"/>
    <row r="2035" ht="12.6" customHeight="1" x14ac:dyDescent="0.15"/>
    <row r="2036" ht="12.6" customHeight="1" x14ac:dyDescent="0.15"/>
    <row r="2037" ht="12.6" customHeight="1" x14ac:dyDescent="0.15"/>
    <row r="2038" ht="12.6" customHeight="1" x14ac:dyDescent="0.15"/>
    <row r="2039" ht="12.6" customHeight="1" x14ac:dyDescent="0.15"/>
    <row r="2040" ht="12.6" customHeight="1" x14ac:dyDescent="0.15"/>
    <row r="2041" ht="12.6" customHeight="1" x14ac:dyDescent="0.15"/>
    <row r="2042" ht="12.6" customHeight="1" x14ac:dyDescent="0.15"/>
    <row r="2043" ht="12.6" customHeight="1" x14ac:dyDescent="0.15"/>
    <row r="2044" ht="12.6" customHeight="1" x14ac:dyDescent="0.15"/>
    <row r="2045" ht="12.6" customHeight="1" x14ac:dyDescent="0.15"/>
    <row r="2046" ht="12.6" customHeight="1" x14ac:dyDescent="0.15"/>
    <row r="2047" ht="12.6" customHeight="1" x14ac:dyDescent="0.15"/>
    <row r="2048" ht="12.6" customHeight="1" x14ac:dyDescent="0.15"/>
    <row r="2049" ht="12.6" customHeight="1" x14ac:dyDescent="0.15"/>
    <row r="2050" ht="12.6" customHeight="1" x14ac:dyDescent="0.15"/>
    <row r="2051" ht="12.6" customHeight="1" x14ac:dyDescent="0.15"/>
    <row r="2052" ht="12.6" customHeight="1" x14ac:dyDescent="0.15"/>
    <row r="2053" ht="12.6" customHeight="1" x14ac:dyDescent="0.15"/>
    <row r="2054" ht="12.6" customHeight="1" x14ac:dyDescent="0.15"/>
    <row r="2055" ht="12.6" customHeight="1" x14ac:dyDescent="0.15"/>
    <row r="2056" ht="12.6" customHeight="1" x14ac:dyDescent="0.15"/>
    <row r="2057" ht="12.6" customHeight="1" x14ac:dyDescent="0.15"/>
    <row r="2058" ht="12.6" customHeight="1" x14ac:dyDescent="0.15"/>
    <row r="2059" ht="12.6" customHeight="1" x14ac:dyDescent="0.15"/>
    <row r="2060" ht="12.6" customHeight="1" x14ac:dyDescent="0.15"/>
    <row r="2061" ht="12.6" customHeight="1" x14ac:dyDescent="0.15"/>
    <row r="2062" ht="12.6" customHeight="1" x14ac:dyDescent="0.15"/>
    <row r="2063" ht="12.6" customHeight="1" x14ac:dyDescent="0.15"/>
    <row r="2064" ht="12.6" customHeight="1" x14ac:dyDescent="0.15"/>
    <row r="2065" ht="12.6" customHeight="1" x14ac:dyDescent="0.15"/>
    <row r="2066" ht="12.6" customHeight="1" x14ac:dyDescent="0.15"/>
    <row r="2067" ht="12.6" customHeight="1" x14ac:dyDescent="0.15"/>
    <row r="2068" ht="12.6" customHeight="1" x14ac:dyDescent="0.15"/>
    <row r="2069" ht="12.6" customHeight="1" x14ac:dyDescent="0.15"/>
    <row r="2070" ht="12.6" customHeight="1" x14ac:dyDescent="0.15"/>
    <row r="2071" ht="12.6" customHeight="1" x14ac:dyDescent="0.15"/>
    <row r="2072" ht="12.6" customHeight="1" x14ac:dyDescent="0.15"/>
    <row r="2073" ht="12.6" customHeight="1" x14ac:dyDescent="0.15"/>
    <row r="2074" ht="12.6" customHeight="1" x14ac:dyDescent="0.15"/>
    <row r="2075" ht="12.6" customHeight="1" x14ac:dyDescent="0.15"/>
    <row r="2076" ht="12.6" customHeight="1" x14ac:dyDescent="0.15"/>
    <row r="2077" ht="12.6" customHeight="1" x14ac:dyDescent="0.15"/>
    <row r="2078" ht="12.6" customHeight="1" x14ac:dyDescent="0.15"/>
    <row r="2079" ht="12.6" customHeight="1" x14ac:dyDescent="0.15"/>
    <row r="2080" ht="12.6" customHeight="1" x14ac:dyDescent="0.15"/>
    <row r="2081" ht="12.6" customHeight="1" x14ac:dyDescent="0.15"/>
    <row r="2082" ht="12.6" customHeight="1" x14ac:dyDescent="0.15"/>
    <row r="2083" ht="12.6" customHeight="1" x14ac:dyDescent="0.15"/>
    <row r="2084" ht="12.6" customHeight="1" x14ac:dyDescent="0.15"/>
    <row r="2085" ht="12.6" customHeight="1" x14ac:dyDescent="0.15"/>
    <row r="2086" ht="12.6" customHeight="1" x14ac:dyDescent="0.15"/>
    <row r="2087" ht="12.6" customHeight="1" x14ac:dyDescent="0.15"/>
    <row r="2088" ht="12.6" customHeight="1" x14ac:dyDescent="0.15"/>
    <row r="2089" ht="12.6" customHeight="1" x14ac:dyDescent="0.15"/>
    <row r="2090" ht="12.6" customHeight="1" x14ac:dyDescent="0.15"/>
    <row r="2091" ht="12.6" customHeight="1" x14ac:dyDescent="0.15"/>
    <row r="2092" ht="12.6" customHeight="1" x14ac:dyDescent="0.15"/>
    <row r="2093" ht="12.6" customHeight="1" x14ac:dyDescent="0.15"/>
    <row r="2094" ht="12.6" customHeight="1" x14ac:dyDescent="0.15"/>
    <row r="2095" ht="12.6" customHeight="1" x14ac:dyDescent="0.15"/>
    <row r="2096" ht="12.6" customHeight="1" x14ac:dyDescent="0.15"/>
    <row r="2097" ht="12.6" customHeight="1" x14ac:dyDescent="0.15"/>
    <row r="2098" ht="12.6" customHeight="1" x14ac:dyDescent="0.15"/>
    <row r="2099" ht="12.6" customHeight="1" x14ac:dyDescent="0.15"/>
    <row r="2100" ht="12.6" customHeight="1" x14ac:dyDescent="0.15"/>
    <row r="2101" ht="12.6" customHeight="1" x14ac:dyDescent="0.15"/>
    <row r="2102" ht="12.6" customHeight="1" x14ac:dyDescent="0.15"/>
    <row r="2103" ht="12.6" customHeight="1" x14ac:dyDescent="0.15"/>
    <row r="2104" ht="12.6" customHeight="1" x14ac:dyDescent="0.15"/>
    <row r="2105" ht="12.6" customHeight="1" x14ac:dyDescent="0.15"/>
    <row r="2106" ht="12.6" customHeight="1" x14ac:dyDescent="0.15"/>
    <row r="2107" ht="12.6" customHeight="1" x14ac:dyDescent="0.15"/>
    <row r="2108" ht="12.6" customHeight="1" x14ac:dyDescent="0.15"/>
    <row r="2109" ht="12.6" customHeight="1" x14ac:dyDescent="0.15"/>
    <row r="2110" ht="12.6" customHeight="1" x14ac:dyDescent="0.15"/>
    <row r="2111" ht="12.6" customHeight="1" x14ac:dyDescent="0.15"/>
    <row r="2112" ht="12.6" customHeight="1" x14ac:dyDescent="0.15"/>
    <row r="2113" ht="12.6" customHeight="1" x14ac:dyDescent="0.15"/>
    <row r="2114" ht="12.6" customHeight="1" x14ac:dyDescent="0.15"/>
    <row r="2115" ht="12.6" customHeight="1" x14ac:dyDescent="0.15"/>
    <row r="2116" ht="12.6" customHeight="1" x14ac:dyDescent="0.15"/>
    <row r="2117" ht="12.6" customHeight="1" x14ac:dyDescent="0.15"/>
    <row r="2118" ht="12.6" customHeight="1" x14ac:dyDescent="0.15"/>
    <row r="2119" ht="12.6" customHeight="1" x14ac:dyDescent="0.15"/>
    <row r="2120" ht="12.6" customHeight="1" x14ac:dyDescent="0.15"/>
    <row r="2121" ht="12.6" customHeight="1" x14ac:dyDescent="0.15"/>
    <row r="2122" ht="12.6" customHeight="1" x14ac:dyDescent="0.15"/>
    <row r="2123" ht="12.6" customHeight="1" x14ac:dyDescent="0.15"/>
    <row r="2124" ht="12.6" customHeight="1" x14ac:dyDescent="0.15"/>
    <row r="2125" ht="12.6" customHeight="1" x14ac:dyDescent="0.15"/>
    <row r="2126" ht="12.6" customHeight="1" x14ac:dyDescent="0.15"/>
    <row r="2127" ht="12.6" customHeight="1" x14ac:dyDescent="0.15"/>
    <row r="2128" ht="12.6" customHeight="1" x14ac:dyDescent="0.15"/>
    <row r="2129" ht="12.6" customHeight="1" x14ac:dyDescent="0.15"/>
    <row r="2130" ht="12.6" customHeight="1" x14ac:dyDescent="0.15"/>
    <row r="2131" ht="12.6" customHeight="1" x14ac:dyDescent="0.15"/>
    <row r="2132" ht="12.6" customHeight="1" x14ac:dyDescent="0.15"/>
    <row r="2133" ht="12.6" customHeight="1" x14ac:dyDescent="0.15"/>
    <row r="2134" ht="12.6" customHeight="1" x14ac:dyDescent="0.15"/>
    <row r="2135" ht="12.6" customHeight="1" x14ac:dyDescent="0.15"/>
    <row r="2136" ht="12.6" customHeight="1" x14ac:dyDescent="0.15"/>
    <row r="2137" ht="12.6" customHeight="1" x14ac:dyDescent="0.15"/>
    <row r="2138" ht="12.6" customHeight="1" x14ac:dyDescent="0.15"/>
    <row r="2139" ht="12.6" customHeight="1" x14ac:dyDescent="0.15"/>
    <row r="2140" ht="12.6" customHeight="1" x14ac:dyDescent="0.15"/>
    <row r="2141" ht="12.6" customHeight="1" x14ac:dyDescent="0.15"/>
    <row r="2142" ht="12.6" customHeight="1" x14ac:dyDescent="0.15"/>
    <row r="2143" ht="12.6" customHeight="1" x14ac:dyDescent="0.15"/>
    <row r="2144" ht="12.6" customHeight="1" x14ac:dyDescent="0.15"/>
    <row r="2145" ht="12.6" customHeight="1" x14ac:dyDescent="0.15"/>
    <row r="2146" ht="12.6" customHeight="1" x14ac:dyDescent="0.15"/>
    <row r="2147" ht="12.6" customHeight="1" x14ac:dyDescent="0.15"/>
    <row r="2148" ht="12.6" customHeight="1" x14ac:dyDescent="0.15"/>
    <row r="2149" ht="12.6" customHeight="1" x14ac:dyDescent="0.15"/>
    <row r="2150" ht="12.6" customHeight="1" x14ac:dyDescent="0.15"/>
    <row r="2151" ht="12.6" customHeight="1" x14ac:dyDescent="0.15"/>
    <row r="2152" ht="12.6" customHeight="1" x14ac:dyDescent="0.15"/>
    <row r="2153" ht="12.6" customHeight="1" x14ac:dyDescent="0.15"/>
    <row r="2154" ht="12.6" customHeight="1" x14ac:dyDescent="0.15"/>
    <row r="2155" ht="12.6" customHeight="1" x14ac:dyDescent="0.15"/>
    <row r="2156" ht="12.6" customHeight="1" x14ac:dyDescent="0.15"/>
    <row r="2157" ht="12.6" customHeight="1" x14ac:dyDescent="0.15"/>
    <row r="2158" ht="12.6" customHeight="1" x14ac:dyDescent="0.15"/>
    <row r="2159" ht="12.6" customHeight="1" x14ac:dyDescent="0.15"/>
    <row r="2160" ht="12.6" customHeight="1" x14ac:dyDescent="0.15"/>
    <row r="2161" ht="12.6" customHeight="1" x14ac:dyDescent="0.15"/>
    <row r="2162" ht="12.6" customHeight="1" x14ac:dyDescent="0.15"/>
    <row r="2163" ht="12.6" customHeight="1" x14ac:dyDescent="0.15"/>
    <row r="2164" ht="12.6" customHeight="1" x14ac:dyDescent="0.15"/>
    <row r="2165" ht="12.6" customHeight="1" x14ac:dyDescent="0.15"/>
    <row r="2166" ht="12.6" customHeight="1" x14ac:dyDescent="0.15"/>
    <row r="2167" ht="12.6" customHeight="1" x14ac:dyDescent="0.15"/>
    <row r="2168" ht="12.6" customHeight="1" x14ac:dyDescent="0.15"/>
    <row r="2169" ht="12.6" customHeight="1" x14ac:dyDescent="0.15"/>
    <row r="2170" ht="12.6" customHeight="1" x14ac:dyDescent="0.15"/>
    <row r="2171" ht="12.6" customHeight="1" x14ac:dyDescent="0.15"/>
    <row r="2172" ht="12.6" customHeight="1" x14ac:dyDescent="0.15"/>
    <row r="2173" ht="12.6" customHeight="1" x14ac:dyDescent="0.15"/>
    <row r="2174" ht="12.6" customHeight="1" x14ac:dyDescent="0.15"/>
    <row r="2175" ht="12.6" customHeight="1" x14ac:dyDescent="0.15"/>
    <row r="2176" ht="12.6" customHeight="1" x14ac:dyDescent="0.15"/>
    <row r="2177" ht="12.6" customHeight="1" x14ac:dyDescent="0.15"/>
    <row r="2178" ht="12.6" customHeight="1" x14ac:dyDescent="0.15"/>
    <row r="2179" ht="12.6" customHeight="1" x14ac:dyDescent="0.15"/>
    <row r="2180" ht="12.6" customHeight="1" x14ac:dyDescent="0.15"/>
    <row r="2181" ht="12.6" customHeight="1" x14ac:dyDescent="0.15"/>
    <row r="2182" ht="12.6" customHeight="1" x14ac:dyDescent="0.15"/>
    <row r="2183" ht="12.6" customHeight="1" x14ac:dyDescent="0.15"/>
    <row r="2184" ht="12.6" customHeight="1" x14ac:dyDescent="0.15"/>
    <row r="2185" ht="12.6" customHeight="1" x14ac:dyDescent="0.15"/>
    <row r="2186" ht="12.6" customHeight="1" x14ac:dyDescent="0.15"/>
    <row r="2187" ht="12.6" customHeight="1" x14ac:dyDescent="0.15"/>
    <row r="2188" ht="12.6" customHeight="1" x14ac:dyDescent="0.15"/>
    <row r="2189" ht="12.6" customHeight="1" x14ac:dyDescent="0.15"/>
    <row r="2190" ht="12.6" customHeight="1" x14ac:dyDescent="0.15"/>
    <row r="2191" ht="12.6" customHeight="1" x14ac:dyDescent="0.15"/>
    <row r="2192" ht="12.6" customHeight="1" x14ac:dyDescent="0.15"/>
    <row r="2193" ht="12.6" customHeight="1" x14ac:dyDescent="0.15"/>
    <row r="2194" ht="12.6" customHeight="1" x14ac:dyDescent="0.15"/>
    <row r="2195" ht="12.6" customHeight="1" x14ac:dyDescent="0.15"/>
    <row r="2196" ht="12.6" customHeight="1" x14ac:dyDescent="0.15"/>
    <row r="2197" ht="12.6" customHeight="1" x14ac:dyDescent="0.15"/>
    <row r="2198" ht="12.6" customHeight="1" x14ac:dyDescent="0.15"/>
    <row r="2199" ht="12.6" customHeight="1" x14ac:dyDescent="0.15"/>
    <row r="2200" ht="12.6" customHeight="1" x14ac:dyDescent="0.15"/>
    <row r="2201" ht="12.6" customHeight="1" x14ac:dyDescent="0.15"/>
    <row r="2202" ht="12.6" customHeight="1" x14ac:dyDescent="0.15"/>
    <row r="2203" ht="12.6" customHeight="1" x14ac:dyDescent="0.15"/>
    <row r="2204" ht="12.6" customHeight="1" x14ac:dyDescent="0.15"/>
    <row r="2205" ht="12.6" customHeight="1" x14ac:dyDescent="0.15"/>
    <row r="2206" ht="12.6" customHeight="1" x14ac:dyDescent="0.15"/>
    <row r="2207" ht="12.6" customHeight="1" x14ac:dyDescent="0.15"/>
    <row r="2208" ht="12.6" customHeight="1" x14ac:dyDescent="0.15"/>
    <row r="2209" ht="12.6" customHeight="1" x14ac:dyDescent="0.15"/>
    <row r="2210" ht="12.6" customHeight="1" x14ac:dyDescent="0.15"/>
    <row r="2211" ht="12.6" customHeight="1" x14ac:dyDescent="0.15"/>
    <row r="2212" ht="12.6" customHeight="1" x14ac:dyDescent="0.15"/>
    <row r="2213" ht="12.6" customHeight="1" x14ac:dyDescent="0.15"/>
    <row r="2214" ht="12.6" customHeight="1" x14ac:dyDescent="0.15"/>
    <row r="2215" ht="12.6" customHeight="1" x14ac:dyDescent="0.15"/>
    <row r="2216" ht="12.6" customHeight="1" x14ac:dyDescent="0.15"/>
    <row r="2217" ht="12.6" customHeight="1" x14ac:dyDescent="0.15"/>
    <row r="2218" ht="12.6" customHeight="1" x14ac:dyDescent="0.15"/>
    <row r="2219" ht="12.6" customHeight="1" x14ac:dyDescent="0.15"/>
    <row r="2220" ht="12.6" customHeight="1" x14ac:dyDescent="0.15"/>
    <row r="2221" ht="12.6" customHeight="1" x14ac:dyDescent="0.15"/>
    <row r="2222" ht="12.6" customHeight="1" x14ac:dyDescent="0.15"/>
    <row r="2223" ht="12.6" customHeight="1" x14ac:dyDescent="0.15"/>
    <row r="2224" ht="12.6" customHeight="1" x14ac:dyDescent="0.15"/>
    <row r="2225" ht="12.6" customHeight="1" x14ac:dyDescent="0.15"/>
    <row r="2226" ht="12.6" customHeight="1" x14ac:dyDescent="0.15"/>
    <row r="2227" ht="12.6" customHeight="1" x14ac:dyDescent="0.15"/>
    <row r="2228" ht="12.6" customHeight="1" x14ac:dyDescent="0.15"/>
    <row r="2229" ht="12.6" customHeight="1" x14ac:dyDescent="0.15"/>
    <row r="2230" ht="12.6" customHeight="1" x14ac:dyDescent="0.15"/>
    <row r="2231" ht="12.6" customHeight="1" x14ac:dyDescent="0.15"/>
    <row r="2232" ht="12.6" customHeight="1" x14ac:dyDescent="0.15"/>
    <row r="2233" ht="12.6" customHeight="1" x14ac:dyDescent="0.15"/>
    <row r="2234" ht="12.6" customHeight="1" x14ac:dyDescent="0.15"/>
    <row r="2235" ht="12.6" customHeight="1" x14ac:dyDescent="0.15"/>
    <row r="2236" ht="12.6" customHeight="1" x14ac:dyDescent="0.15"/>
    <row r="2237" ht="12.6" customHeight="1" x14ac:dyDescent="0.15"/>
    <row r="2238" ht="12.6" customHeight="1" x14ac:dyDescent="0.15"/>
    <row r="2239" ht="12.6" customHeight="1" x14ac:dyDescent="0.15"/>
    <row r="2240" ht="12.6" customHeight="1" x14ac:dyDescent="0.15"/>
    <row r="2241" ht="12.6" customHeight="1" x14ac:dyDescent="0.15"/>
    <row r="2242" ht="12.6" customHeight="1" x14ac:dyDescent="0.15"/>
    <row r="2243" ht="12.6" customHeight="1" x14ac:dyDescent="0.15"/>
    <row r="2244" ht="12.6" customHeight="1" x14ac:dyDescent="0.15"/>
    <row r="2245" ht="12.6" customHeight="1" x14ac:dyDescent="0.15"/>
    <row r="2246" ht="12.6" customHeight="1" x14ac:dyDescent="0.15"/>
    <row r="2247" ht="12.6" customHeight="1" x14ac:dyDescent="0.15"/>
    <row r="2248" ht="12.6" customHeight="1" x14ac:dyDescent="0.15"/>
    <row r="2249" ht="12.6" customHeight="1" x14ac:dyDescent="0.15"/>
    <row r="2250" ht="12.6" customHeight="1" x14ac:dyDescent="0.15"/>
    <row r="2251" ht="12.6" customHeight="1" x14ac:dyDescent="0.15"/>
    <row r="2252" ht="12.6" customHeight="1" x14ac:dyDescent="0.15"/>
    <row r="2253" ht="12.6" customHeight="1" x14ac:dyDescent="0.15"/>
    <row r="2254" ht="12.6" customHeight="1" x14ac:dyDescent="0.15"/>
    <row r="2255" ht="12.6" customHeight="1" x14ac:dyDescent="0.15"/>
    <row r="2256" ht="12.6" customHeight="1" x14ac:dyDescent="0.15"/>
    <row r="2257" ht="12.6" customHeight="1" x14ac:dyDescent="0.15"/>
    <row r="2258" ht="12.6" customHeight="1" x14ac:dyDescent="0.15"/>
    <row r="2259" ht="12.6" customHeight="1" x14ac:dyDescent="0.15"/>
    <row r="2260" ht="12.6" customHeight="1" x14ac:dyDescent="0.15"/>
    <row r="2261" ht="12.6" customHeight="1" x14ac:dyDescent="0.15"/>
    <row r="2262" ht="12.6" customHeight="1" x14ac:dyDescent="0.15"/>
    <row r="2263" ht="12.6" customHeight="1" x14ac:dyDescent="0.15"/>
    <row r="2264" ht="12.6" customHeight="1" x14ac:dyDescent="0.15"/>
    <row r="2265" ht="12.6" customHeight="1" x14ac:dyDescent="0.15"/>
    <row r="2266" ht="12.6" customHeight="1" x14ac:dyDescent="0.15"/>
    <row r="2267" ht="12.6" customHeight="1" x14ac:dyDescent="0.15"/>
    <row r="2268" ht="12.6" customHeight="1" x14ac:dyDescent="0.15"/>
    <row r="2269" ht="12.6" customHeight="1" x14ac:dyDescent="0.15"/>
    <row r="2270" ht="12.6" customHeight="1" x14ac:dyDescent="0.15"/>
    <row r="2271" ht="12.6" customHeight="1" x14ac:dyDescent="0.15"/>
    <row r="2272" ht="12.6" customHeight="1" x14ac:dyDescent="0.15"/>
    <row r="2273" ht="12.6" customHeight="1" x14ac:dyDescent="0.15"/>
    <row r="2274" ht="12.6" customHeight="1" x14ac:dyDescent="0.15"/>
    <row r="2275" ht="12.6" customHeight="1" x14ac:dyDescent="0.15"/>
    <row r="2276" ht="12.6" customHeight="1" x14ac:dyDescent="0.15"/>
    <row r="2277" ht="12.6" customHeight="1" x14ac:dyDescent="0.15"/>
    <row r="2278" ht="12.6" customHeight="1" x14ac:dyDescent="0.15"/>
    <row r="2279" ht="12.6" customHeight="1" x14ac:dyDescent="0.15"/>
    <row r="2280" ht="12.6" customHeight="1" x14ac:dyDescent="0.15"/>
    <row r="2281" ht="12.6" customHeight="1" x14ac:dyDescent="0.15"/>
    <row r="2282" ht="12.6" customHeight="1" x14ac:dyDescent="0.15"/>
    <row r="2283" ht="12.6" customHeight="1" x14ac:dyDescent="0.15"/>
    <row r="2284" ht="12.6" customHeight="1" x14ac:dyDescent="0.15"/>
    <row r="2285" ht="12.6" customHeight="1" x14ac:dyDescent="0.15"/>
    <row r="2286" ht="12.6" customHeight="1" x14ac:dyDescent="0.15"/>
    <row r="2287" ht="12.6" customHeight="1" x14ac:dyDescent="0.15"/>
    <row r="2288" ht="12.6" customHeight="1" x14ac:dyDescent="0.15"/>
    <row r="2289" ht="12.6" customHeight="1" x14ac:dyDescent="0.15"/>
    <row r="2290" ht="12.6" customHeight="1" x14ac:dyDescent="0.15"/>
    <row r="2291" ht="12.6" customHeight="1" x14ac:dyDescent="0.15"/>
    <row r="2292" ht="12.6" customHeight="1" x14ac:dyDescent="0.15"/>
    <row r="2293" ht="12.6" customHeight="1" x14ac:dyDescent="0.15"/>
    <row r="2294" ht="12.6" customHeight="1" x14ac:dyDescent="0.15"/>
    <row r="2295" ht="12.6" customHeight="1" x14ac:dyDescent="0.15"/>
    <row r="2296" ht="12.6" customHeight="1" x14ac:dyDescent="0.15"/>
    <row r="2297" ht="12.6" customHeight="1" x14ac:dyDescent="0.15"/>
    <row r="2298" ht="12.6" customHeight="1" x14ac:dyDescent="0.15"/>
    <row r="2299" ht="12.6" customHeight="1" x14ac:dyDescent="0.15"/>
    <row r="2300" ht="12.6" customHeight="1" x14ac:dyDescent="0.15"/>
    <row r="2301" ht="12.6" customHeight="1" x14ac:dyDescent="0.15"/>
    <row r="2302" ht="12.6" customHeight="1" x14ac:dyDescent="0.15"/>
    <row r="2303" ht="12.6" customHeight="1" x14ac:dyDescent="0.15"/>
    <row r="2304" ht="12.6" customHeight="1" x14ac:dyDescent="0.15"/>
    <row r="2305" ht="12.6" customHeight="1" x14ac:dyDescent="0.15"/>
    <row r="2306" ht="12.6" customHeight="1" x14ac:dyDescent="0.15"/>
    <row r="2307" ht="12.6" customHeight="1" x14ac:dyDescent="0.15"/>
    <row r="2308" ht="12.6" customHeight="1" x14ac:dyDescent="0.15"/>
    <row r="2309" ht="12.6" customHeight="1" x14ac:dyDescent="0.15"/>
    <row r="2310" ht="12.6" customHeight="1" x14ac:dyDescent="0.15"/>
    <row r="2311" ht="12.6" customHeight="1" x14ac:dyDescent="0.15"/>
    <row r="2312" ht="12.6" customHeight="1" x14ac:dyDescent="0.15"/>
    <row r="2313" ht="12.6" customHeight="1" x14ac:dyDescent="0.15"/>
    <row r="2314" ht="12.6" customHeight="1" x14ac:dyDescent="0.15"/>
    <row r="2315" ht="12.6" customHeight="1" x14ac:dyDescent="0.15"/>
    <row r="2316" ht="12.6" customHeight="1" x14ac:dyDescent="0.15"/>
    <row r="2317" ht="12.6" customHeight="1" x14ac:dyDescent="0.15"/>
    <row r="2318" ht="12.6" customHeight="1" x14ac:dyDescent="0.15"/>
    <row r="2319" ht="12.6" customHeight="1" x14ac:dyDescent="0.15"/>
    <row r="2320" ht="12.6" customHeight="1" x14ac:dyDescent="0.15"/>
    <row r="2321" ht="12.6" customHeight="1" x14ac:dyDescent="0.15"/>
    <row r="2322" ht="12.6" customHeight="1" x14ac:dyDescent="0.15"/>
    <row r="2323" ht="12.6" customHeight="1" x14ac:dyDescent="0.15"/>
    <row r="2324" ht="12.6" customHeight="1" x14ac:dyDescent="0.15"/>
    <row r="2325" ht="12.6" customHeight="1" x14ac:dyDescent="0.15"/>
    <row r="2326" ht="12.6" customHeight="1" x14ac:dyDescent="0.15"/>
    <row r="2327" ht="12.6" customHeight="1" x14ac:dyDescent="0.15"/>
    <row r="2328" ht="12.6" customHeight="1" x14ac:dyDescent="0.15"/>
    <row r="2329" ht="12.6" customHeight="1" x14ac:dyDescent="0.15"/>
    <row r="2330" ht="12.6" customHeight="1" x14ac:dyDescent="0.15"/>
    <row r="2331" ht="12.6" customHeight="1" x14ac:dyDescent="0.15"/>
    <row r="2332" ht="12.6" customHeight="1" x14ac:dyDescent="0.15"/>
    <row r="2333" ht="12.6" customHeight="1" x14ac:dyDescent="0.15"/>
    <row r="2334" ht="12.6" customHeight="1" x14ac:dyDescent="0.15"/>
    <row r="2335" ht="12.6" customHeight="1" x14ac:dyDescent="0.15"/>
    <row r="2336" ht="12.6" customHeight="1" x14ac:dyDescent="0.15"/>
    <row r="2337" ht="12.6" customHeight="1" x14ac:dyDescent="0.15"/>
    <row r="2338" ht="12.6" customHeight="1" x14ac:dyDescent="0.15"/>
    <row r="2339" ht="12.6" customHeight="1" x14ac:dyDescent="0.15"/>
    <row r="2340" ht="12.6" customHeight="1" x14ac:dyDescent="0.15"/>
    <row r="2341" ht="12.6" customHeight="1" x14ac:dyDescent="0.15"/>
    <row r="2342" ht="12.6" customHeight="1" x14ac:dyDescent="0.15"/>
    <row r="2343" ht="12.6" customHeight="1" x14ac:dyDescent="0.15"/>
    <row r="2344" ht="12.6" customHeight="1" x14ac:dyDescent="0.15"/>
    <row r="2345" ht="12.6" customHeight="1" x14ac:dyDescent="0.15"/>
    <row r="2346" ht="12.6" customHeight="1" x14ac:dyDescent="0.15"/>
    <row r="2347" ht="12.6" customHeight="1" x14ac:dyDescent="0.15"/>
    <row r="2348" ht="12.6" customHeight="1" x14ac:dyDescent="0.15"/>
    <row r="2349" ht="12.6" customHeight="1" x14ac:dyDescent="0.15"/>
    <row r="2350" ht="12.6" customHeight="1" x14ac:dyDescent="0.15"/>
    <row r="2351" ht="12.6" customHeight="1" x14ac:dyDescent="0.15"/>
    <row r="2352" ht="12.6" customHeight="1" x14ac:dyDescent="0.15"/>
    <row r="2353" ht="12.6" customHeight="1" x14ac:dyDescent="0.15"/>
    <row r="2354" ht="12.6" customHeight="1" x14ac:dyDescent="0.15"/>
    <row r="2355" ht="12.6" customHeight="1" x14ac:dyDescent="0.15"/>
    <row r="2356" ht="12.6" customHeight="1" x14ac:dyDescent="0.15"/>
    <row r="2357" ht="12.6" customHeight="1" x14ac:dyDescent="0.15"/>
    <row r="2358" ht="12.6" customHeight="1" x14ac:dyDescent="0.15"/>
    <row r="2359" ht="12.6" customHeight="1" x14ac:dyDescent="0.15"/>
    <row r="2360" ht="12.6" customHeight="1" x14ac:dyDescent="0.15"/>
    <row r="2361" ht="12.6" customHeight="1" x14ac:dyDescent="0.15"/>
    <row r="2362" ht="12.6" customHeight="1" x14ac:dyDescent="0.15"/>
    <row r="2363" ht="12.6" customHeight="1" x14ac:dyDescent="0.15"/>
    <row r="2364" ht="12.6" customHeight="1" x14ac:dyDescent="0.15"/>
    <row r="2365" ht="12.6" customHeight="1" x14ac:dyDescent="0.15"/>
    <row r="2366" ht="12.6" customHeight="1" x14ac:dyDescent="0.15"/>
    <row r="2367" ht="12.6" customHeight="1" x14ac:dyDescent="0.15"/>
    <row r="2368" ht="12.6" customHeight="1" x14ac:dyDescent="0.15"/>
    <row r="2369" ht="12.6" customHeight="1" x14ac:dyDescent="0.15"/>
    <row r="2370" ht="12.6" customHeight="1" x14ac:dyDescent="0.15"/>
    <row r="2371" ht="12.6" customHeight="1" x14ac:dyDescent="0.15"/>
    <row r="2372" ht="12.6" customHeight="1" x14ac:dyDescent="0.15"/>
    <row r="2373" ht="12.6" customHeight="1" x14ac:dyDescent="0.15"/>
    <row r="2374" ht="12.6" customHeight="1" x14ac:dyDescent="0.15"/>
    <row r="2375" ht="12.6" customHeight="1" x14ac:dyDescent="0.15"/>
    <row r="2376" ht="12.6" customHeight="1" x14ac:dyDescent="0.15"/>
    <row r="2377" ht="12.6" customHeight="1" x14ac:dyDescent="0.15"/>
    <row r="2378" ht="12.6" customHeight="1" x14ac:dyDescent="0.15"/>
    <row r="2379" ht="12.6" customHeight="1" x14ac:dyDescent="0.15"/>
    <row r="2380" ht="12.6" customHeight="1" x14ac:dyDescent="0.15"/>
    <row r="2381" ht="12.6" customHeight="1" x14ac:dyDescent="0.15"/>
    <row r="2382" ht="12.6" customHeight="1" x14ac:dyDescent="0.15"/>
    <row r="2383" ht="12.6" customHeight="1" x14ac:dyDescent="0.15"/>
    <row r="2384" ht="12.6" customHeight="1" x14ac:dyDescent="0.15"/>
    <row r="2385" ht="12.6" customHeight="1" x14ac:dyDescent="0.15"/>
    <row r="2386" ht="12.6" customHeight="1" x14ac:dyDescent="0.15"/>
    <row r="2387" ht="12.6" customHeight="1" x14ac:dyDescent="0.15"/>
    <row r="2388" ht="12.6" customHeight="1" x14ac:dyDescent="0.15"/>
    <row r="2389" ht="12.6" customHeight="1" x14ac:dyDescent="0.15"/>
    <row r="2390" ht="12.6" customHeight="1" x14ac:dyDescent="0.15"/>
    <row r="2391" ht="12.6" customHeight="1" x14ac:dyDescent="0.15"/>
    <row r="2392" ht="12.6" customHeight="1" x14ac:dyDescent="0.15"/>
    <row r="2393" ht="12.6" customHeight="1" x14ac:dyDescent="0.15"/>
    <row r="2394" ht="12.6" customHeight="1" x14ac:dyDescent="0.15"/>
    <row r="2395" ht="12.6" customHeight="1" x14ac:dyDescent="0.15"/>
    <row r="2396" ht="12.6" customHeight="1" x14ac:dyDescent="0.15"/>
    <row r="2397" ht="12.6" customHeight="1" x14ac:dyDescent="0.15"/>
    <row r="2398" ht="12.6" customHeight="1" x14ac:dyDescent="0.15"/>
    <row r="2399" ht="12.6" customHeight="1" x14ac:dyDescent="0.15"/>
    <row r="2400" ht="12.6" customHeight="1" x14ac:dyDescent="0.15"/>
    <row r="2401" ht="12.6" customHeight="1" x14ac:dyDescent="0.15"/>
    <row r="2402" ht="12.6" customHeight="1" x14ac:dyDescent="0.15"/>
    <row r="2403" ht="12.6" customHeight="1" x14ac:dyDescent="0.15"/>
    <row r="2404" ht="12.6" customHeight="1" x14ac:dyDescent="0.15"/>
    <row r="2405" ht="12.6" customHeight="1" x14ac:dyDescent="0.15"/>
    <row r="2406" ht="12.6" customHeight="1" x14ac:dyDescent="0.15"/>
    <row r="2407" ht="12.6" customHeight="1" x14ac:dyDescent="0.15"/>
    <row r="2408" ht="12.6" customHeight="1" x14ac:dyDescent="0.15"/>
    <row r="2409" ht="12.6" customHeight="1" x14ac:dyDescent="0.15"/>
    <row r="2410" ht="12.6" customHeight="1" x14ac:dyDescent="0.15"/>
    <row r="2411" ht="12.6" customHeight="1" x14ac:dyDescent="0.15"/>
    <row r="2412" ht="12.6" customHeight="1" x14ac:dyDescent="0.15"/>
    <row r="2413" ht="12.6" customHeight="1" x14ac:dyDescent="0.15"/>
    <row r="2414" ht="12.6" customHeight="1" x14ac:dyDescent="0.15"/>
    <row r="2415" ht="12.6" customHeight="1" x14ac:dyDescent="0.15"/>
    <row r="2416" ht="12.6" customHeight="1" x14ac:dyDescent="0.15"/>
    <row r="2417" ht="12.6" customHeight="1" x14ac:dyDescent="0.15"/>
    <row r="2418" ht="12.6" customHeight="1" x14ac:dyDescent="0.15"/>
    <row r="2419" ht="12.6" customHeight="1" x14ac:dyDescent="0.15"/>
    <row r="2420" ht="12.6" customHeight="1" x14ac:dyDescent="0.15"/>
    <row r="2421" ht="12.6" customHeight="1" x14ac:dyDescent="0.15"/>
    <row r="2422" ht="12.6" customHeight="1" x14ac:dyDescent="0.15"/>
    <row r="2423" ht="12.6" customHeight="1" x14ac:dyDescent="0.15"/>
    <row r="2424" ht="12.6" customHeight="1" x14ac:dyDescent="0.15"/>
    <row r="2425" ht="12.6" customHeight="1" x14ac:dyDescent="0.15"/>
    <row r="2426" ht="12.6" customHeight="1" x14ac:dyDescent="0.15"/>
    <row r="2427" ht="12.6" customHeight="1" x14ac:dyDescent="0.15"/>
    <row r="2428" ht="12.6" customHeight="1" x14ac:dyDescent="0.15"/>
    <row r="2429" ht="12.6" customHeight="1" x14ac:dyDescent="0.15"/>
    <row r="2430" ht="12.6" customHeight="1" x14ac:dyDescent="0.15"/>
    <row r="2431" ht="12.6" customHeight="1" x14ac:dyDescent="0.15"/>
    <row r="2432" ht="12.6" customHeight="1" x14ac:dyDescent="0.15"/>
    <row r="2433" ht="12.6" customHeight="1" x14ac:dyDescent="0.15"/>
    <row r="2434" ht="12.6" customHeight="1" x14ac:dyDescent="0.15"/>
    <row r="2435" ht="12.6" customHeight="1" x14ac:dyDescent="0.15"/>
    <row r="2436" ht="12.6" customHeight="1" x14ac:dyDescent="0.15"/>
    <row r="2437" ht="12.6" customHeight="1" x14ac:dyDescent="0.15"/>
    <row r="2438" ht="12.6" customHeight="1" x14ac:dyDescent="0.15"/>
    <row r="2439" ht="12.6" customHeight="1" x14ac:dyDescent="0.15"/>
    <row r="2440" ht="12.6" customHeight="1" x14ac:dyDescent="0.15"/>
    <row r="2441" ht="12.6" customHeight="1" x14ac:dyDescent="0.15"/>
    <row r="2442" ht="12.6" customHeight="1" x14ac:dyDescent="0.15"/>
    <row r="2443" ht="12.6" customHeight="1" x14ac:dyDescent="0.15"/>
    <row r="2444" ht="12.6" customHeight="1" x14ac:dyDescent="0.15"/>
    <row r="2445" ht="12.6" customHeight="1" x14ac:dyDescent="0.15"/>
    <row r="2446" ht="12.6" customHeight="1" x14ac:dyDescent="0.15"/>
    <row r="2447" ht="12.6" customHeight="1" x14ac:dyDescent="0.15"/>
    <row r="2448" ht="12.6" customHeight="1" x14ac:dyDescent="0.15"/>
    <row r="2449" ht="12.6" customHeight="1" x14ac:dyDescent="0.15"/>
    <row r="2450" ht="12.6" customHeight="1" x14ac:dyDescent="0.15"/>
    <row r="2451" ht="12.6" customHeight="1" x14ac:dyDescent="0.15"/>
    <row r="2452" ht="12.6" customHeight="1" x14ac:dyDescent="0.15"/>
    <row r="2453" ht="12.6" customHeight="1" x14ac:dyDescent="0.15"/>
    <row r="2454" ht="12.6" customHeight="1" x14ac:dyDescent="0.15"/>
    <row r="2455" ht="12.6" customHeight="1" x14ac:dyDescent="0.15"/>
    <row r="2456" ht="12.6" customHeight="1" x14ac:dyDescent="0.15"/>
    <row r="2457" ht="12.6" customHeight="1" x14ac:dyDescent="0.15"/>
    <row r="2458" ht="12.6" customHeight="1" x14ac:dyDescent="0.15"/>
    <row r="2459" ht="12.6" customHeight="1" x14ac:dyDescent="0.15"/>
    <row r="2460" ht="12.6" customHeight="1" x14ac:dyDescent="0.15"/>
    <row r="2461" ht="12.6" customHeight="1" x14ac:dyDescent="0.15"/>
    <row r="2462" ht="12.6" customHeight="1" x14ac:dyDescent="0.15"/>
    <row r="2463" ht="12.6" customHeight="1" x14ac:dyDescent="0.15"/>
    <row r="2464" ht="12.6" customHeight="1" x14ac:dyDescent="0.15"/>
    <row r="2465" ht="12.6" customHeight="1" x14ac:dyDescent="0.15"/>
    <row r="2466" ht="12.6" customHeight="1" x14ac:dyDescent="0.15"/>
    <row r="2467" ht="12.6" customHeight="1" x14ac:dyDescent="0.15"/>
    <row r="2468" ht="12.6" customHeight="1" x14ac:dyDescent="0.15"/>
    <row r="2469" ht="12.6" customHeight="1" x14ac:dyDescent="0.15"/>
    <row r="2470" ht="12.6" customHeight="1" x14ac:dyDescent="0.15"/>
    <row r="2471" ht="12.6" customHeight="1" x14ac:dyDescent="0.15"/>
    <row r="2472" ht="12.6" customHeight="1" x14ac:dyDescent="0.15"/>
    <row r="2473" ht="12.6" customHeight="1" x14ac:dyDescent="0.15"/>
    <row r="2474" ht="12.6" customHeight="1" x14ac:dyDescent="0.15"/>
    <row r="2475" ht="12.6" customHeight="1" x14ac:dyDescent="0.15"/>
    <row r="2476" ht="12.6" customHeight="1" x14ac:dyDescent="0.15"/>
    <row r="2477" ht="12.6" customHeight="1" x14ac:dyDescent="0.15"/>
    <row r="2478" ht="12.6" customHeight="1" x14ac:dyDescent="0.15"/>
    <row r="2479" ht="12.6" customHeight="1" x14ac:dyDescent="0.15"/>
    <row r="2480" ht="12.6" customHeight="1" x14ac:dyDescent="0.15"/>
    <row r="2481" ht="12.6" customHeight="1" x14ac:dyDescent="0.15"/>
    <row r="2482" ht="12.6" customHeight="1" x14ac:dyDescent="0.15"/>
    <row r="2483" ht="12.6" customHeight="1" x14ac:dyDescent="0.15"/>
    <row r="2484" ht="12.6" customHeight="1" x14ac:dyDescent="0.15"/>
    <row r="2485" ht="12.6" customHeight="1" x14ac:dyDescent="0.15"/>
    <row r="2486" ht="12.6" customHeight="1" x14ac:dyDescent="0.15"/>
    <row r="2487" ht="12.6" customHeight="1" x14ac:dyDescent="0.15"/>
    <row r="2488" ht="12.6" customHeight="1" x14ac:dyDescent="0.15"/>
    <row r="2489" ht="12.6" customHeight="1" x14ac:dyDescent="0.15"/>
    <row r="2490" ht="12.6" customHeight="1" x14ac:dyDescent="0.15"/>
    <row r="2491" ht="12.6" customHeight="1" x14ac:dyDescent="0.15"/>
    <row r="2492" ht="12.6" customHeight="1" x14ac:dyDescent="0.15"/>
    <row r="2493" ht="12.6" customHeight="1" x14ac:dyDescent="0.15"/>
    <row r="2494" ht="12.6" customHeight="1" x14ac:dyDescent="0.15"/>
    <row r="2495" ht="12.6" customHeight="1" x14ac:dyDescent="0.15"/>
    <row r="2496" ht="12.6" customHeight="1" x14ac:dyDescent="0.15"/>
    <row r="2497" ht="12.6" customHeight="1" x14ac:dyDescent="0.15"/>
    <row r="2498" ht="12.6" customHeight="1" x14ac:dyDescent="0.15"/>
    <row r="2499" ht="12.6" customHeight="1" x14ac:dyDescent="0.15"/>
    <row r="2500" ht="12.6" customHeight="1" x14ac:dyDescent="0.15"/>
    <row r="2501" ht="12.6" customHeight="1" x14ac:dyDescent="0.15"/>
    <row r="2502" ht="12.6" customHeight="1" x14ac:dyDescent="0.15"/>
    <row r="2503" ht="12.6" customHeight="1" x14ac:dyDescent="0.15"/>
    <row r="2504" ht="12.6" customHeight="1" x14ac:dyDescent="0.15"/>
    <row r="2505" ht="12.6" customHeight="1" x14ac:dyDescent="0.15"/>
    <row r="2506" ht="12.6" customHeight="1" x14ac:dyDescent="0.15"/>
    <row r="2507" ht="12.6" customHeight="1" x14ac:dyDescent="0.15"/>
    <row r="2508" ht="12.6" customHeight="1" x14ac:dyDescent="0.15"/>
    <row r="2509" ht="12.6" customHeight="1" x14ac:dyDescent="0.15"/>
    <row r="2510" ht="12.6" customHeight="1" x14ac:dyDescent="0.15"/>
    <row r="2511" ht="12.6" customHeight="1" x14ac:dyDescent="0.15"/>
    <row r="2512" ht="12.6" customHeight="1" x14ac:dyDescent="0.15"/>
    <row r="2513" ht="12.6" customHeight="1" x14ac:dyDescent="0.15"/>
    <row r="2514" ht="12.6" customHeight="1" x14ac:dyDescent="0.15"/>
    <row r="2515" ht="12.6" customHeight="1" x14ac:dyDescent="0.15"/>
    <row r="2516" ht="12.6" customHeight="1" x14ac:dyDescent="0.15"/>
    <row r="2517" ht="12.6" customHeight="1" x14ac:dyDescent="0.15"/>
    <row r="2518" ht="12.6" customHeight="1" x14ac:dyDescent="0.15"/>
    <row r="2519" ht="12.6" customHeight="1" x14ac:dyDescent="0.15"/>
    <row r="2520" ht="12.6" customHeight="1" x14ac:dyDescent="0.15"/>
    <row r="2521" ht="12.6" customHeight="1" x14ac:dyDescent="0.15"/>
    <row r="2522" ht="12.6" customHeight="1" x14ac:dyDescent="0.15"/>
    <row r="2523" ht="12.6" customHeight="1" x14ac:dyDescent="0.15"/>
    <row r="2524" ht="12.6" customHeight="1" x14ac:dyDescent="0.15"/>
    <row r="2525" ht="12.6" customHeight="1" x14ac:dyDescent="0.15"/>
    <row r="2526" ht="12.6" customHeight="1" x14ac:dyDescent="0.15"/>
    <row r="2527" ht="12.6" customHeight="1" x14ac:dyDescent="0.15"/>
    <row r="2528" ht="12.6" customHeight="1" x14ac:dyDescent="0.15"/>
    <row r="2529" ht="12.6" customHeight="1" x14ac:dyDescent="0.15"/>
    <row r="2530" ht="12.6" customHeight="1" x14ac:dyDescent="0.15"/>
    <row r="2531" ht="12.6" customHeight="1" x14ac:dyDescent="0.15"/>
    <row r="2532" ht="12.6" customHeight="1" x14ac:dyDescent="0.15"/>
    <row r="2533" ht="12.6" customHeight="1" x14ac:dyDescent="0.15"/>
    <row r="2534" ht="12.6" customHeight="1" x14ac:dyDescent="0.15"/>
    <row r="2535" ht="12.6" customHeight="1" x14ac:dyDescent="0.15"/>
    <row r="2536" ht="12.6" customHeight="1" x14ac:dyDescent="0.15"/>
    <row r="2537" ht="12.6" customHeight="1" x14ac:dyDescent="0.15"/>
    <row r="2538" ht="12.6" customHeight="1" x14ac:dyDescent="0.15"/>
    <row r="2539" ht="12.6" customHeight="1" x14ac:dyDescent="0.15"/>
    <row r="2540" ht="12.6" customHeight="1" x14ac:dyDescent="0.15"/>
    <row r="2541" ht="12.6" customHeight="1" x14ac:dyDescent="0.15"/>
    <row r="2542" ht="12.6" customHeight="1" x14ac:dyDescent="0.15"/>
    <row r="2543" ht="12.6" customHeight="1" x14ac:dyDescent="0.15"/>
    <row r="2544" ht="12.6" customHeight="1" x14ac:dyDescent="0.15"/>
    <row r="2545" ht="12.6" customHeight="1" x14ac:dyDescent="0.15"/>
    <row r="2546" ht="12.6" customHeight="1" x14ac:dyDescent="0.15"/>
    <row r="2547" ht="12.6" customHeight="1" x14ac:dyDescent="0.15"/>
    <row r="2548" ht="12.6" customHeight="1" x14ac:dyDescent="0.15"/>
    <row r="2549" ht="12.6" customHeight="1" x14ac:dyDescent="0.15"/>
    <row r="2550" ht="12.6" customHeight="1" x14ac:dyDescent="0.15"/>
    <row r="2551" ht="12.6" customHeight="1" x14ac:dyDescent="0.15"/>
    <row r="2552" ht="12.6" customHeight="1" x14ac:dyDescent="0.15"/>
    <row r="2553" ht="12.6" customHeight="1" x14ac:dyDescent="0.15"/>
    <row r="2554" ht="12.6" customHeight="1" x14ac:dyDescent="0.15"/>
    <row r="2555" ht="12.6" customHeight="1" x14ac:dyDescent="0.15"/>
    <row r="2556" ht="12.6" customHeight="1" x14ac:dyDescent="0.15"/>
    <row r="2557" ht="12.6" customHeight="1" x14ac:dyDescent="0.15"/>
    <row r="2558" ht="12.6" customHeight="1" x14ac:dyDescent="0.15"/>
    <row r="2559" ht="12.6" customHeight="1" x14ac:dyDescent="0.15"/>
    <row r="2560" ht="12.6" customHeight="1" x14ac:dyDescent="0.15"/>
    <row r="2561" ht="12.6" customHeight="1" x14ac:dyDescent="0.15"/>
    <row r="2562" ht="12.6" customHeight="1" x14ac:dyDescent="0.15"/>
    <row r="2563" ht="12.6" customHeight="1" x14ac:dyDescent="0.15"/>
    <row r="2564" ht="12.6" customHeight="1" x14ac:dyDescent="0.15"/>
    <row r="2565" ht="12.6" customHeight="1" x14ac:dyDescent="0.15"/>
    <row r="2566" ht="12.6" customHeight="1" x14ac:dyDescent="0.15"/>
    <row r="2567" ht="12.6" customHeight="1" x14ac:dyDescent="0.15"/>
    <row r="2568" ht="12.6" customHeight="1" x14ac:dyDescent="0.15"/>
    <row r="2569" ht="12.6" customHeight="1" x14ac:dyDescent="0.15"/>
    <row r="2570" ht="12.6" customHeight="1" x14ac:dyDescent="0.15"/>
    <row r="2571" ht="12.6" customHeight="1" x14ac:dyDescent="0.15"/>
    <row r="2572" ht="12.6" customHeight="1" x14ac:dyDescent="0.15"/>
    <row r="2573" ht="12.6" customHeight="1" x14ac:dyDescent="0.15"/>
    <row r="2574" ht="12.6" customHeight="1" x14ac:dyDescent="0.15"/>
    <row r="2575" ht="12.6" customHeight="1" x14ac:dyDescent="0.15"/>
    <row r="2576" ht="12.6" customHeight="1" x14ac:dyDescent="0.15"/>
    <row r="2577" ht="12.6" customHeight="1" x14ac:dyDescent="0.15"/>
    <row r="2578" ht="12.6" customHeight="1" x14ac:dyDescent="0.15"/>
    <row r="2579" ht="12.6" customHeight="1" x14ac:dyDescent="0.15"/>
    <row r="2580" ht="12.6" customHeight="1" x14ac:dyDescent="0.15"/>
    <row r="2581" ht="12.6" customHeight="1" x14ac:dyDescent="0.15"/>
    <row r="2582" ht="12.6" customHeight="1" x14ac:dyDescent="0.15"/>
    <row r="2583" ht="12.6" customHeight="1" x14ac:dyDescent="0.15"/>
    <row r="2584" ht="12.6" customHeight="1" x14ac:dyDescent="0.15"/>
    <row r="2585" ht="12.6" customHeight="1" x14ac:dyDescent="0.15"/>
    <row r="2586" ht="12.6" customHeight="1" x14ac:dyDescent="0.15"/>
    <row r="2587" ht="12.6" customHeight="1" x14ac:dyDescent="0.15"/>
    <row r="2588" ht="12.6" customHeight="1" x14ac:dyDescent="0.15"/>
    <row r="2589" ht="12.6" customHeight="1" x14ac:dyDescent="0.15"/>
    <row r="2590" ht="12.6" customHeight="1" x14ac:dyDescent="0.15"/>
    <row r="2591" ht="12.6" customHeight="1" x14ac:dyDescent="0.15"/>
    <row r="2592" ht="12.6" customHeight="1" x14ac:dyDescent="0.15"/>
    <row r="2593" ht="12.6" customHeight="1" x14ac:dyDescent="0.15"/>
    <row r="2594" ht="12.6" customHeight="1" x14ac:dyDescent="0.15"/>
    <row r="2595" ht="12.6" customHeight="1" x14ac:dyDescent="0.15"/>
    <row r="2596" ht="12.6" customHeight="1" x14ac:dyDescent="0.15"/>
    <row r="2597" ht="12.6" customHeight="1" x14ac:dyDescent="0.15"/>
    <row r="2598" ht="12.6" customHeight="1" x14ac:dyDescent="0.15"/>
    <row r="2599" ht="12.6" customHeight="1" x14ac:dyDescent="0.15"/>
    <row r="2600" ht="12.6" customHeight="1" x14ac:dyDescent="0.15"/>
    <row r="2601" ht="12.6" customHeight="1" x14ac:dyDescent="0.15"/>
    <row r="2602" ht="12.6" customHeight="1" x14ac:dyDescent="0.15"/>
    <row r="2603" ht="12.6" customHeight="1" x14ac:dyDescent="0.15"/>
    <row r="2604" ht="12.6" customHeight="1" x14ac:dyDescent="0.15"/>
    <row r="2605" ht="12.6" customHeight="1" x14ac:dyDescent="0.15"/>
    <row r="2606" ht="12.6" customHeight="1" x14ac:dyDescent="0.15"/>
    <row r="2607" ht="12.6" customHeight="1" x14ac:dyDescent="0.15"/>
    <row r="2608" ht="12.6" customHeight="1" x14ac:dyDescent="0.15"/>
    <row r="2609" ht="12.6" customHeight="1" x14ac:dyDescent="0.15"/>
    <row r="2610" ht="12.6" customHeight="1" x14ac:dyDescent="0.15"/>
    <row r="2611" ht="12.6" customHeight="1" x14ac:dyDescent="0.15"/>
    <row r="2612" ht="12.6" customHeight="1" x14ac:dyDescent="0.15"/>
    <row r="2613" ht="12.6" customHeight="1" x14ac:dyDescent="0.15"/>
    <row r="2614" ht="12.6" customHeight="1" x14ac:dyDescent="0.15"/>
    <row r="2615" ht="12.6" customHeight="1" x14ac:dyDescent="0.15"/>
    <row r="2616" ht="12.6" customHeight="1" x14ac:dyDescent="0.15"/>
    <row r="2617" ht="12.6" customHeight="1" x14ac:dyDescent="0.15"/>
    <row r="2618" ht="12.6" customHeight="1" x14ac:dyDescent="0.15"/>
    <row r="2619" ht="12.6" customHeight="1" x14ac:dyDescent="0.15"/>
    <row r="2620" ht="12.6" customHeight="1" x14ac:dyDescent="0.15"/>
    <row r="2621" ht="12.6" customHeight="1" x14ac:dyDescent="0.15"/>
    <row r="2622" ht="12.6" customHeight="1" x14ac:dyDescent="0.15"/>
    <row r="2623" ht="12.6" customHeight="1" x14ac:dyDescent="0.15"/>
    <row r="2624" ht="12.6" customHeight="1" x14ac:dyDescent="0.15"/>
    <row r="2625" ht="12.6" customHeight="1" x14ac:dyDescent="0.15"/>
    <row r="2626" ht="12.6" customHeight="1" x14ac:dyDescent="0.15"/>
    <row r="2627" ht="12.6" customHeight="1" x14ac:dyDescent="0.15"/>
    <row r="2628" ht="12.6" customHeight="1" x14ac:dyDescent="0.15"/>
    <row r="2629" ht="12.6" customHeight="1" x14ac:dyDescent="0.15"/>
    <row r="2630" ht="12.6" customHeight="1" x14ac:dyDescent="0.15"/>
    <row r="2631" ht="12.6" customHeight="1" x14ac:dyDescent="0.15"/>
    <row r="2632" ht="12.6" customHeight="1" x14ac:dyDescent="0.15"/>
    <row r="2633" ht="12.6" customHeight="1" x14ac:dyDescent="0.15"/>
    <row r="2634" ht="12.6" customHeight="1" x14ac:dyDescent="0.15"/>
    <row r="2635" ht="12.6" customHeight="1" x14ac:dyDescent="0.15"/>
    <row r="2636" ht="12.6" customHeight="1" x14ac:dyDescent="0.15"/>
    <row r="2637" ht="12.6" customHeight="1" x14ac:dyDescent="0.15"/>
    <row r="2638" ht="12.6" customHeight="1" x14ac:dyDescent="0.15"/>
    <row r="2639" ht="12.6" customHeight="1" x14ac:dyDescent="0.15"/>
    <row r="2640" ht="12.6" customHeight="1" x14ac:dyDescent="0.15"/>
    <row r="2641" ht="12.6" customHeight="1" x14ac:dyDescent="0.15"/>
    <row r="2642" ht="12.6" customHeight="1" x14ac:dyDescent="0.15"/>
    <row r="2643" ht="12.6" customHeight="1" x14ac:dyDescent="0.15"/>
    <row r="2644" ht="12.6" customHeight="1" x14ac:dyDescent="0.15"/>
    <row r="2645" ht="12.6" customHeight="1" x14ac:dyDescent="0.15"/>
    <row r="2646" ht="12.6" customHeight="1" x14ac:dyDescent="0.15"/>
    <row r="2647" ht="12.6" customHeight="1" x14ac:dyDescent="0.15"/>
    <row r="2648" ht="12.6" customHeight="1" x14ac:dyDescent="0.15"/>
    <row r="2649" ht="12.6" customHeight="1" x14ac:dyDescent="0.15"/>
    <row r="2650" ht="12.6" customHeight="1" x14ac:dyDescent="0.15"/>
    <row r="2651" ht="12.6" customHeight="1" x14ac:dyDescent="0.15"/>
    <row r="2652" ht="12.6" customHeight="1" x14ac:dyDescent="0.15"/>
    <row r="2653" ht="12.6" customHeight="1" x14ac:dyDescent="0.15"/>
    <row r="2654" ht="12.6" customHeight="1" x14ac:dyDescent="0.15"/>
    <row r="2655" ht="12.6" customHeight="1" x14ac:dyDescent="0.15"/>
    <row r="2656" ht="12.6" customHeight="1" x14ac:dyDescent="0.15"/>
    <row r="2657" ht="12.6" customHeight="1" x14ac:dyDescent="0.15"/>
    <row r="2658" ht="12.6" customHeight="1" x14ac:dyDescent="0.15"/>
    <row r="2659" ht="12.6" customHeight="1" x14ac:dyDescent="0.15"/>
    <row r="2660" ht="12.6" customHeight="1" x14ac:dyDescent="0.15"/>
    <row r="2661" ht="12.6" customHeight="1" x14ac:dyDescent="0.15"/>
    <row r="2662" ht="12.6" customHeight="1" x14ac:dyDescent="0.15"/>
    <row r="2663" ht="12.6" customHeight="1" x14ac:dyDescent="0.15"/>
    <row r="2664" ht="12.6" customHeight="1" x14ac:dyDescent="0.15"/>
    <row r="2665" ht="12.6" customHeight="1" x14ac:dyDescent="0.15"/>
    <row r="2666" ht="12.6" customHeight="1" x14ac:dyDescent="0.15"/>
    <row r="2667" ht="12.6" customHeight="1" x14ac:dyDescent="0.15"/>
    <row r="2668" ht="12.6" customHeight="1" x14ac:dyDescent="0.15"/>
    <row r="2669" ht="12.6" customHeight="1" x14ac:dyDescent="0.15"/>
    <row r="2670" ht="12.6" customHeight="1" x14ac:dyDescent="0.15"/>
    <row r="2671" ht="12.6" customHeight="1" x14ac:dyDescent="0.15"/>
    <row r="2672" ht="12.6" customHeight="1" x14ac:dyDescent="0.15"/>
    <row r="2673" ht="12.6" customHeight="1" x14ac:dyDescent="0.15"/>
    <row r="2674" ht="12.6" customHeight="1" x14ac:dyDescent="0.15"/>
    <row r="2675" ht="12.6" customHeight="1" x14ac:dyDescent="0.15"/>
    <row r="2676" ht="12.6" customHeight="1" x14ac:dyDescent="0.15"/>
    <row r="2677" ht="12.6" customHeight="1" x14ac:dyDescent="0.15"/>
    <row r="2678" ht="12.6" customHeight="1" x14ac:dyDescent="0.15"/>
    <row r="2679" ht="12.6" customHeight="1" x14ac:dyDescent="0.15"/>
    <row r="2680" ht="12.6" customHeight="1" x14ac:dyDescent="0.15"/>
    <row r="2681" ht="12.6" customHeight="1" x14ac:dyDescent="0.15"/>
    <row r="2682" ht="12.6" customHeight="1" x14ac:dyDescent="0.15"/>
    <row r="2683" ht="12.6" customHeight="1" x14ac:dyDescent="0.15"/>
    <row r="2684" ht="12.6" customHeight="1" x14ac:dyDescent="0.15"/>
    <row r="2685" ht="12.6" customHeight="1" x14ac:dyDescent="0.15"/>
    <row r="2686" ht="12.6" customHeight="1" x14ac:dyDescent="0.15"/>
    <row r="2687" ht="12.6" customHeight="1" x14ac:dyDescent="0.15"/>
    <row r="2688" ht="12.6" customHeight="1" x14ac:dyDescent="0.15"/>
    <row r="2689" ht="12.6" customHeight="1" x14ac:dyDescent="0.15"/>
    <row r="2690" ht="12.6" customHeight="1" x14ac:dyDescent="0.15"/>
    <row r="2691" ht="12.6" customHeight="1" x14ac:dyDescent="0.15"/>
    <row r="2692" ht="12.6" customHeight="1" x14ac:dyDescent="0.15"/>
    <row r="2693" ht="12.6" customHeight="1" x14ac:dyDescent="0.15"/>
    <row r="2694" ht="12.6" customHeight="1" x14ac:dyDescent="0.15"/>
    <row r="2695" ht="12.6" customHeight="1" x14ac:dyDescent="0.15"/>
    <row r="2696" ht="12.6" customHeight="1" x14ac:dyDescent="0.15"/>
    <row r="2697" ht="12.6" customHeight="1" x14ac:dyDescent="0.15"/>
    <row r="2698" ht="12.6" customHeight="1" x14ac:dyDescent="0.15"/>
    <row r="2699" ht="12.6" customHeight="1" x14ac:dyDescent="0.15"/>
    <row r="2700" ht="12.6" customHeight="1" x14ac:dyDescent="0.15"/>
    <row r="2701" ht="12.6" customHeight="1" x14ac:dyDescent="0.15"/>
    <row r="2702" ht="12.6" customHeight="1" x14ac:dyDescent="0.15"/>
    <row r="2703" ht="12.6" customHeight="1" x14ac:dyDescent="0.15"/>
    <row r="2704" ht="12.6" customHeight="1" x14ac:dyDescent="0.15"/>
    <row r="2705" ht="12.6" customHeight="1" x14ac:dyDescent="0.15"/>
    <row r="2706" ht="12.6" customHeight="1" x14ac:dyDescent="0.15"/>
    <row r="2707" ht="12.6" customHeight="1" x14ac:dyDescent="0.15"/>
    <row r="2708" ht="12.6" customHeight="1" x14ac:dyDescent="0.15"/>
    <row r="2709" ht="12.6" customHeight="1" x14ac:dyDescent="0.15"/>
    <row r="2710" ht="12.6" customHeight="1" x14ac:dyDescent="0.15"/>
    <row r="2711" ht="12.6" customHeight="1" x14ac:dyDescent="0.15"/>
    <row r="2712" ht="12.6" customHeight="1" x14ac:dyDescent="0.15"/>
    <row r="2713" ht="12.6" customHeight="1" x14ac:dyDescent="0.15"/>
    <row r="2714" ht="12.6" customHeight="1" x14ac:dyDescent="0.15"/>
    <row r="2715" ht="12.6" customHeight="1" x14ac:dyDescent="0.15"/>
    <row r="2716" ht="12.6" customHeight="1" x14ac:dyDescent="0.15"/>
    <row r="2717" ht="12.6" customHeight="1" x14ac:dyDescent="0.15"/>
    <row r="2718" ht="12.6" customHeight="1" x14ac:dyDescent="0.15"/>
    <row r="2719" ht="12.6" customHeight="1" x14ac:dyDescent="0.15"/>
    <row r="2720" ht="12.6" customHeight="1" x14ac:dyDescent="0.15"/>
    <row r="2721" ht="12.6" customHeight="1" x14ac:dyDescent="0.15"/>
    <row r="2722" ht="12.6" customHeight="1" x14ac:dyDescent="0.15"/>
    <row r="2723" ht="12.6" customHeight="1" x14ac:dyDescent="0.15"/>
    <row r="2724" ht="12.6" customHeight="1" x14ac:dyDescent="0.15"/>
    <row r="2725" ht="12.6" customHeight="1" x14ac:dyDescent="0.15"/>
    <row r="2726" ht="12.6" customHeight="1" x14ac:dyDescent="0.15"/>
    <row r="2727" ht="12.6" customHeight="1" x14ac:dyDescent="0.15"/>
    <row r="2728" ht="12.6" customHeight="1" x14ac:dyDescent="0.15"/>
    <row r="2729" ht="12.6" customHeight="1" x14ac:dyDescent="0.15"/>
    <row r="2730" ht="12.6" customHeight="1" x14ac:dyDescent="0.15"/>
    <row r="2731" ht="12.6" customHeight="1" x14ac:dyDescent="0.15"/>
    <row r="2732" ht="12.6" customHeight="1" x14ac:dyDescent="0.15"/>
    <row r="2733" ht="12.6" customHeight="1" x14ac:dyDescent="0.15"/>
    <row r="2734" ht="12.6" customHeight="1" x14ac:dyDescent="0.15"/>
    <row r="2735" ht="12.6" customHeight="1" x14ac:dyDescent="0.15"/>
    <row r="2736" ht="12.6" customHeight="1" x14ac:dyDescent="0.15"/>
    <row r="2737" ht="12.6" customHeight="1" x14ac:dyDescent="0.15"/>
    <row r="2738" ht="12.6" customHeight="1" x14ac:dyDescent="0.15"/>
    <row r="2739" ht="12.6" customHeight="1" x14ac:dyDescent="0.15"/>
    <row r="2740" ht="12.6" customHeight="1" x14ac:dyDescent="0.15"/>
    <row r="2741" ht="12.6" customHeight="1" x14ac:dyDescent="0.15"/>
    <row r="2742" ht="12.6" customHeight="1" x14ac:dyDescent="0.15"/>
    <row r="2743" ht="12.6" customHeight="1" x14ac:dyDescent="0.15"/>
    <row r="2744" ht="12.6" customHeight="1" x14ac:dyDescent="0.15"/>
    <row r="2745" ht="12.6" customHeight="1" x14ac:dyDescent="0.15"/>
    <row r="2746" ht="12.6" customHeight="1" x14ac:dyDescent="0.15"/>
    <row r="2747" ht="12.6" customHeight="1" x14ac:dyDescent="0.15"/>
    <row r="2748" ht="12.6" customHeight="1" x14ac:dyDescent="0.15"/>
    <row r="2749" ht="12.6" customHeight="1" x14ac:dyDescent="0.15"/>
    <row r="2750" ht="12.6" customHeight="1" x14ac:dyDescent="0.15"/>
    <row r="2751" ht="12.6" customHeight="1" x14ac:dyDescent="0.15"/>
    <row r="2752" ht="12.6" customHeight="1" x14ac:dyDescent="0.15"/>
    <row r="2753" ht="12.6" customHeight="1" x14ac:dyDescent="0.15"/>
    <row r="2754" ht="12.6" customHeight="1" x14ac:dyDescent="0.15"/>
    <row r="2755" ht="12.6" customHeight="1" x14ac:dyDescent="0.15"/>
    <row r="2756" ht="12.6" customHeight="1" x14ac:dyDescent="0.15"/>
    <row r="2757" ht="12.6" customHeight="1" x14ac:dyDescent="0.15"/>
    <row r="2758" ht="12.6" customHeight="1" x14ac:dyDescent="0.15"/>
    <row r="2759" ht="12.6" customHeight="1" x14ac:dyDescent="0.15"/>
    <row r="2760" ht="12.6" customHeight="1" x14ac:dyDescent="0.15"/>
    <row r="2761" ht="12.6" customHeight="1" x14ac:dyDescent="0.15"/>
    <row r="2762" ht="12.6" customHeight="1" x14ac:dyDescent="0.15"/>
    <row r="2763" ht="12.6" customHeight="1" x14ac:dyDescent="0.15"/>
    <row r="2764" ht="12.6" customHeight="1" x14ac:dyDescent="0.15"/>
    <row r="2765" ht="12.6" customHeight="1" x14ac:dyDescent="0.15"/>
    <row r="2766" ht="12.6" customHeight="1" x14ac:dyDescent="0.15"/>
    <row r="2767" ht="12.6" customHeight="1" x14ac:dyDescent="0.15"/>
    <row r="2768" ht="12.6" customHeight="1" x14ac:dyDescent="0.15"/>
    <row r="2769" ht="12.6" customHeight="1" x14ac:dyDescent="0.15"/>
    <row r="2770" ht="12.6" customHeight="1" x14ac:dyDescent="0.15"/>
    <row r="2771" ht="12.6" customHeight="1" x14ac:dyDescent="0.15"/>
    <row r="2772" ht="12.6" customHeight="1" x14ac:dyDescent="0.15"/>
    <row r="2773" ht="12.6" customHeight="1" x14ac:dyDescent="0.15"/>
    <row r="2774" ht="12.6" customHeight="1" x14ac:dyDescent="0.15"/>
    <row r="2775" ht="12.6" customHeight="1" x14ac:dyDescent="0.15"/>
    <row r="2776" ht="12.6" customHeight="1" x14ac:dyDescent="0.15"/>
    <row r="2777" ht="12.6" customHeight="1" x14ac:dyDescent="0.15"/>
    <row r="2778" ht="12.6" customHeight="1" x14ac:dyDescent="0.15"/>
    <row r="2779" ht="12.6" customHeight="1" x14ac:dyDescent="0.15"/>
    <row r="2780" ht="12.6" customHeight="1" x14ac:dyDescent="0.15"/>
    <row r="2781" ht="12.6" customHeight="1" x14ac:dyDescent="0.15"/>
    <row r="2782" ht="12.6" customHeight="1" x14ac:dyDescent="0.15"/>
    <row r="2783" ht="12.6" customHeight="1" x14ac:dyDescent="0.15"/>
    <row r="2784" ht="12.6" customHeight="1" x14ac:dyDescent="0.15"/>
    <row r="2785" ht="12.6" customHeight="1" x14ac:dyDescent="0.15"/>
    <row r="2786" ht="12.6" customHeight="1" x14ac:dyDescent="0.15"/>
    <row r="2787" ht="12.6" customHeight="1" x14ac:dyDescent="0.15"/>
    <row r="2788" ht="12.6" customHeight="1" x14ac:dyDescent="0.15"/>
    <row r="2789" ht="12.6" customHeight="1" x14ac:dyDescent="0.15"/>
    <row r="2790" ht="12.6" customHeight="1" x14ac:dyDescent="0.15"/>
    <row r="2791" ht="12.6" customHeight="1" x14ac:dyDescent="0.15"/>
    <row r="2792" ht="12.6" customHeight="1" x14ac:dyDescent="0.15"/>
    <row r="2793" ht="12.6" customHeight="1" x14ac:dyDescent="0.15"/>
    <row r="2794" ht="12.6" customHeight="1" x14ac:dyDescent="0.15"/>
    <row r="2795" ht="12.6" customHeight="1" x14ac:dyDescent="0.15"/>
    <row r="2796" ht="12.6" customHeight="1" x14ac:dyDescent="0.15"/>
    <row r="2797" ht="12.6" customHeight="1" x14ac:dyDescent="0.15"/>
    <row r="2798" ht="12.6" customHeight="1" x14ac:dyDescent="0.15"/>
    <row r="2799" ht="12.6" customHeight="1" x14ac:dyDescent="0.15"/>
    <row r="2800" ht="12.6" customHeight="1" x14ac:dyDescent="0.15"/>
    <row r="2801" ht="12.6" customHeight="1" x14ac:dyDescent="0.15"/>
    <row r="2802" ht="12.6" customHeight="1" x14ac:dyDescent="0.15"/>
    <row r="2803" ht="12.6" customHeight="1" x14ac:dyDescent="0.15"/>
    <row r="2804" ht="12.6" customHeight="1" x14ac:dyDescent="0.15"/>
    <row r="2805" ht="12.6" customHeight="1" x14ac:dyDescent="0.15"/>
    <row r="2806" ht="12.6" customHeight="1" x14ac:dyDescent="0.15"/>
    <row r="2807" ht="12.6" customHeight="1" x14ac:dyDescent="0.15"/>
    <row r="2808" ht="12.6" customHeight="1" x14ac:dyDescent="0.15"/>
    <row r="2809" ht="12.6" customHeight="1" x14ac:dyDescent="0.15"/>
    <row r="2810" ht="12.6" customHeight="1" x14ac:dyDescent="0.15"/>
    <row r="2811" ht="12.6" customHeight="1" x14ac:dyDescent="0.15"/>
    <row r="2812" ht="12.6" customHeight="1" x14ac:dyDescent="0.15"/>
    <row r="2813" ht="12.6" customHeight="1" x14ac:dyDescent="0.15"/>
    <row r="2814" ht="12.6" customHeight="1" x14ac:dyDescent="0.15"/>
    <row r="2815" ht="12.6" customHeight="1" x14ac:dyDescent="0.15"/>
    <row r="2816" ht="12.6" customHeight="1" x14ac:dyDescent="0.15"/>
    <row r="2817" ht="12.6" customHeight="1" x14ac:dyDescent="0.15"/>
    <row r="2818" ht="12.6" customHeight="1" x14ac:dyDescent="0.15"/>
    <row r="2819" ht="12.6" customHeight="1" x14ac:dyDescent="0.15"/>
    <row r="2820" ht="12.6" customHeight="1" x14ac:dyDescent="0.15"/>
    <row r="2821" ht="12.6" customHeight="1" x14ac:dyDescent="0.15"/>
    <row r="2822" ht="12.6" customHeight="1" x14ac:dyDescent="0.15"/>
    <row r="2823" ht="12.6" customHeight="1" x14ac:dyDescent="0.15"/>
    <row r="2824" ht="12.6" customHeight="1" x14ac:dyDescent="0.15"/>
    <row r="2825" ht="12.6" customHeight="1" x14ac:dyDescent="0.15"/>
    <row r="2826" ht="12.6" customHeight="1" x14ac:dyDescent="0.15"/>
    <row r="2827" ht="12.6" customHeight="1" x14ac:dyDescent="0.15"/>
    <row r="2828" ht="12.6" customHeight="1" x14ac:dyDescent="0.15"/>
    <row r="2829" ht="12.6" customHeight="1" x14ac:dyDescent="0.15"/>
    <row r="2830" ht="12.6" customHeight="1" x14ac:dyDescent="0.15"/>
    <row r="2831" ht="12.6" customHeight="1" x14ac:dyDescent="0.15"/>
    <row r="2832" ht="12.6" customHeight="1" x14ac:dyDescent="0.15"/>
    <row r="2833" ht="12.6" customHeight="1" x14ac:dyDescent="0.15"/>
    <row r="2834" ht="12.6" customHeight="1" x14ac:dyDescent="0.15"/>
    <row r="2835" ht="12.6" customHeight="1" x14ac:dyDescent="0.15"/>
    <row r="2836" ht="12.6" customHeight="1" x14ac:dyDescent="0.15"/>
    <row r="2837" ht="12.6" customHeight="1" x14ac:dyDescent="0.15"/>
    <row r="2838" ht="12.6" customHeight="1" x14ac:dyDescent="0.15"/>
    <row r="2839" ht="12.6" customHeight="1" x14ac:dyDescent="0.15"/>
    <row r="2840" ht="12.6" customHeight="1" x14ac:dyDescent="0.15"/>
    <row r="2841" ht="12.6" customHeight="1" x14ac:dyDescent="0.15"/>
    <row r="2842" ht="12.6" customHeight="1" x14ac:dyDescent="0.15"/>
    <row r="2843" ht="12.6" customHeight="1" x14ac:dyDescent="0.15"/>
    <row r="2844" ht="12.6" customHeight="1" x14ac:dyDescent="0.15"/>
    <row r="2845" ht="12.6" customHeight="1" x14ac:dyDescent="0.15"/>
    <row r="2846" ht="12.6" customHeight="1" x14ac:dyDescent="0.15"/>
    <row r="2847" ht="12.6" customHeight="1" x14ac:dyDescent="0.15"/>
    <row r="2848" ht="12.6" customHeight="1" x14ac:dyDescent="0.15"/>
    <row r="2849" ht="12.6" customHeight="1" x14ac:dyDescent="0.15"/>
    <row r="2850" ht="12.6" customHeight="1" x14ac:dyDescent="0.15"/>
    <row r="2851" ht="12.6" customHeight="1" x14ac:dyDescent="0.15"/>
    <row r="2852" ht="12.6" customHeight="1" x14ac:dyDescent="0.15"/>
    <row r="2853" ht="12.6" customHeight="1" x14ac:dyDescent="0.15"/>
    <row r="2854" ht="12.6" customHeight="1" x14ac:dyDescent="0.15"/>
    <row r="2855" ht="12.6" customHeight="1" x14ac:dyDescent="0.15"/>
    <row r="2856" ht="12.6" customHeight="1" x14ac:dyDescent="0.15"/>
    <row r="2857" ht="12.6" customHeight="1" x14ac:dyDescent="0.15"/>
    <row r="2858" ht="12.6" customHeight="1" x14ac:dyDescent="0.15"/>
    <row r="2859" ht="12.6" customHeight="1" x14ac:dyDescent="0.15"/>
    <row r="2860" ht="12.6" customHeight="1" x14ac:dyDescent="0.15"/>
    <row r="2861" ht="12.6" customHeight="1" x14ac:dyDescent="0.15"/>
    <row r="2862" ht="12.6" customHeight="1" x14ac:dyDescent="0.15"/>
    <row r="2863" ht="12.6" customHeight="1" x14ac:dyDescent="0.15"/>
    <row r="2864" ht="12.6" customHeight="1" x14ac:dyDescent="0.15"/>
    <row r="2865" ht="12.6" customHeight="1" x14ac:dyDescent="0.15"/>
    <row r="2866" ht="12.6" customHeight="1" x14ac:dyDescent="0.15"/>
    <row r="2867" ht="12.6" customHeight="1" x14ac:dyDescent="0.15"/>
    <row r="2868" ht="12.6" customHeight="1" x14ac:dyDescent="0.15"/>
    <row r="2869" ht="12.6" customHeight="1" x14ac:dyDescent="0.15"/>
    <row r="2870" ht="12.6" customHeight="1" x14ac:dyDescent="0.15"/>
    <row r="2871" ht="12.6" customHeight="1" x14ac:dyDescent="0.15"/>
    <row r="2872" ht="12.6" customHeight="1" x14ac:dyDescent="0.15"/>
    <row r="2873" ht="12.6" customHeight="1" x14ac:dyDescent="0.15"/>
    <row r="2874" ht="12.6" customHeight="1" x14ac:dyDescent="0.15"/>
    <row r="2875" ht="12.6" customHeight="1" x14ac:dyDescent="0.15"/>
    <row r="2876" ht="12.6" customHeight="1" x14ac:dyDescent="0.15"/>
    <row r="2877" ht="12.6" customHeight="1" x14ac:dyDescent="0.15"/>
    <row r="2878" ht="12.6" customHeight="1" x14ac:dyDescent="0.15"/>
    <row r="2879" ht="12.6" customHeight="1" x14ac:dyDescent="0.15"/>
    <row r="2880" ht="12.6" customHeight="1" x14ac:dyDescent="0.15"/>
    <row r="2881" ht="12.6" customHeight="1" x14ac:dyDescent="0.15"/>
    <row r="2882" ht="12.6" customHeight="1" x14ac:dyDescent="0.15"/>
    <row r="2883" ht="12.6" customHeight="1" x14ac:dyDescent="0.15"/>
    <row r="2884" ht="12.6" customHeight="1" x14ac:dyDescent="0.15"/>
    <row r="2885" ht="12.6" customHeight="1" x14ac:dyDescent="0.15"/>
    <row r="2886" ht="12.6" customHeight="1" x14ac:dyDescent="0.15"/>
    <row r="2887" ht="12.6" customHeight="1" x14ac:dyDescent="0.15"/>
    <row r="2888" ht="12.6" customHeight="1" x14ac:dyDescent="0.15"/>
    <row r="2889" ht="12.6" customHeight="1" x14ac:dyDescent="0.15"/>
    <row r="2890" ht="12.6" customHeight="1" x14ac:dyDescent="0.15"/>
    <row r="2891" ht="12.6" customHeight="1" x14ac:dyDescent="0.15"/>
    <row r="2892" ht="12.6" customHeight="1" x14ac:dyDescent="0.15"/>
  </sheetData>
  <sheetProtection password="CA39" sheet="1" objects="1" scenarios="1"/>
  <mergeCells count="105">
    <mergeCell ref="E49:E51"/>
    <mergeCell ref="F49:F51"/>
    <mergeCell ref="A49:A51"/>
    <mergeCell ref="B49:B51"/>
    <mergeCell ref="C49:C51"/>
    <mergeCell ref="D49:D51"/>
    <mergeCell ref="D70:D72"/>
    <mergeCell ref="A75:A77"/>
    <mergeCell ref="B75:B77"/>
    <mergeCell ref="C75:C77"/>
    <mergeCell ref="E70:E72"/>
    <mergeCell ref="F58:F60"/>
    <mergeCell ref="D58:D60"/>
    <mergeCell ref="F52:F54"/>
    <mergeCell ref="E55:E57"/>
    <mergeCell ref="F55:F57"/>
    <mergeCell ref="A55:A57"/>
    <mergeCell ref="B55:B57"/>
    <mergeCell ref="C55:C57"/>
    <mergeCell ref="D55:D57"/>
    <mergeCell ref="A52:A54"/>
    <mergeCell ref="B52:B54"/>
    <mergeCell ref="C52:C54"/>
    <mergeCell ref="A58:A60"/>
    <mergeCell ref="D10:F10"/>
    <mergeCell ref="A13:A15"/>
    <mergeCell ref="B13:B15"/>
    <mergeCell ref="C13:C15"/>
    <mergeCell ref="D13:D15"/>
    <mergeCell ref="E13:E15"/>
    <mergeCell ref="F13:F15"/>
    <mergeCell ref="D42:F42"/>
    <mergeCell ref="F18:F20"/>
    <mergeCell ref="D18:D20"/>
    <mergeCell ref="F35:F37"/>
    <mergeCell ref="F21:F23"/>
    <mergeCell ref="D24:D26"/>
    <mergeCell ref="D21:D23"/>
    <mergeCell ref="E24:E26"/>
    <mergeCell ref="E35:E37"/>
    <mergeCell ref="E21:E23"/>
    <mergeCell ref="C21:C23"/>
    <mergeCell ref="B18:B20"/>
    <mergeCell ref="A18:A20"/>
    <mergeCell ref="C18:C20"/>
    <mergeCell ref="E18:E20"/>
    <mergeCell ref="E32:E34"/>
    <mergeCell ref="E29:E31"/>
    <mergeCell ref="A21:A23"/>
    <mergeCell ref="B21:B23"/>
    <mergeCell ref="A32:A34"/>
    <mergeCell ref="C46:C48"/>
    <mergeCell ref="D46:D48"/>
    <mergeCell ref="E46:E48"/>
    <mergeCell ref="F46:F48"/>
    <mergeCell ref="A35:A37"/>
    <mergeCell ref="B35:B37"/>
    <mergeCell ref="A46:A48"/>
    <mergeCell ref="B46:B48"/>
    <mergeCell ref="C35:C37"/>
    <mergeCell ref="D35:D37"/>
    <mergeCell ref="A24:A26"/>
    <mergeCell ref="B24:B26"/>
    <mergeCell ref="C24:C26"/>
    <mergeCell ref="F24:F26"/>
    <mergeCell ref="A29:A31"/>
    <mergeCell ref="B29:B31"/>
    <mergeCell ref="C29:C31"/>
    <mergeCell ref="D29:D31"/>
    <mergeCell ref="B32:B34"/>
    <mergeCell ref="C32:C34"/>
    <mergeCell ref="D32:D34"/>
    <mergeCell ref="B61:B63"/>
    <mergeCell ref="E52:E54"/>
    <mergeCell ref="D52:D54"/>
    <mergeCell ref="E58:E60"/>
    <mergeCell ref="B64:B66"/>
    <mergeCell ref="E64:E66"/>
    <mergeCell ref="A67:A69"/>
    <mergeCell ref="B67:B69"/>
    <mergeCell ref="C61:C63"/>
    <mergeCell ref="D61:D63"/>
    <mergeCell ref="E61:E63"/>
    <mergeCell ref="D67:D69"/>
    <mergeCell ref="B58:B60"/>
    <mergeCell ref="C58:C60"/>
    <mergeCell ref="A61:A63"/>
    <mergeCell ref="E78:E80"/>
    <mergeCell ref="F78:F80"/>
    <mergeCell ref="A78:A80"/>
    <mergeCell ref="B78:B80"/>
    <mergeCell ref="D78:D80"/>
    <mergeCell ref="D64:D66"/>
    <mergeCell ref="A64:A66"/>
    <mergeCell ref="C67:C69"/>
    <mergeCell ref="C70:C72"/>
    <mergeCell ref="C64:C66"/>
    <mergeCell ref="F70:F72"/>
    <mergeCell ref="F64:F66"/>
    <mergeCell ref="E67:E69"/>
    <mergeCell ref="F67:F69"/>
    <mergeCell ref="D75:D77"/>
    <mergeCell ref="E75:E77"/>
    <mergeCell ref="A70:A72"/>
    <mergeCell ref="B70:B72"/>
  </mergeCells>
  <phoneticPr fontId="17" type="noConversion"/>
  <conditionalFormatting sqref="D13:E15 D75:E77 D35:F37 D78:F80 D29:E34 D61:E63 E64:E70 F64:F72 D64:D72 D18:F26 D46:F60">
    <cfRule type="expression" dxfId="12" priority="1" stopIfTrue="1">
      <formula>$C$2=TRUE</formula>
    </cfRule>
  </conditionalFormatting>
  <pageMargins left="0.39370078740157483" right="0.39370078740157483" top="0.39370078740157483" bottom="0.39370078740157483" header="0.51181102362204722" footer="0.51181102362204722"/>
  <pageSetup paperSize="9" scale="96" orientation="landscape" horizontalDpi="300" verticalDpi="300" r:id="rId1"/>
  <headerFooter alignWithMargins="0"/>
  <rowBreaks count="1" manualBreakCount="1">
    <brk id="38" max="6" man="1"/>
  </rowBreaks>
  <drawing r:id="rId2"/>
  <legacyDrawing r:id="rId3"/>
  <oleObjects>
    <mc:AlternateContent xmlns:mc="http://schemas.openxmlformats.org/markup-compatibility/2006">
      <mc:Choice Requires="x14">
        <oleObject progId="MSPhotoEd.3" shapeId="62737" r:id="rId4">
          <objectPr defaultSize="0" autoPict="0" r:id="rId5">
            <anchor moveWithCells="1" sizeWithCells="1">
              <from>
                <xdr:col>2</xdr:col>
                <xdr:colOff>142875</xdr:colOff>
                <xdr:row>1</xdr:row>
                <xdr:rowOff>9525</xdr:rowOff>
              </from>
              <to>
                <xdr:col>5</xdr:col>
                <xdr:colOff>152400</xdr:colOff>
                <xdr:row>2</xdr:row>
                <xdr:rowOff>9525</xdr:rowOff>
              </to>
            </anchor>
          </objectPr>
        </oleObject>
      </mc:Choice>
      <mc:Fallback>
        <oleObject progId="MSPhotoEd.3" shapeId="62737" r:id="rId4"/>
      </mc:Fallback>
    </mc:AlternateContent>
    <mc:AlternateContent xmlns:mc="http://schemas.openxmlformats.org/markup-compatibility/2006">
      <mc:Choice Requires="x14">
        <oleObject progId="MSPhotoEd.3" shapeId="62738" r:id="rId6">
          <objectPr defaultSize="0" autoPict="0" r:id="rId5">
            <anchor moveWithCells="1" sizeWithCells="1">
              <from>
                <xdr:col>2</xdr:col>
                <xdr:colOff>95250</xdr:colOff>
                <xdr:row>39</xdr:row>
                <xdr:rowOff>0</xdr:rowOff>
              </from>
              <to>
                <xdr:col>5</xdr:col>
                <xdr:colOff>104775</xdr:colOff>
                <xdr:row>39</xdr:row>
                <xdr:rowOff>142875</xdr:rowOff>
              </to>
            </anchor>
          </objectPr>
        </oleObject>
      </mc:Choice>
      <mc:Fallback>
        <oleObject progId="MSPhotoEd.3" shapeId="62738" r:id="rId6"/>
      </mc:Fallback>
    </mc:AlternateContent>
  </oleObjects>
  <mc:AlternateContent xmlns:mc="http://schemas.openxmlformats.org/markup-compatibility/2006">
    <mc:Choice Requires="x14">
      <controls>
        <mc:AlternateContent xmlns:mc="http://schemas.openxmlformats.org/markup-compatibility/2006">
          <mc:Choice Requires="x14">
            <control shapeId="62480" r:id="rId7" name="Option Button 16">
              <controlPr defaultSize="0" autoFill="0" autoLine="0" autoPict="0">
                <anchor moveWithCells="1">
                  <from>
                    <xdr:col>3</xdr:col>
                    <xdr:colOff>142875</xdr:colOff>
                    <xdr:row>12</xdr:row>
                    <xdr:rowOff>114300</xdr:rowOff>
                  </from>
                  <to>
                    <xdr:col>3</xdr:col>
                    <xdr:colOff>495300</xdr:colOff>
                    <xdr:row>14</xdr:row>
                    <xdr:rowOff>9525</xdr:rowOff>
                  </to>
                </anchor>
              </controlPr>
            </control>
          </mc:Choice>
        </mc:AlternateContent>
        <mc:AlternateContent xmlns:mc="http://schemas.openxmlformats.org/markup-compatibility/2006">
          <mc:Choice Requires="x14">
            <control shapeId="62481" r:id="rId8" name="Option Button 17">
              <controlPr defaultSize="0" autoFill="0" autoLine="0" autoPict="0">
                <anchor moveWithCells="1">
                  <from>
                    <xdr:col>4</xdr:col>
                    <xdr:colOff>123825</xdr:colOff>
                    <xdr:row>12</xdr:row>
                    <xdr:rowOff>66675</xdr:rowOff>
                  </from>
                  <to>
                    <xdr:col>4</xdr:col>
                    <xdr:colOff>495300</xdr:colOff>
                    <xdr:row>14</xdr:row>
                    <xdr:rowOff>66675</xdr:rowOff>
                  </to>
                </anchor>
              </controlPr>
            </control>
          </mc:Choice>
        </mc:AlternateContent>
        <mc:AlternateContent xmlns:mc="http://schemas.openxmlformats.org/markup-compatibility/2006">
          <mc:Choice Requires="x14">
            <control shapeId="62482" r:id="rId9" name="Group Box 18">
              <controlPr defaultSize="0" autoFill="0" autoPict="0">
                <anchor moveWithCells="1">
                  <from>
                    <xdr:col>2</xdr:col>
                    <xdr:colOff>628650</xdr:colOff>
                    <xdr:row>12</xdr:row>
                    <xdr:rowOff>9525</xdr:rowOff>
                  </from>
                  <to>
                    <xdr:col>5</xdr:col>
                    <xdr:colOff>9525</xdr:colOff>
                    <xdr:row>15</xdr:row>
                    <xdr:rowOff>0</xdr:rowOff>
                  </to>
                </anchor>
              </controlPr>
            </control>
          </mc:Choice>
        </mc:AlternateContent>
        <mc:AlternateContent xmlns:mc="http://schemas.openxmlformats.org/markup-compatibility/2006">
          <mc:Choice Requires="x14">
            <control shapeId="62495" r:id="rId10" name="Group Box 31">
              <controlPr defaultSize="0" autoFill="0" autoPict="0">
                <anchor moveWithCells="1">
                  <from>
                    <xdr:col>3</xdr:col>
                    <xdr:colOff>0</xdr:colOff>
                    <xdr:row>17</xdr:row>
                    <xdr:rowOff>0</xdr:rowOff>
                  </from>
                  <to>
                    <xdr:col>6</xdr:col>
                    <xdr:colOff>9525</xdr:colOff>
                    <xdr:row>19</xdr:row>
                    <xdr:rowOff>142875</xdr:rowOff>
                  </to>
                </anchor>
              </controlPr>
            </control>
          </mc:Choice>
        </mc:AlternateContent>
        <mc:AlternateContent xmlns:mc="http://schemas.openxmlformats.org/markup-compatibility/2006">
          <mc:Choice Requires="x14">
            <control shapeId="62496" r:id="rId11" name="Option Button 32">
              <controlPr defaultSize="0" autoFill="0" autoLine="0" autoPict="0">
                <anchor moveWithCells="1">
                  <from>
                    <xdr:col>4</xdr:col>
                    <xdr:colOff>123825</xdr:colOff>
                    <xdr:row>17</xdr:row>
                    <xdr:rowOff>47625</xdr:rowOff>
                  </from>
                  <to>
                    <xdr:col>4</xdr:col>
                    <xdr:colOff>495300</xdr:colOff>
                    <xdr:row>19</xdr:row>
                    <xdr:rowOff>47625</xdr:rowOff>
                  </to>
                </anchor>
              </controlPr>
            </control>
          </mc:Choice>
        </mc:AlternateContent>
        <mc:AlternateContent xmlns:mc="http://schemas.openxmlformats.org/markup-compatibility/2006">
          <mc:Choice Requires="x14">
            <control shapeId="62497" r:id="rId12" name="Option Button 33">
              <controlPr defaultSize="0" autoFill="0" autoLine="0" autoPict="0">
                <anchor moveWithCells="1">
                  <from>
                    <xdr:col>5</xdr:col>
                    <xdr:colOff>123825</xdr:colOff>
                    <xdr:row>17</xdr:row>
                    <xdr:rowOff>47625</xdr:rowOff>
                  </from>
                  <to>
                    <xdr:col>5</xdr:col>
                    <xdr:colOff>495300</xdr:colOff>
                    <xdr:row>19</xdr:row>
                    <xdr:rowOff>47625</xdr:rowOff>
                  </to>
                </anchor>
              </controlPr>
            </control>
          </mc:Choice>
        </mc:AlternateContent>
        <mc:AlternateContent xmlns:mc="http://schemas.openxmlformats.org/markup-compatibility/2006">
          <mc:Choice Requires="x14">
            <control shapeId="62499" r:id="rId13" name="Group Box 35">
              <controlPr defaultSize="0" autoFill="0" autoPict="0">
                <anchor moveWithCells="1">
                  <from>
                    <xdr:col>3</xdr:col>
                    <xdr:colOff>0</xdr:colOff>
                    <xdr:row>17</xdr:row>
                    <xdr:rowOff>0</xdr:rowOff>
                  </from>
                  <to>
                    <xdr:col>6</xdr:col>
                    <xdr:colOff>9525</xdr:colOff>
                    <xdr:row>20</xdr:row>
                    <xdr:rowOff>0</xdr:rowOff>
                  </to>
                </anchor>
              </controlPr>
            </control>
          </mc:Choice>
        </mc:AlternateContent>
        <mc:AlternateContent xmlns:mc="http://schemas.openxmlformats.org/markup-compatibility/2006">
          <mc:Choice Requires="x14">
            <control shapeId="62502" r:id="rId14" name="Option Button 38">
              <controlPr defaultSize="0" autoFill="0" autoLine="0" autoPict="0">
                <anchor moveWithCells="1">
                  <from>
                    <xdr:col>4</xdr:col>
                    <xdr:colOff>114300</xdr:colOff>
                    <xdr:row>20</xdr:row>
                    <xdr:rowOff>123825</xdr:rowOff>
                  </from>
                  <to>
                    <xdr:col>4</xdr:col>
                    <xdr:colOff>485775</xdr:colOff>
                    <xdr:row>22</xdr:row>
                    <xdr:rowOff>28575</xdr:rowOff>
                  </to>
                </anchor>
              </controlPr>
            </control>
          </mc:Choice>
        </mc:AlternateContent>
        <mc:AlternateContent xmlns:mc="http://schemas.openxmlformats.org/markup-compatibility/2006">
          <mc:Choice Requires="x14">
            <control shapeId="62503" r:id="rId15" name="Group Box 39">
              <controlPr defaultSize="0" autoFill="0" autoPict="0">
                <anchor moveWithCells="1">
                  <from>
                    <xdr:col>3</xdr:col>
                    <xdr:colOff>9525</xdr:colOff>
                    <xdr:row>20</xdr:row>
                    <xdr:rowOff>0</xdr:rowOff>
                  </from>
                  <to>
                    <xdr:col>6</xdr:col>
                    <xdr:colOff>28575</xdr:colOff>
                    <xdr:row>22</xdr:row>
                    <xdr:rowOff>142875</xdr:rowOff>
                  </to>
                </anchor>
              </controlPr>
            </control>
          </mc:Choice>
        </mc:AlternateContent>
        <mc:AlternateContent xmlns:mc="http://schemas.openxmlformats.org/markup-compatibility/2006">
          <mc:Choice Requires="x14">
            <control shapeId="62504" r:id="rId16" name="Option Button 40">
              <controlPr defaultSize="0" autoFill="0" autoLine="0" autoPict="0">
                <anchor moveWithCells="1">
                  <from>
                    <xdr:col>3</xdr:col>
                    <xdr:colOff>152400</xdr:colOff>
                    <xdr:row>20</xdr:row>
                    <xdr:rowOff>85725</xdr:rowOff>
                  </from>
                  <to>
                    <xdr:col>3</xdr:col>
                    <xdr:colOff>523875</xdr:colOff>
                    <xdr:row>22</xdr:row>
                    <xdr:rowOff>85725</xdr:rowOff>
                  </to>
                </anchor>
              </controlPr>
            </control>
          </mc:Choice>
        </mc:AlternateContent>
        <mc:AlternateContent xmlns:mc="http://schemas.openxmlformats.org/markup-compatibility/2006">
          <mc:Choice Requires="x14">
            <control shapeId="62505" r:id="rId17" name="Option Button 41">
              <controlPr defaultSize="0" autoFill="0" autoLine="0" autoPict="0">
                <anchor moveWithCells="1">
                  <from>
                    <xdr:col>5</xdr:col>
                    <xdr:colOff>123825</xdr:colOff>
                    <xdr:row>20</xdr:row>
                    <xdr:rowOff>66675</xdr:rowOff>
                  </from>
                  <to>
                    <xdr:col>5</xdr:col>
                    <xdr:colOff>495300</xdr:colOff>
                    <xdr:row>22</xdr:row>
                    <xdr:rowOff>66675</xdr:rowOff>
                  </to>
                </anchor>
              </controlPr>
            </control>
          </mc:Choice>
        </mc:AlternateContent>
        <mc:AlternateContent xmlns:mc="http://schemas.openxmlformats.org/markup-compatibility/2006">
          <mc:Choice Requires="x14">
            <control shapeId="62510" r:id="rId18" name="Option Button 46">
              <controlPr defaultSize="0" autoFill="0" autoLine="0" autoPict="0">
                <anchor moveWithCells="1">
                  <from>
                    <xdr:col>4</xdr:col>
                    <xdr:colOff>123825</xdr:colOff>
                    <xdr:row>28</xdr:row>
                    <xdr:rowOff>57150</xdr:rowOff>
                  </from>
                  <to>
                    <xdr:col>4</xdr:col>
                    <xdr:colOff>495300</xdr:colOff>
                    <xdr:row>30</xdr:row>
                    <xdr:rowOff>66675</xdr:rowOff>
                  </to>
                </anchor>
              </controlPr>
            </control>
          </mc:Choice>
        </mc:AlternateContent>
        <mc:AlternateContent xmlns:mc="http://schemas.openxmlformats.org/markup-compatibility/2006">
          <mc:Choice Requires="x14">
            <control shapeId="62511" r:id="rId19" name="Group Box 47">
              <controlPr defaultSize="0" autoFill="0" autoPict="0">
                <anchor moveWithCells="1">
                  <from>
                    <xdr:col>2</xdr:col>
                    <xdr:colOff>628650</xdr:colOff>
                    <xdr:row>28</xdr:row>
                    <xdr:rowOff>0</xdr:rowOff>
                  </from>
                  <to>
                    <xdr:col>5</xdr:col>
                    <xdr:colOff>9525</xdr:colOff>
                    <xdr:row>31</xdr:row>
                    <xdr:rowOff>0</xdr:rowOff>
                  </to>
                </anchor>
              </controlPr>
            </control>
          </mc:Choice>
        </mc:AlternateContent>
        <mc:AlternateContent xmlns:mc="http://schemas.openxmlformats.org/markup-compatibility/2006">
          <mc:Choice Requires="x14">
            <control shapeId="62517" r:id="rId20" name="Group Box 53">
              <controlPr defaultSize="0" autoFill="0" autoPict="0">
                <anchor moveWithCells="1">
                  <from>
                    <xdr:col>2</xdr:col>
                    <xdr:colOff>628650</xdr:colOff>
                    <xdr:row>45</xdr:row>
                    <xdr:rowOff>0</xdr:rowOff>
                  </from>
                  <to>
                    <xdr:col>6</xdr:col>
                    <xdr:colOff>9525</xdr:colOff>
                    <xdr:row>48</xdr:row>
                    <xdr:rowOff>0</xdr:rowOff>
                  </to>
                </anchor>
              </controlPr>
            </control>
          </mc:Choice>
        </mc:AlternateContent>
        <mc:AlternateContent xmlns:mc="http://schemas.openxmlformats.org/markup-compatibility/2006">
          <mc:Choice Requires="x14">
            <control shapeId="62520" r:id="rId21" name="Option Button 56">
              <controlPr defaultSize="0" autoFill="0" autoLine="0" autoPict="0">
                <anchor moveWithCells="1">
                  <from>
                    <xdr:col>3</xdr:col>
                    <xdr:colOff>142875</xdr:colOff>
                    <xdr:row>45</xdr:row>
                    <xdr:rowOff>114300</xdr:rowOff>
                  </from>
                  <to>
                    <xdr:col>3</xdr:col>
                    <xdr:colOff>495300</xdr:colOff>
                    <xdr:row>47</xdr:row>
                    <xdr:rowOff>9525</xdr:rowOff>
                  </to>
                </anchor>
              </controlPr>
            </control>
          </mc:Choice>
        </mc:AlternateContent>
        <mc:AlternateContent xmlns:mc="http://schemas.openxmlformats.org/markup-compatibility/2006">
          <mc:Choice Requires="x14">
            <control shapeId="62521" r:id="rId22" name="Group Box 57">
              <controlPr defaultSize="0" autoFill="0" autoPict="0">
                <anchor moveWithCells="1">
                  <from>
                    <xdr:col>3</xdr:col>
                    <xdr:colOff>0</xdr:colOff>
                    <xdr:row>45</xdr:row>
                    <xdr:rowOff>9525</xdr:rowOff>
                  </from>
                  <to>
                    <xdr:col>6</xdr:col>
                    <xdr:colOff>9525</xdr:colOff>
                    <xdr:row>48</xdr:row>
                    <xdr:rowOff>0</xdr:rowOff>
                  </to>
                </anchor>
              </controlPr>
            </control>
          </mc:Choice>
        </mc:AlternateContent>
        <mc:AlternateContent xmlns:mc="http://schemas.openxmlformats.org/markup-compatibility/2006">
          <mc:Choice Requires="x14">
            <control shapeId="62522" r:id="rId23" name="Option Button 58">
              <controlPr defaultSize="0" autoFill="0" autoLine="0" autoPict="0">
                <anchor moveWithCells="1">
                  <from>
                    <xdr:col>4</xdr:col>
                    <xdr:colOff>123825</xdr:colOff>
                    <xdr:row>45</xdr:row>
                    <xdr:rowOff>66675</xdr:rowOff>
                  </from>
                  <to>
                    <xdr:col>4</xdr:col>
                    <xdr:colOff>495300</xdr:colOff>
                    <xdr:row>47</xdr:row>
                    <xdr:rowOff>66675</xdr:rowOff>
                  </to>
                </anchor>
              </controlPr>
            </control>
          </mc:Choice>
        </mc:AlternateContent>
        <mc:AlternateContent xmlns:mc="http://schemas.openxmlformats.org/markup-compatibility/2006">
          <mc:Choice Requires="x14">
            <control shapeId="62523" r:id="rId24" name="Option Button 59">
              <controlPr defaultSize="0" autoFill="0" autoLine="0" autoPict="0">
                <anchor moveWithCells="1">
                  <from>
                    <xdr:col>5</xdr:col>
                    <xdr:colOff>123825</xdr:colOff>
                    <xdr:row>45</xdr:row>
                    <xdr:rowOff>66675</xdr:rowOff>
                  </from>
                  <to>
                    <xdr:col>5</xdr:col>
                    <xdr:colOff>495300</xdr:colOff>
                    <xdr:row>47</xdr:row>
                    <xdr:rowOff>66675</xdr:rowOff>
                  </to>
                </anchor>
              </controlPr>
            </control>
          </mc:Choice>
        </mc:AlternateContent>
        <mc:AlternateContent xmlns:mc="http://schemas.openxmlformats.org/markup-compatibility/2006">
          <mc:Choice Requires="x14">
            <control shapeId="62524" r:id="rId25" name="Option Button 60">
              <controlPr defaultSize="0" autoFill="0" autoLine="0" autoPict="0">
                <anchor moveWithCells="1">
                  <from>
                    <xdr:col>3</xdr:col>
                    <xdr:colOff>142875</xdr:colOff>
                    <xdr:row>48</xdr:row>
                    <xdr:rowOff>114300</xdr:rowOff>
                  </from>
                  <to>
                    <xdr:col>3</xdr:col>
                    <xdr:colOff>495300</xdr:colOff>
                    <xdr:row>50</xdr:row>
                    <xdr:rowOff>9525</xdr:rowOff>
                  </to>
                </anchor>
              </controlPr>
            </control>
          </mc:Choice>
        </mc:AlternateContent>
        <mc:AlternateContent xmlns:mc="http://schemas.openxmlformats.org/markup-compatibility/2006">
          <mc:Choice Requires="x14">
            <control shapeId="62525" r:id="rId26" name="Group Box 61">
              <controlPr defaultSize="0" autoFill="0" autoPict="0">
                <anchor moveWithCells="1">
                  <from>
                    <xdr:col>2</xdr:col>
                    <xdr:colOff>628650</xdr:colOff>
                    <xdr:row>48</xdr:row>
                    <xdr:rowOff>9525</xdr:rowOff>
                  </from>
                  <to>
                    <xdr:col>6</xdr:col>
                    <xdr:colOff>9525</xdr:colOff>
                    <xdr:row>51</xdr:row>
                    <xdr:rowOff>0</xdr:rowOff>
                  </to>
                </anchor>
              </controlPr>
            </control>
          </mc:Choice>
        </mc:AlternateContent>
        <mc:AlternateContent xmlns:mc="http://schemas.openxmlformats.org/markup-compatibility/2006">
          <mc:Choice Requires="x14">
            <control shapeId="62526" r:id="rId27" name="Option Button 62">
              <controlPr defaultSize="0" autoFill="0" autoLine="0" autoPict="0">
                <anchor moveWithCells="1">
                  <from>
                    <xdr:col>4</xdr:col>
                    <xdr:colOff>123825</xdr:colOff>
                    <xdr:row>48</xdr:row>
                    <xdr:rowOff>66675</xdr:rowOff>
                  </from>
                  <to>
                    <xdr:col>4</xdr:col>
                    <xdr:colOff>495300</xdr:colOff>
                    <xdr:row>50</xdr:row>
                    <xdr:rowOff>66675</xdr:rowOff>
                  </to>
                </anchor>
              </controlPr>
            </control>
          </mc:Choice>
        </mc:AlternateContent>
        <mc:AlternateContent xmlns:mc="http://schemas.openxmlformats.org/markup-compatibility/2006">
          <mc:Choice Requires="x14">
            <control shapeId="62527" r:id="rId28" name="Option Button 63">
              <controlPr defaultSize="0" autoFill="0" autoLine="0" autoPict="0">
                <anchor moveWithCells="1">
                  <from>
                    <xdr:col>5</xdr:col>
                    <xdr:colOff>123825</xdr:colOff>
                    <xdr:row>48</xdr:row>
                    <xdr:rowOff>66675</xdr:rowOff>
                  </from>
                  <to>
                    <xdr:col>5</xdr:col>
                    <xdr:colOff>495300</xdr:colOff>
                    <xdr:row>50</xdr:row>
                    <xdr:rowOff>66675</xdr:rowOff>
                  </to>
                </anchor>
              </controlPr>
            </control>
          </mc:Choice>
        </mc:AlternateContent>
        <mc:AlternateContent xmlns:mc="http://schemas.openxmlformats.org/markup-compatibility/2006">
          <mc:Choice Requires="x14">
            <control shapeId="62528" r:id="rId29" name="Option Button 64">
              <controlPr defaultSize="0" autoFill="0" autoLine="0" autoPict="0">
                <anchor moveWithCells="1">
                  <from>
                    <xdr:col>3</xdr:col>
                    <xdr:colOff>142875</xdr:colOff>
                    <xdr:row>51</xdr:row>
                    <xdr:rowOff>114300</xdr:rowOff>
                  </from>
                  <to>
                    <xdr:col>3</xdr:col>
                    <xdr:colOff>495300</xdr:colOff>
                    <xdr:row>53</xdr:row>
                    <xdr:rowOff>9525</xdr:rowOff>
                  </to>
                </anchor>
              </controlPr>
            </control>
          </mc:Choice>
        </mc:AlternateContent>
        <mc:AlternateContent xmlns:mc="http://schemas.openxmlformats.org/markup-compatibility/2006">
          <mc:Choice Requires="x14">
            <control shapeId="62530" r:id="rId30" name="Option Button 66">
              <controlPr defaultSize="0" autoFill="0" autoLine="0" autoPict="0">
                <anchor moveWithCells="1">
                  <from>
                    <xdr:col>4</xdr:col>
                    <xdr:colOff>123825</xdr:colOff>
                    <xdr:row>51</xdr:row>
                    <xdr:rowOff>66675</xdr:rowOff>
                  </from>
                  <to>
                    <xdr:col>4</xdr:col>
                    <xdr:colOff>495300</xdr:colOff>
                    <xdr:row>53</xdr:row>
                    <xdr:rowOff>66675</xdr:rowOff>
                  </to>
                </anchor>
              </controlPr>
            </control>
          </mc:Choice>
        </mc:AlternateContent>
        <mc:AlternateContent xmlns:mc="http://schemas.openxmlformats.org/markup-compatibility/2006">
          <mc:Choice Requires="x14">
            <control shapeId="62531" r:id="rId31" name="Option Button 67">
              <controlPr defaultSize="0" autoFill="0" autoLine="0" autoPict="0">
                <anchor moveWithCells="1">
                  <from>
                    <xdr:col>5</xdr:col>
                    <xdr:colOff>123825</xdr:colOff>
                    <xdr:row>51</xdr:row>
                    <xdr:rowOff>66675</xdr:rowOff>
                  </from>
                  <to>
                    <xdr:col>5</xdr:col>
                    <xdr:colOff>495300</xdr:colOff>
                    <xdr:row>53</xdr:row>
                    <xdr:rowOff>66675</xdr:rowOff>
                  </to>
                </anchor>
              </controlPr>
            </control>
          </mc:Choice>
        </mc:AlternateContent>
        <mc:AlternateContent xmlns:mc="http://schemas.openxmlformats.org/markup-compatibility/2006">
          <mc:Choice Requires="x14">
            <control shapeId="62532" r:id="rId32" name="Option Button 68">
              <controlPr defaultSize="0" autoFill="0" autoLine="0" autoPict="0">
                <anchor moveWithCells="1">
                  <from>
                    <xdr:col>3</xdr:col>
                    <xdr:colOff>142875</xdr:colOff>
                    <xdr:row>54</xdr:row>
                    <xdr:rowOff>114300</xdr:rowOff>
                  </from>
                  <to>
                    <xdr:col>3</xdr:col>
                    <xdr:colOff>495300</xdr:colOff>
                    <xdr:row>56</xdr:row>
                    <xdr:rowOff>9525</xdr:rowOff>
                  </to>
                </anchor>
              </controlPr>
            </control>
          </mc:Choice>
        </mc:AlternateContent>
        <mc:AlternateContent xmlns:mc="http://schemas.openxmlformats.org/markup-compatibility/2006">
          <mc:Choice Requires="x14">
            <control shapeId="62533" r:id="rId33" name="Group Box 69">
              <controlPr defaultSize="0" autoFill="0" autoPict="0">
                <anchor moveWithCells="1">
                  <from>
                    <xdr:col>2</xdr:col>
                    <xdr:colOff>628650</xdr:colOff>
                    <xdr:row>54</xdr:row>
                    <xdr:rowOff>9525</xdr:rowOff>
                  </from>
                  <to>
                    <xdr:col>6</xdr:col>
                    <xdr:colOff>9525</xdr:colOff>
                    <xdr:row>57</xdr:row>
                    <xdr:rowOff>0</xdr:rowOff>
                  </to>
                </anchor>
              </controlPr>
            </control>
          </mc:Choice>
        </mc:AlternateContent>
        <mc:AlternateContent xmlns:mc="http://schemas.openxmlformats.org/markup-compatibility/2006">
          <mc:Choice Requires="x14">
            <control shapeId="62534" r:id="rId34" name="Option Button 70">
              <controlPr defaultSize="0" autoFill="0" autoLine="0" autoPict="0">
                <anchor moveWithCells="1">
                  <from>
                    <xdr:col>4</xdr:col>
                    <xdr:colOff>123825</xdr:colOff>
                    <xdr:row>54</xdr:row>
                    <xdr:rowOff>66675</xdr:rowOff>
                  </from>
                  <to>
                    <xdr:col>4</xdr:col>
                    <xdr:colOff>495300</xdr:colOff>
                    <xdr:row>56</xdr:row>
                    <xdr:rowOff>66675</xdr:rowOff>
                  </to>
                </anchor>
              </controlPr>
            </control>
          </mc:Choice>
        </mc:AlternateContent>
        <mc:AlternateContent xmlns:mc="http://schemas.openxmlformats.org/markup-compatibility/2006">
          <mc:Choice Requires="x14">
            <control shapeId="62535" r:id="rId35" name="Option Button 71">
              <controlPr defaultSize="0" autoFill="0" autoLine="0" autoPict="0">
                <anchor moveWithCells="1">
                  <from>
                    <xdr:col>5</xdr:col>
                    <xdr:colOff>123825</xdr:colOff>
                    <xdr:row>54</xdr:row>
                    <xdr:rowOff>66675</xdr:rowOff>
                  </from>
                  <to>
                    <xdr:col>5</xdr:col>
                    <xdr:colOff>495300</xdr:colOff>
                    <xdr:row>56</xdr:row>
                    <xdr:rowOff>66675</xdr:rowOff>
                  </to>
                </anchor>
              </controlPr>
            </control>
          </mc:Choice>
        </mc:AlternateContent>
        <mc:AlternateContent xmlns:mc="http://schemas.openxmlformats.org/markup-compatibility/2006">
          <mc:Choice Requires="x14">
            <control shapeId="62536" r:id="rId36" name="Option Button 72">
              <controlPr defaultSize="0" autoFill="0" autoLine="0" autoPict="0">
                <anchor moveWithCells="1">
                  <from>
                    <xdr:col>3</xdr:col>
                    <xdr:colOff>152400</xdr:colOff>
                    <xdr:row>57</xdr:row>
                    <xdr:rowOff>123825</xdr:rowOff>
                  </from>
                  <to>
                    <xdr:col>3</xdr:col>
                    <xdr:colOff>504825</xdr:colOff>
                    <xdr:row>59</xdr:row>
                    <xdr:rowOff>28575</xdr:rowOff>
                  </to>
                </anchor>
              </controlPr>
            </control>
          </mc:Choice>
        </mc:AlternateContent>
        <mc:AlternateContent xmlns:mc="http://schemas.openxmlformats.org/markup-compatibility/2006">
          <mc:Choice Requires="x14">
            <control shapeId="62537" r:id="rId37" name="Group Box 73">
              <controlPr defaultSize="0" autoFill="0" autoPict="0">
                <anchor moveWithCells="1">
                  <from>
                    <xdr:col>2</xdr:col>
                    <xdr:colOff>628650</xdr:colOff>
                    <xdr:row>57</xdr:row>
                    <xdr:rowOff>0</xdr:rowOff>
                  </from>
                  <to>
                    <xdr:col>6</xdr:col>
                    <xdr:colOff>9525</xdr:colOff>
                    <xdr:row>59</xdr:row>
                    <xdr:rowOff>142875</xdr:rowOff>
                  </to>
                </anchor>
              </controlPr>
            </control>
          </mc:Choice>
        </mc:AlternateContent>
        <mc:AlternateContent xmlns:mc="http://schemas.openxmlformats.org/markup-compatibility/2006">
          <mc:Choice Requires="x14">
            <control shapeId="62538" r:id="rId38" name="Option Button 74">
              <controlPr defaultSize="0" autoFill="0" autoLine="0" autoPict="0">
                <anchor moveWithCells="1">
                  <from>
                    <xdr:col>4</xdr:col>
                    <xdr:colOff>123825</xdr:colOff>
                    <xdr:row>57</xdr:row>
                    <xdr:rowOff>76200</xdr:rowOff>
                  </from>
                  <to>
                    <xdr:col>4</xdr:col>
                    <xdr:colOff>495300</xdr:colOff>
                    <xdr:row>59</xdr:row>
                    <xdr:rowOff>66675</xdr:rowOff>
                  </to>
                </anchor>
              </controlPr>
            </control>
          </mc:Choice>
        </mc:AlternateContent>
        <mc:AlternateContent xmlns:mc="http://schemas.openxmlformats.org/markup-compatibility/2006">
          <mc:Choice Requires="x14">
            <control shapeId="62541" r:id="rId39" name="Group Box 77">
              <controlPr defaultSize="0" autoFill="0" autoPict="0">
                <anchor moveWithCells="1">
                  <from>
                    <xdr:col>2</xdr:col>
                    <xdr:colOff>628650</xdr:colOff>
                    <xdr:row>57</xdr:row>
                    <xdr:rowOff>0</xdr:rowOff>
                  </from>
                  <to>
                    <xdr:col>6</xdr:col>
                    <xdr:colOff>9525</xdr:colOff>
                    <xdr:row>59</xdr:row>
                    <xdr:rowOff>142875</xdr:rowOff>
                  </to>
                </anchor>
              </controlPr>
            </control>
          </mc:Choice>
        </mc:AlternateContent>
        <mc:AlternateContent xmlns:mc="http://schemas.openxmlformats.org/markup-compatibility/2006">
          <mc:Choice Requires="x14">
            <control shapeId="62551" r:id="rId40" name="Option Button 87">
              <controlPr defaultSize="0" autoFill="0" autoLine="0" autoPict="0">
                <anchor moveWithCells="1">
                  <from>
                    <xdr:col>4</xdr:col>
                    <xdr:colOff>123825</xdr:colOff>
                    <xdr:row>60</xdr:row>
                    <xdr:rowOff>66675</xdr:rowOff>
                  </from>
                  <to>
                    <xdr:col>4</xdr:col>
                    <xdr:colOff>495300</xdr:colOff>
                    <xdr:row>62</xdr:row>
                    <xdr:rowOff>66675</xdr:rowOff>
                  </to>
                </anchor>
              </controlPr>
            </control>
          </mc:Choice>
        </mc:AlternateContent>
        <mc:AlternateContent xmlns:mc="http://schemas.openxmlformats.org/markup-compatibility/2006">
          <mc:Choice Requires="x14">
            <control shapeId="62554" r:id="rId41" name="Group Box 90">
              <controlPr defaultSize="0" autoFill="0" autoPict="0">
                <anchor moveWithCells="1">
                  <from>
                    <xdr:col>2</xdr:col>
                    <xdr:colOff>628650</xdr:colOff>
                    <xdr:row>63</xdr:row>
                    <xdr:rowOff>0</xdr:rowOff>
                  </from>
                  <to>
                    <xdr:col>6</xdr:col>
                    <xdr:colOff>9525</xdr:colOff>
                    <xdr:row>66</xdr:row>
                    <xdr:rowOff>0</xdr:rowOff>
                  </to>
                </anchor>
              </controlPr>
            </control>
          </mc:Choice>
        </mc:AlternateContent>
        <mc:AlternateContent xmlns:mc="http://schemas.openxmlformats.org/markup-compatibility/2006">
          <mc:Choice Requires="x14">
            <control shapeId="62557" r:id="rId42" name="Option Button 93">
              <controlPr defaultSize="0" autoFill="0" autoLine="0" autoPict="0">
                <anchor moveWithCells="1">
                  <from>
                    <xdr:col>3</xdr:col>
                    <xdr:colOff>142875</xdr:colOff>
                    <xdr:row>63</xdr:row>
                    <xdr:rowOff>114300</xdr:rowOff>
                  </from>
                  <to>
                    <xdr:col>3</xdr:col>
                    <xdr:colOff>495300</xdr:colOff>
                    <xdr:row>65</xdr:row>
                    <xdr:rowOff>9525</xdr:rowOff>
                  </to>
                </anchor>
              </controlPr>
            </control>
          </mc:Choice>
        </mc:AlternateContent>
        <mc:AlternateContent xmlns:mc="http://schemas.openxmlformats.org/markup-compatibility/2006">
          <mc:Choice Requires="x14">
            <control shapeId="62558" r:id="rId43" name="Group Box 94">
              <controlPr defaultSize="0" autoFill="0" autoPict="0">
                <anchor moveWithCells="1">
                  <from>
                    <xdr:col>2</xdr:col>
                    <xdr:colOff>628650</xdr:colOff>
                    <xdr:row>63</xdr:row>
                    <xdr:rowOff>9525</xdr:rowOff>
                  </from>
                  <to>
                    <xdr:col>6</xdr:col>
                    <xdr:colOff>9525</xdr:colOff>
                    <xdr:row>66</xdr:row>
                    <xdr:rowOff>0</xdr:rowOff>
                  </to>
                </anchor>
              </controlPr>
            </control>
          </mc:Choice>
        </mc:AlternateContent>
        <mc:AlternateContent xmlns:mc="http://schemas.openxmlformats.org/markup-compatibility/2006">
          <mc:Choice Requires="x14">
            <control shapeId="62559" r:id="rId44" name="Option Button 95">
              <controlPr defaultSize="0" autoFill="0" autoLine="0" autoPict="0">
                <anchor moveWithCells="1">
                  <from>
                    <xdr:col>4</xdr:col>
                    <xdr:colOff>123825</xdr:colOff>
                    <xdr:row>63</xdr:row>
                    <xdr:rowOff>66675</xdr:rowOff>
                  </from>
                  <to>
                    <xdr:col>4</xdr:col>
                    <xdr:colOff>495300</xdr:colOff>
                    <xdr:row>65</xdr:row>
                    <xdr:rowOff>66675</xdr:rowOff>
                  </to>
                </anchor>
              </controlPr>
            </control>
          </mc:Choice>
        </mc:AlternateContent>
        <mc:AlternateContent xmlns:mc="http://schemas.openxmlformats.org/markup-compatibility/2006">
          <mc:Choice Requires="x14">
            <control shapeId="62560" r:id="rId45" name="Option Button 96">
              <controlPr defaultSize="0" autoFill="0" autoLine="0" autoPict="0">
                <anchor moveWithCells="1">
                  <from>
                    <xdr:col>5</xdr:col>
                    <xdr:colOff>123825</xdr:colOff>
                    <xdr:row>63</xdr:row>
                    <xdr:rowOff>66675</xdr:rowOff>
                  </from>
                  <to>
                    <xdr:col>5</xdr:col>
                    <xdr:colOff>495300</xdr:colOff>
                    <xdr:row>65</xdr:row>
                    <xdr:rowOff>66675</xdr:rowOff>
                  </to>
                </anchor>
              </controlPr>
            </control>
          </mc:Choice>
        </mc:AlternateContent>
        <mc:AlternateContent xmlns:mc="http://schemas.openxmlformats.org/markup-compatibility/2006">
          <mc:Choice Requires="x14">
            <control shapeId="62561" r:id="rId46" name="Option Button 97">
              <controlPr defaultSize="0" autoFill="0" autoLine="0" autoPict="0">
                <anchor moveWithCells="1">
                  <from>
                    <xdr:col>3</xdr:col>
                    <xdr:colOff>142875</xdr:colOff>
                    <xdr:row>66</xdr:row>
                    <xdr:rowOff>114300</xdr:rowOff>
                  </from>
                  <to>
                    <xdr:col>3</xdr:col>
                    <xdr:colOff>495300</xdr:colOff>
                    <xdr:row>68</xdr:row>
                    <xdr:rowOff>9525</xdr:rowOff>
                  </to>
                </anchor>
              </controlPr>
            </control>
          </mc:Choice>
        </mc:AlternateContent>
        <mc:AlternateContent xmlns:mc="http://schemas.openxmlformats.org/markup-compatibility/2006">
          <mc:Choice Requires="x14">
            <control shapeId="62562" r:id="rId47" name="Group Box 98">
              <controlPr defaultSize="0" autoFill="0" autoPict="0">
                <anchor moveWithCells="1">
                  <from>
                    <xdr:col>2</xdr:col>
                    <xdr:colOff>628650</xdr:colOff>
                    <xdr:row>66</xdr:row>
                    <xdr:rowOff>9525</xdr:rowOff>
                  </from>
                  <to>
                    <xdr:col>6</xdr:col>
                    <xdr:colOff>9525</xdr:colOff>
                    <xdr:row>69</xdr:row>
                    <xdr:rowOff>0</xdr:rowOff>
                  </to>
                </anchor>
              </controlPr>
            </control>
          </mc:Choice>
        </mc:AlternateContent>
        <mc:AlternateContent xmlns:mc="http://schemas.openxmlformats.org/markup-compatibility/2006">
          <mc:Choice Requires="x14">
            <control shapeId="62563" r:id="rId48" name="Option Button 99">
              <controlPr defaultSize="0" autoFill="0" autoLine="0" autoPict="0">
                <anchor moveWithCells="1">
                  <from>
                    <xdr:col>4</xdr:col>
                    <xdr:colOff>123825</xdr:colOff>
                    <xdr:row>66</xdr:row>
                    <xdr:rowOff>66675</xdr:rowOff>
                  </from>
                  <to>
                    <xdr:col>4</xdr:col>
                    <xdr:colOff>495300</xdr:colOff>
                    <xdr:row>68</xdr:row>
                    <xdr:rowOff>66675</xdr:rowOff>
                  </to>
                </anchor>
              </controlPr>
            </control>
          </mc:Choice>
        </mc:AlternateContent>
        <mc:AlternateContent xmlns:mc="http://schemas.openxmlformats.org/markup-compatibility/2006">
          <mc:Choice Requires="x14">
            <control shapeId="62564" r:id="rId49" name="Option Button 100">
              <controlPr defaultSize="0" autoFill="0" autoLine="0" autoPict="0">
                <anchor moveWithCells="1">
                  <from>
                    <xdr:col>5</xdr:col>
                    <xdr:colOff>123825</xdr:colOff>
                    <xdr:row>66</xdr:row>
                    <xdr:rowOff>66675</xdr:rowOff>
                  </from>
                  <to>
                    <xdr:col>5</xdr:col>
                    <xdr:colOff>495300</xdr:colOff>
                    <xdr:row>68</xdr:row>
                    <xdr:rowOff>66675</xdr:rowOff>
                  </to>
                </anchor>
              </controlPr>
            </control>
          </mc:Choice>
        </mc:AlternateContent>
        <mc:AlternateContent xmlns:mc="http://schemas.openxmlformats.org/markup-compatibility/2006">
          <mc:Choice Requires="x14">
            <control shapeId="62566" r:id="rId50" name="Group Box 102">
              <controlPr defaultSize="0" autoFill="0" autoPict="0">
                <anchor moveWithCells="1">
                  <from>
                    <xdr:col>2</xdr:col>
                    <xdr:colOff>628650</xdr:colOff>
                    <xdr:row>48</xdr:row>
                    <xdr:rowOff>0</xdr:rowOff>
                  </from>
                  <to>
                    <xdr:col>6</xdr:col>
                    <xdr:colOff>9525</xdr:colOff>
                    <xdr:row>50</xdr:row>
                    <xdr:rowOff>142875</xdr:rowOff>
                  </to>
                </anchor>
              </controlPr>
            </control>
          </mc:Choice>
        </mc:AlternateContent>
        <mc:AlternateContent xmlns:mc="http://schemas.openxmlformats.org/markup-compatibility/2006">
          <mc:Choice Requires="x14">
            <control shapeId="62594" r:id="rId51" name="Option Button 130">
              <controlPr defaultSize="0" autoFill="0" autoLine="0" autoPict="0">
                <anchor moveWithCells="1">
                  <from>
                    <xdr:col>3</xdr:col>
                    <xdr:colOff>142875</xdr:colOff>
                    <xdr:row>12</xdr:row>
                    <xdr:rowOff>114300</xdr:rowOff>
                  </from>
                  <to>
                    <xdr:col>3</xdr:col>
                    <xdr:colOff>495300</xdr:colOff>
                    <xdr:row>14</xdr:row>
                    <xdr:rowOff>9525</xdr:rowOff>
                  </to>
                </anchor>
              </controlPr>
            </control>
          </mc:Choice>
        </mc:AlternateContent>
        <mc:AlternateContent xmlns:mc="http://schemas.openxmlformats.org/markup-compatibility/2006">
          <mc:Choice Requires="x14">
            <control shapeId="62595" r:id="rId52" name="Option Button 131">
              <controlPr defaultSize="0" autoFill="0" autoLine="0" autoPict="0">
                <anchor moveWithCells="1">
                  <from>
                    <xdr:col>4</xdr:col>
                    <xdr:colOff>123825</xdr:colOff>
                    <xdr:row>12</xdr:row>
                    <xdr:rowOff>66675</xdr:rowOff>
                  </from>
                  <to>
                    <xdr:col>4</xdr:col>
                    <xdr:colOff>495300</xdr:colOff>
                    <xdr:row>14</xdr:row>
                    <xdr:rowOff>66675</xdr:rowOff>
                  </to>
                </anchor>
              </controlPr>
            </control>
          </mc:Choice>
        </mc:AlternateContent>
        <mc:AlternateContent xmlns:mc="http://schemas.openxmlformats.org/markup-compatibility/2006">
          <mc:Choice Requires="x14">
            <control shapeId="62596" r:id="rId53" name="Group Box 132">
              <controlPr defaultSize="0" autoFill="0" autoPict="0">
                <anchor moveWithCells="1">
                  <from>
                    <xdr:col>2</xdr:col>
                    <xdr:colOff>628650</xdr:colOff>
                    <xdr:row>12</xdr:row>
                    <xdr:rowOff>9525</xdr:rowOff>
                  </from>
                  <to>
                    <xdr:col>5</xdr:col>
                    <xdr:colOff>9525</xdr:colOff>
                    <xdr:row>15</xdr:row>
                    <xdr:rowOff>0</xdr:rowOff>
                  </to>
                </anchor>
              </controlPr>
            </control>
          </mc:Choice>
        </mc:AlternateContent>
        <mc:AlternateContent xmlns:mc="http://schemas.openxmlformats.org/markup-compatibility/2006">
          <mc:Choice Requires="x14">
            <control shapeId="62608" r:id="rId54" name="Group Box 144">
              <controlPr defaultSize="0" autoFill="0" autoPict="0">
                <anchor moveWithCells="1">
                  <from>
                    <xdr:col>3</xdr:col>
                    <xdr:colOff>0</xdr:colOff>
                    <xdr:row>17</xdr:row>
                    <xdr:rowOff>0</xdr:rowOff>
                  </from>
                  <to>
                    <xdr:col>6</xdr:col>
                    <xdr:colOff>9525</xdr:colOff>
                    <xdr:row>19</xdr:row>
                    <xdr:rowOff>142875</xdr:rowOff>
                  </to>
                </anchor>
              </controlPr>
            </control>
          </mc:Choice>
        </mc:AlternateContent>
        <mc:AlternateContent xmlns:mc="http://schemas.openxmlformats.org/markup-compatibility/2006">
          <mc:Choice Requires="x14">
            <control shapeId="62612" r:id="rId55" name="Group Box 148">
              <controlPr defaultSize="0" autoFill="0" autoPict="0">
                <anchor moveWithCells="1">
                  <from>
                    <xdr:col>3</xdr:col>
                    <xdr:colOff>0</xdr:colOff>
                    <xdr:row>19</xdr:row>
                    <xdr:rowOff>142875</xdr:rowOff>
                  </from>
                  <to>
                    <xdr:col>6</xdr:col>
                    <xdr:colOff>9525</xdr:colOff>
                    <xdr:row>22</xdr:row>
                    <xdr:rowOff>142875</xdr:rowOff>
                  </to>
                </anchor>
              </controlPr>
            </control>
          </mc:Choice>
        </mc:AlternateContent>
        <mc:AlternateContent xmlns:mc="http://schemas.openxmlformats.org/markup-compatibility/2006">
          <mc:Choice Requires="x14">
            <control shapeId="62614" r:id="rId56" name="Option Button 150">
              <controlPr defaultSize="0" autoFill="0" autoLine="0" autoPict="0">
                <anchor moveWithCells="1">
                  <from>
                    <xdr:col>5</xdr:col>
                    <xdr:colOff>123825</xdr:colOff>
                    <xdr:row>20</xdr:row>
                    <xdr:rowOff>66675</xdr:rowOff>
                  </from>
                  <to>
                    <xdr:col>5</xdr:col>
                    <xdr:colOff>495300</xdr:colOff>
                    <xdr:row>22</xdr:row>
                    <xdr:rowOff>66675</xdr:rowOff>
                  </to>
                </anchor>
              </controlPr>
            </control>
          </mc:Choice>
        </mc:AlternateContent>
        <mc:AlternateContent xmlns:mc="http://schemas.openxmlformats.org/markup-compatibility/2006">
          <mc:Choice Requires="x14">
            <control shapeId="62615" r:id="rId57" name="Option Button 151">
              <controlPr defaultSize="0" autoFill="0" autoLine="0" autoPict="0">
                <anchor moveWithCells="1">
                  <from>
                    <xdr:col>3</xdr:col>
                    <xdr:colOff>142875</xdr:colOff>
                    <xdr:row>23</xdr:row>
                    <xdr:rowOff>114300</xdr:rowOff>
                  </from>
                  <to>
                    <xdr:col>3</xdr:col>
                    <xdr:colOff>495300</xdr:colOff>
                    <xdr:row>25</xdr:row>
                    <xdr:rowOff>9525</xdr:rowOff>
                  </to>
                </anchor>
              </controlPr>
            </control>
          </mc:Choice>
        </mc:AlternateContent>
        <mc:AlternateContent xmlns:mc="http://schemas.openxmlformats.org/markup-compatibility/2006">
          <mc:Choice Requires="x14">
            <control shapeId="62616" r:id="rId58" name="Group Box 152">
              <controlPr defaultSize="0" autoFill="0" autoPict="0">
                <anchor moveWithCells="1">
                  <from>
                    <xdr:col>3</xdr:col>
                    <xdr:colOff>9525</xdr:colOff>
                    <xdr:row>23</xdr:row>
                    <xdr:rowOff>0</xdr:rowOff>
                  </from>
                  <to>
                    <xdr:col>6</xdr:col>
                    <xdr:colOff>28575</xdr:colOff>
                    <xdr:row>25</xdr:row>
                    <xdr:rowOff>142875</xdr:rowOff>
                  </to>
                </anchor>
              </controlPr>
            </control>
          </mc:Choice>
        </mc:AlternateContent>
        <mc:AlternateContent xmlns:mc="http://schemas.openxmlformats.org/markup-compatibility/2006">
          <mc:Choice Requires="x14">
            <control shapeId="62617" r:id="rId59" name="Option Button 153">
              <controlPr defaultSize="0" autoFill="0" autoLine="0" autoPict="0">
                <anchor moveWithCells="1">
                  <from>
                    <xdr:col>4</xdr:col>
                    <xdr:colOff>123825</xdr:colOff>
                    <xdr:row>23</xdr:row>
                    <xdr:rowOff>66675</xdr:rowOff>
                  </from>
                  <to>
                    <xdr:col>4</xdr:col>
                    <xdr:colOff>495300</xdr:colOff>
                    <xdr:row>25</xdr:row>
                    <xdr:rowOff>66675</xdr:rowOff>
                  </to>
                </anchor>
              </controlPr>
            </control>
          </mc:Choice>
        </mc:AlternateContent>
        <mc:AlternateContent xmlns:mc="http://schemas.openxmlformats.org/markup-compatibility/2006">
          <mc:Choice Requires="x14">
            <control shapeId="62618" r:id="rId60" name="Option Button 154">
              <controlPr defaultSize="0" autoFill="0" autoLine="0" autoPict="0">
                <anchor moveWithCells="1">
                  <from>
                    <xdr:col>5</xdr:col>
                    <xdr:colOff>123825</xdr:colOff>
                    <xdr:row>23</xdr:row>
                    <xdr:rowOff>66675</xdr:rowOff>
                  </from>
                  <to>
                    <xdr:col>5</xdr:col>
                    <xdr:colOff>495300</xdr:colOff>
                    <xdr:row>25</xdr:row>
                    <xdr:rowOff>66675</xdr:rowOff>
                  </to>
                </anchor>
              </controlPr>
            </control>
          </mc:Choice>
        </mc:AlternateContent>
        <mc:AlternateContent xmlns:mc="http://schemas.openxmlformats.org/markup-compatibility/2006">
          <mc:Choice Requires="x14">
            <control shapeId="62622" r:id="rId61" name="Option Button 158">
              <controlPr defaultSize="0" autoFill="0" autoLine="0" autoPict="0">
                <anchor moveWithCells="1">
                  <from>
                    <xdr:col>3</xdr:col>
                    <xdr:colOff>142875</xdr:colOff>
                    <xdr:row>28</xdr:row>
                    <xdr:rowOff>114300</xdr:rowOff>
                  </from>
                  <to>
                    <xdr:col>3</xdr:col>
                    <xdr:colOff>495300</xdr:colOff>
                    <xdr:row>30</xdr:row>
                    <xdr:rowOff>9525</xdr:rowOff>
                  </to>
                </anchor>
              </controlPr>
            </control>
          </mc:Choice>
        </mc:AlternateContent>
        <mc:AlternateContent xmlns:mc="http://schemas.openxmlformats.org/markup-compatibility/2006">
          <mc:Choice Requires="x14">
            <control shapeId="62624" r:id="rId62" name="Group Box 160">
              <controlPr defaultSize="0" autoFill="0" autoPict="0">
                <anchor moveWithCells="1">
                  <from>
                    <xdr:col>2</xdr:col>
                    <xdr:colOff>628650</xdr:colOff>
                    <xdr:row>28</xdr:row>
                    <xdr:rowOff>9525</xdr:rowOff>
                  </from>
                  <to>
                    <xdr:col>5</xdr:col>
                    <xdr:colOff>28575</xdr:colOff>
                    <xdr:row>31</xdr:row>
                    <xdr:rowOff>0</xdr:rowOff>
                  </to>
                </anchor>
              </controlPr>
            </control>
          </mc:Choice>
        </mc:AlternateContent>
        <mc:AlternateContent xmlns:mc="http://schemas.openxmlformats.org/markup-compatibility/2006">
          <mc:Choice Requires="x14">
            <control shapeId="62629" r:id="rId63" name="Option Button 165">
              <controlPr defaultSize="0" autoFill="0" autoLine="0" autoPict="0">
                <anchor moveWithCells="1">
                  <from>
                    <xdr:col>3</xdr:col>
                    <xdr:colOff>142875</xdr:colOff>
                    <xdr:row>45</xdr:row>
                    <xdr:rowOff>114300</xdr:rowOff>
                  </from>
                  <to>
                    <xdr:col>3</xdr:col>
                    <xdr:colOff>495300</xdr:colOff>
                    <xdr:row>47</xdr:row>
                    <xdr:rowOff>9525</xdr:rowOff>
                  </to>
                </anchor>
              </controlPr>
            </control>
          </mc:Choice>
        </mc:AlternateContent>
        <mc:AlternateContent xmlns:mc="http://schemas.openxmlformats.org/markup-compatibility/2006">
          <mc:Choice Requires="x14">
            <control shapeId="62631" r:id="rId64" name="Option Button 167">
              <controlPr defaultSize="0" autoFill="0" autoLine="0" autoPict="0">
                <anchor moveWithCells="1">
                  <from>
                    <xdr:col>4</xdr:col>
                    <xdr:colOff>123825</xdr:colOff>
                    <xdr:row>45</xdr:row>
                    <xdr:rowOff>66675</xdr:rowOff>
                  </from>
                  <to>
                    <xdr:col>4</xdr:col>
                    <xdr:colOff>495300</xdr:colOff>
                    <xdr:row>47</xdr:row>
                    <xdr:rowOff>66675</xdr:rowOff>
                  </to>
                </anchor>
              </controlPr>
            </control>
          </mc:Choice>
        </mc:AlternateContent>
        <mc:AlternateContent xmlns:mc="http://schemas.openxmlformats.org/markup-compatibility/2006">
          <mc:Choice Requires="x14">
            <control shapeId="62632" r:id="rId65" name="Option Button 168">
              <controlPr defaultSize="0" autoFill="0" autoLine="0" autoPict="0">
                <anchor moveWithCells="1">
                  <from>
                    <xdr:col>5</xdr:col>
                    <xdr:colOff>123825</xdr:colOff>
                    <xdr:row>45</xdr:row>
                    <xdr:rowOff>66675</xdr:rowOff>
                  </from>
                  <to>
                    <xdr:col>5</xdr:col>
                    <xdr:colOff>495300</xdr:colOff>
                    <xdr:row>47</xdr:row>
                    <xdr:rowOff>66675</xdr:rowOff>
                  </to>
                </anchor>
              </controlPr>
            </control>
          </mc:Choice>
        </mc:AlternateContent>
        <mc:AlternateContent xmlns:mc="http://schemas.openxmlformats.org/markup-compatibility/2006">
          <mc:Choice Requires="x14">
            <control shapeId="62633" r:id="rId66" name="Option Button 169">
              <controlPr defaultSize="0" autoFill="0" autoLine="0" autoPict="0">
                <anchor moveWithCells="1">
                  <from>
                    <xdr:col>3</xdr:col>
                    <xdr:colOff>142875</xdr:colOff>
                    <xdr:row>48</xdr:row>
                    <xdr:rowOff>114300</xdr:rowOff>
                  </from>
                  <to>
                    <xdr:col>3</xdr:col>
                    <xdr:colOff>495300</xdr:colOff>
                    <xdr:row>50</xdr:row>
                    <xdr:rowOff>9525</xdr:rowOff>
                  </to>
                </anchor>
              </controlPr>
            </control>
          </mc:Choice>
        </mc:AlternateContent>
        <mc:AlternateContent xmlns:mc="http://schemas.openxmlformats.org/markup-compatibility/2006">
          <mc:Choice Requires="x14">
            <control shapeId="62635" r:id="rId67" name="Option Button 171">
              <controlPr defaultSize="0" autoFill="0" autoLine="0" autoPict="0">
                <anchor moveWithCells="1">
                  <from>
                    <xdr:col>4</xdr:col>
                    <xdr:colOff>123825</xdr:colOff>
                    <xdr:row>48</xdr:row>
                    <xdr:rowOff>66675</xdr:rowOff>
                  </from>
                  <to>
                    <xdr:col>4</xdr:col>
                    <xdr:colOff>495300</xdr:colOff>
                    <xdr:row>50</xdr:row>
                    <xdr:rowOff>66675</xdr:rowOff>
                  </to>
                </anchor>
              </controlPr>
            </control>
          </mc:Choice>
        </mc:AlternateContent>
        <mc:AlternateContent xmlns:mc="http://schemas.openxmlformats.org/markup-compatibility/2006">
          <mc:Choice Requires="x14">
            <control shapeId="62636" r:id="rId68" name="Option Button 172">
              <controlPr defaultSize="0" autoFill="0" autoLine="0" autoPict="0">
                <anchor moveWithCells="1">
                  <from>
                    <xdr:col>5</xdr:col>
                    <xdr:colOff>123825</xdr:colOff>
                    <xdr:row>48</xdr:row>
                    <xdr:rowOff>66675</xdr:rowOff>
                  </from>
                  <to>
                    <xdr:col>5</xdr:col>
                    <xdr:colOff>495300</xdr:colOff>
                    <xdr:row>50</xdr:row>
                    <xdr:rowOff>66675</xdr:rowOff>
                  </to>
                </anchor>
              </controlPr>
            </control>
          </mc:Choice>
        </mc:AlternateContent>
        <mc:AlternateContent xmlns:mc="http://schemas.openxmlformats.org/markup-compatibility/2006">
          <mc:Choice Requires="x14">
            <control shapeId="62639" r:id="rId69" name="Option Button 175">
              <controlPr defaultSize="0" autoFill="0" autoLine="0" autoPict="0">
                <anchor moveWithCells="1">
                  <from>
                    <xdr:col>4</xdr:col>
                    <xdr:colOff>123825</xdr:colOff>
                    <xdr:row>51</xdr:row>
                    <xdr:rowOff>66675</xdr:rowOff>
                  </from>
                  <to>
                    <xdr:col>4</xdr:col>
                    <xdr:colOff>495300</xdr:colOff>
                    <xdr:row>53</xdr:row>
                    <xdr:rowOff>66675</xdr:rowOff>
                  </to>
                </anchor>
              </controlPr>
            </control>
          </mc:Choice>
        </mc:AlternateContent>
        <mc:AlternateContent xmlns:mc="http://schemas.openxmlformats.org/markup-compatibility/2006">
          <mc:Choice Requires="x14">
            <control shapeId="62640" r:id="rId70" name="Option Button 176">
              <controlPr defaultSize="0" autoFill="0" autoLine="0" autoPict="0">
                <anchor moveWithCells="1">
                  <from>
                    <xdr:col>5</xdr:col>
                    <xdr:colOff>123825</xdr:colOff>
                    <xdr:row>51</xdr:row>
                    <xdr:rowOff>66675</xdr:rowOff>
                  </from>
                  <to>
                    <xdr:col>5</xdr:col>
                    <xdr:colOff>495300</xdr:colOff>
                    <xdr:row>53</xdr:row>
                    <xdr:rowOff>66675</xdr:rowOff>
                  </to>
                </anchor>
              </controlPr>
            </control>
          </mc:Choice>
        </mc:AlternateContent>
        <mc:AlternateContent xmlns:mc="http://schemas.openxmlformats.org/markup-compatibility/2006">
          <mc:Choice Requires="x14">
            <control shapeId="62641" r:id="rId71" name="Option Button 177">
              <controlPr defaultSize="0" autoFill="0" autoLine="0" autoPict="0">
                <anchor moveWithCells="1">
                  <from>
                    <xdr:col>3</xdr:col>
                    <xdr:colOff>142875</xdr:colOff>
                    <xdr:row>54</xdr:row>
                    <xdr:rowOff>114300</xdr:rowOff>
                  </from>
                  <to>
                    <xdr:col>3</xdr:col>
                    <xdr:colOff>495300</xdr:colOff>
                    <xdr:row>56</xdr:row>
                    <xdr:rowOff>9525</xdr:rowOff>
                  </to>
                </anchor>
              </controlPr>
            </control>
          </mc:Choice>
        </mc:AlternateContent>
        <mc:AlternateContent xmlns:mc="http://schemas.openxmlformats.org/markup-compatibility/2006">
          <mc:Choice Requires="x14">
            <control shapeId="62642" r:id="rId72" name="Group Box 178">
              <controlPr defaultSize="0" autoFill="0" autoPict="0">
                <anchor moveWithCells="1">
                  <from>
                    <xdr:col>3</xdr:col>
                    <xdr:colOff>0</xdr:colOff>
                    <xdr:row>54</xdr:row>
                    <xdr:rowOff>9525</xdr:rowOff>
                  </from>
                  <to>
                    <xdr:col>6</xdr:col>
                    <xdr:colOff>9525</xdr:colOff>
                    <xdr:row>57</xdr:row>
                    <xdr:rowOff>0</xdr:rowOff>
                  </to>
                </anchor>
              </controlPr>
            </control>
          </mc:Choice>
        </mc:AlternateContent>
        <mc:AlternateContent xmlns:mc="http://schemas.openxmlformats.org/markup-compatibility/2006">
          <mc:Choice Requires="x14">
            <control shapeId="62643" r:id="rId73" name="Option Button 179">
              <controlPr defaultSize="0" autoFill="0" autoLine="0" autoPict="0">
                <anchor moveWithCells="1">
                  <from>
                    <xdr:col>4</xdr:col>
                    <xdr:colOff>123825</xdr:colOff>
                    <xdr:row>54</xdr:row>
                    <xdr:rowOff>66675</xdr:rowOff>
                  </from>
                  <to>
                    <xdr:col>4</xdr:col>
                    <xdr:colOff>495300</xdr:colOff>
                    <xdr:row>56</xdr:row>
                    <xdr:rowOff>66675</xdr:rowOff>
                  </to>
                </anchor>
              </controlPr>
            </control>
          </mc:Choice>
        </mc:AlternateContent>
        <mc:AlternateContent xmlns:mc="http://schemas.openxmlformats.org/markup-compatibility/2006">
          <mc:Choice Requires="x14">
            <control shapeId="62644" r:id="rId74" name="Option Button 180">
              <controlPr defaultSize="0" autoFill="0" autoLine="0" autoPict="0">
                <anchor moveWithCells="1">
                  <from>
                    <xdr:col>5</xdr:col>
                    <xdr:colOff>123825</xdr:colOff>
                    <xdr:row>54</xdr:row>
                    <xdr:rowOff>66675</xdr:rowOff>
                  </from>
                  <to>
                    <xdr:col>5</xdr:col>
                    <xdr:colOff>495300</xdr:colOff>
                    <xdr:row>56</xdr:row>
                    <xdr:rowOff>66675</xdr:rowOff>
                  </to>
                </anchor>
              </controlPr>
            </control>
          </mc:Choice>
        </mc:AlternateContent>
        <mc:AlternateContent xmlns:mc="http://schemas.openxmlformats.org/markup-compatibility/2006">
          <mc:Choice Requires="x14">
            <control shapeId="62646" r:id="rId75" name="Group Box 182">
              <controlPr defaultSize="0" autoFill="0" autoPict="0">
                <anchor moveWithCells="1">
                  <from>
                    <xdr:col>3</xdr:col>
                    <xdr:colOff>0</xdr:colOff>
                    <xdr:row>57</xdr:row>
                    <xdr:rowOff>9525</xdr:rowOff>
                  </from>
                  <to>
                    <xdr:col>6</xdr:col>
                    <xdr:colOff>9525</xdr:colOff>
                    <xdr:row>60</xdr:row>
                    <xdr:rowOff>0</xdr:rowOff>
                  </to>
                </anchor>
              </controlPr>
            </control>
          </mc:Choice>
        </mc:AlternateContent>
        <mc:AlternateContent xmlns:mc="http://schemas.openxmlformats.org/markup-compatibility/2006">
          <mc:Choice Requires="x14">
            <control shapeId="62653" r:id="rId76" name="Option Button 189">
              <controlPr defaultSize="0" autoFill="0" autoLine="0" autoPict="0">
                <anchor moveWithCells="1">
                  <from>
                    <xdr:col>3</xdr:col>
                    <xdr:colOff>142875</xdr:colOff>
                    <xdr:row>74</xdr:row>
                    <xdr:rowOff>114300</xdr:rowOff>
                  </from>
                  <to>
                    <xdr:col>3</xdr:col>
                    <xdr:colOff>495300</xdr:colOff>
                    <xdr:row>76</xdr:row>
                    <xdr:rowOff>9525</xdr:rowOff>
                  </to>
                </anchor>
              </controlPr>
            </control>
          </mc:Choice>
        </mc:AlternateContent>
        <mc:AlternateContent xmlns:mc="http://schemas.openxmlformats.org/markup-compatibility/2006">
          <mc:Choice Requires="x14">
            <control shapeId="62654" r:id="rId77" name="Option Button 190">
              <controlPr defaultSize="0" autoFill="0" autoLine="0" autoPict="0">
                <anchor moveWithCells="1">
                  <from>
                    <xdr:col>4</xdr:col>
                    <xdr:colOff>123825</xdr:colOff>
                    <xdr:row>74</xdr:row>
                    <xdr:rowOff>66675</xdr:rowOff>
                  </from>
                  <to>
                    <xdr:col>4</xdr:col>
                    <xdr:colOff>495300</xdr:colOff>
                    <xdr:row>76</xdr:row>
                    <xdr:rowOff>66675</xdr:rowOff>
                  </to>
                </anchor>
              </controlPr>
            </control>
          </mc:Choice>
        </mc:AlternateContent>
        <mc:AlternateContent xmlns:mc="http://schemas.openxmlformats.org/markup-compatibility/2006">
          <mc:Choice Requires="x14">
            <control shapeId="62660" r:id="rId78" name="Option Button 196">
              <controlPr defaultSize="0" autoFill="0" autoLine="0" autoPict="0">
                <anchor moveWithCells="1">
                  <from>
                    <xdr:col>3</xdr:col>
                    <xdr:colOff>142875</xdr:colOff>
                    <xdr:row>63</xdr:row>
                    <xdr:rowOff>114300</xdr:rowOff>
                  </from>
                  <to>
                    <xdr:col>3</xdr:col>
                    <xdr:colOff>495300</xdr:colOff>
                    <xdr:row>65</xdr:row>
                    <xdr:rowOff>9525</xdr:rowOff>
                  </to>
                </anchor>
              </controlPr>
            </control>
          </mc:Choice>
        </mc:AlternateContent>
        <mc:AlternateContent xmlns:mc="http://schemas.openxmlformats.org/markup-compatibility/2006">
          <mc:Choice Requires="x14">
            <control shapeId="62661" r:id="rId79" name="Group Box 197">
              <controlPr defaultSize="0" autoFill="0" autoPict="0">
                <anchor moveWithCells="1">
                  <from>
                    <xdr:col>2</xdr:col>
                    <xdr:colOff>628650</xdr:colOff>
                    <xdr:row>63</xdr:row>
                    <xdr:rowOff>9525</xdr:rowOff>
                  </from>
                  <to>
                    <xdr:col>6</xdr:col>
                    <xdr:colOff>9525</xdr:colOff>
                    <xdr:row>66</xdr:row>
                    <xdr:rowOff>0</xdr:rowOff>
                  </to>
                </anchor>
              </controlPr>
            </control>
          </mc:Choice>
        </mc:AlternateContent>
        <mc:AlternateContent xmlns:mc="http://schemas.openxmlformats.org/markup-compatibility/2006">
          <mc:Choice Requires="x14">
            <control shapeId="62662" r:id="rId80" name="Option Button 198">
              <controlPr defaultSize="0" autoFill="0" autoLine="0" autoPict="0">
                <anchor moveWithCells="1">
                  <from>
                    <xdr:col>4</xdr:col>
                    <xdr:colOff>123825</xdr:colOff>
                    <xdr:row>63</xdr:row>
                    <xdr:rowOff>66675</xdr:rowOff>
                  </from>
                  <to>
                    <xdr:col>4</xdr:col>
                    <xdr:colOff>495300</xdr:colOff>
                    <xdr:row>65</xdr:row>
                    <xdr:rowOff>66675</xdr:rowOff>
                  </to>
                </anchor>
              </controlPr>
            </control>
          </mc:Choice>
        </mc:AlternateContent>
        <mc:AlternateContent xmlns:mc="http://schemas.openxmlformats.org/markup-compatibility/2006">
          <mc:Choice Requires="x14">
            <control shapeId="62663" r:id="rId81" name="Option Button 199">
              <controlPr defaultSize="0" autoFill="0" autoLine="0" autoPict="0">
                <anchor moveWithCells="1">
                  <from>
                    <xdr:col>5</xdr:col>
                    <xdr:colOff>123825</xdr:colOff>
                    <xdr:row>63</xdr:row>
                    <xdr:rowOff>66675</xdr:rowOff>
                  </from>
                  <to>
                    <xdr:col>5</xdr:col>
                    <xdr:colOff>495300</xdr:colOff>
                    <xdr:row>65</xdr:row>
                    <xdr:rowOff>66675</xdr:rowOff>
                  </to>
                </anchor>
              </controlPr>
            </control>
          </mc:Choice>
        </mc:AlternateContent>
        <mc:AlternateContent xmlns:mc="http://schemas.openxmlformats.org/markup-compatibility/2006">
          <mc:Choice Requires="x14">
            <control shapeId="62665" r:id="rId82" name="Group Box 201">
              <controlPr defaultSize="0" autoFill="0" autoPict="0">
                <anchor moveWithCells="1">
                  <from>
                    <xdr:col>2</xdr:col>
                    <xdr:colOff>628650</xdr:colOff>
                    <xdr:row>66</xdr:row>
                    <xdr:rowOff>9525</xdr:rowOff>
                  </from>
                  <to>
                    <xdr:col>6</xdr:col>
                    <xdr:colOff>9525</xdr:colOff>
                    <xdr:row>69</xdr:row>
                    <xdr:rowOff>0</xdr:rowOff>
                  </to>
                </anchor>
              </controlPr>
            </control>
          </mc:Choice>
        </mc:AlternateContent>
        <mc:AlternateContent xmlns:mc="http://schemas.openxmlformats.org/markup-compatibility/2006">
          <mc:Choice Requires="x14">
            <control shapeId="62666" r:id="rId83" name="Option Button 202">
              <controlPr defaultSize="0" autoFill="0" autoLine="0" autoPict="0">
                <anchor moveWithCells="1">
                  <from>
                    <xdr:col>4</xdr:col>
                    <xdr:colOff>123825</xdr:colOff>
                    <xdr:row>66</xdr:row>
                    <xdr:rowOff>66675</xdr:rowOff>
                  </from>
                  <to>
                    <xdr:col>4</xdr:col>
                    <xdr:colOff>495300</xdr:colOff>
                    <xdr:row>68</xdr:row>
                    <xdr:rowOff>66675</xdr:rowOff>
                  </to>
                </anchor>
              </controlPr>
            </control>
          </mc:Choice>
        </mc:AlternateContent>
        <mc:AlternateContent xmlns:mc="http://schemas.openxmlformats.org/markup-compatibility/2006">
          <mc:Choice Requires="x14">
            <control shapeId="62667" r:id="rId84" name="Option Button 203">
              <controlPr defaultSize="0" autoFill="0" autoLine="0" autoPict="0">
                <anchor moveWithCells="1">
                  <from>
                    <xdr:col>5</xdr:col>
                    <xdr:colOff>123825</xdr:colOff>
                    <xdr:row>66</xdr:row>
                    <xdr:rowOff>66675</xdr:rowOff>
                  </from>
                  <to>
                    <xdr:col>5</xdr:col>
                    <xdr:colOff>495300</xdr:colOff>
                    <xdr:row>68</xdr:row>
                    <xdr:rowOff>66675</xdr:rowOff>
                  </to>
                </anchor>
              </controlPr>
            </control>
          </mc:Choice>
        </mc:AlternateContent>
        <mc:AlternateContent xmlns:mc="http://schemas.openxmlformats.org/markup-compatibility/2006">
          <mc:Choice Requires="x14">
            <control shapeId="62669" r:id="rId85" name="Group Box 205">
              <controlPr defaultSize="0" autoFill="0" autoPict="0">
                <anchor moveWithCells="1">
                  <from>
                    <xdr:col>3</xdr:col>
                    <xdr:colOff>0</xdr:colOff>
                    <xdr:row>69</xdr:row>
                    <xdr:rowOff>9525</xdr:rowOff>
                  </from>
                  <to>
                    <xdr:col>6</xdr:col>
                    <xdr:colOff>9525</xdr:colOff>
                    <xdr:row>72</xdr:row>
                    <xdr:rowOff>0</xdr:rowOff>
                  </to>
                </anchor>
              </controlPr>
            </control>
          </mc:Choice>
        </mc:AlternateContent>
        <mc:AlternateContent xmlns:mc="http://schemas.openxmlformats.org/markup-compatibility/2006">
          <mc:Choice Requires="x14">
            <control shapeId="62671" r:id="rId86" name="Option Button 207">
              <controlPr defaultSize="0" autoFill="0" autoLine="0" autoPict="0">
                <anchor moveWithCells="1">
                  <from>
                    <xdr:col>5</xdr:col>
                    <xdr:colOff>123825</xdr:colOff>
                    <xdr:row>69</xdr:row>
                    <xdr:rowOff>66675</xdr:rowOff>
                  </from>
                  <to>
                    <xdr:col>5</xdr:col>
                    <xdr:colOff>495300</xdr:colOff>
                    <xdr:row>71</xdr:row>
                    <xdr:rowOff>66675</xdr:rowOff>
                  </to>
                </anchor>
              </controlPr>
            </control>
          </mc:Choice>
        </mc:AlternateContent>
        <mc:AlternateContent xmlns:mc="http://schemas.openxmlformats.org/markup-compatibility/2006">
          <mc:Choice Requires="x14">
            <control shapeId="62673" r:id="rId87" name="Option Button 209">
              <controlPr defaultSize="0" autoFill="0" autoLine="0" autoPict="0">
                <anchor moveWithCells="1">
                  <from>
                    <xdr:col>3</xdr:col>
                    <xdr:colOff>123825</xdr:colOff>
                    <xdr:row>17</xdr:row>
                    <xdr:rowOff>66675</xdr:rowOff>
                  </from>
                  <to>
                    <xdr:col>3</xdr:col>
                    <xdr:colOff>495300</xdr:colOff>
                    <xdr:row>18</xdr:row>
                    <xdr:rowOff>133350</xdr:rowOff>
                  </to>
                </anchor>
              </controlPr>
            </control>
          </mc:Choice>
        </mc:AlternateContent>
        <mc:AlternateContent xmlns:mc="http://schemas.openxmlformats.org/markup-compatibility/2006">
          <mc:Choice Requires="x14">
            <control shapeId="62676" r:id="rId88" name="Group Box 212">
              <controlPr defaultSize="0" autoFill="0" autoPict="0">
                <anchor moveWithCells="1">
                  <from>
                    <xdr:col>3</xdr:col>
                    <xdr:colOff>0</xdr:colOff>
                    <xdr:row>17</xdr:row>
                    <xdr:rowOff>0</xdr:rowOff>
                  </from>
                  <to>
                    <xdr:col>6</xdr:col>
                    <xdr:colOff>9525</xdr:colOff>
                    <xdr:row>19</xdr:row>
                    <xdr:rowOff>142875</xdr:rowOff>
                  </to>
                </anchor>
              </controlPr>
            </control>
          </mc:Choice>
        </mc:AlternateContent>
        <mc:AlternateContent xmlns:mc="http://schemas.openxmlformats.org/markup-compatibility/2006">
          <mc:Choice Requires="x14">
            <control shapeId="62690" r:id="rId89" name="Option Button 226">
              <controlPr defaultSize="0" autoFill="0" autoLine="0" autoPict="0">
                <anchor moveWithCells="1">
                  <from>
                    <xdr:col>3</xdr:col>
                    <xdr:colOff>114300</xdr:colOff>
                    <xdr:row>60</xdr:row>
                    <xdr:rowOff>114300</xdr:rowOff>
                  </from>
                  <to>
                    <xdr:col>3</xdr:col>
                    <xdr:colOff>466725</xdr:colOff>
                    <xdr:row>62</xdr:row>
                    <xdr:rowOff>19050</xdr:rowOff>
                  </to>
                </anchor>
              </controlPr>
            </control>
          </mc:Choice>
        </mc:AlternateContent>
        <mc:AlternateContent xmlns:mc="http://schemas.openxmlformats.org/markup-compatibility/2006">
          <mc:Choice Requires="x14">
            <control shapeId="62691" r:id="rId90" name="Option Button 227">
              <controlPr defaultSize="0" autoFill="0" autoLine="0" autoPict="0">
                <anchor moveWithCells="1">
                  <from>
                    <xdr:col>5</xdr:col>
                    <xdr:colOff>123825</xdr:colOff>
                    <xdr:row>57</xdr:row>
                    <xdr:rowOff>66675</xdr:rowOff>
                  </from>
                  <to>
                    <xdr:col>5</xdr:col>
                    <xdr:colOff>495300</xdr:colOff>
                    <xdr:row>59</xdr:row>
                    <xdr:rowOff>66675</xdr:rowOff>
                  </to>
                </anchor>
              </controlPr>
            </control>
          </mc:Choice>
        </mc:AlternateContent>
        <mc:AlternateContent xmlns:mc="http://schemas.openxmlformats.org/markup-compatibility/2006">
          <mc:Choice Requires="x14">
            <control shapeId="62693" r:id="rId91" name="Option Button 229">
              <controlPr defaultSize="0" autoFill="0" autoLine="0" autoPict="0">
                <anchor moveWithCells="1">
                  <from>
                    <xdr:col>4</xdr:col>
                    <xdr:colOff>123825</xdr:colOff>
                    <xdr:row>69</xdr:row>
                    <xdr:rowOff>66675</xdr:rowOff>
                  </from>
                  <to>
                    <xdr:col>4</xdr:col>
                    <xdr:colOff>495300</xdr:colOff>
                    <xdr:row>71</xdr:row>
                    <xdr:rowOff>66675</xdr:rowOff>
                  </to>
                </anchor>
              </controlPr>
            </control>
          </mc:Choice>
        </mc:AlternateContent>
        <mc:AlternateContent xmlns:mc="http://schemas.openxmlformats.org/markup-compatibility/2006">
          <mc:Choice Requires="x14">
            <control shapeId="62706" r:id="rId92" name="Option Button 242">
              <controlPr defaultSize="0" autoFill="0" autoLine="0" autoPict="0">
                <anchor moveWithCells="1">
                  <from>
                    <xdr:col>4</xdr:col>
                    <xdr:colOff>114300</xdr:colOff>
                    <xdr:row>31</xdr:row>
                    <xdr:rowOff>133350</xdr:rowOff>
                  </from>
                  <to>
                    <xdr:col>4</xdr:col>
                    <xdr:colOff>485775</xdr:colOff>
                    <xdr:row>33</xdr:row>
                    <xdr:rowOff>28575</xdr:rowOff>
                  </to>
                </anchor>
              </controlPr>
            </control>
          </mc:Choice>
        </mc:AlternateContent>
        <mc:AlternateContent xmlns:mc="http://schemas.openxmlformats.org/markup-compatibility/2006">
          <mc:Choice Requires="x14">
            <control shapeId="62707" r:id="rId93" name="Option Button 243">
              <controlPr defaultSize="0" autoFill="0" autoLine="0" autoPict="0">
                <anchor moveWithCells="1">
                  <from>
                    <xdr:col>3</xdr:col>
                    <xdr:colOff>142875</xdr:colOff>
                    <xdr:row>31</xdr:row>
                    <xdr:rowOff>85725</xdr:rowOff>
                  </from>
                  <to>
                    <xdr:col>3</xdr:col>
                    <xdr:colOff>504825</xdr:colOff>
                    <xdr:row>33</xdr:row>
                    <xdr:rowOff>76200</xdr:rowOff>
                  </to>
                </anchor>
              </controlPr>
            </control>
          </mc:Choice>
        </mc:AlternateContent>
        <mc:AlternateContent xmlns:mc="http://schemas.openxmlformats.org/markup-compatibility/2006">
          <mc:Choice Requires="x14">
            <control shapeId="62708" r:id="rId94" name="Group Box 244">
              <controlPr defaultSize="0" autoFill="0" autoPict="0">
                <anchor moveWithCells="1">
                  <from>
                    <xdr:col>2</xdr:col>
                    <xdr:colOff>628650</xdr:colOff>
                    <xdr:row>31</xdr:row>
                    <xdr:rowOff>9525</xdr:rowOff>
                  </from>
                  <to>
                    <xdr:col>5</xdr:col>
                    <xdr:colOff>28575</xdr:colOff>
                    <xdr:row>34</xdr:row>
                    <xdr:rowOff>0</xdr:rowOff>
                  </to>
                </anchor>
              </controlPr>
            </control>
          </mc:Choice>
        </mc:AlternateContent>
        <mc:AlternateContent xmlns:mc="http://schemas.openxmlformats.org/markup-compatibility/2006">
          <mc:Choice Requires="x14">
            <control shapeId="62716" r:id="rId95" name="Option Button 252">
              <controlPr defaultSize="0" autoFill="0" autoLine="0" autoPict="0">
                <anchor moveWithCells="1">
                  <from>
                    <xdr:col>3</xdr:col>
                    <xdr:colOff>142875</xdr:colOff>
                    <xdr:row>34</xdr:row>
                    <xdr:rowOff>114300</xdr:rowOff>
                  </from>
                  <to>
                    <xdr:col>3</xdr:col>
                    <xdr:colOff>495300</xdr:colOff>
                    <xdr:row>36</xdr:row>
                    <xdr:rowOff>28575</xdr:rowOff>
                  </to>
                </anchor>
              </controlPr>
            </control>
          </mc:Choice>
        </mc:AlternateContent>
        <mc:AlternateContent xmlns:mc="http://schemas.openxmlformats.org/markup-compatibility/2006">
          <mc:Choice Requires="x14">
            <control shapeId="62717" r:id="rId96" name="Group Box 253">
              <controlPr defaultSize="0" autoFill="0" autoPict="0">
                <anchor moveWithCells="1">
                  <from>
                    <xdr:col>2</xdr:col>
                    <xdr:colOff>628650</xdr:colOff>
                    <xdr:row>34</xdr:row>
                    <xdr:rowOff>9525</xdr:rowOff>
                  </from>
                  <to>
                    <xdr:col>6</xdr:col>
                    <xdr:colOff>28575</xdr:colOff>
                    <xdr:row>37</xdr:row>
                    <xdr:rowOff>0</xdr:rowOff>
                  </to>
                </anchor>
              </controlPr>
            </control>
          </mc:Choice>
        </mc:AlternateContent>
        <mc:AlternateContent xmlns:mc="http://schemas.openxmlformats.org/markup-compatibility/2006">
          <mc:Choice Requires="x14">
            <control shapeId="62718" r:id="rId97" name="Option Button 254">
              <controlPr defaultSize="0" autoFill="0" autoLine="0" autoPict="0">
                <anchor moveWithCells="1">
                  <from>
                    <xdr:col>4</xdr:col>
                    <xdr:colOff>123825</xdr:colOff>
                    <xdr:row>34</xdr:row>
                    <xdr:rowOff>66675</xdr:rowOff>
                  </from>
                  <to>
                    <xdr:col>4</xdr:col>
                    <xdr:colOff>495300</xdr:colOff>
                    <xdr:row>36</xdr:row>
                    <xdr:rowOff>66675</xdr:rowOff>
                  </to>
                </anchor>
              </controlPr>
            </control>
          </mc:Choice>
        </mc:AlternateContent>
        <mc:AlternateContent xmlns:mc="http://schemas.openxmlformats.org/markup-compatibility/2006">
          <mc:Choice Requires="x14">
            <control shapeId="62719" r:id="rId98" name="Option Button 255">
              <controlPr defaultSize="0" autoFill="0" autoLine="0" autoPict="0">
                <anchor moveWithCells="1">
                  <from>
                    <xdr:col>5</xdr:col>
                    <xdr:colOff>123825</xdr:colOff>
                    <xdr:row>34</xdr:row>
                    <xdr:rowOff>66675</xdr:rowOff>
                  </from>
                  <to>
                    <xdr:col>5</xdr:col>
                    <xdr:colOff>495300</xdr:colOff>
                    <xdr:row>36</xdr:row>
                    <xdr:rowOff>66675</xdr:rowOff>
                  </to>
                </anchor>
              </controlPr>
            </control>
          </mc:Choice>
        </mc:AlternateContent>
        <mc:AlternateContent xmlns:mc="http://schemas.openxmlformats.org/markup-compatibility/2006">
          <mc:Choice Requires="x14">
            <control shapeId="62720" r:id="rId99" name="Group Box 256">
              <controlPr defaultSize="0" autoFill="0" autoPict="0">
                <anchor moveWithCells="1">
                  <from>
                    <xdr:col>2</xdr:col>
                    <xdr:colOff>628650</xdr:colOff>
                    <xdr:row>34</xdr:row>
                    <xdr:rowOff>9525</xdr:rowOff>
                  </from>
                  <to>
                    <xdr:col>6</xdr:col>
                    <xdr:colOff>28575</xdr:colOff>
                    <xdr:row>37</xdr:row>
                    <xdr:rowOff>0</xdr:rowOff>
                  </to>
                </anchor>
              </controlPr>
            </control>
          </mc:Choice>
        </mc:AlternateContent>
        <mc:AlternateContent xmlns:mc="http://schemas.openxmlformats.org/markup-compatibility/2006">
          <mc:Choice Requires="x14">
            <control shapeId="62721" r:id="rId100" name="Option Button 257">
              <controlPr defaultSize="0" autoFill="0" autoLine="0" autoPict="0">
                <anchor moveWithCells="1">
                  <from>
                    <xdr:col>4</xdr:col>
                    <xdr:colOff>123825</xdr:colOff>
                    <xdr:row>34</xdr:row>
                    <xdr:rowOff>66675</xdr:rowOff>
                  </from>
                  <to>
                    <xdr:col>4</xdr:col>
                    <xdr:colOff>495300</xdr:colOff>
                    <xdr:row>36</xdr:row>
                    <xdr:rowOff>66675</xdr:rowOff>
                  </to>
                </anchor>
              </controlPr>
            </control>
          </mc:Choice>
        </mc:AlternateContent>
        <mc:AlternateContent xmlns:mc="http://schemas.openxmlformats.org/markup-compatibility/2006">
          <mc:Choice Requires="x14">
            <control shapeId="62722" r:id="rId101" name="Option Button 258">
              <controlPr defaultSize="0" autoFill="0" autoLine="0" autoPict="0">
                <anchor moveWithCells="1">
                  <from>
                    <xdr:col>5</xdr:col>
                    <xdr:colOff>123825</xdr:colOff>
                    <xdr:row>34</xdr:row>
                    <xdr:rowOff>66675</xdr:rowOff>
                  </from>
                  <to>
                    <xdr:col>5</xdr:col>
                    <xdr:colOff>495300</xdr:colOff>
                    <xdr:row>36</xdr:row>
                    <xdr:rowOff>66675</xdr:rowOff>
                  </to>
                </anchor>
              </controlPr>
            </control>
          </mc:Choice>
        </mc:AlternateContent>
        <mc:AlternateContent xmlns:mc="http://schemas.openxmlformats.org/markup-compatibility/2006">
          <mc:Choice Requires="x14">
            <control shapeId="62725" r:id="rId102" name="Option Button 261">
              <controlPr defaultSize="0" autoFill="0" autoLine="0" autoPict="0">
                <anchor moveWithCells="1">
                  <from>
                    <xdr:col>5</xdr:col>
                    <xdr:colOff>114300</xdr:colOff>
                    <xdr:row>77</xdr:row>
                    <xdr:rowOff>76200</xdr:rowOff>
                  </from>
                  <to>
                    <xdr:col>5</xdr:col>
                    <xdr:colOff>485775</xdr:colOff>
                    <xdr:row>79</xdr:row>
                    <xdr:rowOff>76200</xdr:rowOff>
                  </to>
                </anchor>
              </controlPr>
            </control>
          </mc:Choice>
        </mc:AlternateContent>
        <mc:AlternateContent xmlns:mc="http://schemas.openxmlformats.org/markup-compatibility/2006">
          <mc:Choice Requires="x14">
            <control shapeId="62726" r:id="rId103" name="Option Button 262">
              <controlPr defaultSize="0" autoFill="0" autoLine="0" autoPict="0">
                <anchor moveWithCells="1">
                  <from>
                    <xdr:col>4</xdr:col>
                    <xdr:colOff>104775</xdr:colOff>
                    <xdr:row>77</xdr:row>
                    <xdr:rowOff>66675</xdr:rowOff>
                  </from>
                  <to>
                    <xdr:col>4</xdr:col>
                    <xdr:colOff>476250</xdr:colOff>
                    <xdr:row>79</xdr:row>
                    <xdr:rowOff>66675</xdr:rowOff>
                  </to>
                </anchor>
              </controlPr>
            </control>
          </mc:Choice>
        </mc:AlternateContent>
        <mc:AlternateContent xmlns:mc="http://schemas.openxmlformats.org/markup-compatibility/2006">
          <mc:Choice Requires="x14">
            <control shapeId="62727" r:id="rId104" name="Option Button 263">
              <controlPr defaultSize="0" autoFill="0" autoLine="0" autoPict="0">
                <anchor moveWithCells="1">
                  <from>
                    <xdr:col>3</xdr:col>
                    <xdr:colOff>142875</xdr:colOff>
                    <xdr:row>77</xdr:row>
                    <xdr:rowOff>114300</xdr:rowOff>
                  </from>
                  <to>
                    <xdr:col>3</xdr:col>
                    <xdr:colOff>495300</xdr:colOff>
                    <xdr:row>79</xdr:row>
                    <xdr:rowOff>9525</xdr:rowOff>
                  </to>
                </anchor>
              </controlPr>
            </control>
          </mc:Choice>
        </mc:AlternateContent>
        <mc:AlternateContent xmlns:mc="http://schemas.openxmlformats.org/markup-compatibility/2006">
          <mc:Choice Requires="x14">
            <control shapeId="62735" r:id="rId105" name="Option Button 271">
              <controlPr defaultSize="0" autoFill="0" autoLine="0" autoPict="0">
                <anchor moveWithCells="1">
                  <from>
                    <xdr:col>3</xdr:col>
                    <xdr:colOff>142875</xdr:colOff>
                    <xdr:row>69</xdr:row>
                    <xdr:rowOff>114300</xdr:rowOff>
                  </from>
                  <to>
                    <xdr:col>3</xdr:col>
                    <xdr:colOff>495300</xdr:colOff>
                    <xdr:row>71</xdr:row>
                    <xdr:rowOff>9525</xdr:rowOff>
                  </to>
                </anchor>
              </controlPr>
            </control>
          </mc:Choice>
        </mc:AlternateContent>
        <mc:AlternateContent xmlns:mc="http://schemas.openxmlformats.org/markup-compatibility/2006">
          <mc:Choice Requires="x14">
            <control shapeId="62739" r:id="rId106" name="Group Box 275">
              <controlPr defaultSize="0" autoFill="0" autoPict="0">
                <anchor moveWithCells="1">
                  <from>
                    <xdr:col>2</xdr:col>
                    <xdr:colOff>628650</xdr:colOff>
                    <xdr:row>77</xdr:row>
                    <xdr:rowOff>0</xdr:rowOff>
                  </from>
                  <to>
                    <xdr:col>6</xdr:col>
                    <xdr:colOff>9525</xdr:colOff>
                    <xdr:row>80</xdr:row>
                    <xdr:rowOff>0</xdr:rowOff>
                  </to>
                </anchor>
              </controlPr>
            </control>
          </mc:Choice>
        </mc:AlternateContent>
        <mc:AlternateContent xmlns:mc="http://schemas.openxmlformats.org/markup-compatibility/2006">
          <mc:Choice Requires="x14">
            <control shapeId="62740" r:id="rId107" name="Option Button 276">
              <controlPr defaultSize="0" autoFill="0" autoLine="0" autoPict="0">
                <anchor moveWithCells="1">
                  <from>
                    <xdr:col>3</xdr:col>
                    <xdr:colOff>142875</xdr:colOff>
                    <xdr:row>77</xdr:row>
                    <xdr:rowOff>114300</xdr:rowOff>
                  </from>
                  <to>
                    <xdr:col>3</xdr:col>
                    <xdr:colOff>495300</xdr:colOff>
                    <xdr:row>79</xdr:row>
                    <xdr:rowOff>9525</xdr:rowOff>
                  </to>
                </anchor>
              </controlPr>
            </control>
          </mc:Choice>
        </mc:AlternateContent>
        <mc:AlternateContent xmlns:mc="http://schemas.openxmlformats.org/markup-compatibility/2006">
          <mc:Choice Requires="x14">
            <control shapeId="62741" r:id="rId108" name="Group Box 277">
              <controlPr defaultSize="0" autoFill="0" autoPict="0">
                <anchor moveWithCells="1">
                  <from>
                    <xdr:col>3</xdr:col>
                    <xdr:colOff>0</xdr:colOff>
                    <xdr:row>77</xdr:row>
                    <xdr:rowOff>9525</xdr:rowOff>
                  </from>
                  <to>
                    <xdr:col>6</xdr:col>
                    <xdr:colOff>9525</xdr:colOff>
                    <xdr:row>80</xdr:row>
                    <xdr:rowOff>0</xdr:rowOff>
                  </to>
                </anchor>
              </controlPr>
            </control>
          </mc:Choice>
        </mc:AlternateContent>
        <mc:AlternateContent xmlns:mc="http://schemas.openxmlformats.org/markup-compatibility/2006">
          <mc:Choice Requires="x14">
            <control shapeId="62744" r:id="rId109" name="Option Button 280">
              <controlPr defaultSize="0" autoFill="0" autoLine="0" autoPict="0">
                <anchor moveWithCells="1">
                  <from>
                    <xdr:col>3</xdr:col>
                    <xdr:colOff>142875</xdr:colOff>
                    <xdr:row>77</xdr:row>
                    <xdr:rowOff>114300</xdr:rowOff>
                  </from>
                  <to>
                    <xdr:col>3</xdr:col>
                    <xdr:colOff>495300</xdr:colOff>
                    <xdr:row>79</xdr:row>
                    <xdr:rowOff>9525</xdr:rowOff>
                  </to>
                </anchor>
              </controlPr>
            </control>
          </mc:Choice>
        </mc:AlternateContent>
        <mc:AlternateContent xmlns:mc="http://schemas.openxmlformats.org/markup-compatibility/2006">
          <mc:Choice Requires="x14">
            <control shapeId="62747" r:id="rId110" name="Option Button 283">
              <controlPr defaultSize="0" autoFill="0" autoLine="0" autoPict="0">
                <anchor moveWithCells="1">
                  <from>
                    <xdr:col>3</xdr:col>
                    <xdr:colOff>142875</xdr:colOff>
                    <xdr:row>51</xdr:row>
                    <xdr:rowOff>114300</xdr:rowOff>
                  </from>
                  <to>
                    <xdr:col>3</xdr:col>
                    <xdr:colOff>495300</xdr:colOff>
                    <xdr:row>53</xdr:row>
                    <xdr:rowOff>9525</xdr:rowOff>
                  </to>
                </anchor>
              </controlPr>
            </control>
          </mc:Choice>
        </mc:AlternateContent>
        <mc:AlternateContent xmlns:mc="http://schemas.openxmlformats.org/markup-compatibility/2006">
          <mc:Choice Requires="x14">
            <control shapeId="62748" r:id="rId111" name="Group Box 284">
              <controlPr defaultSize="0" autoFill="0" autoPict="0">
                <anchor moveWithCells="1">
                  <from>
                    <xdr:col>2</xdr:col>
                    <xdr:colOff>628650</xdr:colOff>
                    <xdr:row>51</xdr:row>
                    <xdr:rowOff>9525</xdr:rowOff>
                  </from>
                  <to>
                    <xdr:col>6</xdr:col>
                    <xdr:colOff>9525</xdr:colOff>
                    <xdr:row>54</xdr:row>
                    <xdr:rowOff>0</xdr:rowOff>
                  </to>
                </anchor>
              </controlPr>
            </control>
          </mc:Choice>
        </mc:AlternateContent>
        <mc:AlternateContent xmlns:mc="http://schemas.openxmlformats.org/markup-compatibility/2006">
          <mc:Choice Requires="x14">
            <control shapeId="62749" r:id="rId112" name="Option Button 285">
              <controlPr defaultSize="0" autoFill="0" autoLine="0" autoPict="0">
                <anchor moveWithCells="1">
                  <from>
                    <xdr:col>4</xdr:col>
                    <xdr:colOff>123825</xdr:colOff>
                    <xdr:row>51</xdr:row>
                    <xdr:rowOff>66675</xdr:rowOff>
                  </from>
                  <to>
                    <xdr:col>4</xdr:col>
                    <xdr:colOff>495300</xdr:colOff>
                    <xdr:row>53</xdr:row>
                    <xdr:rowOff>66675</xdr:rowOff>
                  </to>
                </anchor>
              </controlPr>
            </control>
          </mc:Choice>
        </mc:AlternateContent>
        <mc:AlternateContent xmlns:mc="http://schemas.openxmlformats.org/markup-compatibility/2006">
          <mc:Choice Requires="x14">
            <control shapeId="62750" r:id="rId113" name="Option Button 286">
              <controlPr defaultSize="0" autoFill="0" autoLine="0" autoPict="0">
                <anchor moveWithCells="1">
                  <from>
                    <xdr:col>5</xdr:col>
                    <xdr:colOff>123825</xdr:colOff>
                    <xdr:row>51</xdr:row>
                    <xdr:rowOff>66675</xdr:rowOff>
                  </from>
                  <to>
                    <xdr:col>5</xdr:col>
                    <xdr:colOff>495300</xdr:colOff>
                    <xdr:row>53</xdr:row>
                    <xdr:rowOff>66675</xdr:rowOff>
                  </to>
                </anchor>
              </controlPr>
            </control>
          </mc:Choice>
        </mc:AlternateContent>
        <mc:AlternateContent xmlns:mc="http://schemas.openxmlformats.org/markup-compatibility/2006">
          <mc:Choice Requires="x14">
            <control shapeId="62751" r:id="rId114" name="Option Button 287">
              <controlPr defaultSize="0" autoFill="0" autoLine="0" autoPict="0">
                <anchor moveWithCells="1">
                  <from>
                    <xdr:col>3</xdr:col>
                    <xdr:colOff>142875</xdr:colOff>
                    <xdr:row>51</xdr:row>
                    <xdr:rowOff>114300</xdr:rowOff>
                  </from>
                  <to>
                    <xdr:col>3</xdr:col>
                    <xdr:colOff>495300</xdr:colOff>
                    <xdr:row>53</xdr:row>
                    <xdr:rowOff>9525</xdr:rowOff>
                  </to>
                </anchor>
              </controlPr>
            </control>
          </mc:Choice>
        </mc:AlternateContent>
        <mc:AlternateContent xmlns:mc="http://schemas.openxmlformats.org/markup-compatibility/2006">
          <mc:Choice Requires="x14">
            <control shapeId="62752" r:id="rId115" name="Group Box 288">
              <controlPr defaultSize="0" autoFill="0" autoPict="0">
                <anchor moveWithCells="1">
                  <from>
                    <xdr:col>3</xdr:col>
                    <xdr:colOff>0</xdr:colOff>
                    <xdr:row>51</xdr:row>
                    <xdr:rowOff>9525</xdr:rowOff>
                  </from>
                  <to>
                    <xdr:col>6</xdr:col>
                    <xdr:colOff>9525</xdr:colOff>
                    <xdr:row>54</xdr:row>
                    <xdr:rowOff>0</xdr:rowOff>
                  </to>
                </anchor>
              </controlPr>
            </control>
          </mc:Choice>
        </mc:AlternateContent>
        <mc:AlternateContent xmlns:mc="http://schemas.openxmlformats.org/markup-compatibility/2006">
          <mc:Choice Requires="x14">
            <control shapeId="62753" r:id="rId116" name="Option Button 289">
              <controlPr defaultSize="0" autoFill="0" autoLine="0" autoPict="0">
                <anchor moveWithCells="1">
                  <from>
                    <xdr:col>4</xdr:col>
                    <xdr:colOff>123825</xdr:colOff>
                    <xdr:row>51</xdr:row>
                    <xdr:rowOff>66675</xdr:rowOff>
                  </from>
                  <to>
                    <xdr:col>4</xdr:col>
                    <xdr:colOff>495300</xdr:colOff>
                    <xdr:row>53</xdr:row>
                    <xdr:rowOff>66675</xdr:rowOff>
                  </to>
                </anchor>
              </controlPr>
            </control>
          </mc:Choice>
        </mc:AlternateContent>
        <mc:AlternateContent xmlns:mc="http://schemas.openxmlformats.org/markup-compatibility/2006">
          <mc:Choice Requires="x14">
            <control shapeId="62754" r:id="rId117" name="Option Button 290">
              <controlPr defaultSize="0" autoFill="0" autoLine="0" autoPict="0">
                <anchor moveWithCells="1">
                  <from>
                    <xdr:col>5</xdr:col>
                    <xdr:colOff>123825</xdr:colOff>
                    <xdr:row>51</xdr:row>
                    <xdr:rowOff>66675</xdr:rowOff>
                  </from>
                  <to>
                    <xdr:col>5</xdr:col>
                    <xdr:colOff>495300</xdr:colOff>
                    <xdr:row>53</xdr:row>
                    <xdr:rowOff>66675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oofdtekst xmlns="e126ea53-4662-4235-a709-fb88537df135"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Ziekenhuiszorg</TermName>
          <TermId xmlns="http://schemas.microsoft.com/office/infopath/2007/PartnerControls">1a957709-959b-40c0-9640-61f1bd5d07a0</TermId>
        </TermInfo>
      </Terms>
    </j85cec29e8c24b8a90feb8db203ff7e2>
    <VoorgangersMetadata xmlns="f154f381-dfad-4e4d-b243-610b51701648" xsi:nil="true"/>
    <BBesluitMetadata xmlns="f154f381-dfad-4e4d-b243-610b51701648" xsi:nil="true"/>
    <VerzondenAanMetadata xmlns="f154f381-dfad-4e4d-b243-610b51701648" xsi:nil="true"/>
    <NZa-documentnummer xmlns="f154f381-dfad-4e4d-b243-610b51701648" xsi:nil="true"/>
    <Eind-datum xmlns="f154f381-dfad-4e4d-b243-610b51701648" xsi:nil="true"/>
    <BTariefMetadata xmlns="f154f381-dfad-4e4d-b243-610b51701648" xsi:nil="true"/>
    <DocumentTypeMetadata xmlns="f154f381-dfad-4e4d-b243-610b51701648">Regels:Formulier|4bc40415-667d-4fea-816d-9688ca6ffa69</DocumentTypeMetadata>
    <Ingetrokken_x003f_ xmlns="f154f381-dfad-4e4d-b243-610b51701648">Nee</Ingetrokken_x003f_>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BBijlageMetadata xmlns="f154f381-dfad-4e4d-b243-610b51701648" xsi:nil="true"/>
    <Verzonden_x0020_aan xmlns="f154f381-dfad-4e4d-b243-610b51701648"/>
    <NZa-zoekwoordenMetadata xmlns="f154f381-dfad-4e4d-b243-610b51701648">Budget en bekostiging|62db8cfb-0eaa-4e36-b002-42c9b3fb60db;Budget en bekostiging:Budget:Budgetformulier|531cff1a-efe0-4642-9b7a-1a4a2527acb1</NZa-zoekwoordenMetadata>
    <_dlc_DocId xmlns="e126ea53-4662-4235-a709-fb88537df135">THRFR6N5WDQ4-17-3508</_dlc_DocId>
    <Sector_x0028_en_x0029_Metadata xmlns="f154f381-dfad-4e4d-b243-610b51701648">Alle:Ziekenhuiszorg|1a957709-959b-40c0-9640-61f1bd5d07a0</Sector_x0028_en_x0029_Metadata>
    <TaxCatchAll xmlns="e126ea53-4662-4235-a709-fb88537df135">
      <Value>214</Value>
      <Value>159</Value>
      <Value>103</Value>
      <Value>134</Value>
    </TaxCatchAll>
    <l24ea505ea8d4be1bd84e8204c620c6c xmlns="e126ea53-4662-4235-a709-fb88537df135">
      <Terms xmlns="http://schemas.microsoft.com/office/infopath/2007/PartnerControls"/>
    </l24ea505ea8d4be1bd84e8204c620c6c>
    <Ingangsdatum xmlns="f154f381-dfad-4e4d-b243-610b51701648" xsi:nil="true"/>
    <BVergaderstukMetadata xmlns="f154f381-dfad-4e4d-b243-610b51701648" xsi:nil="true"/>
    <BPrestatiebeschrijvingMetadata xmlns="f154f381-dfad-4e4d-b243-610b51701648" xsi:nil="true"/>
    <Publicatiedatum xmlns="e126ea53-4662-4235-a709-fb88537df135">2015-03-16T23:00:00+00:00</Publicatiedatum>
    <ExtraZoekwoordenMetadata xmlns="f154f381-dfad-4e4d-b243-610b51701648" xsi:nil="true"/>
    <Intro xmlns="e126ea53-4662-4235-a709-fb88537df135" xsi:nil="true"/>
    <BBeleidsregelMetadata xmlns="f154f381-dfad-4e4d-b243-610b51701648" xsi:nil="true"/>
    <BCirculaireMetadata xmlns="f154f381-dfad-4e4d-b243-610b51701648" xsi:nil="true"/>
    <BFormulierMetadata xmlns="f154f381-dfad-4e4d-b243-610b51701648" xsi:nil="true"/>
    <BNadereRegelMetadata xmlns="f154f381-dfad-4e4d-b243-610b51701648" xsi:nil="true"/>
    <Heeft_x0020_dit_x0020_stuk_x0020_bijlage_x0028_n_x0029__x003f_ xmlns="f154f381-dfad-4e4d-b243-610b51701648">false</Heeft_x0020_dit_x0020_stuk_x0020_bijlage_x0028_n_x0029__x003f_>
    <n407de7a4204433984b2eeeaba786d56 xmlns="e126ea53-4662-4235-a709-fb88537df135">
      <Terms xmlns="http://schemas.microsoft.com/office/infopath/2007/PartnerControls">
        <TermInfo xmlns="http://schemas.microsoft.com/office/infopath/2007/PartnerControls">
          <TermName xmlns="http://schemas.microsoft.com/office/infopath/2007/PartnerControls">Budget en bekostiging</TermName>
          <TermId xmlns="http://schemas.microsoft.com/office/infopath/2007/PartnerControls">62db8cfb-0eaa-4e36-b002-42c9b3fb60db</TermId>
        </TermInfo>
        <TermInfo xmlns="http://schemas.microsoft.com/office/infopath/2007/PartnerControls">
          <TermName xmlns="http://schemas.microsoft.com/office/infopath/2007/PartnerControls">Budgetformulier</TermName>
          <TermId xmlns="http://schemas.microsoft.com/office/infopath/2007/PartnerControls">531cff1a-efe0-4642-9b7a-1a4a2527acb1</TermId>
        </TermInfo>
      </Terms>
    </n407de7a4204433984b2eeeaba786d56>
    <_dlc_DocIdUrl xmlns="e126ea53-4662-4235-a709-fb88537df135">
      <Url>http://kennisnet.nza.nl/publicaties/Aanleveren/_layouts/DocIdRedir.aspx?ID=THRFR6N5WDQ4-17-3508</Url>
      <Description>THRFR6N5WDQ4-17-3508</Description>
    </_dlc_DocIdUrl>
    <BPublicatieMetadata xmlns="f154f381-dfad-4e4d-b243-610b51701648" xsi:nil="true"/>
  </documentManagement>
</p:properties>
</file>

<file path=customXml/itemProps1.xml><?xml version="1.0" encoding="utf-8"?>
<ds:datastoreItem xmlns:ds="http://schemas.openxmlformats.org/officeDocument/2006/customXml" ds:itemID="{A43BECB4-966B-4674-AEA8-F6F6AB060309}"/>
</file>

<file path=customXml/itemProps2.xml><?xml version="1.0" encoding="utf-8"?>
<ds:datastoreItem xmlns:ds="http://schemas.openxmlformats.org/officeDocument/2006/customXml" ds:itemID="{AA012A33-0181-4D36-936F-3C43772D0E27}"/>
</file>

<file path=customXml/itemProps3.xml><?xml version="1.0" encoding="utf-8"?>
<ds:datastoreItem xmlns:ds="http://schemas.openxmlformats.org/officeDocument/2006/customXml" ds:itemID="{4CA48180-B0A5-47E8-BFEA-723CF83E9C45}"/>
</file>

<file path=customXml/itemProps4.xml><?xml version="1.0" encoding="utf-8"?>
<ds:datastoreItem xmlns:ds="http://schemas.openxmlformats.org/officeDocument/2006/customXml" ds:itemID="{CD08E8F0-FAE1-43BB-9EAF-F78EE35325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17</vt:i4>
      </vt:variant>
    </vt:vector>
  </HeadingPairs>
  <TitlesOfParts>
    <vt:vector size="34" baseType="lpstr">
      <vt:lpstr>Uitvoer</vt:lpstr>
      <vt:lpstr>Voorblad</vt:lpstr>
      <vt:lpstr>Inhoud</vt:lpstr>
      <vt:lpstr>instructie</vt:lpstr>
      <vt:lpstr>Opbrengsten</vt:lpstr>
      <vt:lpstr>Afschrijvingen</vt:lpstr>
      <vt:lpstr>investeringen</vt:lpstr>
      <vt:lpstr>Mutaties</vt:lpstr>
      <vt:lpstr>Bijlage 1 vragen</vt:lpstr>
      <vt:lpstr>Bijlage 2 Rentecalc.</vt:lpstr>
      <vt:lpstr>toelichting</vt:lpstr>
      <vt:lpstr>Rentecalc.</vt:lpstr>
      <vt:lpstr>A-G</vt:lpstr>
      <vt:lpstr>H</vt:lpstr>
      <vt:lpstr>I-J</vt:lpstr>
      <vt:lpstr>overig</vt:lpstr>
      <vt:lpstr>versiebeheer</vt:lpstr>
      <vt:lpstr>Afschrijvingen!Afdrukbereik</vt:lpstr>
      <vt:lpstr>'A-G'!Afdrukbereik</vt:lpstr>
      <vt:lpstr>'Bijlage 1 vragen'!Afdrukbereik</vt:lpstr>
      <vt:lpstr>'Bijlage 2 Rentecalc.'!Afdrukbereik</vt:lpstr>
      <vt:lpstr>H!Afdrukbereik</vt:lpstr>
      <vt:lpstr>'I-J'!Afdrukbereik</vt:lpstr>
      <vt:lpstr>Inhoud!Afdrukbereik</vt:lpstr>
      <vt:lpstr>instructie!Afdrukbereik</vt:lpstr>
      <vt:lpstr>investeringen!Afdrukbereik</vt:lpstr>
      <vt:lpstr>Mutaties!Afdrukbereik</vt:lpstr>
      <vt:lpstr>Opbrengsten!Afdrukbereik</vt:lpstr>
      <vt:lpstr>Rentecalc.!Afdrukbereik</vt:lpstr>
      <vt:lpstr>toelichting!Afdrukbereik</vt:lpstr>
      <vt:lpstr>versiebeheer!Afdrukbereik</vt:lpstr>
      <vt:lpstr>Voorblad!Afdrukbereik</vt:lpstr>
      <vt:lpstr>Rentecalc.!Afdruktitels</vt:lpstr>
      <vt:lpstr>Voorblad!Afdruktitels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Formulier definitieve vaststelling transitiebedrag 2013 epilepsiecentra</dc:title>
  <dc:creator>Admin95</dc:creator>
  <cp:lastModifiedBy>Urlings, Theo</cp:lastModifiedBy>
  <cp:lastPrinted>2011-01-10T12:25:21Z</cp:lastPrinted>
  <dcterms:created xsi:type="dcterms:W3CDTF">2000-02-23T15:17:24Z</dcterms:created>
  <dcterms:modified xsi:type="dcterms:W3CDTF">2015-03-11T12:41:46Z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ctor(en)">
    <vt:lpwstr>134;#Ziekenhuiszorg|1a957709-959b-40c0-9640-61f1bd5d07a0</vt:lpwstr>
  </property>
  <property fmtid="{D5CDD505-2E9C-101B-9397-08002B2CF9AE}" pid="3" name="Extra zoekwoorden">
    <vt:lpwstr/>
  </property>
  <property fmtid="{D5CDD505-2E9C-101B-9397-08002B2CF9AE}" pid="4" name="ContentTypeId">
    <vt:lpwstr>0x010100B6451C8D6A13DD45B391E9C3BB9525E5010060EC15E99145D14EAEBC6EA0A3BA6CCE</vt:lpwstr>
  </property>
  <property fmtid="{D5CDD505-2E9C-101B-9397-08002B2CF9AE}" pid="5" name="NZa-zoekwoorden">
    <vt:lpwstr>159;#Budget en bekostiging|62db8cfb-0eaa-4e36-b002-42c9b3fb60db;#214;#Budgetformulier|531cff1a-efe0-4642-9b7a-1a4a2527acb1</vt:lpwstr>
  </property>
  <property fmtid="{D5CDD505-2E9C-101B-9397-08002B2CF9AE}" pid="6" name="DocumentTypen">
    <vt:lpwstr>103;#Formulier|4bc40415-667d-4fea-816d-9688ca6ffa69</vt:lpwstr>
  </property>
  <property fmtid="{D5CDD505-2E9C-101B-9397-08002B2CF9AE}" pid="7" name="ff74c6b610ef44f49114c43de1676156">
    <vt:lpwstr/>
  </property>
  <property fmtid="{D5CDD505-2E9C-101B-9397-08002B2CF9AE}" pid="8" name="_dlc_DocIdItemGuid">
    <vt:lpwstr>6639db05-85bb-49ca-8a65-a8b5a2c93346</vt:lpwstr>
  </property>
  <property fmtid="{D5CDD505-2E9C-101B-9397-08002B2CF9AE}" pid="9" name="DocumentType">
    <vt:lpwstr/>
  </property>
  <property fmtid="{D5CDD505-2E9C-101B-9397-08002B2CF9AE}" pid="10" name="WorkflowChangePath">
    <vt:lpwstr>5dd26274-7450-4d13-b077-7382865cccce,5;5dd26274-7450-4d13-b077-7382865cccce,5;5dd26274-7450-4d13-b077-7382865cccce,5;5dd26274-7450-4d13-b077-7382865cccce,5;5dd26274-7450-4d13-b077-7382865cccce,5;5dd26274-7450-4d13-b077-7382865cccce,10;5dd26274-7450-4d13-b5dd26274-7450-4d13-b077-7382865cccce,5;5dd26274-7450-4d13-b077-7382865cccce,5;5dd26274-7450-4d13-b077-7382865cccce,5;5dd26274-7450-4d13-b077-7382865cccce,5;5dd26274-7450-4d13-b077-7382865cccce,5;</vt:lpwstr>
  </property>
</Properties>
</file>