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embeddings/oleObject44.bin" ContentType="application/vnd.openxmlformats-officedocument.oleObject"/>
  <Override PartName="/xl/drawings/drawing21.xml" ContentType="application/vnd.openxmlformats-officedocument.drawing+xml"/>
  <Override PartName="/xl/embeddings/oleObject45.bin" ContentType="application/vnd.openxmlformats-officedocument.oleObject"/>
  <Override PartName="/xl/embeddings/oleObject43.bin" ContentType="application/vnd.openxmlformats-officedocument.oleObject"/>
  <Override PartName="/xl/embeddings/oleObject42.bin" ContentType="application/vnd.openxmlformats-officedocument.oleObject"/>
  <Override PartName="/xl/embeddings/oleObject41.bin" ContentType="application/vnd.openxmlformats-officedocument.oleObject"/>
  <Override PartName="/xl/drawings/drawing20.xml" ContentType="application/vnd.openxmlformats-officedocument.drawing+xml"/>
  <Override PartName="/xl/embeddings/oleObject40.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worksheets/sheet3.xml" ContentType="application/vnd.openxmlformats-officedocument.spreadsheetml.worksheet+xml"/>
  <Override PartName="/xl/worksheets/sheet2.xml" ContentType="application/vnd.openxmlformats-officedocument.spreadsheetml.worksheet+xml"/>
  <Override PartName="/xl/embeddings/oleObject50.bin" ContentType="application/vnd.openxmlformats-officedocument.oleObject"/>
  <Override PartName="/xl/drawings/drawing23.xml" ContentType="application/vnd.openxmlformats-officedocument.drawing+xml"/>
  <Override PartName="/xl/embeddings/oleObject49.bin" ContentType="application/vnd.openxmlformats-officedocument.oleObject"/>
  <Override PartName="/xl/drawings/drawing22.xml" ContentType="application/vnd.openxmlformats-officedocument.drawing+xml"/>
  <Override PartName="/xl/drawings/drawing19.xml" ContentType="application/vnd.openxmlformats-officedocument.drawing+xml"/>
  <Override PartName="/xl/embeddings/oleObject39.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drawings/drawing15.xml" ContentType="application/vnd.openxmlformats-officedocument.drawing+xml"/>
  <Override PartName="/xl/embeddings/oleObject27.bin" ContentType="application/vnd.openxmlformats-officedocument.oleObject"/>
  <Override PartName="/xl/drawings/drawing14.xml" ContentType="application/vnd.openxmlformats-officedocument.drawing+xml"/>
  <Override PartName="/xl/embeddings/oleObject26.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drawings/drawing18.xml" ContentType="application/vnd.openxmlformats-officedocument.drawing+xml"/>
  <Override PartName="/xl/drawings/drawing17.xml" ContentType="application/vnd.openxmlformats-officedocument.drawing+xml"/>
  <Override PartName="/xl/embeddings/oleObject35.bin" ContentType="application/vnd.openxmlformats-officedocument.oleObject"/>
  <Override PartName="/xl/drawings/drawing16.xml" ContentType="application/vnd.openxmlformats-officedocument.drawing+xml"/>
  <Override PartName="/xl/worksheets/sheet1.xml" ContentType="application/vnd.openxmlformats-officedocument.spreadsheetml.worksheet+xml"/>
  <Override PartName="/xl/drawings/drawing9.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drawings/drawing4.xml" ContentType="application/vnd.openxmlformats-officedocument.drawing+xml"/>
  <Override PartName="/xl/embeddings/oleObject5.bin" ContentType="application/vnd.openxmlformats-officedocument.oleObject"/>
  <Override PartName="/xl/embeddings/oleObject1.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6.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2.bin" ContentType="application/vnd.openxmlformats-officedocument.oleObject"/>
  <Override PartName="/xl/drawings/drawing8.xml" ContentType="application/vnd.openxmlformats-officedocument.drawing+xml"/>
  <Override PartName="/xl/embeddings/oleObject21.bin" ContentType="application/vnd.openxmlformats-officedocument.oleObject"/>
  <Override PartName="/xl/drawings/drawing7.xml" ContentType="application/vnd.openxmlformats-officedocument.drawing+xml"/>
  <Override PartName="/xl/drawings/drawing10.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2.bin" ContentType="application/vnd.openxmlformats-officedocument.oleObject"/>
  <Override PartName="/xl/embeddings/oleObject25.bin" ContentType="application/vnd.openxmlformats-officedocument.oleObject"/>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mbeddings/oleObject23.bin" ContentType="application/vnd.openxmlformats-officedocument.oleObject"/>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drawings/drawing2.xml" ContentType="application/vnd.openxmlformats-officedocument.drawing+xml"/>
  <Override PartName="/xl/worksheets/sheet17.xml" ContentType="application/vnd.openxmlformats-officedocument.spreadsheetml.worksheet+xml"/>
  <Override PartName="/xl/drawings/drawing11.xml" ContentType="application/vnd.openxmlformats-officedocument.drawing+xml"/>
  <Override PartName="/xl/embeddings/oleObject24.bin" ContentType="application/vnd.openxmlformats-officedocument.oleObject"/>
  <Override PartName="/xl/worksheets/sheet5.xml" ContentType="application/vnd.openxmlformats-officedocument.spreadsheetml.worksheet+xml"/>
  <Override PartName="/xl/drawings/drawing12.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8.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drawings/drawing13.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worksheets/sheet19.xml" ContentType="application/vnd.openxmlformats-officedocument.spreadsheetml.worksheet+xml"/>
  <Override PartName="/xl/drawings/drawing1.xml" ContentType="application/vnd.openxmlformats-officedocument.drawing+xml"/>
  <Override PartName="/xl/worksheets/sheet23.xml" ContentType="application/vnd.openxmlformats-officedocument.spreadsheetml.worksheet+xml"/>
  <Override PartName="/xl/theme/theme1.xml" ContentType="application/vnd.openxmlformats-officedocument.theme+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ctrlProps/ctrlProp117.xml" ContentType="application/vnd.ms-excel.controlproperties+xml"/>
  <Override PartName="/xl/ctrlProps/ctrlProp120.xml" ContentType="application/vnd.ms-excel.controlproperties+xml"/>
  <Override PartName="/xl/ctrlProps/ctrlProp124.xml" ContentType="application/vnd.ms-excel.controlproperties+xml"/>
  <Override PartName="/xl/ctrlProps/ctrlProp119.xml" ContentType="application/vnd.ms-excel.controlproperties+xml"/>
  <Override PartName="/xl/ctrlProps/ctrlProp129.xml" ContentType="application/vnd.ms-excel.controlproperties+xml"/>
  <Override PartName="/xl/ctrlProps/ctrlProp128.xml" ContentType="application/vnd.ms-excel.controlproperties+xml"/>
  <Override PartName="/xl/ctrlProps/ctrlProp118.xml" ContentType="application/vnd.ms-excel.controlproperties+xml"/>
  <Override PartName="/xl/ctrlProps/ctrlProp115.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3.xml" ContentType="application/vnd.ms-excel.controlproperties+xml"/>
  <Override PartName="/xl/ctrlProps/ctrlProp127.xml" ContentType="application/vnd.ms-excel.controlproperties+xml"/>
  <Override PartName="/xl/ctrlProps/ctrlProp122.xml" ContentType="application/vnd.ms-excel.controlproperties+xml"/>
  <Override PartName="/xl/ctrlProps/ctrlProp121.xml" ContentType="application/vnd.ms-excel.controlproperties+xml"/>
  <Override PartName="/xl/ctrlProps/ctrlProp114.xml" ContentType="application/vnd.ms-excel.controlproperties+xml"/>
  <Override PartName="/xl/ctrlProps/ctrlProp116.xml" ContentType="application/vnd.ms-excel.controlproperties+xml"/>
  <Override PartName="/xl/ctrlProps/ctrlProp2.xml" ContentType="application/vnd.ms-excel.controlproperties+xml"/>
  <Override PartName="/xl/ctrlProps/ctrlProp1.xml" ContentType="application/vnd.ms-excel.controlproperties+xml"/>
  <Override PartName="/xl/ctrlProps/ctrlProp113.xml" ContentType="application/vnd.ms-excel.control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trlProps/ctrlProp107.xml" ContentType="application/vnd.ms-excel.controlproperties+xml"/>
  <Override PartName="/xl/ctrlProps/ctrlProp111.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0.xml" ContentType="application/vnd.ms-excel.controlproperties+xml"/>
  <Override PartName="/xl/ctrlProps/ctrlProp29.xml" ContentType="application/vnd.ms-excel.controlproperties+xml"/>
  <Override PartName="/xl/ctrlProps/ctrlProp28.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45.xml" ContentType="application/vnd.ms-excel.controlproperties+xml"/>
  <Override PartName="/xl/ctrlProps/ctrlProp44.xml" ContentType="application/vnd.ms-excel.controlproperties+xml"/>
  <Override PartName="/xl/ctrlProps/ctrlProp43.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23.xml" ContentType="application/vnd.ms-excel.controlproperties+xml"/>
  <Override PartName="/xl/ctrlProps/ctrlProp22.xml" ContentType="application/vnd.ms-excel.controlproperties+xml"/>
  <Override PartName="/xl/ctrlProps/ctrlProp21.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16.xml" ContentType="application/vnd.ms-excel.controlproperties+xml"/>
  <Override PartName="/xl/ctrlProps/ctrlProp15.xml" ContentType="application/vnd.ms-excel.controlproperties+xml"/>
  <Override PartName="/xl/ctrlProps/ctrlProp14.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89.xml" ContentType="application/vnd.ms-excel.controlproperties+xml"/>
  <Override PartName="/xl/ctrlProps/ctrlProp88.xml" ContentType="application/vnd.ms-excel.controlproperties+xml"/>
  <Override PartName="/xl/ctrlProps/ctrlProp87.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04.xml" ContentType="application/vnd.ms-excel.controlproperties+xml"/>
  <Override PartName="/xl/ctrlProps/ctrlProp103.xml" ContentType="application/vnd.ms-excel.controlproperties+xml"/>
  <Override PartName="/xl/ctrlProps/ctrlProp102.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82.xml" ContentType="application/vnd.ms-excel.controlproperties+xml"/>
  <Override PartName="/xl/ctrlProps/ctrlProp81.xml" ContentType="application/vnd.ms-excel.controlproperties+xml"/>
  <Override PartName="/xl/ctrlProps/ctrlProp8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0.xml" ContentType="application/vnd.ms-excel.controlproperties+xml"/>
  <Override PartName="/xl/ctrlProps/ctrlProp59.xml" ContentType="application/vnd.ms-excel.controlproperties+xml"/>
  <Override PartName="/xl/ctrlProps/ctrlProp58.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75.xml" ContentType="application/vnd.ms-excel.controlproperties+xml"/>
  <Override PartName="/xl/ctrlProps/ctrlProp74.xml" ContentType="application/vnd.ms-excel.controlproperties+xml"/>
  <Override PartName="/xl/ctrlProps/ctrlProp73.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112.xml" ContentType="application/vnd.ms-excel.contro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60" windowWidth="14520" windowHeight="11700" tabRatio="928"/>
  </bookViews>
  <sheets>
    <sheet name="Voorblad" sheetId="2" r:id="rId1"/>
    <sheet name="inhoud" sheetId="4" r:id="rId2"/>
    <sheet name="instructie" sheetId="5" r:id="rId3"/>
    <sheet name="1.1  realisatie" sheetId="6" r:id="rId4"/>
    <sheet name="1.3 Diverse aanvaardbare kosten" sheetId="39" r:id="rId5"/>
    <sheet name="1.4 dure geneesmiddelen" sheetId="27" r:id="rId6"/>
    <sheet name="1.5 opnamen, epb, extra opl." sheetId="10" r:id="rId7"/>
    <sheet name="1.7 specialisten" sheetId="34" r:id="rId8"/>
    <sheet name="2 afschrijv. instandhoud. " sheetId="13" r:id="rId9"/>
    <sheet name="2.3 inventaris " sheetId="16" r:id="rId10"/>
    <sheet name="NZa verwerking" sheetId="38" state="hidden" r:id="rId11"/>
    <sheet name="3 opbrengsten" sheetId="12" r:id="rId12"/>
    <sheet name="4 overzicht mutaties" sheetId="17" r:id="rId13"/>
    <sheet name="Overige mutaties" sheetId="37" r:id="rId14"/>
    <sheet name="5 voorschot verrekenbedrag 2012" sheetId="40" r:id="rId15"/>
    <sheet name="vragen" sheetId="22" r:id="rId16"/>
    <sheet name="beleidsregelwaarden" sheetId="26" r:id="rId17"/>
    <sheet name="rentenormeringsbalans" sheetId="28" r:id="rId18"/>
    <sheet name="toelicht. rentenormeringsbalans" sheetId="29" r:id="rId19"/>
    <sheet name="Overzicht rente" sheetId="30" r:id="rId20"/>
    <sheet name="A-G" sheetId="31" r:id="rId21"/>
    <sheet name="H" sheetId="32" r:id="rId22"/>
    <sheet name="I-J" sheetId="33" r:id="rId23"/>
    <sheet name="versiebeheer" sheetId="35" r:id="rId24"/>
  </sheets>
  <definedNames>
    <definedName name="_xlnm._FilterDatabase" localSheetId="23" hidden="1">versiebeheer!$A$24:$R$63</definedName>
    <definedName name="_ftn1" localSheetId="16">beleidsregelwaarden!$J$22</definedName>
    <definedName name="_ftn2" localSheetId="16">beleidsregelwaarden!$J$24</definedName>
    <definedName name="_ftn3" localSheetId="16">beleidsregelwaarden!$J$25</definedName>
    <definedName name="_ftn4" localSheetId="16">beleidsregelwaarden!$J$27</definedName>
    <definedName name="_ftn5" localSheetId="16">beleidsregelwaarden!$J$29</definedName>
    <definedName name="_ftnref1" localSheetId="16">beleidsregelwaarden!#REF!</definedName>
    <definedName name="_ftnref2" localSheetId="16">beleidsregelwaarden!#REF!</definedName>
    <definedName name="_ftnref3" localSheetId="16">beleidsregelwaarden!#REF!</definedName>
    <definedName name="_ftnref4" localSheetId="16">beleidsregelwaarden!#REF!</definedName>
    <definedName name="_ftnref5" localSheetId="16">beleidsregelwaarden!#REF!</definedName>
    <definedName name="_xlnm.Print_Area" localSheetId="3">'1.1  realisatie'!$A$1:$J$165</definedName>
    <definedName name="_xlnm.Print_Area" localSheetId="4">'1.3 Diverse aanvaardbare kosten'!$A$1:$G$33</definedName>
    <definedName name="_xlnm.Print_Area" localSheetId="5">'1.4 dure geneesmiddelen'!$A$1:$G$143</definedName>
    <definedName name="_xlnm.Print_Area" localSheetId="6">'1.5 opnamen, epb, extra opl.'!$A$1:$K$74</definedName>
    <definedName name="_xlnm.Print_Area" localSheetId="7">'1.7 specialisten'!$A$1:$H$44</definedName>
    <definedName name="_xlnm.Print_Area" localSheetId="8">'2 afschrijv. instandhoud. '!$A$1:$P$47</definedName>
    <definedName name="_xlnm.Print_Area" localSheetId="9">'2.3 inventaris '!$A$1:$G$28</definedName>
    <definedName name="_xlnm.Print_Area" localSheetId="11">'3 opbrengsten'!$A$1:$J$56</definedName>
    <definedName name="_xlnm.Print_Area" localSheetId="12">'4 overzicht mutaties'!$A$1:$F$44</definedName>
    <definedName name="_xlnm.Print_Area" localSheetId="20">'A-G'!$A$1:$G$152</definedName>
    <definedName name="_xlnm.Print_Area" localSheetId="16">beleidsregelwaarden!$A$1:$G$86</definedName>
    <definedName name="_xlnm.Print_Area" localSheetId="21">H!$A$1:$T$204</definedName>
    <definedName name="_xlnm.Print_Area" localSheetId="22">'I-J'!$A$1:$E$32</definedName>
    <definedName name="_xlnm.Print_Area" localSheetId="2">instructie!$A$1:$H$47</definedName>
    <definedName name="_xlnm.Print_Area" localSheetId="10">'NZa verwerking'!$A$1:$D$377</definedName>
    <definedName name="_xlnm.Print_Area" localSheetId="19">'Overzicht rente'!$A$1:$E$42</definedName>
    <definedName name="_xlnm.Print_Area" localSheetId="17">rentenormeringsbalans!$A$1:$N$38</definedName>
    <definedName name="_xlnm.Print_Area" localSheetId="18">'toelicht. rentenormeringsbalans'!$A$1:$E$30</definedName>
    <definedName name="_xlnm.Print_Area" localSheetId="23">versiebeheer!$A$1:$E$21</definedName>
    <definedName name="_xlnm.Print_Area" localSheetId="0">Voorblad!$A$29:$N$53</definedName>
    <definedName name="_xlnm.Print_Area" localSheetId="15">vragen!$A$1:$F$96</definedName>
    <definedName name="_xlnm.Print_Titles" localSheetId="19">'Overzicht rente'!$2:$2</definedName>
    <definedName name="_xlnm.Print_Titles" localSheetId="17">rentenormeringsbalans!$1:$13</definedName>
    <definedName name="_xlnm.Print_Titles" localSheetId="0">Voorblad!$1:$13</definedName>
    <definedName name="getal_data" localSheetId="10">#REF!</definedName>
    <definedName name="getal_data">#REF!</definedName>
    <definedName name="kolom_data" localSheetId="10">#REF!</definedName>
    <definedName name="kolom_data">#REF!</definedName>
    <definedName name="tabblad" localSheetId="10">#REF!</definedName>
    <definedName name="tabblad">#REF!</definedName>
    <definedName name="Z_52EB1485_ECFC_4D16_B893_125E4D85986E_.wvu.Cols" localSheetId="21" hidden="1">H!$U:$AB</definedName>
    <definedName name="Z_52EB1485_ECFC_4D16_B893_125E4D85986E_.wvu.PrintArea" localSheetId="3" hidden="1">'1.1  realisatie'!$A$1:$J$73</definedName>
    <definedName name="Z_52EB1485_ECFC_4D16_B893_125E4D85986E_.wvu.PrintArea" localSheetId="6" hidden="1">'1.5 opnamen, epb, extra opl.'!$A$1:$J$41</definedName>
    <definedName name="Z_52EB1485_ECFC_4D16_B893_125E4D85986E_.wvu.PrintArea" localSheetId="8" hidden="1">'2 afschrijv. instandhoud. '!$A$1:$G$30</definedName>
    <definedName name="Z_52EB1485_ECFC_4D16_B893_125E4D85986E_.wvu.PrintArea" localSheetId="9" hidden="1">'2.3 inventaris '!$A$1:$G$28</definedName>
    <definedName name="Z_52EB1485_ECFC_4D16_B893_125E4D85986E_.wvu.PrintArea" localSheetId="11" hidden="1">'3 opbrengsten'!$A$1:$J$38</definedName>
    <definedName name="Z_52EB1485_ECFC_4D16_B893_125E4D85986E_.wvu.PrintArea" localSheetId="16" hidden="1">beleidsregelwaarden!$A$1:$D$104</definedName>
    <definedName name="Z_52EB1485_ECFC_4D16_B893_125E4D85986E_.wvu.PrintArea" localSheetId="22" hidden="1">'I-J'!$A$1:$E$35</definedName>
    <definedName name="Z_52EB1485_ECFC_4D16_B893_125E4D85986E_.wvu.PrintArea" localSheetId="2" hidden="1">instructie!$A$1:$C$47</definedName>
    <definedName name="Z_52EB1485_ECFC_4D16_B893_125E4D85986E_.wvu.PrintArea" localSheetId="17" hidden="1">rentenormeringsbalans!$A$25:$N$38</definedName>
    <definedName name="Z_52EB1485_ECFC_4D16_B893_125E4D85986E_.wvu.PrintArea" localSheetId="18" hidden="1">'toelicht. rentenormeringsbalans'!$A$1:$E$30</definedName>
    <definedName name="Z_52EB1485_ECFC_4D16_B893_125E4D85986E_.wvu.PrintArea" localSheetId="0" hidden="1">Voorblad!$A$28:$N$41</definedName>
    <definedName name="Z_52EB1485_ECFC_4D16_B893_125E4D85986E_.wvu.PrintArea" localSheetId="15" hidden="1">vragen!$A$1:$C$107</definedName>
    <definedName name="Z_52EB1485_ECFC_4D16_B893_125E4D85986E_.wvu.PrintTitles" localSheetId="19" hidden="1">'Overzicht rente'!$2:$2</definedName>
    <definedName name="Z_52EB1485_ECFC_4D16_B893_125E4D85986E_.wvu.PrintTitles" localSheetId="17" hidden="1">rentenormeringsbalans!$1:$12</definedName>
    <definedName name="Z_52EB1485_ECFC_4D16_B893_125E4D85986E_.wvu.PrintTitles" localSheetId="0" hidden="1">Voorblad!$1:$12</definedName>
    <definedName name="Z_52EB1485_ECFC_4D16_B893_125E4D85986E_.wvu.Rows" localSheetId="2" hidden="1">instructie!#REF!</definedName>
    <definedName name="Z_52EB1485_ECFC_4D16_B893_125E4D85986E_.wvu.Rows" localSheetId="18" hidden="1">'toelicht. rentenormeringsbalans'!$41:$52</definedName>
    <definedName name="Z_60683067_AF12_11D4_9642_08005ACCD915_.wvu.PrintArea" localSheetId="11" hidden="1">'3 opbrengsten'!$1:$1048576</definedName>
    <definedName name="Z_60683067_AF12_11D4_9642_08005ACCD915_.wvu.PrintArea" localSheetId="20" hidden="1">'A-G'!$1:$1048576</definedName>
    <definedName name="Z_60683067_AF12_11D4_9642_08005ACCD915_.wvu.PrintArea" localSheetId="21" hidden="1">H!$1:$1048576</definedName>
    <definedName name="Z_60683067_AF12_11D4_9642_08005ACCD915_.wvu.PrintArea" localSheetId="22" hidden="1">'I-J'!$1:$1048576</definedName>
    <definedName name="Z_60683067_AF12_11D4_9642_08005ACCD915_.wvu.PrintTitles" localSheetId="19" hidden="1">'Overzicht rente'!$2:$2</definedName>
    <definedName name="Z_60683068_AF12_11D4_9642_08005ACCD915_.wvu.PrintTitles" localSheetId="11" hidden="1">'3 opbrengsten'!#REF!</definedName>
    <definedName name="Z_60683068_AF12_11D4_9642_08005ACCD915_.wvu.PrintTitles" localSheetId="20" hidden="1">'A-G'!#REF!</definedName>
    <definedName name="Z_60683068_AF12_11D4_9642_08005ACCD915_.wvu.PrintTitles" localSheetId="21" hidden="1">H!#REF!</definedName>
    <definedName name="Z_60683068_AF12_11D4_9642_08005ACCD915_.wvu.PrintTitles" localSheetId="22" hidden="1">'I-J'!#REF!</definedName>
    <definedName name="Z_60683068_AF12_11D4_9642_08005ACCD915_.wvu.PrintTitles" localSheetId="1" hidden="1">inhoud!$2:$2</definedName>
    <definedName name="Z_60683068_AF12_11D4_9642_08005ACCD915_.wvu.PrintTitles" localSheetId="2" hidden="1">instructie!$2:$2</definedName>
    <definedName name="Z_60683068_AF12_11D4_9642_08005ACCD915_.wvu.PrintTitles" localSheetId="19" hidden="1">'Overzicht rente'!$2:$2</definedName>
    <definedName name="Z_60683068_AF12_11D4_9642_08005ACCD915_.wvu.PrintTitles" localSheetId="18" hidden="1">'toelicht. rentenormeringsbalans'!$2:$2</definedName>
    <definedName name="Z_60683068_AF12_11D4_9642_08005ACCD915_.wvu.PrintTitles" localSheetId="23" hidden="1">versiebeheer!$2:$2</definedName>
    <definedName name="Z_60683068_AF12_11D4_9642_08005ACCD915_.wvu.Rows" localSheetId="1" hidden="1">inhoud!#REF!,inhoud!#REF!,inhoud!#REF!</definedName>
    <definedName name="Z_60683068_AF12_11D4_9642_08005ACCD915_.wvu.Rows" localSheetId="2" hidden="1">instructie!#REF!,instructie!#REF!,instructie!#REF!</definedName>
    <definedName name="Z_60683068_AF12_11D4_9642_08005ACCD915_.wvu.Rows" localSheetId="19" hidden="1">'Overzicht rente'!#REF!,'Overzicht rente'!#REF!,'Overzicht rente'!#REF!,'Overzicht rente'!#REF!</definedName>
    <definedName name="Z_60683068_AF12_11D4_9642_08005ACCD915_.wvu.Rows" localSheetId="17" hidden="1">rentenormeringsbalans!#REF!,rentenormeringsbalans!#REF!,rentenormeringsbalans!$33:$33,rentenormeringsbalans!#REF!</definedName>
    <definedName name="Z_60683068_AF12_11D4_9642_08005ACCD915_.wvu.Rows" localSheetId="18" hidden="1">'toelicht. rentenormeringsbalans'!#REF!,'toelicht. rentenormeringsbalans'!#REF!,'toelicht. rentenormeringsbalans'!#REF!</definedName>
    <definedName name="Z_60683068_AF12_11D4_9642_08005ACCD915_.wvu.Rows" localSheetId="23" hidden="1">versiebeheer!#REF!,versiebeheer!#REF!,versiebeheer!#REF!</definedName>
    <definedName name="Z_60683068_AF12_11D4_9642_08005ACCD915_.wvu.Rows" localSheetId="0" hidden="1">Voorblad!#REF!,Voorblad!#REF!,Voorblad!$33:$33,Voorblad!#REF!</definedName>
  </definedNames>
  <calcPr calcId="145621"/>
  <customWorkbookViews>
    <customWorkbookView name="azwt - Persoonlijke weergave" guid="{52EB1485-ECFC-4D16-B893-125E4D85986E}" mergeInterval="0" personalView="1" maximized="1" windowWidth="788" windowHeight="576" activeSheetId="22"/>
    <customWorkbookView name="Weergave Klein" guid="{60683067-AF12-11D4-9642-08005ACCD915}" maximized="1" windowWidth="794" windowHeight="384" activeSheetId="5"/>
    <customWorkbookView name="weergave Groot" guid="{60683068-AF12-11D4-9642-08005ACCD915}" maximized="1" windowWidth="794" windowHeight="384" activeSheetId="2"/>
  </customWorkbookViews>
</workbook>
</file>

<file path=xl/calcChain.xml><?xml version="1.0" encoding="utf-8"?>
<calcChain xmlns="http://schemas.openxmlformats.org/spreadsheetml/2006/main">
  <c r="A132" i="6" l="1"/>
  <c r="A96" i="6"/>
  <c r="A50" i="6"/>
  <c r="C178" i="38" l="1"/>
  <c r="C240" i="38"/>
  <c r="C164" i="38"/>
  <c r="C239" i="38"/>
  <c r="E33" i="39" l="1"/>
  <c r="F87" i="22"/>
  <c r="H29" i="13" l="1"/>
  <c r="A31" i="13" s="1"/>
  <c r="M9" i="13"/>
  <c r="D36" i="34"/>
  <c r="C36" i="34"/>
  <c r="H32" i="34"/>
  <c r="H33" i="34"/>
  <c r="H34" i="34"/>
  <c r="H35" i="34"/>
  <c r="K5" i="34"/>
  <c r="E3" i="34"/>
  <c r="G110" i="27"/>
  <c r="D110" i="27"/>
  <c r="F110" i="27"/>
  <c r="E110" i="27"/>
  <c r="A9" i="26"/>
  <c r="E19" i="39"/>
  <c r="D19" i="39"/>
  <c r="F21" i="39"/>
  <c r="G21" i="39" s="1"/>
  <c r="M11" i="13" l="1"/>
  <c r="M12" i="13"/>
  <c r="M13" i="13"/>
  <c r="M14" i="13"/>
  <c r="A353" i="38" l="1"/>
  <c r="A352" i="38"/>
  <c r="A351" i="38"/>
  <c r="A350" i="38"/>
  <c r="A349" i="38"/>
  <c r="C323" i="38"/>
  <c r="A227" i="38"/>
  <c r="A228" i="38"/>
  <c r="A226" i="38"/>
  <c r="C130" i="38"/>
  <c r="C129" i="38"/>
  <c r="C131" i="38"/>
  <c r="E107" i="6"/>
  <c r="I107" i="6" s="1"/>
  <c r="E29" i="6"/>
  <c r="H29" i="6" s="1"/>
  <c r="Q203" i="32"/>
  <c r="K203" i="32"/>
  <c r="I203" i="32"/>
  <c r="H203" i="32"/>
  <c r="F203" i="32"/>
  <c r="D203" i="32"/>
  <c r="R203" i="32" s="1"/>
  <c r="B203" i="32"/>
  <c r="Q202" i="32"/>
  <c r="K202" i="32"/>
  <c r="I202" i="32"/>
  <c r="H202" i="32"/>
  <c r="F202" i="32"/>
  <c r="D202" i="32"/>
  <c r="B202" i="32"/>
  <c r="R202" i="32" s="1"/>
  <c r="S202" i="32" s="1"/>
  <c r="Q201" i="32"/>
  <c r="K201" i="32"/>
  <c r="I201" i="32"/>
  <c r="H201" i="32"/>
  <c r="F201" i="32"/>
  <c r="D201" i="32"/>
  <c r="R201" i="32" s="1"/>
  <c r="S201" i="32" s="1"/>
  <c r="B201" i="32"/>
  <c r="Q200" i="32"/>
  <c r="K200" i="32"/>
  <c r="I200" i="32"/>
  <c r="H200" i="32"/>
  <c r="F200" i="32"/>
  <c r="D200" i="32"/>
  <c r="B200" i="32"/>
  <c r="R200" i="32" s="1"/>
  <c r="S200" i="32" s="1"/>
  <c r="Q199" i="32"/>
  <c r="K199" i="32"/>
  <c r="I199" i="32"/>
  <c r="H199" i="32"/>
  <c r="F199" i="32"/>
  <c r="D199" i="32"/>
  <c r="B199" i="32"/>
  <c r="Q198" i="32"/>
  <c r="K198" i="32"/>
  <c r="I198" i="32"/>
  <c r="H198" i="32"/>
  <c r="F198" i="32"/>
  <c r="D198" i="32"/>
  <c r="B198" i="32"/>
  <c r="R198" i="32" s="1"/>
  <c r="S198" i="32" s="1"/>
  <c r="Q197" i="32"/>
  <c r="K197" i="32"/>
  <c r="I197" i="32"/>
  <c r="H197" i="32"/>
  <c r="F197" i="32"/>
  <c r="D197" i="32"/>
  <c r="R197" i="32" s="1"/>
  <c r="S197" i="32" s="1"/>
  <c r="B197" i="32"/>
  <c r="Q196" i="32"/>
  <c r="K196" i="32"/>
  <c r="I196" i="32"/>
  <c r="H196" i="32"/>
  <c r="F196" i="32"/>
  <c r="D196" i="32"/>
  <c r="B196" i="32"/>
  <c r="R196" i="32" s="1"/>
  <c r="S196" i="32" s="1"/>
  <c r="Q195" i="32"/>
  <c r="K195" i="32"/>
  <c r="I195" i="32"/>
  <c r="H195" i="32"/>
  <c r="F195" i="32"/>
  <c r="D195" i="32"/>
  <c r="B195" i="32"/>
  <c r="Q194" i="32"/>
  <c r="K194" i="32"/>
  <c r="I194" i="32"/>
  <c r="H194" i="32"/>
  <c r="F194" i="32"/>
  <c r="D194" i="32"/>
  <c r="B194" i="32"/>
  <c r="R194" i="32" s="1"/>
  <c r="S194" i="32" s="1"/>
  <c r="Q193" i="32"/>
  <c r="K193" i="32"/>
  <c r="I193" i="32"/>
  <c r="H193" i="32"/>
  <c r="F193" i="32"/>
  <c r="D193" i="32"/>
  <c r="R193" i="32" s="1"/>
  <c r="S193" i="32" s="1"/>
  <c r="B193" i="32"/>
  <c r="Q192" i="32"/>
  <c r="K192" i="32"/>
  <c r="I192" i="32"/>
  <c r="H192" i="32"/>
  <c r="F192" i="32"/>
  <c r="D192" i="32"/>
  <c r="B192" i="32"/>
  <c r="R192" i="32" s="1"/>
  <c r="S192" i="32" s="1"/>
  <c r="Q191" i="32"/>
  <c r="K191" i="32"/>
  <c r="I191" i="32"/>
  <c r="H191" i="32"/>
  <c r="F191" i="32"/>
  <c r="D191" i="32"/>
  <c r="B191" i="32"/>
  <c r="Q190" i="32"/>
  <c r="K190" i="32"/>
  <c r="I190" i="32"/>
  <c r="H190" i="32"/>
  <c r="F190" i="32"/>
  <c r="D190" i="32"/>
  <c r="B190" i="32"/>
  <c r="R190" i="32" s="1"/>
  <c r="S190" i="32" s="1"/>
  <c r="Q189" i="32"/>
  <c r="K189" i="32"/>
  <c r="I189" i="32"/>
  <c r="H189" i="32"/>
  <c r="F189" i="32"/>
  <c r="D189" i="32"/>
  <c r="R189" i="32" s="1"/>
  <c r="S189" i="32" s="1"/>
  <c r="B189" i="32"/>
  <c r="Q188" i="32"/>
  <c r="K188" i="32"/>
  <c r="I188" i="32"/>
  <c r="H188" i="32"/>
  <c r="F188" i="32"/>
  <c r="D188" i="32"/>
  <c r="B188" i="32"/>
  <c r="R188" i="32" s="1"/>
  <c r="S188" i="32" s="1"/>
  <c r="Q187" i="32"/>
  <c r="K187" i="32"/>
  <c r="I187" i="32"/>
  <c r="H187" i="32"/>
  <c r="F187" i="32"/>
  <c r="D187" i="32"/>
  <c r="B187" i="32"/>
  <c r="Q186" i="32"/>
  <c r="K186" i="32"/>
  <c r="I186" i="32"/>
  <c r="H186" i="32"/>
  <c r="F186" i="32"/>
  <c r="D186" i="32"/>
  <c r="B186" i="32"/>
  <c r="R186" i="32" s="1"/>
  <c r="S186" i="32" s="1"/>
  <c r="Q185" i="32"/>
  <c r="K185" i="32"/>
  <c r="I185" i="32"/>
  <c r="H185" i="32"/>
  <c r="F185" i="32"/>
  <c r="D185" i="32"/>
  <c r="R185" i="32" s="1"/>
  <c r="S185" i="32" s="1"/>
  <c r="B185" i="32"/>
  <c r="Q184" i="32"/>
  <c r="K184" i="32"/>
  <c r="I184" i="32"/>
  <c r="H184" i="32"/>
  <c r="F184" i="32"/>
  <c r="D184" i="32"/>
  <c r="B184" i="32"/>
  <c r="R184" i="32" s="1"/>
  <c r="S184" i="32" s="1"/>
  <c r="Q183" i="32"/>
  <c r="K183" i="32"/>
  <c r="I183" i="32"/>
  <c r="H183" i="32"/>
  <c r="F183" i="32"/>
  <c r="D183" i="32"/>
  <c r="B183" i="32"/>
  <c r="Q182" i="32"/>
  <c r="K182" i="32"/>
  <c r="I182" i="32"/>
  <c r="H182" i="32"/>
  <c r="F182" i="32"/>
  <c r="D182" i="32"/>
  <c r="B182" i="32"/>
  <c r="Q181" i="32"/>
  <c r="K181" i="32"/>
  <c r="I181" i="32"/>
  <c r="H181" i="32"/>
  <c r="F181" i="32"/>
  <c r="D181" i="32"/>
  <c r="B181" i="32"/>
  <c r="R181" i="32" s="1"/>
  <c r="Q180" i="32"/>
  <c r="K180" i="32"/>
  <c r="I180" i="32"/>
  <c r="H180" i="32"/>
  <c r="F180" i="32"/>
  <c r="D180" i="32"/>
  <c r="B180" i="32"/>
  <c r="Q179" i="32"/>
  <c r="K179" i="32"/>
  <c r="I179" i="32"/>
  <c r="H179" i="32"/>
  <c r="F179" i="32"/>
  <c r="D179" i="32"/>
  <c r="B179" i="32"/>
  <c r="Q178" i="32"/>
  <c r="K178" i="32"/>
  <c r="I178" i="32"/>
  <c r="H178" i="32"/>
  <c r="F178" i="32"/>
  <c r="D178" i="32"/>
  <c r="R178" i="32" s="1"/>
  <c r="B178" i="32"/>
  <c r="Q177" i="32"/>
  <c r="K177" i="32"/>
  <c r="I177" i="32"/>
  <c r="H177" i="32"/>
  <c r="F177" i="32"/>
  <c r="D177" i="32"/>
  <c r="B177" i="32"/>
  <c r="R177" i="32" s="1"/>
  <c r="Q176" i="32"/>
  <c r="K176" i="32"/>
  <c r="I176" i="32"/>
  <c r="H176" i="32"/>
  <c r="F176" i="32"/>
  <c r="D176" i="32"/>
  <c r="R176" i="32" s="1"/>
  <c r="B176" i="32"/>
  <c r="Q175" i="32"/>
  <c r="K175" i="32"/>
  <c r="I175" i="32"/>
  <c r="H175" i="32"/>
  <c r="F175" i="32"/>
  <c r="D175" i="32"/>
  <c r="B175" i="32"/>
  <c r="R175" i="32" s="1"/>
  <c r="Q174" i="32"/>
  <c r="K174" i="32"/>
  <c r="I174" i="32"/>
  <c r="H174" i="32"/>
  <c r="F174" i="32"/>
  <c r="D174" i="32"/>
  <c r="R174" i="32" s="1"/>
  <c r="B174" i="32"/>
  <c r="Q173" i="32"/>
  <c r="K173" i="32"/>
  <c r="I173" i="32"/>
  <c r="H173" i="32"/>
  <c r="F173" i="32"/>
  <c r="D173" i="32"/>
  <c r="B173" i="32"/>
  <c r="Q172" i="32"/>
  <c r="K172" i="32"/>
  <c r="I172" i="32"/>
  <c r="H172" i="32"/>
  <c r="F172" i="32"/>
  <c r="D172" i="32"/>
  <c r="B172" i="32"/>
  <c r="R172" i="32" s="1"/>
  <c r="Q171" i="32"/>
  <c r="K171" i="32"/>
  <c r="I171" i="32"/>
  <c r="H171" i="32"/>
  <c r="F171" i="32"/>
  <c r="D171" i="32"/>
  <c r="R171" i="32"/>
  <c r="B171" i="32"/>
  <c r="Q170" i="32"/>
  <c r="K170" i="32"/>
  <c r="I170" i="32"/>
  <c r="H170" i="32"/>
  <c r="F170" i="32"/>
  <c r="D170" i="32"/>
  <c r="B170" i="32"/>
  <c r="Q169" i="32"/>
  <c r="K169" i="32"/>
  <c r="I169" i="32"/>
  <c r="H169" i="32"/>
  <c r="F169" i="32"/>
  <c r="D169" i="32"/>
  <c r="B169" i="32"/>
  <c r="Q168" i="32"/>
  <c r="K168" i="32"/>
  <c r="I168" i="32"/>
  <c r="H168" i="32"/>
  <c r="F168" i="32"/>
  <c r="D168" i="32"/>
  <c r="B168" i="32"/>
  <c r="Q167" i="32"/>
  <c r="K167" i="32"/>
  <c r="I167" i="32"/>
  <c r="H167" i="32"/>
  <c r="F167" i="32"/>
  <c r="D167" i="32"/>
  <c r="B167" i="32"/>
  <c r="Q166" i="32"/>
  <c r="K166" i="32"/>
  <c r="I166" i="32"/>
  <c r="H166" i="32"/>
  <c r="F166" i="32"/>
  <c r="D166" i="32"/>
  <c r="B166" i="32"/>
  <c r="Q165" i="32"/>
  <c r="K165" i="32"/>
  <c r="I165" i="32"/>
  <c r="H165" i="32"/>
  <c r="F165" i="32"/>
  <c r="D165" i="32"/>
  <c r="B165" i="32"/>
  <c r="R165" i="32" s="1"/>
  <c r="Q164" i="32"/>
  <c r="K164" i="32"/>
  <c r="I164" i="32"/>
  <c r="H164" i="32"/>
  <c r="F164" i="32"/>
  <c r="D164" i="32"/>
  <c r="B164" i="32"/>
  <c r="R164" i="32"/>
  <c r="Q163" i="32"/>
  <c r="K163" i="32"/>
  <c r="I163" i="32"/>
  <c r="H163" i="32"/>
  <c r="F163" i="32"/>
  <c r="D163" i="32"/>
  <c r="B163" i="32"/>
  <c r="Q162" i="32"/>
  <c r="K162" i="32"/>
  <c r="I162" i="32"/>
  <c r="H162" i="32"/>
  <c r="F162" i="32"/>
  <c r="D162" i="32"/>
  <c r="B162" i="32"/>
  <c r="Q161" i="32"/>
  <c r="K161" i="32"/>
  <c r="I161" i="32"/>
  <c r="H161" i="32"/>
  <c r="F161" i="32"/>
  <c r="D161" i="32"/>
  <c r="B161" i="32"/>
  <c r="R161" i="32" s="1"/>
  <c r="Q160" i="32"/>
  <c r="K160" i="32"/>
  <c r="I160" i="32"/>
  <c r="H160" i="32"/>
  <c r="F160" i="32"/>
  <c r="D160" i="32"/>
  <c r="B160" i="32"/>
  <c r="Q159" i="32"/>
  <c r="K159" i="32"/>
  <c r="I159" i="32"/>
  <c r="H159" i="32"/>
  <c r="F159" i="32"/>
  <c r="D159" i="32"/>
  <c r="B159" i="32"/>
  <c r="Q158" i="32"/>
  <c r="K158" i="32"/>
  <c r="I158" i="32"/>
  <c r="H158" i="32"/>
  <c r="F158" i="32"/>
  <c r="D158" i="32"/>
  <c r="B158" i="32"/>
  <c r="Q157" i="32"/>
  <c r="K157" i="32"/>
  <c r="I157" i="32"/>
  <c r="H157" i="32"/>
  <c r="F157" i="32"/>
  <c r="R157" i="32" s="1"/>
  <c r="D157" i="32"/>
  <c r="B157" i="32"/>
  <c r="Q156" i="32"/>
  <c r="K156" i="32"/>
  <c r="I156" i="32"/>
  <c r="H156" i="32"/>
  <c r="F156" i="32"/>
  <c r="D156" i="32"/>
  <c r="B156" i="32"/>
  <c r="R156" i="32" s="1"/>
  <c r="Q155" i="32"/>
  <c r="K155" i="32"/>
  <c r="I155" i="32"/>
  <c r="H155" i="32"/>
  <c r="F155" i="32"/>
  <c r="D155" i="32"/>
  <c r="B155" i="32"/>
  <c r="Q154" i="32"/>
  <c r="K154" i="32"/>
  <c r="I154" i="32"/>
  <c r="H154" i="32"/>
  <c r="F154" i="32"/>
  <c r="D154" i="32"/>
  <c r="R154" i="32" s="1"/>
  <c r="B154" i="32"/>
  <c r="Q153" i="32"/>
  <c r="K153" i="32"/>
  <c r="I153" i="32"/>
  <c r="H153" i="32"/>
  <c r="F153" i="32"/>
  <c r="D153" i="32"/>
  <c r="B153" i="32"/>
  <c r="R153" i="32" s="1"/>
  <c r="Q152" i="32"/>
  <c r="K152" i="32"/>
  <c r="I152" i="32"/>
  <c r="H152" i="32"/>
  <c r="F152" i="32"/>
  <c r="D152" i="32"/>
  <c r="B152" i="32"/>
  <c r="Q151" i="32"/>
  <c r="K151" i="32"/>
  <c r="I151" i="32"/>
  <c r="H151" i="32"/>
  <c r="F151" i="32"/>
  <c r="D151" i="32"/>
  <c r="R151" i="32"/>
  <c r="B151" i="32"/>
  <c r="Q150" i="32"/>
  <c r="K150" i="32"/>
  <c r="I150" i="32"/>
  <c r="H150" i="32"/>
  <c r="F150" i="32"/>
  <c r="D150" i="32"/>
  <c r="B150" i="32"/>
  <c r="Q149" i="32"/>
  <c r="K149" i="32"/>
  <c r="I149" i="32"/>
  <c r="H149" i="32"/>
  <c r="F149" i="32"/>
  <c r="D149" i="32"/>
  <c r="B149" i="32"/>
  <c r="R149" i="32" s="1"/>
  <c r="R199" i="32"/>
  <c r="S199" i="32" s="1"/>
  <c r="R195" i="32"/>
  <c r="S195" i="32" s="1"/>
  <c r="R191" i="32"/>
  <c r="S191" i="32" s="1"/>
  <c r="R187" i="32"/>
  <c r="S187" i="32" s="1"/>
  <c r="R183" i="32"/>
  <c r="S183" i="32" s="1"/>
  <c r="Q76" i="32"/>
  <c r="K76" i="32"/>
  <c r="I76" i="32"/>
  <c r="H76" i="32"/>
  <c r="F76" i="32"/>
  <c r="D76" i="32"/>
  <c r="B76" i="32"/>
  <c r="R76" i="32" s="1"/>
  <c r="R34" i="32" s="1"/>
  <c r="Q75" i="32"/>
  <c r="AA74" i="32"/>
  <c r="K75" i="32"/>
  <c r="I75" i="32"/>
  <c r="H75" i="32"/>
  <c r="F75" i="32"/>
  <c r="D75" i="32"/>
  <c r="B75" i="32"/>
  <c r="Q74" i="32"/>
  <c r="K74" i="32"/>
  <c r="I74" i="32"/>
  <c r="H74" i="32"/>
  <c r="F74" i="32"/>
  <c r="D74" i="32"/>
  <c r="B74" i="32"/>
  <c r="Q73" i="32"/>
  <c r="K73" i="32"/>
  <c r="I73" i="32"/>
  <c r="H73" i="32"/>
  <c r="F73" i="32"/>
  <c r="D73" i="32"/>
  <c r="B73" i="32"/>
  <c r="Q72" i="32"/>
  <c r="K72" i="32"/>
  <c r="I72" i="32"/>
  <c r="H72" i="32"/>
  <c r="F72" i="32"/>
  <c r="D72" i="32"/>
  <c r="B72" i="32"/>
  <c r="Q71" i="32"/>
  <c r="K71" i="32"/>
  <c r="I71" i="32"/>
  <c r="H71" i="32"/>
  <c r="F71" i="32"/>
  <c r="D71" i="32"/>
  <c r="B71" i="32"/>
  <c r="Q70" i="32"/>
  <c r="K70" i="32"/>
  <c r="I70" i="32"/>
  <c r="H70" i="32"/>
  <c r="F70" i="32"/>
  <c r="D70" i="32"/>
  <c r="B70" i="32"/>
  <c r="Q69" i="32"/>
  <c r="K69" i="32"/>
  <c r="I69" i="32"/>
  <c r="H69" i="32"/>
  <c r="F69" i="32"/>
  <c r="D69" i="32"/>
  <c r="B69" i="32"/>
  <c r="Q68" i="32"/>
  <c r="K68" i="32"/>
  <c r="I68" i="32"/>
  <c r="H68" i="32"/>
  <c r="F68" i="32"/>
  <c r="D68" i="32"/>
  <c r="B68" i="32"/>
  <c r="Q67" i="32"/>
  <c r="AA66" i="32" s="1"/>
  <c r="K67" i="32"/>
  <c r="I67" i="32"/>
  <c r="H67" i="32"/>
  <c r="F67" i="32"/>
  <c r="D67" i="32"/>
  <c r="B67" i="32"/>
  <c r="Q66" i="32"/>
  <c r="K66" i="32"/>
  <c r="I66" i="32"/>
  <c r="H66" i="32"/>
  <c r="F66" i="32"/>
  <c r="D66" i="32"/>
  <c r="B66" i="32"/>
  <c r="Q65" i="32"/>
  <c r="K65" i="32"/>
  <c r="I65" i="32"/>
  <c r="H65" i="32"/>
  <c r="F65" i="32"/>
  <c r="D65" i="32"/>
  <c r="B65" i="32"/>
  <c r="Q64" i="32"/>
  <c r="K64" i="32"/>
  <c r="I64" i="32"/>
  <c r="H64" i="32"/>
  <c r="F64" i="32"/>
  <c r="D64" i="32"/>
  <c r="B64" i="32"/>
  <c r="Q63" i="32"/>
  <c r="K63" i="32"/>
  <c r="I63" i="32"/>
  <c r="H63" i="32"/>
  <c r="F63" i="32"/>
  <c r="D63" i="32"/>
  <c r="B63" i="32"/>
  <c r="Q62" i="32"/>
  <c r="K62" i="32"/>
  <c r="I62" i="32"/>
  <c r="H62" i="32"/>
  <c r="F62" i="32"/>
  <c r="D62" i="32"/>
  <c r="B62" i="32"/>
  <c r="Q61" i="32"/>
  <c r="K61" i="32"/>
  <c r="I61" i="32"/>
  <c r="H61" i="32"/>
  <c r="F61" i="32"/>
  <c r="D61" i="32"/>
  <c r="B61" i="32"/>
  <c r="Q60" i="32"/>
  <c r="K60" i="32"/>
  <c r="I60" i="32"/>
  <c r="H60" i="32"/>
  <c r="F60" i="32"/>
  <c r="D60" i="32"/>
  <c r="B60" i="32"/>
  <c r="Q59" i="32"/>
  <c r="K59" i="32"/>
  <c r="I59" i="32"/>
  <c r="H59" i="32"/>
  <c r="F59" i="32"/>
  <c r="D59" i="32"/>
  <c r="B59" i="32"/>
  <c r="Q58" i="32"/>
  <c r="K58" i="32"/>
  <c r="I58" i="32"/>
  <c r="H58" i="32"/>
  <c r="F58" i="32"/>
  <c r="D58" i="32"/>
  <c r="B58" i="32"/>
  <c r="Q57" i="32"/>
  <c r="K57" i="32"/>
  <c r="I57" i="32"/>
  <c r="H57" i="32"/>
  <c r="F57" i="32"/>
  <c r="D57" i="32"/>
  <c r="B57" i="32"/>
  <c r="Q56" i="32"/>
  <c r="K56" i="32"/>
  <c r="I56" i="32"/>
  <c r="H56" i="32"/>
  <c r="F56" i="32"/>
  <c r="D56" i="32"/>
  <c r="B56" i="32"/>
  <c r="Q55" i="32"/>
  <c r="AA54" i="32"/>
  <c r="K55" i="32"/>
  <c r="I55" i="32"/>
  <c r="H55" i="32"/>
  <c r="F55" i="32"/>
  <c r="D55" i="32"/>
  <c r="B55" i="32"/>
  <c r="Q54" i="32"/>
  <c r="K54" i="32"/>
  <c r="I54" i="32"/>
  <c r="H54" i="32"/>
  <c r="F54" i="32"/>
  <c r="D54" i="32"/>
  <c r="B54" i="32"/>
  <c r="Q53" i="32"/>
  <c r="K53" i="32"/>
  <c r="I53" i="32"/>
  <c r="H53" i="32"/>
  <c r="F53" i="32"/>
  <c r="D53" i="32"/>
  <c r="B53" i="32"/>
  <c r="Q52" i="32"/>
  <c r="K52" i="32"/>
  <c r="I52" i="32"/>
  <c r="H52" i="32"/>
  <c r="F52" i="32"/>
  <c r="D52" i="32"/>
  <c r="B52" i="32"/>
  <c r="Q51" i="32"/>
  <c r="K51" i="32"/>
  <c r="I51" i="32"/>
  <c r="H51" i="32"/>
  <c r="F51" i="32"/>
  <c r="D51" i="32"/>
  <c r="B51" i="32"/>
  <c r="R51" i="32" s="1"/>
  <c r="R9" i="32" s="1"/>
  <c r="Q50" i="32"/>
  <c r="K50" i="32"/>
  <c r="I50" i="32"/>
  <c r="H50" i="32"/>
  <c r="F50" i="32"/>
  <c r="D50" i="32"/>
  <c r="B50" i="32"/>
  <c r="B12" i="39"/>
  <c r="B113" i="31"/>
  <c r="A4" i="12"/>
  <c r="B42" i="22"/>
  <c r="A5" i="22"/>
  <c r="A2" i="4"/>
  <c r="A77" i="27"/>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7" i="27" s="1"/>
  <c r="A118" i="27" s="1"/>
  <c r="A119" i="27" s="1"/>
  <c r="A120" i="27" s="1"/>
  <c r="A121" i="27" s="1"/>
  <c r="A122" i="27" s="1"/>
  <c r="A123" i="27" s="1"/>
  <c r="A124" i="27" s="1"/>
  <c r="A125" i="27" s="1"/>
  <c r="A131" i="27" s="1"/>
  <c r="A132" i="27" s="1"/>
  <c r="A138" i="27" s="1"/>
  <c r="A139" i="27" s="1"/>
  <c r="A140" i="27" s="1"/>
  <c r="A143" i="27" s="1"/>
  <c r="F140" i="27"/>
  <c r="D140" i="27"/>
  <c r="E139" i="27"/>
  <c r="G139" i="27" s="1"/>
  <c r="E138" i="27"/>
  <c r="E54" i="27"/>
  <c r="C187" i="38" s="1"/>
  <c r="E55" i="27"/>
  <c r="C188" i="38" s="1"/>
  <c r="F125" i="27"/>
  <c r="E118" i="27"/>
  <c r="G118" i="27"/>
  <c r="E119" i="27"/>
  <c r="C232" i="38"/>
  <c r="E80" i="27"/>
  <c r="C199" i="38"/>
  <c r="E81" i="27"/>
  <c r="G81" i="27"/>
  <c r="E82" i="27"/>
  <c r="G82" i="27"/>
  <c r="E76" i="27"/>
  <c r="G76" i="27"/>
  <c r="E77" i="27"/>
  <c r="C197" i="38" s="1"/>
  <c r="G80" i="27"/>
  <c r="G77" i="27"/>
  <c r="E13" i="27"/>
  <c r="C146" i="38" s="1"/>
  <c r="E14" i="27"/>
  <c r="C147" i="38" s="1"/>
  <c r="E15" i="27"/>
  <c r="C148" i="38" s="1"/>
  <c r="E16" i="27"/>
  <c r="C149" i="38" s="1"/>
  <c r="E17" i="27"/>
  <c r="C150" i="38" s="1"/>
  <c r="E18" i="27"/>
  <c r="C151" i="38"/>
  <c r="E19" i="27"/>
  <c r="G19" i="27" s="1"/>
  <c r="C152" i="38"/>
  <c r="E20" i="27"/>
  <c r="C153" i="38" s="1"/>
  <c r="E21" i="27"/>
  <c r="C154" i="38" s="1"/>
  <c r="E22" i="27"/>
  <c r="C155" i="38" s="1"/>
  <c r="E23" i="27"/>
  <c r="C156" i="38" s="1"/>
  <c r="E24" i="27"/>
  <c r="C157" i="38" s="1"/>
  <c r="E25" i="27"/>
  <c r="C158" i="38" s="1"/>
  <c r="E26" i="27"/>
  <c r="C159" i="38" s="1"/>
  <c r="E27" i="27"/>
  <c r="C160" i="38" s="1"/>
  <c r="E28" i="27"/>
  <c r="C161" i="38" s="1"/>
  <c r="E29" i="27"/>
  <c r="C162" i="38" s="1"/>
  <c r="E30" i="27"/>
  <c r="C163" i="38" s="1"/>
  <c r="E31" i="27"/>
  <c r="E32" i="27"/>
  <c r="C165" i="38"/>
  <c r="E33" i="27"/>
  <c r="C166" i="38"/>
  <c r="E34" i="27"/>
  <c r="C167" i="38"/>
  <c r="E35" i="27"/>
  <c r="C168" i="38"/>
  <c r="E36" i="27"/>
  <c r="C169" i="38"/>
  <c r="E37" i="27"/>
  <c r="C170" i="38"/>
  <c r="E38" i="27"/>
  <c r="C171" i="38"/>
  <c r="E39" i="27"/>
  <c r="C172" i="38"/>
  <c r="E40" i="27"/>
  <c r="C173" i="38"/>
  <c r="E41" i="27"/>
  <c r="C174" i="38"/>
  <c r="E42" i="27"/>
  <c r="C175" i="38"/>
  <c r="E43" i="27"/>
  <c r="C176" i="38"/>
  <c r="E44" i="27"/>
  <c r="C177" i="38"/>
  <c r="E45" i="27"/>
  <c r="E46" i="27"/>
  <c r="C179" i="38" s="1"/>
  <c r="E47" i="27"/>
  <c r="C180" i="38" s="1"/>
  <c r="E48" i="27"/>
  <c r="C181" i="38"/>
  <c r="E49" i="27"/>
  <c r="C182" i="38"/>
  <c r="E50" i="27"/>
  <c r="C183" i="38"/>
  <c r="E51" i="27"/>
  <c r="C184" i="38"/>
  <c r="E52" i="27"/>
  <c r="C185" i="38"/>
  <c r="E53" i="27"/>
  <c r="G53" i="27" s="1"/>
  <c r="C186" i="38"/>
  <c r="G55" i="27"/>
  <c r="E56" i="27"/>
  <c r="C189" i="38"/>
  <c r="E57" i="27"/>
  <c r="C190" i="38"/>
  <c r="E58" i="27"/>
  <c r="C191" i="38"/>
  <c r="E59" i="27"/>
  <c r="C192" i="38"/>
  <c r="E60" i="27"/>
  <c r="C193" i="38"/>
  <c r="E61" i="27"/>
  <c r="C194" i="38"/>
  <c r="G61" i="27"/>
  <c r="E117" i="27"/>
  <c r="C230" i="38" s="1"/>
  <c r="H13" i="34"/>
  <c r="I13" i="34" s="1"/>
  <c r="H12" i="34"/>
  <c r="C9" i="26"/>
  <c r="B9" i="26"/>
  <c r="E9" i="17"/>
  <c r="D13" i="17"/>
  <c r="E14" i="17"/>
  <c r="E17" i="17"/>
  <c r="E18" i="17"/>
  <c r="E15" i="12"/>
  <c r="E11" i="12"/>
  <c r="C351" i="38" s="1"/>
  <c r="E30" i="12"/>
  <c r="C363" i="38" s="1"/>
  <c r="E26" i="12"/>
  <c r="C360" i="38" s="1"/>
  <c r="E41" i="12"/>
  <c r="C370" i="38" s="1"/>
  <c r="E37" i="12"/>
  <c r="E51" i="12"/>
  <c r="C377" i="38" s="1"/>
  <c r="J17" i="12"/>
  <c r="C386" i="38" s="1"/>
  <c r="J27" i="12"/>
  <c r="J35" i="12"/>
  <c r="D145" i="6"/>
  <c r="F144" i="6" s="1"/>
  <c r="C5" i="40"/>
  <c r="E7" i="34"/>
  <c r="H7" i="34" s="1"/>
  <c r="I7" i="34" s="1"/>
  <c r="G114" i="31"/>
  <c r="A121" i="31"/>
  <c r="A92" i="31"/>
  <c r="A49" i="31"/>
  <c r="E9" i="31"/>
  <c r="G9" i="31"/>
  <c r="G23" i="31" s="1"/>
  <c r="E11" i="30" s="1"/>
  <c r="E11" i="31"/>
  <c r="G11" i="31"/>
  <c r="E12" i="31"/>
  <c r="G12" i="31"/>
  <c r="E13" i="31"/>
  <c r="G13" i="31"/>
  <c r="E14" i="31"/>
  <c r="G14" i="31"/>
  <c r="E15" i="31"/>
  <c r="G15" i="31"/>
  <c r="E16" i="31"/>
  <c r="G16" i="31"/>
  <c r="E17" i="31"/>
  <c r="G17" i="31"/>
  <c r="E18" i="31"/>
  <c r="G18" i="31"/>
  <c r="E19" i="31"/>
  <c r="G19" i="31"/>
  <c r="E20" i="31"/>
  <c r="G20" i="31"/>
  <c r="E21" i="31"/>
  <c r="G21" i="31"/>
  <c r="E22" i="31"/>
  <c r="G22" i="31"/>
  <c r="G32" i="31"/>
  <c r="E33" i="31"/>
  <c r="G33" i="31" s="1"/>
  <c r="E34" i="31"/>
  <c r="G34" i="31" s="1"/>
  <c r="E35" i="31"/>
  <c r="G35" i="31" s="1"/>
  <c r="E36" i="31"/>
  <c r="G36" i="31" s="1"/>
  <c r="E37" i="31"/>
  <c r="G37" i="31" s="1"/>
  <c r="E38" i="31"/>
  <c r="G38" i="31" s="1"/>
  <c r="E39" i="31"/>
  <c r="G39" i="31" s="1"/>
  <c r="E40" i="31"/>
  <c r="G40" i="31" s="1"/>
  <c r="E41" i="31"/>
  <c r="G41" i="31" s="1"/>
  <c r="E42" i="31"/>
  <c r="G42" i="31" s="1"/>
  <c r="E43" i="31"/>
  <c r="G43" i="31" s="1"/>
  <c r="E44" i="31"/>
  <c r="G44" i="31" s="1"/>
  <c r="E53" i="31"/>
  <c r="G53" i="31" s="1"/>
  <c r="E55" i="31"/>
  <c r="G55" i="31" s="1"/>
  <c r="E56" i="31"/>
  <c r="F56" i="31"/>
  <c r="G56" i="31"/>
  <c r="E57" i="31"/>
  <c r="G57" i="31" s="1"/>
  <c r="F57" i="31"/>
  <c r="E58" i="31"/>
  <c r="G58" i="31" s="1"/>
  <c r="F58" i="31"/>
  <c r="E59" i="31"/>
  <c r="G59" i="31"/>
  <c r="F59" i="31"/>
  <c r="E60" i="31"/>
  <c r="F60" i="31"/>
  <c r="G60" i="31"/>
  <c r="E61" i="31"/>
  <c r="G61" i="31" s="1"/>
  <c r="F61" i="31"/>
  <c r="E62" i="31"/>
  <c r="G62" i="31" s="1"/>
  <c r="F62" i="31"/>
  <c r="E63" i="31"/>
  <c r="G63" i="31"/>
  <c r="F63" i="31"/>
  <c r="E64" i="31"/>
  <c r="F64" i="31"/>
  <c r="G64" i="31"/>
  <c r="E65" i="31"/>
  <c r="G65" i="31" s="1"/>
  <c r="F65" i="31"/>
  <c r="E66" i="31"/>
  <c r="G66" i="31" s="1"/>
  <c r="F66" i="31"/>
  <c r="E67" i="31"/>
  <c r="G67" i="31"/>
  <c r="F67" i="31"/>
  <c r="E68" i="31"/>
  <c r="G68" i="31" s="1"/>
  <c r="G77" i="31"/>
  <c r="G78" i="31"/>
  <c r="G79" i="31"/>
  <c r="G80" i="31"/>
  <c r="G81" i="31"/>
  <c r="G82" i="31"/>
  <c r="G83" i="31"/>
  <c r="G84" i="31"/>
  <c r="G85" i="31"/>
  <c r="G86" i="31"/>
  <c r="G87" i="31"/>
  <c r="G98" i="31"/>
  <c r="G99" i="31"/>
  <c r="G100" i="31"/>
  <c r="G101" i="31"/>
  <c r="G102" i="31"/>
  <c r="G103" i="31"/>
  <c r="G104" i="31"/>
  <c r="G105" i="31"/>
  <c r="G106" i="31"/>
  <c r="G107" i="31"/>
  <c r="G124" i="31"/>
  <c r="G126" i="31"/>
  <c r="G127" i="31" s="1"/>
  <c r="G131" i="31" s="1"/>
  <c r="G125" i="31"/>
  <c r="E132" i="31"/>
  <c r="G132" i="31" s="1"/>
  <c r="I11" i="40"/>
  <c r="I13" i="40"/>
  <c r="H29" i="40"/>
  <c r="G10" i="2"/>
  <c r="I8" i="40"/>
  <c r="I9" i="40"/>
  <c r="I10" i="40"/>
  <c r="I12" i="40"/>
  <c r="I14" i="40"/>
  <c r="I15" i="40"/>
  <c r="I16" i="40"/>
  <c r="I17" i="40"/>
  <c r="I18" i="40"/>
  <c r="I19" i="40"/>
  <c r="H20" i="40"/>
  <c r="H24" i="40" s="1"/>
  <c r="H41" i="40"/>
  <c r="H8" i="34"/>
  <c r="H9" i="34"/>
  <c r="I9" i="34"/>
  <c r="H10" i="34"/>
  <c r="I10" i="34" s="1"/>
  <c r="H11" i="34"/>
  <c r="I11" i="34" s="1"/>
  <c r="I12" i="34"/>
  <c r="H14" i="34"/>
  <c r="I14" i="34" s="1"/>
  <c r="H15" i="34"/>
  <c r="H16" i="34"/>
  <c r="I16" i="34"/>
  <c r="H17" i="34"/>
  <c r="I17" i="34" s="1"/>
  <c r="H18" i="34"/>
  <c r="I18" i="34" s="1"/>
  <c r="H19" i="34"/>
  <c r="H20" i="34"/>
  <c r="I20" i="34" s="1"/>
  <c r="H21" i="34"/>
  <c r="I21" i="34" s="1"/>
  <c r="H22" i="34"/>
  <c r="I22" i="34" s="1"/>
  <c r="H23" i="34"/>
  <c r="H24" i="34"/>
  <c r="I24" i="34" s="1"/>
  <c r="H25" i="34"/>
  <c r="I25" i="34" s="1"/>
  <c r="H26" i="34"/>
  <c r="I26" i="34" s="1"/>
  <c r="H27" i="34"/>
  <c r="H28" i="34"/>
  <c r="I28" i="34" s="1"/>
  <c r="H29" i="34"/>
  <c r="I29" i="34" s="1"/>
  <c r="H30" i="34"/>
  <c r="I30" i="34" s="1"/>
  <c r="H31" i="34"/>
  <c r="I32" i="34"/>
  <c r="I34" i="34"/>
  <c r="S10" i="6"/>
  <c r="C143" i="6"/>
  <c r="D143" i="6"/>
  <c r="J146" i="6"/>
  <c r="E146" i="6"/>
  <c r="H146" i="6" s="1"/>
  <c r="D10" i="39"/>
  <c r="E10" i="39"/>
  <c r="D11" i="17" s="1"/>
  <c r="C396" i="38"/>
  <c r="C397" i="38"/>
  <c r="C398" i="38"/>
  <c r="C399" i="38"/>
  <c r="C395" i="38"/>
  <c r="B28" i="17"/>
  <c r="C33" i="4"/>
  <c r="B33" i="4"/>
  <c r="B11" i="4"/>
  <c r="G2" i="12"/>
  <c r="C21" i="16"/>
  <c r="G22" i="16"/>
  <c r="G8" i="16" s="1"/>
  <c r="C388" i="38"/>
  <c r="C389" i="38"/>
  <c r="C390" i="38"/>
  <c r="C391" i="38"/>
  <c r="C392" i="38"/>
  <c r="C393" i="38"/>
  <c r="C387" i="38"/>
  <c r="A382" i="38"/>
  <c r="A383" i="38"/>
  <c r="A384" i="38"/>
  <c r="A385" i="38"/>
  <c r="A381" i="38"/>
  <c r="C379" i="38"/>
  <c r="C380" i="38"/>
  <c r="C381" i="38"/>
  <c r="C382" i="38"/>
  <c r="C383" i="38"/>
  <c r="C384" i="38"/>
  <c r="C385" i="38"/>
  <c r="C378" i="38"/>
  <c r="C373" i="38"/>
  <c r="C374" i="38"/>
  <c r="C375" i="38"/>
  <c r="C376" i="38"/>
  <c r="C372" i="38"/>
  <c r="C369" i="38"/>
  <c r="C368" i="38"/>
  <c r="C367" i="38"/>
  <c r="C366" i="38"/>
  <c r="C365" i="38"/>
  <c r="C362" i="38"/>
  <c r="C361" i="38"/>
  <c r="C359" i="38"/>
  <c r="C358" i="38"/>
  <c r="C356" i="38"/>
  <c r="C353" i="38"/>
  <c r="C352" i="38"/>
  <c r="C350" i="38"/>
  <c r="C349" i="38"/>
  <c r="C132" i="38"/>
  <c r="F11" i="10"/>
  <c r="C245" i="38"/>
  <c r="F23" i="10"/>
  <c r="C257" i="38"/>
  <c r="F36" i="10"/>
  <c r="F12" i="10"/>
  <c r="F13" i="10"/>
  <c r="C247" i="38"/>
  <c r="F14" i="10"/>
  <c r="C248" i="38"/>
  <c r="F15" i="10"/>
  <c r="F16" i="10"/>
  <c r="F17" i="10"/>
  <c r="C251" i="38"/>
  <c r="F18" i="10"/>
  <c r="F19" i="10"/>
  <c r="F20" i="10"/>
  <c r="F21" i="10"/>
  <c r="C255" i="38" s="1"/>
  <c r="F22" i="10"/>
  <c r="F24" i="10"/>
  <c r="F25" i="10"/>
  <c r="F26" i="10"/>
  <c r="C260" i="38"/>
  <c r="F27" i="10"/>
  <c r="C261" i="38"/>
  <c r="F28" i="10"/>
  <c r="F29" i="10"/>
  <c r="F30" i="10"/>
  <c r="C264" i="38"/>
  <c r="F31" i="10"/>
  <c r="C265" i="38"/>
  <c r="F32" i="10"/>
  <c r="F33" i="10"/>
  <c r="F34" i="10"/>
  <c r="C268" i="38"/>
  <c r="F35" i="10"/>
  <c r="C269" i="38"/>
  <c r="J11" i="10"/>
  <c r="J23" i="10"/>
  <c r="J36" i="10"/>
  <c r="C295" i="38" s="1"/>
  <c r="J12" i="10"/>
  <c r="J13" i="10"/>
  <c r="J14" i="10"/>
  <c r="J15" i="10"/>
  <c r="J16" i="10"/>
  <c r="J17" i="10"/>
  <c r="J18" i="10"/>
  <c r="J19" i="10"/>
  <c r="J20" i="10"/>
  <c r="J21" i="10"/>
  <c r="J22" i="10"/>
  <c r="J24" i="10"/>
  <c r="J25" i="10"/>
  <c r="J26" i="10"/>
  <c r="J27" i="10"/>
  <c r="J28" i="10"/>
  <c r="J29" i="10"/>
  <c r="J30" i="10"/>
  <c r="J31" i="10"/>
  <c r="J32" i="10"/>
  <c r="J33" i="10"/>
  <c r="J34" i="10"/>
  <c r="J35" i="10"/>
  <c r="E14" i="6"/>
  <c r="F18" i="6"/>
  <c r="E18" i="6"/>
  <c r="H18" i="6" s="1"/>
  <c r="F19" i="6"/>
  <c r="J19" i="6" s="1"/>
  <c r="E19" i="6"/>
  <c r="F20" i="6"/>
  <c r="E20" i="6"/>
  <c r="H20" i="6" s="1"/>
  <c r="F21" i="6"/>
  <c r="J21" i="6" s="1"/>
  <c r="E21" i="6"/>
  <c r="F22" i="6"/>
  <c r="E22" i="6"/>
  <c r="I22" i="6" s="1"/>
  <c r="F23" i="6"/>
  <c r="E23" i="6"/>
  <c r="F24" i="6"/>
  <c r="E24" i="6"/>
  <c r="I24" i="6" s="1"/>
  <c r="F25" i="6"/>
  <c r="J25" i="6" s="1"/>
  <c r="E25" i="6"/>
  <c r="F26" i="6"/>
  <c r="E26" i="6"/>
  <c r="H26" i="6" s="1"/>
  <c r="F27" i="6"/>
  <c r="J27" i="6" s="1"/>
  <c r="E27" i="6"/>
  <c r="F28" i="6"/>
  <c r="E28" i="6"/>
  <c r="F29" i="6"/>
  <c r="J29" i="6" s="1"/>
  <c r="F30" i="6"/>
  <c r="F31" i="6"/>
  <c r="F32" i="6"/>
  <c r="F33" i="6"/>
  <c r="J33" i="6" s="1"/>
  <c r="F34" i="6"/>
  <c r="F35" i="6"/>
  <c r="F36" i="6"/>
  <c r="F37" i="6"/>
  <c r="J37" i="6" s="1"/>
  <c r="F38" i="6"/>
  <c r="F39" i="6"/>
  <c r="F40" i="6"/>
  <c r="F41" i="6"/>
  <c r="F42" i="6"/>
  <c r="F43" i="6"/>
  <c r="F44" i="6"/>
  <c r="F45" i="6"/>
  <c r="F46" i="6"/>
  <c r="F47" i="6"/>
  <c r="F57" i="6"/>
  <c r="E57" i="6"/>
  <c r="H57" i="6" s="1"/>
  <c r="F58" i="6"/>
  <c r="E58" i="6"/>
  <c r="F59" i="6"/>
  <c r="E59" i="6"/>
  <c r="I59" i="6" s="1"/>
  <c r="F60" i="6"/>
  <c r="F61" i="6"/>
  <c r="F62" i="6"/>
  <c r="F63" i="6"/>
  <c r="F64" i="6"/>
  <c r="F65" i="6"/>
  <c r="F66" i="6"/>
  <c r="F67" i="6"/>
  <c r="F68" i="6"/>
  <c r="F69" i="6"/>
  <c r="F70" i="6"/>
  <c r="F71" i="6"/>
  <c r="J71" i="6" s="1"/>
  <c r="F72" i="6"/>
  <c r="F73" i="6"/>
  <c r="F74" i="6"/>
  <c r="F75" i="6"/>
  <c r="J75" i="6" s="1"/>
  <c r="F76" i="6"/>
  <c r="F77" i="6"/>
  <c r="F78" i="6"/>
  <c r="F79" i="6"/>
  <c r="J79" i="6" s="1"/>
  <c r="F80" i="6"/>
  <c r="F81" i="6"/>
  <c r="F82" i="6"/>
  <c r="F83" i="6"/>
  <c r="J83" i="6" s="1"/>
  <c r="F84" i="6"/>
  <c r="F85" i="6"/>
  <c r="F86" i="6"/>
  <c r="F87" i="6"/>
  <c r="J87" i="6" s="1"/>
  <c r="F88" i="6"/>
  <c r="F89" i="6"/>
  <c r="F90" i="6"/>
  <c r="F103" i="6"/>
  <c r="E103" i="6"/>
  <c r="F104" i="6"/>
  <c r="E104" i="6"/>
  <c r="H104" i="6" s="1"/>
  <c r="F105" i="6"/>
  <c r="E105" i="6"/>
  <c r="F106" i="6"/>
  <c r="E106" i="6"/>
  <c r="H106" i="6" s="1"/>
  <c r="F107" i="6"/>
  <c r="F108" i="6"/>
  <c r="F109" i="6"/>
  <c r="F110" i="6"/>
  <c r="J110" i="6" s="1"/>
  <c r="F111" i="6"/>
  <c r="F112" i="6"/>
  <c r="F113" i="6"/>
  <c r="F114" i="6"/>
  <c r="F115" i="6"/>
  <c r="F116" i="6"/>
  <c r="F117" i="6"/>
  <c r="F118" i="6"/>
  <c r="J118" i="6" s="1"/>
  <c r="F119" i="6"/>
  <c r="F120" i="6"/>
  <c r="F121" i="6"/>
  <c r="F122" i="6"/>
  <c r="F123" i="6"/>
  <c r="F124" i="6"/>
  <c r="F125" i="6"/>
  <c r="F126" i="6"/>
  <c r="J126" i="6" s="1"/>
  <c r="F127" i="6"/>
  <c r="F128" i="6"/>
  <c r="F129" i="6"/>
  <c r="F142" i="6"/>
  <c r="E142" i="6"/>
  <c r="E147" i="6"/>
  <c r="F147" i="6"/>
  <c r="E148" i="6"/>
  <c r="H148" i="6" s="1"/>
  <c r="F148" i="6"/>
  <c r="E149" i="6"/>
  <c r="F149" i="6"/>
  <c r="E150" i="6"/>
  <c r="H150" i="6" s="1"/>
  <c r="F150" i="6"/>
  <c r="F151" i="6"/>
  <c r="F152" i="6"/>
  <c r="F153" i="6"/>
  <c r="J153" i="6" s="1"/>
  <c r="F154" i="6"/>
  <c r="G14" i="6"/>
  <c r="I14" i="6" s="1"/>
  <c r="G18" i="6"/>
  <c r="G19" i="6"/>
  <c r="G20" i="6"/>
  <c r="G21" i="6"/>
  <c r="G22" i="6"/>
  <c r="G23" i="6"/>
  <c r="I23" i="6" s="1"/>
  <c r="G24" i="6"/>
  <c r="G25" i="6"/>
  <c r="G26" i="6"/>
  <c r="G27" i="6"/>
  <c r="I27" i="6" s="1"/>
  <c r="G28" i="6"/>
  <c r="G29" i="6"/>
  <c r="G30" i="6"/>
  <c r="G31" i="6"/>
  <c r="J31" i="6" s="1"/>
  <c r="G32" i="6"/>
  <c r="G33" i="6"/>
  <c r="G34" i="6"/>
  <c r="G35" i="6"/>
  <c r="G36" i="6"/>
  <c r="G37" i="6"/>
  <c r="G38" i="6"/>
  <c r="G39" i="6"/>
  <c r="J39" i="6" s="1"/>
  <c r="G40" i="6"/>
  <c r="G41" i="6"/>
  <c r="G42" i="6"/>
  <c r="G43" i="6"/>
  <c r="G44" i="6"/>
  <c r="G45" i="6"/>
  <c r="G46" i="6"/>
  <c r="G47" i="6"/>
  <c r="G57" i="6"/>
  <c r="G58" i="6"/>
  <c r="G59" i="6"/>
  <c r="G60" i="6"/>
  <c r="I60" i="6" s="1"/>
  <c r="G61" i="6"/>
  <c r="G62" i="6"/>
  <c r="G63" i="6"/>
  <c r="G64" i="6"/>
  <c r="J64" i="6" s="1"/>
  <c r="G65" i="6"/>
  <c r="G66" i="6"/>
  <c r="G67" i="6"/>
  <c r="G68" i="6"/>
  <c r="J68" i="6" s="1"/>
  <c r="G69" i="6"/>
  <c r="G70" i="6"/>
  <c r="G71" i="6"/>
  <c r="G72" i="6"/>
  <c r="G73" i="6"/>
  <c r="G74" i="6"/>
  <c r="G75" i="6"/>
  <c r="G76" i="6"/>
  <c r="G77" i="6"/>
  <c r="G78" i="6"/>
  <c r="G79" i="6"/>
  <c r="G80" i="6"/>
  <c r="J80" i="6" s="1"/>
  <c r="G81" i="6"/>
  <c r="G82" i="6"/>
  <c r="G83" i="6"/>
  <c r="G84" i="6"/>
  <c r="J84" i="6" s="1"/>
  <c r="G85" i="6"/>
  <c r="G86" i="6"/>
  <c r="G87" i="6"/>
  <c r="G88" i="6"/>
  <c r="G89" i="6"/>
  <c r="G90" i="6"/>
  <c r="G103" i="6"/>
  <c r="G104" i="6"/>
  <c r="J104" i="6" s="1"/>
  <c r="G105" i="6"/>
  <c r="G106" i="6"/>
  <c r="G107" i="6"/>
  <c r="G108" i="6"/>
  <c r="J108" i="6" s="1"/>
  <c r="G109" i="6"/>
  <c r="G110" i="6"/>
  <c r="G111" i="6"/>
  <c r="G112" i="6"/>
  <c r="J112" i="6" s="1"/>
  <c r="G113" i="6"/>
  <c r="G114" i="6"/>
  <c r="G115" i="6"/>
  <c r="G116" i="6"/>
  <c r="G117" i="6"/>
  <c r="G118" i="6"/>
  <c r="G119" i="6"/>
  <c r="G120" i="6"/>
  <c r="J120" i="6" s="1"/>
  <c r="G121" i="6"/>
  <c r="G122" i="6"/>
  <c r="G123" i="6"/>
  <c r="G124" i="6"/>
  <c r="J124" i="6" s="1"/>
  <c r="G125" i="6"/>
  <c r="G126" i="6"/>
  <c r="G127" i="6"/>
  <c r="G128" i="6"/>
  <c r="J128" i="6" s="1"/>
  <c r="G142" i="6"/>
  <c r="G147" i="6"/>
  <c r="I147" i="6" s="1"/>
  <c r="G148" i="6"/>
  <c r="G149" i="6"/>
  <c r="J149" i="6" s="1"/>
  <c r="G150" i="6"/>
  <c r="G151" i="6"/>
  <c r="G152" i="6"/>
  <c r="G153" i="6"/>
  <c r="G154" i="6"/>
  <c r="C7" i="38"/>
  <c r="A5" i="39"/>
  <c r="F8" i="39"/>
  <c r="F29" i="39"/>
  <c r="F9" i="39"/>
  <c r="C32" i="4"/>
  <c r="C31" i="4"/>
  <c r="C30" i="4"/>
  <c r="C29" i="4"/>
  <c r="C28" i="4"/>
  <c r="C27" i="4"/>
  <c r="C26" i="4"/>
  <c r="B30" i="4"/>
  <c r="B29" i="4"/>
  <c r="B28" i="4"/>
  <c r="B27" i="4"/>
  <c r="C11" i="4"/>
  <c r="B11" i="17"/>
  <c r="B8" i="39"/>
  <c r="F14" i="39"/>
  <c r="F13" i="39"/>
  <c r="E6" i="39"/>
  <c r="D6" i="39"/>
  <c r="B21" i="39"/>
  <c r="B14" i="39"/>
  <c r="B13" i="39"/>
  <c r="A30" i="39"/>
  <c r="B29" i="39"/>
  <c r="E27" i="39"/>
  <c r="F2" i="39"/>
  <c r="A2" i="17"/>
  <c r="A2" i="40"/>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H35" i="5"/>
  <c r="J2" i="6"/>
  <c r="J50" i="6" s="1"/>
  <c r="A2" i="35"/>
  <c r="A2" i="37"/>
  <c r="A2" i="12"/>
  <c r="D11" i="27"/>
  <c r="F10" i="27"/>
  <c r="F74" i="27" s="1"/>
  <c r="B77" i="31"/>
  <c r="B98" i="31" s="1"/>
  <c r="B99" i="31"/>
  <c r="B100" i="31" s="1"/>
  <c r="B101" i="31" s="1"/>
  <c r="B102" i="31" s="1"/>
  <c r="B103" i="31" s="1"/>
  <c r="B104" i="31" s="1"/>
  <c r="B105" i="31" s="1"/>
  <c r="B106" i="31" s="1"/>
  <c r="B60" i="22"/>
  <c r="B7" i="17"/>
  <c r="B159" i="6"/>
  <c r="A10" i="26"/>
  <c r="C10" i="26"/>
  <c r="B10" i="26"/>
  <c r="T10" i="6"/>
  <c r="J28" i="6" s="1"/>
  <c r="C15" i="4"/>
  <c r="E3" i="16"/>
  <c r="H30" i="13"/>
  <c r="E3" i="13"/>
  <c r="C11" i="38"/>
  <c r="C10" i="38"/>
  <c r="C9" i="38"/>
  <c r="C8" i="38"/>
  <c r="C6" i="38"/>
  <c r="C5" i="38"/>
  <c r="C4" i="38"/>
  <c r="C3" i="38"/>
  <c r="A3" i="33"/>
  <c r="A3" i="32"/>
  <c r="A5" i="31"/>
  <c r="A3" i="30"/>
  <c r="A3" i="22"/>
  <c r="A3" i="37"/>
  <c r="A3" i="17"/>
  <c r="A3" i="12"/>
  <c r="A3" i="16"/>
  <c r="A3" i="13"/>
  <c r="A3" i="34"/>
  <c r="A3" i="10"/>
  <c r="A3" i="27"/>
  <c r="A5" i="6"/>
  <c r="C136" i="38"/>
  <c r="C135" i="38"/>
  <c r="B160" i="6"/>
  <c r="A37" i="5"/>
  <c r="B7" i="26"/>
  <c r="B6" i="26"/>
  <c r="A2" i="26"/>
  <c r="A54" i="22"/>
  <c r="A57" i="22" s="1"/>
  <c r="A60" i="22" s="1"/>
  <c r="A63" i="22" s="1"/>
  <c r="A66" i="22" s="1"/>
  <c r="A69" i="22" s="1"/>
  <c r="A72" i="22" s="1"/>
  <c r="A75" i="22" s="1"/>
  <c r="A78" i="22" s="1"/>
  <c r="A81" i="22" s="1"/>
  <c r="A84" i="22" s="1"/>
  <c r="E12" i="27"/>
  <c r="C145" i="38"/>
  <c r="F62" i="27"/>
  <c r="D62" i="27"/>
  <c r="E3" i="30"/>
  <c r="B29" i="30"/>
  <c r="E11" i="34"/>
  <c r="AA72" i="32"/>
  <c r="AA68" i="32"/>
  <c r="AA64" i="32"/>
  <c r="AA56" i="32"/>
  <c r="AA52" i="32"/>
  <c r="AA50" i="32"/>
  <c r="R163" i="32"/>
  <c r="R158" i="32"/>
  <c r="R155" i="32"/>
  <c r="R91" i="32" s="1"/>
  <c r="T91" i="32"/>
  <c r="R150" i="32"/>
  <c r="A2" i="29"/>
  <c r="A2" i="33" s="1"/>
  <c r="E4" i="33"/>
  <c r="D4" i="33"/>
  <c r="C4" i="33"/>
  <c r="Q5" i="32"/>
  <c r="Q82" i="32"/>
  <c r="H5" i="32"/>
  <c r="H82" i="32" s="1"/>
  <c r="I4" i="32"/>
  <c r="B146" i="31"/>
  <c r="G122" i="31"/>
  <c r="F122" i="31"/>
  <c r="E122" i="31"/>
  <c r="D122" i="31"/>
  <c r="B125" i="31"/>
  <c r="B132" i="31"/>
  <c r="B131" i="31"/>
  <c r="B78" i="31"/>
  <c r="B79" i="31"/>
  <c r="B80" i="31" s="1"/>
  <c r="B81" i="31" s="1"/>
  <c r="B70" i="31"/>
  <c r="B69" i="31"/>
  <c r="B68" i="31"/>
  <c r="B55" i="31"/>
  <c r="B54" i="31"/>
  <c r="B53" i="31"/>
  <c r="B46" i="31"/>
  <c r="B23" i="31"/>
  <c r="B10" i="31"/>
  <c r="B9" i="31"/>
  <c r="A2" i="30"/>
  <c r="A2" i="31"/>
  <c r="A48" i="31" s="1"/>
  <c r="A5" i="30"/>
  <c r="A3" i="29"/>
  <c r="A4" i="30"/>
  <c r="A4" i="28"/>
  <c r="B26" i="17"/>
  <c r="B14" i="17"/>
  <c r="B12" i="17"/>
  <c r="B9" i="17"/>
  <c r="A2" i="16"/>
  <c r="A2" i="13"/>
  <c r="A2" i="34"/>
  <c r="A2" i="10"/>
  <c r="A2" i="27"/>
  <c r="A2" i="6"/>
  <c r="A2" i="5"/>
  <c r="G25" i="13"/>
  <c r="F26" i="13"/>
  <c r="J6" i="13"/>
  <c r="H6" i="13"/>
  <c r="F6" i="13"/>
  <c r="D6" i="13"/>
  <c r="D5" i="34"/>
  <c r="C5" i="34"/>
  <c r="B5" i="34"/>
  <c r="B43" i="10"/>
  <c r="B5" i="10"/>
  <c r="P7" i="6"/>
  <c r="R10" i="6"/>
  <c r="A98" i="6"/>
  <c r="A52" i="6"/>
  <c r="A11" i="6"/>
  <c r="P10" i="6"/>
  <c r="F13" i="6" s="1"/>
  <c r="Q10" i="6"/>
  <c r="G13" i="6" s="1"/>
  <c r="P12" i="6"/>
  <c r="F14" i="6" s="1"/>
  <c r="J14" i="6" s="1"/>
  <c r="Q12" i="6"/>
  <c r="P14" i="6"/>
  <c r="F15" i="6" s="1"/>
  <c r="Q14" i="6"/>
  <c r="G15" i="6" s="1"/>
  <c r="P16" i="6"/>
  <c r="F16" i="6" s="1"/>
  <c r="Q16" i="6"/>
  <c r="G16" i="6" s="1"/>
  <c r="P18" i="6"/>
  <c r="F17" i="6" s="1"/>
  <c r="Q18" i="6"/>
  <c r="G17" i="6" s="1"/>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D13" i="6" s="1"/>
  <c r="K11" i="10"/>
  <c r="K12" i="10"/>
  <c r="K13" i="10"/>
  <c r="K14" i="10"/>
  <c r="K15" i="10"/>
  <c r="K16" i="10"/>
  <c r="K17" i="10"/>
  <c r="K18" i="10"/>
  <c r="K19" i="10"/>
  <c r="K20" i="10"/>
  <c r="K21" i="10"/>
  <c r="K22" i="10"/>
  <c r="K23" i="10"/>
  <c r="K24" i="10"/>
  <c r="K25" i="10"/>
  <c r="K26" i="10"/>
  <c r="K27" i="10"/>
  <c r="K28" i="10"/>
  <c r="K29" i="10"/>
  <c r="K30" i="10"/>
  <c r="K31" i="10"/>
  <c r="K32" i="10"/>
  <c r="K34" i="10"/>
  <c r="K36" i="10"/>
  <c r="K35" i="10"/>
  <c r="K33" i="10"/>
  <c r="F72" i="10"/>
  <c r="D16" i="6" s="1"/>
  <c r="J72" i="10"/>
  <c r="D17" i="6"/>
  <c r="G7" i="16"/>
  <c r="G9" i="16" s="1"/>
  <c r="E15" i="17" s="1"/>
  <c r="C137" i="38" s="1"/>
  <c r="E131" i="27"/>
  <c r="E132" i="27"/>
  <c r="E79" i="27"/>
  <c r="C198" i="38" s="1"/>
  <c r="F132" i="27"/>
  <c r="J9" i="13"/>
  <c r="G27" i="16"/>
  <c r="E16" i="17" s="1"/>
  <c r="C138" i="38" s="1"/>
  <c r="E20" i="33"/>
  <c r="R152" i="32"/>
  <c r="R88" i="32"/>
  <c r="R159" i="32"/>
  <c r="R95" i="32" s="1"/>
  <c r="R160" i="32"/>
  <c r="R96" i="32"/>
  <c r="R162" i="32"/>
  <c r="R98" i="32" s="1"/>
  <c r="R166" i="32"/>
  <c r="R102" i="32"/>
  <c r="R167" i="32"/>
  <c r="R103" i="32" s="1"/>
  <c r="R168" i="32"/>
  <c r="R104" i="32"/>
  <c r="R169" i="32"/>
  <c r="S169" i="32" s="1"/>
  <c r="R170" i="32"/>
  <c r="R106" i="32"/>
  <c r="T106" i="32" s="1"/>
  <c r="R173" i="32"/>
  <c r="R109" i="32"/>
  <c r="R179" i="32"/>
  <c r="R115" i="32" s="1"/>
  <c r="R180" i="32"/>
  <c r="R116" i="32"/>
  <c r="R182" i="32"/>
  <c r="R118" i="32" s="1"/>
  <c r="C322" i="38"/>
  <c r="C297" i="38"/>
  <c r="C298" i="38"/>
  <c r="C299" i="38"/>
  <c r="C300" i="38"/>
  <c r="C296" i="38"/>
  <c r="C294" i="38"/>
  <c r="C293" i="38"/>
  <c r="C272" i="38"/>
  <c r="C273" i="38"/>
  <c r="C274" i="38"/>
  <c r="C275" i="38"/>
  <c r="C276" i="38"/>
  <c r="C277" i="38"/>
  <c r="C278" i="38"/>
  <c r="C279" i="38"/>
  <c r="C280" i="38"/>
  <c r="C281" i="38"/>
  <c r="C282" i="38"/>
  <c r="C283" i="38"/>
  <c r="C284" i="38"/>
  <c r="C285" i="38"/>
  <c r="C286" i="38"/>
  <c r="C287" i="38"/>
  <c r="C288" i="38"/>
  <c r="C289" i="38"/>
  <c r="C290" i="38"/>
  <c r="C291" i="38"/>
  <c r="C292" i="38"/>
  <c r="C271" i="38"/>
  <c r="C246" i="38"/>
  <c r="C249" i="38"/>
  <c r="C250" i="38"/>
  <c r="C252" i="38"/>
  <c r="C253" i="38"/>
  <c r="C254" i="38"/>
  <c r="C256" i="38"/>
  <c r="C258" i="38"/>
  <c r="C259" i="38"/>
  <c r="C262" i="38"/>
  <c r="C263" i="38"/>
  <c r="C266" i="38"/>
  <c r="C267" i="38"/>
  <c r="C270" i="38"/>
  <c r="C139" i="38"/>
  <c r="C113" i="38"/>
  <c r="C115" i="38"/>
  <c r="C116" i="38"/>
  <c r="C117" i="38"/>
  <c r="C118" i="38"/>
  <c r="C111" i="38"/>
  <c r="C84" i="38"/>
  <c r="C85" i="38"/>
  <c r="C86" i="38"/>
  <c r="C87" i="38"/>
  <c r="C83" i="38"/>
  <c r="C49" i="38"/>
  <c r="C50" i="38"/>
  <c r="C48" i="38"/>
  <c r="C18" i="38"/>
  <c r="C19" i="38"/>
  <c r="C20" i="38"/>
  <c r="C21" i="38"/>
  <c r="C22" i="38"/>
  <c r="C23" i="38"/>
  <c r="C24" i="38"/>
  <c r="C25" i="38"/>
  <c r="C26" i="38"/>
  <c r="C27" i="38"/>
  <c r="C28" i="38"/>
  <c r="C14" i="38"/>
  <c r="G2" i="26"/>
  <c r="I22" i="4" s="1"/>
  <c r="B21" i="17"/>
  <c r="C9" i="6"/>
  <c r="D9" i="6" s="1"/>
  <c r="C54" i="6"/>
  <c r="C137" i="6" s="1"/>
  <c r="D137" i="6" s="1"/>
  <c r="C100" i="6"/>
  <c r="D100" i="6" s="1"/>
  <c r="D132" i="27"/>
  <c r="E15" i="34"/>
  <c r="J15" i="13"/>
  <c r="O31" i="37"/>
  <c r="E19" i="17"/>
  <c r="F21" i="17"/>
  <c r="E8" i="34"/>
  <c r="E10" i="34"/>
  <c r="E9" i="34"/>
  <c r="J10" i="13"/>
  <c r="B1" i="27"/>
  <c r="J100" i="6"/>
  <c r="A13" i="6"/>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D26" i="17"/>
  <c r="A9" i="2"/>
  <c r="E96" i="6"/>
  <c r="E7" i="33"/>
  <c r="E8" i="33"/>
  <c r="E9" i="33"/>
  <c r="E10" i="33"/>
  <c r="E11" i="33"/>
  <c r="E12" i="33"/>
  <c r="E13" i="33"/>
  <c r="E14" i="33"/>
  <c r="E15" i="33"/>
  <c r="E16" i="33"/>
  <c r="E17" i="33"/>
  <c r="E19" i="33"/>
  <c r="J12" i="13"/>
  <c r="E27" i="34"/>
  <c r="E12" i="34"/>
  <c r="E13" i="34"/>
  <c r="E14" i="34"/>
  <c r="E16" i="34"/>
  <c r="E17" i="34"/>
  <c r="E18" i="34"/>
  <c r="E19" i="34"/>
  <c r="E20" i="34"/>
  <c r="E21" i="34"/>
  <c r="E22" i="34"/>
  <c r="E23" i="34"/>
  <c r="E24" i="34"/>
  <c r="E25" i="34"/>
  <c r="E26" i="34"/>
  <c r="E28" i="34"/>
  <c r="E29" i="34"/>
  <c r="E30" i="34"/>
  <c r="E31" i="34"/>
  <c r="E32" i="34"/>
  <c r="E33" i="34"/>
  <c r="E34" i="34"/>
  <c r="E36" i="34" s="1"/>
  <c r="E35" i="34"/>
  <c r="E127" i="31"/>
  <c r="E2" i="37"/>
  <c r="F127" i="31"/>
  <c r="E2" i="6"/>
  <c r="B7" i="6"/>
  <c r="J9" i="6"/>
  <c r="E50" i="6"/>
  <c r="J54" i="6"/>
  <c r="A94" i="6"/>
  <c r="P11" i="6"/>
  <c r="Q11" i="6"/>
  <c r="P13" i="6"/>
  <c r="Q13" i="6"/>
  <c r="P15" i="6"/>
  <c r="Q15" i="6"/>
  <c r="P17" i="6"/>
  <c r="Q17" i="6"/>
  <c r="P19" i="6"/>
  <c r="Q19" i="6"/>
  <c r="P21" i="6"/>
  <c r="Q21" i="6"/>
  <c r="P22" i="6"/>
  <c r="Q22" i="6"/>
  <c r="P23" i="6"/>
  <c r="Q23" i="6"/>
  <c r="P24" i="6"/>
  <c r="Q24" i="6"/>
  <c r="P25" i="6"/>
  <c r="Q25" i="6"/>
  <c r="P26" i="6"/>
  <c r="Q26" i="6"/>
  <c r="G132" i="6"/>
  <c r="J137" i="6"/>
  <c r="E140" i="6"/>
  <c r="E141" i="6"/>
  <c r="U8" i="32"/>
  <c r="V8" i="32"/>
  <c r="W8" i="32"/>
  <c r="X8" i="32"/>
  <c r="Y8" i="32"/>
  <c r="Z8" i="32"/>
  <c r="B32" i="31"/>
  <c r="D37" i="10"/>
  <c r="B1" i="30"/>
  <c r="B31" i="4"/>
  <c r="A13" i="22"/>
  <c r="A18" i="22" s="1"/>
  <c r="A21" i="22" s="1"/>
  <c r="A24" i="22" s="1"/>
  <c r="A27" i="22" s="1"/>
  <c r="A30" i="22" s="1"/>
  <c r="A33" i="22" s="1"/>
  <c r="A36" i="22" s="1"/>
  <c r="A39" i="22" s="1"/>
  <c r="A42" i="22" s="1"/>
  <c r="G24" i="4"/>
  <c r="A120" i="31"/>
  <c r="A91" i="31"/>
  <c r="J11" i="13"/>
  <c r="J13" i="13"/>
  <c r="J14" i="13"/>
  <c r="D25" i="13"/>
  <c r="L2" i="28"/>
  <c r="D23" i="28"/>
  <c r="A19" i="29"/>
  <c r="E19" i="29"/>
  <c r="E2" i="30"/>
  <c r="G2" i="31"/>
  <c r="U84" i="32"/>
  <c r="V84" i="32"/>
  <c r="W84" i="32"/>
  <c r="X84" i="32"/>
  <c r="Y84" i="32"/>
  <c r="Z84" i="32"/>
  <c r="U85" i="32"/>
  <c r="V85" i="32"/>
  <c r="W85" i="32"/>
  <c r="X85" i="32"/>
  <c r="Y85" i="32"/>
  <c r="Z85" i="32"/>
  <c r="U86" i="32"/>
  <c r="V86" i="32"/>
  <c r="W86" i="32"/>
  <c r="X86" i="32"/>
  <c r="Y86" i="32"/>
  <c r="Z86" i="32"/>
  <c r="U87" i="32"/>
  <c r="V87" i="32"/>
  <c r="W87" i="32"/>
  <c r="X87" i="32"/>
  <c r="Y87" i="32"/>
  <c r="Z87" i="32"/>
  <c r="U88" i="32"/>
  <c r="V88" i="32"/>
  <c r="W88" i="32"/>
  <c r="X88" i="32"/>
  <c r="Y88" i="32"/>
  <c r="Z88" i="32"/>
  <c r="U89" i="32"/>
  <c r="V89" i="32"/>
  <c r="W89" i="32"/>
  <c r="X89" i="32"/>
  <c r="Y89" i="32"/>
  <c r="Z89" i="32"/>
  <c r="U90" i="32"/>
  <c r="V90" i="32"/>
  <c r="W90" i="32"/>
  <c r="X90" i="32"/>
  <c r="Y90" i="32"/>
  <c r="Z90" i="32"/>
  <c r="U91" i="32"/>
  <c r="V91" i="32"/>
  <c r="W91" i="32"/>
  <c r="X91" i="32"/>
  <c r="Y91" i="32"/>
  <c r="Z91" i="32"/>
  <c r="U92" i="32"/>
  <c r="V92" i="32"/>
  <c r="W92" i="32"/>
  <c r="X92" i="32"/>
  <c r="Y92" i="32"/>
  <c r="Z92" i="32"/>
  <c r="U93" i="32"/>
  <c r="V93" i="32"/>
  <c r="W93" i="32"/>
  <c r="X93" i="32"/>
  <c r="Y93" i="32"/>
  <c r="Z93" i="32"/>
  <c r="U94" i="32"/>
  <c r="V94" i="32"/>
  <c r="W94" i="32"/>
  <c r="X94" i="32"/>
  <c r="Y94" i="32"/>
  <c r="Z94" i="32"/>
  <c r="U95" i="32"/>
  <c r="V95" i="32"/>
  <c r="W95" i="32"/>
  <c r="X95" i="32"/>
  <c r="Y95" i="32"/>
  <c r="Z95" i="32"/>
  <c r="U96" i="32"/>
  <c r="V96" i="32"/>
  <c r="W96" i="32"/>
  <c r="X96" i="32"/>
  <c r="Y96" i="32"/>
  <c r="Z96" i="32"/>
  <c r="U97" i="32"/>
  <c r="AA97" i="32" s="1"/>
  <c r="AB97" i="32" s="1"/>
  <c r="Q98" i="32" s="1"/>
  <c r="V97" i="32"/>
  <c r="W97" i="32"/>
  <c r="X97" i="32"/>
  <c r="Y97" i="32"/>
  <c r="Z97" i="32"/>
  <c r="U98" i="32"/>
  <c r="V98" i="32"/>
  <c r="W98" i="32"/>
  <c r="X98" i="32"/>
  <c r="Y98" i="32"/>
  <c r="Z98" i="32"/>
  <c r="U99" i="32"/>
  <c r="V99" i="32"/>
  <c r="W99" i="32"/>
  <c r="X99" i="32"/>
  <c r="Y99" i="32"/>
  <c r="Z99" i="32"/>
  <c r="U100" i="32"/>
  <c r="V100" i="32"/>
  <c r="W100" i="32"/>
  <c r="X100" i="32"/>
  <c r="Y100" i="32"/>
  <c r="Z100" i="32"/>
  <c r="U101" i="32"/>
  <c r="V101" i="32"/>
  <c r="W101" i="32"/>
  <c r="X101" i="32"/>
  <c r="Y101" i="32"/>
  <c r="Z101" i="32"/>
  <c r="U102" i="32"/>
  <c r="V102" i="32"/>
  <c r="W102" i="32"/>
  <c r="X102" i="32"/>
  <c r="Y102" i="32"/>
  <c r="Z102" i="32"/>
  <c r="U103" i="32"/>
  <c r="V103" i="32"/>
  <c r="W103" i="32"/>
  <c r="X103" i="32"/>
  <c r="Y103" i="32"/>
  <c r="Z103" i="32"/>
  <c r="U104" i="32"/>
  <c r="V104" i="32"/>
  <c r="W104" i="32"/>
  <c r="X104" i="32"/>
  <c r="Y104" i="32"/>
  <c r="Z104" i="32"/>
  <c r="U105" i="32"/>
  <c r="V105" i="32"/>
  <c r="W105" i="32"/>
  <c r="X105" i="32"/>
  <c r="Y105" i="32"/>
  <c r="Z105" i="32"/>
  <c r="U106" i="32"/>
  <c r="V106" i="32"/>
  <c r="W106" i="32"/>
  <c r="X106" i="32"/>
  <c r="Y106" i="32"/>
  <c r="Z106" i="32"/>
  <c r="U107" i="32"/>
  <c r="V107" i="32"/>
  <c r="W107" i="32"/>
  <c r="X107" i="32"/>
  <c r="Y107" i="32"/>
  <c r="Z107" i="32"/>
  <c r="U108" i="32"/>
  <c r="V108" i="32"/>
  <c r="W108" i="32"/>
  <c r="X108" i="32"/>
  <c r="Y108" i="32"/>
  <c r="Z108" i="32"/>
  <c r="U109" i="32"/>
  <c r="V109" i="32"/>
  <c r="W109" i="32"/>
  <c r="X109" i="32"/>
  <c r="Y109" i="32"/>
  <c r="Z109" i="32"/>
  <c r="U110" i="32"/>
  <c r="V110" i="32"/>
  <c r="W110" i="32"/>
  <c r="X110" i="32"/>
  <c r="Y110" i="32"/>
  <c r="Z110" i="32"/>
  <c r="U111" i="32"/>
  <c r="V111" i="32"/>
  <c r="W111" i="32"/>
  <c r="X111" i="32"/>
  <c r="Y111" i="32"/>
  <c r="Z111" i="32"/>
  <c r="U112" i="32"/>
  <c r="V112" i="32"/>
  <c r="W112" i="32"/>
  <c r="X112" i="32"/>
  <c r="Y112" i="32"/>
  <c r="Z112" i="32"/>
  <c r="U113" i="32"/>
  <c r="V113" i="32"/>
  <c r="W113" i="32"/>
  <c r="X113" i="32"/>
  <c r="Y113" i="32"/>
  <c r="Z113" i="32"/>
  <c r="U114" i="32"/>
  <c r="V114" i="32"/>
  <c r="W114" i="32"/>
  <c r="X114" i="32"/>
  <c r="Y114" i="32"/>
  <c r="Z114" i="32"/>
  <c r="U115" i="32"/>
  <c r="V115" i="32"/>
  <c r="W115" i="32"/>
  <c r="X115" i="32"/>
  <c r="Y115" i="32"/>
  <c r="Z115" i="32"/>
  <c r="U116" i="32"/>
  <c r="V116" i="32"/>
  <c r="W116" i="32"/>
  <c r="X116" i="32"/>
  <c r="Y116" i="32"/>
  <c r="Z116" i="32"/>
  <c r="U117" i="32"/>
  <c r="V117" i="32"/>
  <c r="W117" i="32"/>
  <c r="X117" i="32"/>
  <c r="Y117" i="32"/>
  <c r="Z117" i="32"/>
  <c r="U118" i="32"/>
  <c r="AA118" i="32"/>
  <c r="AB118" i="32" s="1"/>
  <c r="Q139" i="32" s="1"/>
  <c r="V118" i="32"/>
  <c r="W118" i="32"/>
  <c r="X118" i="32"/>
  <c r="Y118" i="32"/>
  <c r="Z118" i="32"/>
  <c r="H140" i="32"/>
  <c r="E2" i="31"/>
  <c r="E10" i="31"/>
  <c r="C23" i="31"/>
  <c r="D23" i="31"/>
  <c r="E23" i="31"/>
  <c r="D25" i="31"/>
  <c r="B45" i="31"/>
  <c r="C45" i="31"/>
  <c r="C46" i="31" s="1"/>
  <c r="D45" i="31"/>
  <c r="E54" i="31"/>
  <c r="E69" i="31"/>
  <c r="C70" i="31"/>
  <c r="D70" i="31"/>
  <c r="E70" i="31"/>
  <c r="D77" i="31"/>
  <c r="D78" i="31"/>
  <c r="D79" i="31"/>
  <c r="D80" i="31"/>
  <c r="C88" i="31"/>
  <c r="E88" i="31"/>
  <c r="C108" i="31"/>
  <c r="E108" i="31"/>
  <c r="D127" i="31"/>
  <c r="I2" i="32"/>
  <c r="U9" i="32"/>
  <c r="V9" i="32"/>
  <c r="W9" i="32"/>
  <c r="X9" i="32"/>
  <c r="Y9" i="32"/>
  <c r="Z9" i="32"/>
  <c r="U10" i="32"/>
  <c r="V10" i="32"/>
  <c r="W10" i="32"/>
  <c r="X10" i="32"/>
  <c r="Y10" i="32"/>
  <c r="Z10" i="32"/>
  <c r="U11" i="32"/>
  <c r="V11" i="32"/>
  <c r="W11" i="32"/>
  <c r="X11" i="32"/>
  <c r="Y11" i="32"/>
  <c r="Z11" i="32"/>
  <c r="U12" i="32"/>
  <c r="V12" i="32"/>
  <c r="W12" i="32"/>
  <c r="X12" i="32"/>
  <c r="Y12" i="32"/>
  <c r="Z12" i="32"/>
  <c r="U13" i="32"/>
  <c r="V13" i="32"/>
  <c r="W13" i="32"/>
  <c r="X13" i="32"/>
  <c r="Y13" i="32"/>
  <c r="Z13" i="32"/>
  <c r="U14" i="32"/>
  <c r="V14" i="32"/>
  <c r="W14" i="32"/>
  <c r="X14" i="32"/>
  <c r="Y14" i="32"/>
  <c r="Z14" i="32"/>
  <c r="U15" i="32"/>
  <c r="V15" i="32"/>
  <c r="W15" i="32"/>
  <c r="X15" i="32"/>
  <c r="Y15" i="32"/>
  <c r="Z15" i="32"/>
  <c r="U16" i="32"/>
  <c r="V16" i="32"/>
  <c r="W16" i="32"/>
  <c r="X16" i="32"/>
  <c r="Y16" i="32"/>
  <c r="Z16" i="32"/>
  <c r="U17" i="32"/>
  <c r="V17" i="32"/>
  <c r="W17" i="32"/>
  <c r="X17" i="32"/>
  <c r="Y17" i="32"/>
  <c r="Z17" i="32"/>
  <c r="U18" i="32"/>
  <c r="V18" i="32"/>
  <c r="W18" i="32"/>
  <c r="X18" i="32"/>
  <c r="Y18" i="32"/>
  <c r="Z18" i="32"/>
  <c r="U19" i="32"/>
  <c r="V19" i="32"/>
  <c r="W19" i="32"/>
  <c r="X19" i="32"/>
  <c r="Y19" i="32"/>
  <c r="Z19" i="32"/>
  <c r="U20" i="32"/>
  <c r="V20" i="32"/>
  <c r="W20" i="32"/>
  <c r="X20" i="32"/>
  <c r="Y20" i="32"/>
  <c r="Z20" i="32"/>
  <c r="U21" i="32"/>
  <c r="V21" i="32"/>
  <c r="W21" i="32"/>
  <c r="X21" i="32"/>
  <c r="Y21" i="32"/>
  <c r="Z21" i="32"/>
  <c r="U22" i="32"/>
  <c r="V22" i="32"/>
  <c r="W22" i="32"/>
  <c r="X22" i="32"/>
  <c r="Y22" i="32"/>
  <c r="Z22" i="32"/>
  <c r="U23" i="32"/>
  <c r="V23" i="32"/>
  <c r="W23" i="32"/>
  <c r="X23" i="32"/>
  <c r="Y23" i="32"/>
  <c r="Z23" i="32"/>
  <c r="U24" i="32"/>
  <c r="V24" i="32"/>
  <c r="W24" i="32"/>
  <c r="X24" i="32"/>
  <c r="Y24" i="32"/>
  <c r="Z24" i="32"/>
  <c r="U25" i="32"/>
  <c r="V25" i="32"/>
  <c r="W25" i="32"/>
  <c r="X25" i="32"/>
  <c r="Y25" i="32"/>
  <c r="Z25" i="32"/>
  <c r="U26" i="32"/>
  <c r="V26" i="32"/>
  <c r="W26" i="32"/>
  <c r="X26" i="32"/>
  <c r="Y26" i="32"/>
  <c r="Z26" i="32"/>
  <c r="U27" i="32"/>
  <c r="V27" i="32"/>
  <c r="W27" i="32"/>
  <c r="X27" i="32"/>
  <c r="Y27" i="32"/>
  <c r="Z27" i="32"/>
  <c r="U28" i="32"/>
  <c r="V28" i="32"/>
  <c r="W28" i="32"/>
  <c r="X28" i="32"/>
  <c r="Y28" i="32"/>
  <c r="Z28" i="32"/>
  <c r="U29" i="32"/>
  <c r="V29" i="32"/>
  <c r="W29" i="32"/>
  <c r="X29" i="32"/>
  <c r="Y29" i="32"/>
  <c r="Z29" i="32"/>
  <c r="U30" i="32"/>
  <c r="V30" i="32"/>
  <c r="W30" i="32"/>
  <c r="X30" i="32"/>
  <c r="Y30" i="32"/>
  <c r="Z30" i="32"/>
  <c r="U31" i="32"/>
  <c r="V31" i="32"/>
  <c r="W31" i="32"/>
  <c r="X31" i="32"/>
  <c r="Y31" i="32"/>
  <c r="Z31" i="32"/>
  <c r="U32" i="32"/>
  <c r="V32" i="32"/>
  <c r="W32" i="32"/>
  <c r="X32" i="32"/>
  <c r="Y32" i="32"/>
  <c r="Z32" i="32"/>
  <c r="U33" i="32"/>
  <c r="V33" i="32"/>
  <c r="W33" i="32"/>
  <c r="X33" i="32"/>
  <c r="Y33" i="32"/>
  <c r="Z33" i="32"/>
  <c r="U34" i="32"/>
  <c r="V34" i="32"/>
  <c r="W34" i="32"/>
  <c r="X34" i="32"/>
  <c r="Y34" i="32"/>
  <c r="Z34" i="32"/>
  <c r="H35" i="32"/>
  <c r="AA49" i="32"/>
  <c r="AB49" i="32"/>
  <c r="AB50" i="32"/>
  <c r="AA51" i="32"/>
  <c r="AB51" i="32"/>
  <c r="AB52" i="32"/>
  <c r="AA53" i="32"/>
  <c r="AB53" i="32"/>
  <c r="AB54" i="32"/>
  <c r="AA55" i="32"/>
  <c r="AB55" i="32"/>
  <c r="AB56" i="32"/>
  <c r="AB64" i="32"/>
  <c r="AA65" i="32"/>
  <c r="AB65" i="32"/>
  <c r="AB66" i="32"/>
  <c r="AA67" i="32"/>
  <c r="AB67" i="32"/>
  <c r="AB68" i="32"/>
  <c r="AA69" i="32"/>
  <c r="AB69" i="32"/>
  <c r="AA70" i="32"/>
  <c r="AB70" i="32"/>
  <c r="AA71" i="32"/>
  <c r="AB71" i="32"/>
  <c r="AB72" i="32"/>
  <c r="AA73" i="32"/>
  <c r="AB73" i="32"/>
  <c r="AB74" i="32"/>
  <c r="AA75" i="32"/>
  <c r="AB75" i="32"/>
  <c r="S106" i="32"/>
  <c r="S159" i="32"/>
  <c r="S162" i="32"/>
  <c r="S166" i="32"/>
  <c r="S168" i="32"/>
  <c r="S170" i="32"/>
  <c r="S180" i="32"/>
  <c r="S182" i="32"/>
  <c r="C2" i="33"/>
  <c r="C18" i="33"/>
  <c r="D18" i="33"/>
  <c r="E18" i="33"/>
  <c r="C21" i="33"/>
  <c r="D21" i="33"/>
  <c r="B25" i="33"/>
  <c r="G22" i="4"/>
  <c r="B14" i="4"/>
  <c r="C14" i="4"/>
  <c r="D6" i="4"/>
  <c r="A6" i="4"/>
  <c r="A2" i="22"/>
  <c r="A88" i="22"/>
  <c r="A91" i="22" s="1"/>
  <c r="A94" i="22" s="1"/>
  <c r="H25" i="13"/>
  <c r="I25" i="13"/>
  <c r="J25" i="13"/>
  <c r="K25" i="13"/>
  <c r="E27" i="13"/>
  <c r="K29" i="13"/>
  <c r="I37" i="10"/>
  <c r="H37" i="10"/>
  <c r="G12" i="16"/>
  <c r="C2" i="17"/>
  <c r="B16" i="17"/>
  <c r="B15" i="17"/>
  <c r="B13" i="17"/>
  <c r="B32" i="4"/>
  <c r="E37" i="10"/>
  <c r="D26" i="2"/>
  <c r="B63" i="22"/>
  <c r="C2" i="22"/>
  <c r="B69" i="22"/>
  <c r="B11" i="16"/>
  <c r="C14" i="16"/>
  <c r="D14" i="16"/>
  <c r="E14" i="16"/>
  <c r="F14" i="16"/>
  <c r="G14" i="16"/>
  <c r="B16" i="16"/>
  <c r="B17" i="16"/>
  <c r="B18" i="16"/>
  <c r="B19" i="16"/>
  <c r="B20" i="16"/>
  <c r="D21" i="16"/>
  <c r="E21" i="16"/>
  <c r="F21" i="16"/>
  <c r="G21" i="16"/>
  <c r="B22" i="16"/>
  <c r="G2" i="10"/>
  <c r="A35" i="5"/>
  <c r="A8" i="4"/>
  <c r="B9" i="4"/>
  <c r="C9" i="4"/>
  <c r="D9" i="4"/>
  <c r="B10" i="4"/>
  <c r="C10" i="4"/>
  <c r="B13" i="4"/>
  <c r="C13" i="4"/>
  <c r="A25" i="4"/>
  <c r="B26" i="4"/>
  <c r="G21" i="4"/>
  <c r="A19" i="4"/>
  <c r="B20" i="4"/>
  <c r="C20" i="4"/>
  <c r="B21" i="4"/>
  <c r="C21" i="4"/>
  <c r="B22" i="4"/>
  <c r="C22" i="4"/>
  <c r="G6" i="4"/>
  <c r="G8" i="4"/>
  <c r="H8" i="4"/>
  <c r="G9" i="4"/>
  <c r="H9" i="4"/>
  <c r="L2" i="2"/>
  <c r="H147" i="6"/>
  <c r="E21" i="33"/>
  <c r="S155" i="32"/>
  <c r="K37" i="10"/>
  <c r="D15" i="6"/>
  <c r="H149" i="6"/>
  <c r="I149" i="6"/>
  <c r="S91" i="32"/>
  <c r="AA110" i="32"/>
  <c r="AB110" i="32"/>
  <c r="Q111" i="32"/>
  <c r="I148" i="6"/>
  <c r="J148" i="6"/>
  <c r="J150" i="6"/>
  <c r="H105" i="6"/>
  <c r="J57" i="6"/>
  <c r="J20" i="6"/>
  <c r="A11" i="30"/>
  <c r="J106" i="6"/>
  <c r="J23" i="6"/>
  <c r="J24" i="6"/>
  <c r="A2" i="32"/>
  <c r="A79" i="32"/>
  <c r="A2" i="28"/>
  <c r="A2" i="39"/>
  <c r="I19" i="6"/>
  <c r="I8" i="34"/>
  <c r="G88" i="31"/>
  <c r="E14" i="30"/>
  <c r="G45" i="31"/>
  <c r="E12" i="30"/>
  <c r="H103" i="6"/>
  <c r="I146" i="6"/>
  <c r="H58" i="6"/>
  <c r="I35" i="34"/>
  <c r="I31" i="34"/>
  <c r="I27" i="34"/>
  <c r="I23" i="34"/>
  <c r="I19" i="34"/>
  <c r="I15" i="34"/>
  <c r="I20" i="40"/>
  <c r="H33" i="40" s="1"/>
  <c r="G108" i="31"/>
  <c r="E15" i="30" s="1"/>
  <c r="G70" i="31"/>
  <c r="E13" i="30" s="1"/>
  <c r="E30" i="30"/>
  <c r="E22" i="30"/>
  <c r="A12" i="30"/>
  <c r="A13" i="30"/>
  <c r="A14" i="30" s="1"/>
  <c r="A15" i="30" s="1"/>
  <c r="A16" i="30" s="1"/>
  <c r="K2" i="10"/>
  <c r="D13" i="4" s="1"/>
  <c r="K41" i="10"/>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G79" i="27"/>
  <c r="G138" i="27"/>
  <c r="G140" i="27" s="1"/>
  <c r="G12" i="27"/>
  <c r="G10" i="27"/>
  <c r="G74" i="27"/>
  <c r="A11" i="10"/>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G131" i="27"/>
  <c r="G132" i="27"/>
  <c r="G117" i="27"/>
  <c r="D14" i="4"/>
  <c r="F143" i="27"/>
  <c r="D10" i="17"/>
  <c r="S102" i="32"/>
  <c r="T102" i="32"/>
  <c r="S149" i="32"/>
  <c r="R85" i="32"/>
  <c r="R93" i="32"/>
  <c r="S157" i="32"/>
  <c r="S164" i="32"/>
  <c r="R100" i="32"/>
  <c r="R101" i="32"/>
  <c r="S165" i="32"/>
  <c r="R108" i="32"/>
  <c r="S172" i="32"/>
  <c r="R112" i="32"/>
  <c r="S176" i="32"/>
  <c r="S177" i="32"/>
  <c r="R113" i="32"/>
  <c r="R117" i="32"/>
  <c r="S181" i="32"/>
  <c r="T115" i="32"/>
  <c r="S115" i="32"/>
  <c r="T104" i="32"/>
  <c r="S104" i="32"/>
  <c r="T96" i="32"/>
  <c r="S96" i="32"/>
  <c r="R87" i="32"/>
  <c r="S151" i="32"/>
  <c r="R90" i="32"/>
  <c r="S154" i="32"/>
  <c r="R107" i="32"/>
  <c r="S171" i="32"/>
  <c r="S174" i="32"/>
  <c r="R110" i="32"/>
  <c r="R111" i="32"/>
  <c r="S175" i="32"/>
  <c r="R114" i="32"/>
  <c r="S178" i="32"/>
  <c r="S103" i="32"/>
  <c r="T103" i="32"/>
  <c r="T95" i="32"/>
  <c r="S95" i="32"/>
  <c r="S179" i="32"/>
  <c r="S167" i="32"/>
  <c r="S160" i="32"/>
  <c r="S152" i="32"/>
  <c r="R105" i="32"/>
  <c r="S173" i="32"/>
  <c r="S203" i="32"/>
  <c r="R139" i="32"/>
  <c r="R204" i="32"/>
  <c r="AA106" i="32"/>
  <c r="AB106" i="32" s="1"/>
  <c r="Q107" i="32" s="1"/>
  <c r="AA105" i="32"/>
  <c r="AB105" i="32"/>
  <c r="Q106" i="32" s="1"/>
  <c r="AA99" i="32"/>
  <c r="AB99" i="32" s="1"/>
  <c r="Q100" i="32"/>
  <c r="AA96" i="32"/>
  <c r="AB96" i="32" s="1"/>
  <c r="Q97" i="32" s="1"/>
  <c r="AA94" i="32"/>
  <c r="AB94" i="32"/>
  <c r="Q95" i="32" s="1"/>
  <c r="AA93" i="32"/>
  <c r="AB93" i="32"/>
  <c r="Q94" i="32"/>
  <c r="AA92" i="32"/>
  <c r="AB92" i="32" s="1"/>
  <c r="Q93" i="32" s="1"/>
  <c r="AA88" i="32"/>
  <c r="AB88" i="32"/>
  <c r="Q89" i="32" s="1"/>
  <c r="AA86" i="32"/>
  <c r="AB86" i="32" s="1"/>
  <c r="Q87" i="32" s="1"/>
  <c r="AA85" i="32"/>
  <c r="AB85" i="32"/>
  <c r="Q86" i="32" s="1"/>
  <c r="R61" i="32"/>
  <c r="R19" i="32" s="1"/>
  <c r="R63" i="32"/>
  <c r="R21" i="32" s="1"/>
  <c r="R69" i="32"/>
  <c r="R27" i="32" s="1"/>
  <c r="R71" i="32"/>
  <c r="R29" i="32"/>
  <c r="R74" i="32"/>
  <c r="R32" i="32" s="1"/>
  <c r="S69" i="32"/>
  <c r="AA34" i="32"/>
  <c r="AB34" i="32" s="1"/>
  <c r="Q34" i="32" s="1"/>
  <c r="AA32" i="32"/>
  <c r="AB32" i="32"/>
  <c r="Q32" i="32" s="1"/>
  <c r="R52" i="32"/>
  <c r="R10" i="32" s="1"/>
  <c r="R53" i="32"/>
  <c r="R11" i="32" s="1"/>
  <c r="R54" i="32"/>
  <c r="R12" i="32" s="1"/>
  <c r="R57" i="32"/>
  <c r="R58" i="32"/>
  <c r="R59" i="32"/>
  <c r="R62" i="32"/>
  <c r="R20" i="32" s="1"/>
  <c r="R64" i="32"/>
  <c r="R65" i="32"/>
  <c r="R66" i="32"/>
  <c r="R24" i="32" s="1"/>
  <c r="R70" i="32"/>
  <c r="R72" i="32"/>
  <c r="R73" i="32"/>
  <c r="R31" i="32" s="1"/>
  <c r="S31" i="32" s="1"/>
  <c r="R75" i="32"/>
  <c r="R33" i="32" s="1"/>
  <c r="A45" i="32"/>
  <c r="S76" i="32"/>
  <c r="AA21" i="32"/>
  <c r="AB21" i="32"/>
  <c r="Q21" i="32" s="1"/>
  <c r="AA102" i="32"/>
  <c r="AB102" i="32" s="1"/>
  <c r="Q103" i="32" s="1"/>
  <c r="AA90" i="32"/>
  <c r="AB90" i="32" s="1"/>
  <c r="Q91" i="32" s="1"/>
  <c r="AA84" i="32"/>
  <c r="AB84" i="32" s="1"/>
  <c r="AA115" i="32"/>
  <c r="AB115" i="32"/>
  <c r="Q116" i="32" s="1"/>
  <c r="AA101" i="32"/>
  <c r="AB101" i="32" s="1"/>
  <c r="Q102" i="32" s="1"/>
  <c r="R55" i="32"/>
  <c r="R67" i="32"/>
  <c r="R25" i="32" s="1"/>
  <c r="S54" i="32"/>
  <c r="R15" i="32"/>
  <c r="S57" i="32"/>
  <c r="S62" i="32"/>
  <c r="R22" i="32"/>
  <c r="S22" i="32" s="1"/>
  <c r="S64" i="32"/>
  <c r="R30" i="32"/>
  <c r="S72" i="32"/>
  <c r="AA23" i="32"/>
  <c r="AB23" i="32"/>
  <c r="Q23" i="32" s="1"/>
  <c r="R28" i="32"/>
  <c r="S28" i="32" s="1"/>
  <c r="S70" i="32"/>
  <c r="S61" i="32"/>
  <c r="AA87" i="32"/>
  <c r="AB87" i="32" s="1"/>
  <c r="Q88" i="32" s="1"/>
  <c r="A144" i="32"/>
  <c r="AA20" i="32"/>
  <c r="AB20" i="32" s="1"/>
  <c r="Q20" i="32" s="1"/>
  <c r="AA18" i="32"/>
  <c r="AB18" i="32" s="1"/>
  <c r="Q18" i="32" s="1"/>
  <c r="AA17" i="32"/>
  <c r="AB17" i="32" s="1"/>
  <c r="Q17" i="32" s="1"/>
  <c r="AA16" i="32"/>
  <c r="AB16" i="32"/>
  <c r="Q16" i="32" s="1"/>
  <c r="AA15" i="32"/>
  <c r="AB15" i="32" s="1"/>
  <c r="Q15" i="32" s="1"/>
  <c r="AA109" i="32"/>
  <c r="AB109" i="32" s="1"/>
  <c r="Q110" i="32" s="1"/>
  <c r="AA89" i="32"/>
  <c r="AB89" i="32" s="1"/>
  <c r="Q90" i="32" s="1"/>
  <c r="R56" i="32"/>
  <c r="R60" i="32"/>
  <c r="R18" i="32" s="1"/>
  <c r="R68" i="32"/>
  <c r="S51" i="32"/>
  <c r="AA27" i="32"/>
  <c r="AB27" i="32"/>
  <c r="Q27" i="32" s="1"/>
  <c r="AA117" i="32"/>
  <c r="AB117" i="32" s="1"/>
  <c r="Q118" i="32" s="1"/>
  <c r="AA108" i="32"/>
  <c r="AB108" i="32" s="1"/>
  <c r="Q109" i="32" s="1"/>
  <c r="AA104" i="32"/>
  <c r="AB104" i="32" s="1"/>
  <c r="Q105" i="32" s="1"/>
  <c r="AA103" i="32"/>
  <c r="AB103" i="32"/>
  <c r="Q104" i="32" s="1"/>
  <c r="AA100" i="32"/>
  <c r="AB100" i="32" s="1"/>
  <c r="Q101" i="32" s="1"/>
  <c r="AA98" i="32"/>
  <c r="AB98" i="32" s="1"/>
  <c r="Q99" i="32" s="1"/>
  <c r="AA95" i="32"/>
  <c r="AB95" i="32" s="1"/>
  <c r="Q96" i="32" s="1"/>
  <c r="AA8" i="32"/>
  <c r="AB8" i="32"/>
  <c r="Q8" i="32" s="1"/>
  <c r="AA33" i="32"/>
  <c r="AB33" i="32"/>
  <c r="Q33" i="32" s="1"/>
  <c r="AA31" i="32"/>
  <c r="AB31" i="32" s="1"/>
  <c r="Q31" i="32" s="1"/>
  <c r="AA30" i="32"/>
  <c r="AB30" i="32" s="1"/>
  <c r="Q30" i="32" s="1"/>
  <c r="AA28" i="32"/>
  <c r="AB28" i="32" s="1"/>
  <c r="Q28" i="32" s="1"/>
  <c r="AA24" i="32"/>
  <c r="AB24" i="32"/>
  <c r="Q24" i="32" s="1"/>
  <c r="AA19" i="32"/>
  <c r="AB19" i="32" s="1"/>
  <c r="Q19" i="32" s="1"/>
  <c r="AA14" i="32"/>
  <c r="AB14" i="32" s="1"/>
  <c r="Q14" i="32" s="1"/>
  <c r="AA13" i="32"/>
  <c r="AB13" i="32" s="1"/>
  <c r="Q13" i="32" s="1"/>
  <c r="AA12" i="32"/>
  <c r="AB12" i="32"/>
  <c r="Q12" i="32" s="1"/>
  <c r="AA9" i="32"/>
  <c r="AB9" i="32" s="1"/>
  <c r="AA116" i="32"/>
  <c r="AB116" i="32" s="1"/>
  <c r="Q117" i="32" s="1"/>
  <c r="AA111" i="32"/>
  <c r="AB111" i="32" s="1"/>
  <c r="Q112" i="32" s="1"/>
  <c r="AA107" i="32"/>
  <c r="AB107" i="32"/>
  <c r="Q108" i="32" s="1"/>
  <c r="AA91" i="32"/>
  <c r="AB91" i="32" s="1"/>
  <c r="Q92" i="32" s="1"/>
  <c r="AA29" i="32"/>
  <c r="AB29" i="32" s="1"/>
  <c r="Q29" i="32" s="1"/>
  <c r="AA26" i="32"/>
  <c r="AB26" i="32" s="1"/>
  <c r="Q26" i="32" s="1"/>
  <c r="AA25" i="32"/>
  <c r="AB25" i="32"/>
  <c r="Q25" i="32" s="1"/>
  <c r="AA22" i="32"/>
  <c r="AB22" i="32" s="1"/>
  <c r="Q22" i="32" s="1"/>
  <c r="AA11" i="32"/>
  <c r="AB11" i="32" s="1"/>
  <c r="Q11" i="32" s="1"/>
  <c r="AA10" i="32"/>
  <c r="AB10" i="32" s="1"/>
  <c r="Q10" i="32" s="1"/>
  <c r="AA114" i="32"/>
  <c r="AB114" i="32"/>
  <c r="Q115" i="32" s="1"/>
  <c r="T15" i="32"/>
  <c r="S15" i="32"/>
  <c r="T118" i="32"/>
  <c r="S118" i="32"/>
  <c r="T98" i="32"/>
  <c r="S98" i="32"/>
  <c r="T88" i="32"/>
  <c r="S88" i="32"/>
  <c r="S163" i="32"/>
  <c r="R99" i="32"/>
  <c r="S34" i="32"/>
  <c r="T34" i="32"/>
  <c r="S21" i="32"/>
  <c r="T21" i="32"/>
  <c r="T9" i="32"/>
  <c r="S9" i="32"/>
  <c r="T101" i="32"/>
  <c r="S101" i="32"/>
  <c r="S87" i="32"/>
  <c r="T87" i="32"/>
  <c r="R86" i="32"/>
  <c r="S150" i="32"/>
  <c r="R94" i="32"/>
  <c r="S94" i="32" s="1"/>
  <c r="S158" i="32"/>
  <c r="T28" i="32"/>
  <c r="T116" i="32"/>
  <c r="S116" i="32"/>
  <c r="T109" i="32"/>
  <c r="S109" i="32"/>
  <c r="S153" i="32"/>
  <c r="R89" i="32"/>
  <c r="S89" i="32" s="1"/>
  <c r="R97" i="32"/>
  <c r="S161" i="32"/>
  <c r="T139" i="32"/>
  <c r="S139" i="32"/>
  <c r="R92" i="32"/>
  <c r="S156" i="32"/>
  <c r="T110" i="32"/>
  <c r="S110" i="32"/>
  <c r="S113" i="32"/>
  <c r="T113" i="32"/>
  <c r="T100" i="32"/>
  <c r="S100" i="32"/>
  <c r="T85" i="32"/>
  <c r="S85" i="32"/>
  <c r="T114" i="32"/>
  <c r="S114" i="32"/>
  <c r="T90" i="32"/>
  <c r="S90" i="32"/>
  <c r="T108" i="32"/>
  <c r="S108" i="32"/>
  <c r="S105" i="32"/>
  <c r="T105" i="32"/>
  <c r="T111" i="32"/>
  <c r="S111" i="32"/>
  <c r="T107" i="32"/>
  <c r="S107" i="32"/>
  <c r="T117" i="32"/>
  <c r="S117" i="32"/>
  <c r="T112" i="32"/>
  <c r="S112" i="32"/>
  <c r="T93" i="32"/>
  <c r="S93" i="32"/>
  <c r="S19" i="32"/>
  <c r="T19" i="32"/>
  <c r="T29" i="32"/>
  <c r="S29" i="32"/>
  <c r="S74" i="32"/>
  <c r="S71" i="32"/>
  <c r="S53" i="32"/>
  <c r="S67" i="32"/>
  <c r="S75" i="32"/>
  <c r="S66" i="32"/>
  <c r="T24" i="32"/>
  <c r="S24" i="32"/>
  <c r="T31" i="32"/>
  <c r="S73" i="32"/>
  <c r="R23" i="32"/>
  <c r="T23" i="32" s="1"/>
  <c r="S65" i="32"/>
  <c r="R16" i="32"/>
  <c r="S58" i="32"/>
  <c r="S52" i="32"/>
  <c r="R17" i="32"/>
  <c r="S59" i="32"/>
  <c r="R13" i="32"/>
  <c r="T13" i="32" s="1"/>
  <c r="S55" i="32"/>
  <c r="S56" i="32"/>
  <c r="R14" i="32"/>
  <c r="T20" i="32"/>
  <c r="S20" i="32"/>
  <c r="R26" i="32"/>
  <c r="T26" i="32" s="1"/>
  <c r="S68" i="32"/>
  <c r="S30" i="32"/>
  <c r="T30" i="32"/>
  <c r="S11" i="32"/>
  <c r="T11" i="32"/>
  <c r="S60" i="32"/>
  <c r="S204" i="32"/>
  <c r="T92" i="32"/>
  <c r="S92" i="32"/>
  <c r="S99" i="32"/>
  <c r="T99" i="32"/>
  <c r="T97" i="32"/>
  <c r="S97" i="32"/>
  <c r="T86" i="32"/>
  <c r="S86" i="32"/>
  <c r="T89" i="32"/>
  <c r="S16" i="32"/>
  <c r="T16" i="32"/>
  <c r="S17" i="32"/>
  <c r="T17" i="32"/>
  <c r="S13" i="32"/>
  <c r="T14" i="32"/>
  <c r="S14" i="32"/>
  <c r="E42" i="12"/>
  <c r="C371" i="38" s="1"/>
  <c r="E31" i="12"/>
  <c r="C364" i="38" s="1"/>
  <c r="C325" i="38"/>
  <c r="C324" i="38"/>
  <c r="C301" i="38"/>
  <c r="J37" i="10"/>
  <c r="C15" i="6"/>
  <c r="F37" i="10"/>
  <c r="C13" i="6" s="1"/>
  <c r="C13" i="38" s="1"/>
  <c r="C241" i="38"/>
  <c r="E140" i="27"/>
  <c r="C200" i="38"/>
  <c r="G119" i="27"/>
  <c r="E120" i="27"/>
  <c r="C231" i="38"/>
  <c r="E83" i="27"/>
  <c r="C201" i="38"/>
  <c r="G37" i="27"/>
  <c r="G34" i="27"/>
  <c r="G24" i="27"/>
  <c r="G60" i="27"/>
  <c r="G59" i="27"/>
  <c r="G58" i="27"/>
  <c r="G57" i="27"/>
  <c r="G56" i="27"/>
  <c r="G54" i="27"/>
  <c r="G52" i="27"/>
  <c r="G51" i="27"/>
  <c r="G50" i="27"/>
  <c r="G49" i="27"/>
  <c r="G48" i="27"/>
  <c r="G46" i="27"/>
  <c r="G45" i="27"/>
  <c r="G44" i="27"/>
  <c r="G43" i="27"/>
  <c r="G42" i="27"/>
  <c r="G41" i="27"/>
  <c r="G40" i="27"/>
  <c r="G39" i="27"/>
  <c r="G38" i="27"/>
  <c r="G36" i="27"/>
  <c r="G35" i="27"/>
  <c r="G33" i="27"/>
  <c r="G32" i="27"/>
  <c r="G31" i="27"/>
  <c r="G30" i="27"/>
  <c r="G29" i="27"/>
  <c r="G28" i="27"/>
  <c r="G27" i="27"/>
  <c r="G26" i="27"/>
  <c r="G25" i="27"/>
  <c r="G23" i="27"/>
  <c r="G22" i="27"/>
  <c r="G21" i="27"/>
  <c r="G20" i="27"/>
  <c r="G18" i="27"/>
  <c r="G17" i="27"/>
  <c r="G16" i="27"/>
  <c r="G15" i="27"/>
  <c r="E62" i="27"/>
  <c r="G14" i="27"/>
  <c r="G13" i="27"/>
  <c r="R50" i="32"/>
  <c r="S50" i="32" s="1"/>
  <c r="R77" i="32"/>
  <c r="R8" i="32"/>
  <c r="F10" i="39"/>
  <c r="E151" i="6"/>
  <c r="H151" i="6" s="1"/>
  <c r="J151" i="6"/>
  <c r="C119" i="38"/>
  <c r="H107" i="6"/>
  <c r="E60" i="6"/>
  <c r="H60" i="6" s="1"/>
  <c r="J60" i="6"/>
  <c r="C51" i="38"/>
  <c r="H28" i="6"/>
  <c r="C29" i="38"/>
  <c r="C326" i="38"/>
  <c r="C302" i="38"/>
  <c r="E121" i="27"/>
  <c r="C233" i="38"/>
  <c r="G120" i="27"/>
  <c r="E84" i="27"/>
  <c r="C202" i="38"/>
  <c r="G83" i="27"/>
  <c r="S8" i="32"/>
  <c r="T8" i="32"/>
  <c r="E152" i="6"/>
  <c r="H152" i="6" s="1"/>
  <c r="C120" i="38"/>
  <c r="J152" i="6"/>
  <c r="E108" i="6"/>
  <c r="C88" i="38"/>
  <c r="C52" i="38"/>
  <c r="E61" i="6"/>
  <c r="I61" i="6" s="1"/>
  <c r="J30" i="6"/>
  <c r="C30" i="38"/>
  <c r="E30" i="6"/>
  <c r="H30" i="6" s="1"/>
  <c r="C327" i="38"/>
  <c r="C303" i="38"/>
  <c r="G121" i="27"/>
  <c r="C234" i="38"/>
  <c r="E122" i="27"/>
  <c r="G122" i="27" s="1"/>
  <c r="E85" i="27"/>
  <c r="G85" i="27" s="1"/>
  <c r="C203" i="38"/>
  <c r="G84" i="27"/>
  <c r="C121" i="38"/>
  <c r="E153" i="6"/>
  <c r="H108" i="6"/>
  <c r="C89" i="38"/>
  <c r="E109" i="6"/>
  <c r="H109" i="6" s="1"/>
  <c r="J62" i="6"/>
  <c r="C53" i="38"/>
  <c r="E62" i="6"/>
  <c r="H62" i="6" s="1"/>
  <c r="H61" i="6"/>
  <c r="C31" i="38"/>
  <c r="E31" i="6"/>
  <c r="H31" i="6" s="1"/>
  <c r="C328" i="38"/>
  <c r="C304" i="38"/>
  <c r="E123" i="27"/>
  <c r="G123" i="27" s="1"/>
  <c r="C204" i="38"/>
  <c r="E86" i="27"/>
  <c r="E154" i="6"/>
  <c r="C122" i="38"/>
  <c r="C90" i="38"/>
  <c r="E110" i="6"/>
  <c r="I110" i="6" s="1"/>
  <c r="E63" i="6"/>
  <c r="C54" i="38"/>
  <c r="E32" i="6"/>
  <c r="H32" i="6" s="1"/>
  <c r="C32" i="38"/>
  <c r="C329" i="38"/>
  <c r="C305" i="38"/>
  <c r="E124" i="27"/>
  <c r="D125" i="27"/>
  <c r="C236" i="38"/>
  <c r="E87" i="27"/>
  <c r="G86" i="27"/>
  <c r="C205" i="38"/>
  <c r="H154" i="6"/>
  <c r="E155" i="6"/>
  <c r="C123" i="38"/>
  <c r="C91" i="38"/>
  <c r="E111" i="6"/>
  <c r="I111" i="6" s="1"/>
  <c r="E64" i="6"/>
  <c r="C55" i="38"/>
  <c r="C33" i="38"/>
  <c r="E33" i="6"/>
  <c r="H33" i="6" s="1"/>
  <c r="C330" i="38"/>
  <c r="C306" i="38"/>
  <c r="G124" i="27"/>
  <c r="C237" i="38"/>
  <c r="E88" i="27"/>
  <c r="C206" i="38"/>
  <c r="G87" i="27"/>
  <c r="C124" i="38"/>
  <c r="J156" i="6"/>
  <c r="E156" i="6"/>
  <c r="H156" i="6" s="1"/>
  <c r="E112" i="6"/>
  <c r="I112" i="6" s="1"/>
  <c r="C92" i="38"/>
  <c r="C56" i="38"/>
  <c r="E65" i="6"/>
  <c r="H65" i="6" s="1"/>
  <c r="H64" i="6"/>
  <c r="I64" i="6"/>
  <c r="C34" i="38"/>
  <c r="E34" i="6"/>
  <c r="I34" i="6" s="1"/>
  <c r="C331" i="38"/>
  <c r="C307" i="38"/>
  <c r="C207" i="38"/>
  <c r="G88" i="27"/>
  <c r="E89" i="27"/>
  <c r="E157" i="6"/>
  <c r="C125" i="38"/>
  <c r="J157" i="6"/>
  <c r="C93" i="38"/>
  <c r="E113" i="6"/>
  <c r="I113" i="6" s="1"/>
  <c r="E66" i="6"/>
  <c r="C57" i="38"/>
  <c r="J66" i="6"/>
  <c r="E35" i="6"/>
  <c r="H35" i="6" s="1"/>
  <c r="C35" i="38"/>
  <c r="J35" i="6"/>
  <c r="C332" i="38"/>
  <c r="C308" i="38"/>
  <c r="C208" i="38"/>
  <c r="G89" i="27"/>
  <c r="E90" i="27"/>
  <c r="E114" i="6"/>
  <c r="C94" i="38"/>
  <c r="J114" i="6"/>
  <c r="H66" i="6"/>
  <c r="E67" i="6"/>
  <c r="C58" i="38"/>
  <c r="E36" i="6"/>
  <c r="H36" i="6" s="1"/>
  <c r="C36" i="38"/>
  <c r="C333" i="38"/>
  <c r="C309" i="38"/>
  <c r="E91" i="27"/>
  <c r="G91" i="27" s="1"/>
  <c r="C209" i="38"/>
  <c r="G90" i="27"/>
  <c r="E115" i="6"/>
  <c r="J115" i="6"/>
  <c r="C95" i="38"/>
  <c r="E68" i="6"/>
  <c r="I68" i="6" s="1"/>
  <c r="C59" i="38"/>
  <c r="C37" i="38"/>
  <c r="E37" i="6"/>
  <c r="H37" i="6" s="1"/>
  <c r="C334" i="38"/>
  <c r="C310" i="38"/>
  <c r="E92" i="27"/>
  <c r="G92" i="27" s="1"/>
  <c r="H115" i="6"/>
  <c r="J116" i="6"/>
  <c r="E116" i="6"/>
  <c r="C96" i="38"/>
  <c r="C60" i="38"/>
  <c r="E69" i="6"/>
  <c r="I69" i="6" s="1"/>
  <c r="E38" i="6"/>
  <c r="I38" i="6" s="1"/>
  <c r="C38" i="38"/>
  <c r="C335" i="38"/>
  <c r="C311" i="38"/>
  <c r="C211" i="38"/>
  <c r="E93" i="27"/>
  <c r="C97" i="38"/>
  <c r="E117" i="6"/>
  <c r="H117" i="6" s="1"/>
  <c r="H116" i="6"/>
  <c r="I116" i="6"/>
  <c r="E70" i="6"/>
  <c r="H70" i="6" s="1"/>
  <c r="C61" i="38"/>
  <c r="C39" i="38"/>
  <c r="E39" i="6"/>
  <c r="C336" i="38"/>
  <c r="C312" i="38"/>
  <c r="E94" i="27"/>
  <c r="G94" i="27" s="1"/>
  <c r="C212" i="38"/>
  <c r="G93" i="27"/>
  <c r="E118" i="6"/>
  <c r="C98" i="38"/>
  <c r="C62" i="38"/>
  <c r="E71" i="6"/>
  <c r="H71" i="6" s="1"/>
  <c r="E40" i="6"/>
  <c r="I40" i="6" s="1"/>
  <c r="C40" i="38"/>
  <c r="H39" i="6"/>
  <c r="C337" i="38"/>
  <c r="C313" i="38"/>
  <c r="E95" i="27"/>
  <c r="G95" i="27" s="1"/>
  <c r="C213" i="38"/>
  <c r="C99" i="38"/>
  <c r="E119" i="6"/>
  <c r="H119" i="6" s="1"/>
  <c r="J72" i="6"/>
  <c r="E72" i="6"/>
  <c r="H72" i="6" s="1"/>
  <c r="C63" i="38"/>
  <c r="C41" i="38"/>
  <c r="E41" i="6"/>
  <c r="J41" i="6"/>
  <c r="C338" i="38"/>
  <c r="C314" i="38"/>
  <c r="E96" i="27"/>
  <c r="C214" i="38"/>
  <c r="E120" i="6"/>
  <c r="I120" i="6" s="1"/>
  <c r="C100" i="38"/>
  <c r="E73" i="6"/>
  <c r="H73" i="6" s="1"/>
  <c r="C64" i="38"/>
  <c r="E42" i="6"/>
  <c r="C42" i="38"/>
  <c r="J42" i="6"/>
  <c r="C339" i="38"/>
  <c r="C315" i="38"/>
  <c r="C215" i="38"/>
  <c r="G96" i="27"/>
  <c r="E97" i="27"/>
  <c r="H120" i="6"/>
  <c r="C101" i="38"/>
  <c r="E121" i="6"/>
  <c r="C65" i="38"/>
  <c r="E74" i="6"/>
  <c r="I74" i="6" s="1"/>
  <c r="J43" i="6"/>
  <c r="C43" i="38"/>
  <c r="E43" i="6"/>
  <c r="C340" i="38"/>
  <c r="C316" i="38"/>
  <c r="C216" i="38"/>
  <c r="G97" i="27"/>
  <c r="E98" i="27"/>
  <c r="H121" i="6"/>
  <c r="C102" i="38"/>
  <c r="E122" i="6"/>
  <c r="J122" i="6"/>
  <c r="E75" i="6"/>
  <c r="I75" i="6" s="1"/>
  <c r="C66" i="38"/>
  <c r="H74" i="6"/>
  <c r="E44" i="6"/>
  <c r="H44" i="6" s="1"/>
  <c r="C44" i="38"/>
  <c r="J44" i="6"/>
  <c r="C341" i="38"/>
  <c r="C317" i="38"/>
  <c r="C217" i="38"/>
  <c r="G98" i="27"/>
  <c r="E99" i="27"/>
  <c r="I122" i="6"/>
  <c r="E123" i="6"/>
  <c r="H123" i="6" s="1"/>
  <c r="C103" i="38"/>
  <c r="J76" i="6"/>
  <c r="E76" i="6"/>
  <c r="H76" i="6" s="1"/>
  <c r="C67" i="38"/>
  <c r="E45" i="6"/>
  <c r="C45" i="38"/>
  <c r="J45" i="6"/>
  <c r="C342" i="38"/>
  <c r="C318" i="38"/>
  <c r="E100" i="27"/>
  <c r="C218" i="38"/>
  <c r="G99" i="27"/>
  <c r="E124" i="6"/>
  <c r="C104" i="38"/>
  <c r="C68" i="38"/>
  <c r="E77" i="6"/>
  <c r="H77" i="6" s="1"/>
  <c r="C46" i="38"/>
  <c r="E46" i="6"/>
  <c r="C343" i="38"/>
  <c r="C319" i="38"/>
  <c r="G100" i="27"/>
  <c r="C219" i="38"/>
  <c r="E101" i="27"/>
  <c r="H124" i="6"/>
  <c r="I124" i="6"/>
  <c r="C105" i="38"/>
  <c r="E125" i="6"/>
  <c r="I125" i="6" s="1"/>
  <c r="E78" i="6"/>
  <c r="I78" i="6" s="1"/>
  <c r="C69" i="38"/>
  <c r="J47" i="6"/>
  <c r="E47" i="6"/>
  <c r="H47" i="6" s="1"/>
  <c r="C47" i="38"/>
  <c r="C344" i="38"/>
  <c r="C320" i="38"/>
  <c r="C220" i="38"/>
  <c r="G101" i="27"/>
  <c r="E102" i="27"/>
  <c r="H125" i="6"/>
  <c r="E126" i="6"/>
  <c r="C106" i="38"/>
  <c r="C70" i="38"/>
  <c r="E79" i="6"/>
  <c r="H79" i="6" s="1"/>
  <c r="C345" i="38"/>
  <c r="C321" i="38"/>
  <c r="D72" i="10"/>
  <c r="C16" i="6" s="1"/>
  <c r="C221" i="38"/>
  <c r="G102" i="27"/>
  <c r="E103" i="27"/>
  <c r="C222" i="38" s="1"/>
  <c r="H126" i="6"/>
  <c r="C107" i="38"/>
  <c r="E127" i="6"/>
  <c r="I79" i="6"/>
  <c r="E80" i="6"/>
  <c r="I80" i="6" s="1"/>
  <c r="C71" i="38"/>
  <c r="C346" i="38"/>
  <c r="E104" i="27"/>
  <c r="G104" i="27" s="1"/>
  <c r="G103" i="27"/>
  <c r="E128" i="6"/>
  <c r="H128" i="6" s="1"/>
  <c r="C108" i="38"/>
  <c r="H127" i="6"/>
  <c r="I127" i="6"/>
  <c r="C72" i="38"/>
  <c r="E81" i="6"/>
  <c r="H80" i="6"/>
  <c r="C347" i="38"/>
  <c r="H72" i="10"/>
  <c r="C17" i="6"/>
  <c r="E17" i="6" s="1"/>
  <c r="I17" i="6" s="1"/>
  <c r="C223" i="38"/>
  <c r="E105" i="27"/>
  <c r="G105" i="27" s="1"/>
  <c r="C109" i="38"/>
  <c r="E129" i="6"/>
  <c r="H129" i="6" s="1"/>
  <c r="C73" i="38"/>
  <c r="E82" i="6"/>
  <c r="I82" i="6" s="1"/>
  <c r="E106" i="27"/>
  <c r="G106" i="27" s="1"/>
  <c r="E83" i="6"/>
  <c r="I83" i="6" s="1"/>
  <c r="C74" i="38"/>
  <c r="E107" i="27"/>
  <c r="G107" i="27" s="1"/>
  <c r="C225" i="38"/>
  <c r="E84" i="6"/>
  <c r="I84" i="6" s="1"/>
  <c r="C75" i="38"/>
  <c r="E108" i="27"/>
  <c r="G108" i="27" s="1"/>
  <c r="C76" i="38"/>
  <c r="E85" i="6"/>
  <c r="H85" i="6" s="1"/>
  <c r="C227" i="38"/>
  <c r="E109" i="27"/>
  <c r="D143" i="27"/>
  <c r="E86" i="6"/>
  <c r="I86" i="6" s="1"/>
  <c r="C77" i="38"/>
  <c r="C228" i="38"/>
  <c r="G109" i="27"/>
  <c r="C78" i="38"/>
  <c r="E87" i="6"/>
  <c r="H87" i="6" s="1"/>
  <c r="E88" i="6"/>
  <c r="I88" i="6" s="1"/>
  <c r="C79" i="38"/>
  <c r="J88" i="6"/>
  <c r="E89" i="6"/>
  <c r="H89" i="6" s="1"/>
  <c r="C80" i="38"/>
  <c r="C81" i="38"/>
  <c r="E90" i="6"/>
  <c r="E91" i="6"/>
  <c r="C82" i="38"/>
  <c r="A56" i="6"/>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J96" i="6"/>
  <c r="J132" i="6" s="1"/>
  <c r="C112" i="38" l="1"/>
  <c r="C145" i="6"/>
  <c r="G143" i="6" s="1"/>
  <c r="G144" i="6"/>
  <c r="H142" i="6"/>
  <c r="I119" i="6"/>
  <c r="I153" i="6"/>
  <c r="I150" i="6"/>
  <c r="H67" i="6"/>
  <c r="H63" i="6"/>
  <c r="I72" i="6"/>
  <c r="H78" i="6"/>
  <c r="I71" i="6"/>
  <c r="H69" i="6"/>
  <c r="H122" i="6"/>
  <c r="I76" i="6"/>
  <c r="I65" i="6"/>
  <c r="G91" i="6"/>
  <c r="G155" i="6"/>
  <c r="F155" i="6"/>
  <c r="J155" i="6" s="1"/>
  <c r="F91" i="6"/>
  <c r="I90" i="6"/>
  <c r="H83" i="6"/>
  <c r="H82" i="6"/>
  <c r="I129" i="6"/>
  <c r="J82" i="6"/>
  <c r="I81" i="6"/>
  <c r="I126" i="6"/>
  <c r="J78" i="6"/>
  <c r="J77" i="6"/>
  <c r="H45" i="6"/>
  <c r="J123" i="6"/>
  <c r="I43" i="6"/>
  <c r="J74" i="6"/>
  <c r="J121" i="6"/>
  <c r="I42" i="6"/>
  <c r="J119" i="6"/>
  <c r="I117" i="6"/>
  <c r="H38" i="6"/>
  <c r="J117" i="6"/>
  <c r="H68" i="6"/>
  <c r="I36" i="6"/>
  <c r="I67" i="6"/>
  <c r="I114" i="6"/>
  <c r="J36" i="6"/>
  <c r="H114" i="6"/>
  <c r="I157" i="6"/>
  <c r="J63" i="6"/>
  <c r="J154" i="6"/>
  <c r="J109" i="6"/>
  <c r="J107" i="6"/>
  <c r="I103" i="6"/>
  <c r="J105" i="6"/>
  <c r="J58" i="6"/>
  <c r="I58" i="6"/>
  <c r="J18" i="6"/>
  <c r="H25" i="6"/>
  <c r="I105" i="6"/>
  <c r="I104" i="6"/>
  <c r="J26" i="6"/>
  <c r="I91" i="6"/>
  <c r="H84" i="6"/>
  <c r="H88" i="6"/>
  <c r="J86" i="6"/>
  <c r="J90" i="6"/>
  <c r="J89" i="6"/>
  <c r="I87" i="6"/>
  <c r="H81" i="6"/>
  <c r="J129" i="6"/>
  <c r="J127" i="6"/>
  <c r="I46" i="6"/>
  <c r="I77" i="6"/>
  <c r="I44" i="6"/>
  <c r="I123" i="6"/>
  <c r="H43" i="6"/>
  <c r="I121" i="6"/>
  <c r="H40" i="6"/>
  <c r="J38" i="6"/>
  <c r="J69" i="6"/>
  <c r="J67" i="6"/>
  <c r="H113" i="6"/>
  <c r="I66" i="6"/>
  <c r="H112" i="6"/>
  <c r="I33" i="6"/>
  <c r="J65" i="6"/>
  <c r="I32" i="6"/>
  <c r="J111" i="6"/>
  <c r="I155" i="6"/>
  <c r="J32" i="6"/>
  <c r="I63" i="6"/>
  <c r="I109" i="6"/>
  <c r="J61" i="6"/>
  <c r="I108" i="6"/>
  <c r="I151" i="6"/>
  <c r="H27" i="6"/>
  <c r="J142" i="6"/>
  <c r="J59" i="6"/>
  <c r="I18" i="6"/>
  <c r="I20" i="6"/>
  <c r="D54" i="6"/>
  <c r="H21" i="6"/>
  <c r="H19" i="6"/>
  <c r="F143" i="6"/>
  <c r="H143" i="6" s="1"/>
  <c r="J17" i="6"/>
  <c r="H90" i="6"/>
  <c r="I89" i="6"/>
  <c r="J85" i="6"/>
  <c r="C17" i="38"/>
  <c r="J81" i="6"/>
  <c r="J125" i="6"/>
  <c r="J46" i="6"/>
  <c r="H75" i="6"/>
  <c r="I73" i="6"/>
  <c r="J73" i="6"/>
  <c r="I41" i="6"/>
  <c r="I118" i="6"/>
  <c r="I39" i="6"/>
  <c r="J40" i="6"/>
  <c r="I70" i="6"/>
  <c r="H118" i="6"/>
  <c r="J70" i="6"/>
  <c r="I37" i="6"/>
  <c r="I115" i="6"/>
  <c r="J113" i="6"/>
  <c r="J34" i="6"/>
  <c r="H111" i="6"/>
  <c r="I154" i="6"/>
  <c r="H153" i="6"/>
  <c r="I152" i="6"/>
  <c r="I29" i="6"/>
  <c r="I21" i="6"/>
  <c r="I142" i="6"/>
  <c r="J103" i="6"/>
  <c r="J22" i="6"/>
  <c r="I25" i="6"/>
  <c r="I57" i="6"/>
  <c r="C114" i="38"/>
  <c r="H59" i="6"/>
  <c r="I28" i="6"/>
  <c r="H24" i="6"/>
  <c r="H22" i="6"/>
  <c r="H42" i="6"/>
  <c r="H41" i="6"/>
  <c r="I31" i="6"/>
  <c r="I47" i="6"/>
  <c r="H34" i="6"/>
  <c r="I30" i="6"/>
  <c r="I26" i="6"/>
  <c r="H23" i="6"/>
  <c r="H46" i="6"/>
  <c r="H91" i="6"/>
  <c r="J15" i="6"/>
  <c r="H14" i="6"/>
  <c r="E16" i="12"/>
  <c r="C355" i="38" s="1"/>
  <c r="F33" i="39"/>
  <c r="D33" i="39"/>
  <c r="C11" i="17" s="1"/>
  <c r="E11" i="17" s="1"/>
  <c r="E32" i="17"/>
  <c r="E31" i="17"/>
  <c r="C394" i="38"/>
  <c r="C354" i="38"/>
  <c r="I33" i="34"/>
  <c r="C128" i="38"/>
  <c r="J16" i="13"/>
  <c r="D24" i="31" s="1"/>
  <c r="D26" i="31" s="1"/>
  <c r="K30" i="13"/>
  <c r="J16" i="6"/>
  <c r="E16" i="6"/>
  <c r="C16" i="38"/>
  <c r="Q85" i="32"/>
  <c r="T10" i="32"/>
  <c r="S10" i="32"/>
  <c r="R35" i="32"/>
  <c r="R41" i="32" s="1"/>
  <c r="E21" i="30" s="1"/>
  <c r="E23" i="30" s="1"/>
  <c r="T27" i="32"/>
  <c r="S27" i="32"/>
  <c r="G2" i="39"/>
  <c r="A139" i="6"/>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E13" i="6"/>
  <c r="J13" i="6"/>
  <c r="S32" i="32"/>
  <c r="T32" i="32"/>
  <c r="T18" i="32"/>
  <c r="T35" i="32" s="1"/>
  <c r="S18" i="32"/>
  <c r="S35" i="32" s="1"/>
  <c r="S12" i="32"/>
  <c r="T12" i="32"/>
  <c r="D10" i="4"/>
  <c r="G125" i="27"/>
  <c r="S77" i="32"/>
  <c r="S140" i="32"/>
  <c r="Q9" i="32"/>
  <c r="Q35" i="32" s="1"/>
  <c r="AB35" i="32"/>
  <c r="I35" i="32" s="1"/>
  <c r="S25" i="32"/>
  <c r="T25" i="32"/>
  <c r="T33" i="32"/>
  <c r="S33" i="32"/>
  <c r="A102" i="6"/>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H86" i="6"/>
  <c r="I85" i="6"/>
  <c r="C226" i="38"/>
  <c r="H17" i="6"/>
  <c r="C224" i="38"/>
  <c r="I128" i="6"/>
  <c r="I45" i="6"/>
  <c r="C210" i="38"/>
  <c r="I35" i="6"/>
  <c r="H110" i="6"/>
  <c r="E125" i="27"/>
  <c r="I62" i="6"/>
  <c r="C235" i="38"/>
  <c r="C15" i="38"/>
  <c r="S26" i="32"/>
  <c r="S23" i="32"/>
  <c r="T94" i="32"/>
  <c r="T140" i="32" s="1"/>
  <c r="R140" i="32"/>
  <c r="R38" i="32" s="1"/>
  <c r="E15" i="6"/>
  <c r="T22" i="32"/>
  <c r="S63" i="32"/>
  <c r="B17" i="30"/>
  <c r="A17" i="30"/>
  <c r="H2" i="34"/>
  <c r="A9" i="31"/>
  <c r="G48" i="31"/>
  <c r="D81" i="31"/>
  <c r="B82" i="31"/>
  <c r="AA113" i="32"/>
  <c r="AB113" i="32" s="1"/>
  <c r="Q114" i="32" s="1"/>
  <c r="AA112" i="32"/>
  <c r="AB112" i="32" s="1"/>
  <c r="Q113" i="32" s="1"/>
  <c r="I106" i="6"/>
  <c r="J147" i="6"/>
  <c r="D30" i="2"/>
  <c r="A1" i="38" s="1"/>
  <c r="G47" i="27"/>
  <c r="G62" i="27" s="1"/>
  <c r="C400" i="38"/>
  <c r="H36" i="34"/>
  <c r="H40" i="34" s="1"/>
  <c r="E12" i="17" s="1"/>
  <c r="I143" i="6" l="1"/>
  <c r="E20" i="12"/>
  <c r="C357" i="38" s="1"/>
  <c r="H155" i="6"/>
  <c r="J91" i="6"/>
  <c r="J143" i="6"/>
  <c r="J48" i="6"/>
  <c r="J56" i="6" s="1"/>
  <c r="J92" i="6" s="1"/>
  <c r="J102" i="6" s="1"/>
  <c r="J130" i="6" s="1"/>
  <c r="J139" i="6" s="1"/>
  <c r="B1" i="22"/>
  <c r="J18" i="13"/>
  <c r="C13" i="17"/>
  <c r="C133" i="38" s="1"/>
  <c r="E25" i="33"/>
  <c r="E28" i="33" s="1"/>
  <c r="E27" i="30" s="1"/>
  <c r="B83" i="31"/>
  <c r="D82" i="31"/>
  <c r="D15" i="4"/>
  <c r="P2" i="13"/>
  <c r="A7" i="34"/>
  <c r="A8" i="34" s="1"/>
  <c r="A9" i="34" s="1"/>
  <c r="A10" i="34" s="1"/>
  <c r="A11" i="34" s="1"/>
  <c r="A12" i="34" s="1"/>
  <c r="A13" i="34" s="1"/>
  <c r="A14" i="34" s="1"/>
  <c r="A15" i="34" s="1"/>
  <c r="A16" i="34" s="1"/>
  <c r="A17" i="34" s="1"/>
  <c r="A18" i="34" s="1"/>
  <c r="A19" i="34" s="1"/>
  <c r="A20" i="34" s="1"/>
  <c r="A21" i="34" s="1"/>
  <c r="A22" i="34" s="1"/>
  <c r="A23" i="34" s="1"/>
  <c r="A24" i="34" s="1"/>
  <c r="A25" i="34" s="1"/>
  <c r="A26" i="34" s="1"/>
  <c r="A27" i="34" s="1"/>
  <c r="A28" i="34" s="1"/>
  <c r="A29" i="34" s="1"/>
  <c r="A30" i="34" s="1"/>
  <c r="A31" i="34" s="1"/>
  <c r="A32" i="34" s="1"/>
  <c r="A33" i="34" s="1"/>
  <c r="A34" i="34" s="1"/>
  <c r="A35" i="34" s="1"/>
  <c r="A36" i="34" s="1"/>
  <c r="A38" i="34" s="1"/>
  <c r="A39" i="34" s="1"/>
  <c r="A40" i="34" s="1"/>
  <c r="A18" i="30"/>
  <c r="A21" i="30" s="1"/>
  <c r="Q140" i="32"/>
  <c r="G91" i="31"/>
  <c r="A53" i="31"/>
  <c r="A54" i="31" s="1"/>
  <c r="A55" i="31" s="1"/>
  <c r="A56" i="31" s="1"/>
  <c r="A57" i="31" s="1"/>
  <c r="A58" i="31" s="1"/>
  <c r="A59" i="31" s="1"/>
  <c r="A60" i="31" s="1"/>
  <c r="A61" i="31" s="1"/>
  <c r="A62" i="31" s="1"/>
  <c r="A63" i="31" s="1"/>
  <c r="A64" i="31" s="1"/>
  <c r="A65" i="31" s="1"/>
  <c r="A66" i="31" s="1"/>
  <c r="A67" i="31" s="1"/>
  <c r="A68" i="31" s="1"/>
  <c r="A69" i="31" s="1"/>
  <c r="A70" i="31" s="1"/>
  <c r="H15" i="6"/>
  <c r="I15" i="6"/>
  <c r="AB139" i="32"/>
  <c r="I140" i="32" s="1"/>
  <c r="I16" i="6"/>
  <c r="H16" i="6"/>
  <c r="G143" i="27"/>
  <c r="D1" i="40"/>
  <c r="B25" i="31"/>
  <c r="A10" i="31"/>
  <c r="A11" i="31" s="1"/>
  <c r="A12" i="31" s="1"/>
  <c r="A13" i="31" s="1"/>
  <c r="A14" i="31" s="1"/>
  <c r="A15" i="31" s="1"/>
  <c r="A16" i="31" s="1"/>
  <c r="A17" i="31" s="1"/>
  <c r="A18" i="31" s="1"/>
  <c r="A19" i="31" s="1"/>
  <c r="A20" i="31" s="1"/>
  <c r="A21" i="31" s="1"/>
  <c r="A22" i="31" s="1"/>
  <c r="A23" i="31" s="1"/>
  <c r="E143" i="27"/>
  <c r="C10" i="17" s="1"/>
  <c r="E10" i="17" s="1"/>
  <c r="I13" i="6"/>
  <c r="H13" i="6"/>
  <c r="A8" i="39"/>
  <c r="D11" i="4"/>
  <c r="G2" i="27"/>
  <c r="J37" i="12" l="1"/>
  <c r="E30" i="17" s="1"/>
  <c r="E33" i="17" s="1"/>
  <c r="L44" i="2" s="1"/>
  <c r="J158" i="6"/>
  <c r="C29" i="39" s="1"/>
  <c r="H48" i="6"/>
  <c r="H56" i="6" s="1"/>
  <c r="H92" i="6" s="1"/>
  <c r="H102" i="6" s="1"/>
  <c r="H130" i="6" s="1"/>
  <c r="H139" i="6" s="1"/>
  <c r="H158" i="6" s="1"/>
  <c r="C401" i="38"/>
  <c r="E13" i="17"/>
  <c r="E20" i="17" s="1"/>
  <c r="E22" i="17" s="1"/>
  <c r="G112" i="31" s="1"/>
  <c r="B84" i="31"/>
  <c r="D83" i="31"/>
  <c r="D12" i="4"/>
  <c r="A12" i="27"/>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I48" i="6"/>
  <c r="I56" i="6" s="1"/>
  <c r="I92" i="6" s="1"/>
  <c r="I102" i="6" s="1"/>
  <c r="I130" i="6" s="1"/>
  <c r="I139" i="6" s="1"/>
  <c r="I158" i="6" s="1"/>
  <c r="A14" i="5"/>
  <c r="D20" i="4"/>
  <c r="D21" i="4" s="1"/>
  <c r="A9" i="13"/>
  <c r="A10" i="13" s="1"/>
  <c r="A11" i="13" s="1"/>
  <c r="A12" i="13" s="1"/>
  <c r="A13" i="13" s="1"/>
  <c r="A14" i="13" s="1"/>
  <c r="A15" i="13" s="1"/>
  <c r="A16" i="13" s="1"/>
  <c r="G2" i="16"/>
  <c r="A17" i="5"/>
  <c r="A77" i="31"/>
  <c r="B13" i="30"/>
  <c r="B23" i="30"/>
  <c r="A22" i="30"/>
  <c r="A23" i="30" s="1"/>
  <c r="A9" i="39"/>
  <c r="A10" i="39" s="1"/>
  <c r="A13" i="39" s="1"/>
  <c r="A14" i="39" s="1"/>
  <c r="A21" i="39" s="1"/>
  <c r="A29" i="39" s="1"/>
  <c r="A33" i="39" s="1"/>
  <c r="B10" i="39"/>
  <c r="B11" i="30"/>
  <c r="A24" i="31"/>
  <c r="A25" i="31" s="1"/>
  <c r="A26" i="31" s="1"/>
  <c r="A32" i="31" s="1"/>
  <c r="A33" i="31" s="1"/>
  <c r="A34" i="31" s="1"/>
  <c r="A35" i="31" s="1"/>
  <c r="A36" i="31" s="1"/>
  <c r="A37" i="31" s="1"/>
  <c r="A38" i="31" s="1"/>
  <c r="A39" i="31" s="1"/>
  <c r="A40" i="31" s="1"/>
  <c r="A41" i="31" s="1"/>
  <c r="A42" i="31" s="1"/>
  <c r="A43" i="31" s="1"/>
  <c r="A44" i="31" s="1"/>
  <c r="A45" i="31" s="1"/>
  <c r="G120" i="31"/>
  <c r="A98" i="31"/>
  <c r="J159" i="6" l="1"/>
  <c r="C126" i="38" s="1"/>
  <c r="E38" i="17"/>
  <c r="C136" i="31"/>
  <c r="E136" i="31" s="1"/>
  <c r="G136" i="31" s="1"/>
  <c r="C140" i="31"/>
  <c r="E140" i="31" s="1"/>
  <c r="G140" i="31" s="1"/>
  <c r="C142" i="31"/>
  <c r="E142" i="31" s="1"/>
  <c r="G142" i="31" s="1"/>
  <c r="C139" i="31"/>
  <c r="E139" i="31" s="1"/>
  <c r="G139" i="31" s="1"/>
  <c r="C135" i="31"/>
  <c r="E135" i="31" s="1"/>
  <c r="G135" i="31" s="1"/>
  <c r="C137" i="31"/>
  <c r="E137" i="31" s="1"/>
  <c r="G137" i="31" s="1"/>
  <c r="C144" i="31"/>
  <c r="E144" i="31" s="1"/>
  <c r="G144" i="31" s="1"/>
  <c r="C138" i="31"/>
  <c r="E138" i="31" s="1"/>
  <c r="G138" i="31" s="1"/>
  <c r="C141" i="31"/>
  <c r="E141" i="31" s="1"/>
  <c r="G141" i="31" s="1"/>
  <c r="C134" i="31"/>
  <c r="G116" i="31"/>
  <c r="E16" i="30" s="1"/>
  <c r="E17" i="30" s="1"/>
  <c r="E24" i="30" s="1"/>
  <c r="E28" i="30" s="1"/>
  <c r="C145" i="31"/>
  <c r="E145" i="31" s="1"/>
  <c r="G145" i="31" s="1"/>
  <c r="C143" i="31"/>
  <c r="E143" i="31" s="1"/>
  <c r="G143" i="31" s="1"/>
  <c r="A46" i="31"/>
  <c r="B12" i="30"/>
  <c r="A24" i="30"/>
  <c r="B24" i="30"/>
  <c r="A20" i="5"/>
  <c r="J2" i="12"/>
  <c r="A27" i="16"/>
  <c r="A7" i="16"/>
  <c r="A8" i="16" s="1"/>
  <c r="A9" i="16" s="1"/>
  <c r="A10" i="16" s="1"/>
  <c r="A11" i="16" s="1"/>
  <c r="A12" i="16" s="1"/>
  <c r="A16" i="16" s="1"/>
  <c r="A17" i="16" s="1"/>
  <c r="A18" i="16" s="1"/>
  <c r="A19" i="16" s="1"/>
  <c r="A20" i="16" s="1"/>
  <c r="A21" i="16" s="1"/>
  <c r="A22" i="16" s="1"/>
  <c r="A25" i="16" s="1"/>
  <c r="A26" i="16" s="1"/>
  <c r="D22" i="4"/>
  <c r="A17" i="13"/>
  <c r="A18" i="13" s="1"/>
  <c r="A29" i="13" s="1"/>
  <c r="A30" i="13" s="1"/>
  <c r="B24" i="31"/>
  <c r="B85" i="31"/>
  <c r="D84" i="31"/>
  <c r="A99" i="31"/>
  <c r="A100" i="31" s="1"/>
  <c r="A101" i="31" s="1"/>
  <c r="A102" i="31" s="1"/>
  <c r="A103" i="31" s="1"/>
  <c r="A104" i="31" s="1"/>
  <c r="A105" i="31" s="1"/>
  <c r="A106" i="31" s="1"/>
  <c r="A107" i="31" s="1"/>
  <c r="A108" i="31" s="1"/>
  <c r="B108" i="31"/>
  <c r="A124" i="31"/>
  <c r="A125" i="31" s="1"/>
  <c r="A126" i="31" s="1"/>
  <c r="A127" i="31" s="1"/>
  <c r="A131" i="31" s="1"/>
  <c r="T2" i="32"/>
  <c r="B87" i="31"/>
  <c r="A78" i="31"/>
  <c r="A79" i="31" s="1"/>
  <c r="A80" i="31" s="1"/>
  <c r="A81" i="31" s="1"/>
  <c r="A82" i="31" s="1"/>
  <c r="A83" i="31" s="1"/>
  <c r="A84" i="31" s="1"/>
  <c r="A85" i="31" s="1"/>
  <c r="A86" i="31" s="1"/>
  <c r="A87" i="31" s="1"/>
  <c r="A88" i="31" s="1"/>
  <c r="B14" i="30" s="1"/>
  <c r="E134" i="31" l="1"/>
  <c r="G134" i="31" s="1"/>
  <c r="D146" i="31"/>
  <c r="D147" i="31" s="1"/>
  <c r="C147" i="31"/>
  <c r="A132" i="31"/>
  <c r="A133" i="31" s="1"/>
  <c r="A134" i="31" s="1"/>
  <c r="A135" i="31" s="1"/>
  <c r="A136" i="31" s="1"/>
  <c r="A137" i="31" s="1"/>
  <c r="A138" i="31" s="1"/>
  <c r="A139" i="31" s="1"/>
  <c r="A140" i="31" s="1"/>
  <c r="A141" i="31" s="1"/>
  <c r="A142" i="31" s="1"/>
  <c r="A143" i="31" s="1"/>
  <c r="A144" i="31" s="1"/>
  <c r="A145" i="31" s="1"/>
  <c r="A146" i="31" s="1"/>
  <c r="B147" i="31"/>
  <c r="B86" i="31"/>
  <c r="D86" i="31" s="1"/>
  <c r="D107" i="31" s="1"/>
  <c r="D106" i="31" s="1"/>
  <c r="D105" i="31" s="1"/>
  <c r="D104" i="31" s="1"/>
  <c r="D103" i="31" s="1"/>
  <c r="D102" i="31" s="1"/>
  <c r="D101" i="31" s="1"/>
  <c r="D100" i="31" s="1"/>
  <c r="D99" i="31" s="1"/>
  <c r="D98" i="31" s="1"/>
  <c r="D85" i="31"/>
  <c r="B28" i="30"/>
  <c r="A27" i="30"/>
  <c r="B88" i="31"/>
  <c r="B15" i="30"/>
  <c r="A112" i="31"/>
  <c r="A113" i="31" s="1"/>
  <c r="A114" i="31" s="1"/>
  <c r="A115" i="31" s="1"/>
  <c r="A9" i="12"/>
  <c r="A10" i="12" s="1"/>
  <c r="A11" i="12" s="1"/>
  <c r="A12" i="12" s="1"/>
  <c r="A13" i="12" s="1"/>
  <c r="A15" i="12" s="1"/>
  <c r="A16" i="12" s="1"/>
  <c r="A19" i="12" s="1"/>
  <c r="A20" i="12" s="1"/>
  <c r="A25" i="5"/>
  <c r="A46" i="5"/>
  <c r="D26" i="4"/>
  <c r="D27" i="4" s="1"/>
  <c r="D28" i="4" s="1"/>
  <c r="D29" i="4" s="1"/>
  <c r="D30" i="4" s="1"/>
  <c r="D31" i="4" s="1"/>
  <c r="D32" i="4" s="1"/>
  <c r="D33" i="4" s="1"/>
  <c r="T45" i="32"/>
  <c r="A8" i="32"/>
  <c r="E146" i="31" l="1"/>
  <c r="G146" i="31" s="1"/>
  <c r="G147" i="31" s="1"/>
  <c r="E18" i="30" s="1"/>
  <c r="E29" i="30" s="1"/>
  <c r="E31" i="30" s="1"/>
  <c r="C23" i="17" s="1"/>
  <c r="C134" i="38" s="1"/>
  <c r="A9" i="32"/>
  <c r="A10" i="32" s="1"/>
  <c r="A11" i="32" s="1"/>
  <c r="A12" i="32" s="1"/>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B35" i="32"/>
  <c r="A50" i="32"/>
  <c r="A51" i="32" s="1"/>
  <c r="A52" i="32" s="1"/>
  <c r="A53" i="32" s="1"/>
  <c r="A54" i="32" s="1"/>
  <c r="A55" i="32" s="1"/>
  <c r="A56" i="32" s="1"/>
  <c r="A57" i="32" s="1"/>
  <c r="A58" i="32" s="1"/>
  <c r="A59" i="32" s="1"/>
  <c r="A60" i="32" s="1"/>
  <c r="A61" i="32" s="1"/>
  <c r="A62" i="32" s="1"/>
  <c r="A63" i="32" s="1"/>
  <c r="A64" i="32" s="1"/>
  <c r="A65" i="32" s="1"/>
  <c r="A66" i="32" s="1"/>
  <c r="A67" i="32" s="1"/>
  <c r="A68" i="32" s="1"/>
  <c r="A69" i="32" s="1"/>
  <c r="A70" i="32" s="1"/>
  <c r="A71" i="32" s="1"/>
  <c r="A72" i="32" s="1"/>
  <c r="A73" i="32" s="1"/>
  <c r="A74" i="32" s="1"/>
  <c r="A75" i="32" s="1"/>
  <c r="A76" i="32" s="1"/>
  <c r="A77" i="32" s="1"/>
  <c r="T79" i="32"/>
  <c r="I8" i="4"/>
  <c r="I9" i="4" s="1"/>
  <c r="A9" i="17"/>
  <c r="A24" i="12"/>
  <c r="A25" i="12" s="1"/>
  <c r="A26" i="12" s="1"/>
  <c r="A27" i="12" s="1"/>
  <c r="A28" i="12" s="1"/>
  <c r="A30" i="12" s="1"/>
  <c r="A31" i="12" s="1"/>
  <c r="A35" i="12" s="1"/>
  <c r="A36" i="12" s="1"/>
  <c r="A37" i="12" s="1"/>
  <c r="A38" i="12" s="1"/>
  <c r="A39" i="12" s="1"/>
  <c r="A41" i="12" s="1"/>
  <c r="A42" i="12" s="1"/>
  <c r="A46" i="12" s="1"/>
  <c r="A47" i="12" s="1"/>
  <c r="A48" i="12" s="1"/>
  <c r="A49" i="12" s="1"/>
  <c r="A50" i="12" s="1"/>
  <c r="A51" i="12" s="1"/>
  <c r="G9" i="12" s="1"/>
  <c r="G10" i="12" s="1"/>
  <c r="G11" i="12" s="1"/>
  <c r="G12" i="12" s="1"/>
  <c r="G13" i="12" s="1"/>
  <c r="G14" i="12" s="1"/>
  <c r="G15" i="12" s="1"/>
  <c r="G16" i="12" s="1"/>
  <c r="G17" i="12" s="1"/>
  <c r="G20" i="12" s="1"/>
  <c r="G21" i="12" s="1"/>
  <c r="G22" i="12" s="1"/>
  <c r="G23" i="12" s="1"/>
  <c r="G24" i="12" s="1"/>
  <c r="G25" i="12" s="1"/>
  <c r="G26" i="12" s="1"/>
  <c r="G27" i="12" s="1"/>
  <c r="A28" i="30"/>
  <c r="A29" i="30" s="1"/>
  <c r="A30" i="30" s="1"/>
  <c r="A31" i="30" s="1"/>
  <c r="A35" i="30" s="1"/>
  <c r="A36" i="30" s="1"/>
  <c r="B116" i="31"/>
  <c r="A116" i="31"/>
  <c r="B16" i="30" s="1"/>
  <c r="B149" i="31"/>
  <c r="A147" i="31"/>
  <c r="B148" i="31"/>
  <c r="E147" i="31" l="1"/>
  <c r="E23" i="17"/>
  <c r="E24" i="17" s="1"/>
  <c r="E37" i="17" s="1"/>
  <c r="E39" i="17" s="1"/>
  <c r="G30" i="12"/>
  <c r="G31" i="12" s="1"/>
  <c r="G32" i="12" s="1"/>
  <c r="G33" i="12" s="1"/>
  <c r="G34" i="12" s="1"/>
  <c r="G35" i="12" s="1"/>
  <c r="B31" i="17"/>
  <c r="T144" i="32"/>
  <c r="A36" i="32" s="1"/>
  <c r="A85" i="32"/>
  <c r="A10" i="17"/>
  <c r="A11" i="17" s="1"/>
  <c r="A12" i="17" s="1"/>
  <c r="A13" i="17" s="1"/>
  <c r="A14" i="17" s="1"/>
  <c r="A15" i="17" s="1"/>
  <c r="A16" i="17" s="1"/>
  <c r="A17" i="17" s="1"/>
  <c r="A18" i="17" s="1"/>
  <c r="A19" i="17" s="1"/>
  <c r="B20" i="17" s="1"/>
  <c r="B18" i="30"/>
  <c r="A148" i="31"/>
  <c r="A149" i="31" s="1"/>
  <c r="B31" i="30"/>
  <c r="A8" i="40"/>
  <c r="A39" i="32"/>
  <c r="A40" i="32" s="1"/>
  <c r="A41" i="32" s="1"/>
  <c r="B21" i="30" s="1"/>
  <c r="A38" i="32"/>
  <c r="L43" i="2" l="1"/>
  <c r="A8" i="37"/>
  <c r="A9" i="37" s="1"/>
  <c r="A10" i="37" s="1"/>
  <c r="A11" i="37" s="1"/>
  <c r="A12" i="37" s="1"/>
  <c r="A13" i="37" s="1"/>
  <c r="A14" i="37" s="1"/>
  <c r="A15" i="37" s="1"/>
  <c r="A16" i="37" s="1"/>
  <c r="A17" i="37" s="1"/>
  <c r="A18" i="37" s="1"/>
  <c r="A19" i="37" s="1"/>
  <c r="A20" i="37" s="1"/>
  <c r="A21" i="37" s="1"/>
  <c r="A22" i="37" s="1"/>
  <c r="A23" i="37" s="1"/>
  <c r="A24" i="37" s="1"/>
  <c r="A25" i="37" s="1"/>
  <c r="A26" i="37" s="1"/>
  <c r="A27" i="37" s="1"/>
  <c r="A28" i="37" s="1"/>
  <c r="A29" i="37" s="1"/>
  <c r="A30" i="37" s="1"/>
  <c r="I20" i="4"/>
  <c r="A20" i="17"/>
  <c r="B91" i="22"/>
  <c r="E2" i="33"/>
  <c r="A7" i="33" s="1"/>
  <c r="A149" i="32"/>
  <c r="A150" i="32" s="1"/>
  <c r="A151" i="32" s="1"/>
  <c r="A152" i="32" s="1"/>
  <c r="A153" i="32" s="1"/>
  <c r="A154" i="32" s="1"/>
  <c r="A155" i="32" s="1"/>
  <c r="A156" i="32" s="1"/>
  <c r="A157" i="32" s="1"/>
  <c r="A158" i="32" s="1"/>
  <c r="A159" i="32" s="1"/>
  <c r="A160" i="32" s="1"/>
  <c r="A161" i="32" s="1"/>
  <c r="A162" i="32" s="1"/>
  <c r="A163" i="32" s="1"/>
  <c r="A164" i="32" s="1"/>
  <c r="A165" i="32" s="1"/>
  <c r="A166" i="32" s="1"/>
  <c r="A167" i="32" s="1"/>
  <c r="A168" i="32" s="1"/>
  <c r="A169" i="32" s="1"/>
  <c r="A170" i="32" s="1"/>
  <c r="A171" i="32" s="1"/>
  <c r="A172" i="32" s="1"/>
  <c r="A173" i="32" s="1"/>
  <c r="A174" i="32" s="1"/>
  <c r="A175" i="32" s="1"/>
  <c r="A176" i="32" s="1"/>
  <c r="A177" i="32" s="1"/>
  <c r="A178" i="32" s="1"/>
  <c r="A179" i="32" s="1"/>
  <c r="A180" i="32" s="1"/>
  <c r="A181" i="32" s="1"/>
  <c r="A182" i="32" s="1"/>
  <c r="A183" i="32" s="1"/>
  <c r="A184" i="32" s="1"/>
  <c r="A185" i="32" s="1"/>
  <c r="A186" i="32" s="1"/>
  <c r="A187" i="32" s="1"/>
  <c r="A188" i="32" s="1"/>
  <c r="A189" i="32" s="1"/>
  <c r="A190" i="32" s="1"/>
  <c r="A191" i="32" s="1"/>
  <c r="A192" i="32" s="1"/>
  <c r="A193" i="32" s="1"/>
  <c r="A194" i="32" s="1"/>
  <c r="A195" i="32" s="1"/>
  <c r="A196" i="32" s="1"/>
  <c r="A197" i="32" s="1"/>
  <c r="A198" i="32" s="1"/>
  <c r="A199" i="32" s="1"/>
  <c r="A200" i="32" s="1"/>
  <c r="A201" i="32" s="1"/>
  <c r="A202" i="32" s="1"/>
  <c r="A203" i="32" s="1"/>
  <c r="A204" i="32" s="1"/>
  <c r="B41" i="32"/>
  <c r="A86" i="32"/>
  <c r="A87" i="32" s="1"/>
  <c r="A88" i="32" s="1"/>
  <c r="A89" i="32" s="1"/>
  <c r="A90" i="32" s="1"/>
  <c r="A91" i="32" s="1"/>
  <c r="A92" i="32" s="1"/>
  <c r="A93" i="32" s="1"/>
  <c r="A94" i="32" s="1"/>
  <c r="A95" i="32" s="1"/>
  <c r="A96" i="32" s="1"/>
  <c r="A97" i="32" s="1"/>
  <c r="A98" i="32" s="1"/>
  <c r="A99" i="32" s="1"/>
  <c r="A100" i="32" s="1"/>
  <c r="A101" i="32" s="1"/>
  <c r="A102" i="32" s="1"/>
  <c r="A103" i="32" s="1"/>
  <c r="A104" i="32" s="1"/>
  <c r="A105" i="32" s="1"/>
  <c r="A106" i="32" s="1"/>
  <c r="A107" i="32" s="1"/>
  <c r="A108" i="32" s="1"/>
  <c r="A109" i="32" s="1"/>
  <c r="A110" i="32" s="1"/>
  <c r="A111" i="32" s="1"/>
  <c r="A112" i="32" s="1"/>
  <c r="A113" i="32" s="1"/>
  <c r="A114" i="32" s="1"/>
  <c r="A115" i="32" s="1"/>
  <c r="A116" i="32" s="1"/>
  <c r="A117" i="32" s="1"/>
  <c r="A118" i="32" s="1"/>
  <c r="A119" i="32" s="1"/>
  <c r="A120" i="32" s="1"/>
  <c r="A121" i="32" s="1"/>
  <c r="A122" i="32" s="1"/>
  <c r="A123" i="32" s="1"/>
  <c r="A124" i="32" s="1"/>
  <c r="A125" i="32" s="1"/>
  <c r="A126" i="32" s="1"/>
  <c r="A127" i="32" s="1"/>
  <c r="A128" i="32" s="1"/>
  <c r="A129" i="32" s="1"/>
  <c r="A130" i="32" s="1"/>
  <c r="A131" i="32" s="1"/>
  <c r="A132" i="32" s="1"/>
  <c r="A133" i="32" s="1"/>
  <c r="A134" i="32" s="1"/>
  <c r="A135" i="32" s="1"/>
  <c r="A136" i="32" s="1"/>
  <c r="A137" i="32" s="1"/>
  <c r="A138" i="32" s="1"/>
  <c r="A139" i="32" s="1"/>
  <c r="A140" i="32" s="1"/>
  <c r="B38" i="32" s="1"/>
  <c r="A9" i="40"/>
  <c r="A10" i="40" s="1"/>
  <c r="A11" i="40" s="1"/>
  <c r="A12" i="40" s="1"/>
  <c r="A13" i="40" s="1"/>
  <c r="A14" i="40" s="1"/>
  <c r="A15" i="40" s="1"/>
  <c r="A16" i="40" s="1"/>
  <c r="A17" i="40" s="1"/>
  <c r="A18" i="40" s="1"/>
  <c r="A19" i="40" s="1"/>
  <c r="A20" i="40" s="1"/>
  <c r="A22" i="40" s="1"/>
  <c r="A23" i="40" s="1"/>
  <c r="A24" i="40" s="1"/>
  <c r="A25" i="40" s="1"/>
  <c r="A29" i="40" s="1"/>
  <c r="A30" i="40" s="1"/>
  <c r="A33" i="40" s="1"/>
  <c r="A34" i="40" s="1"/>
  <c r="A35" i="40" s="1"/>
  <c r="A36" i="40" s="1"/>
  <c r="A40" i="40" s="1"/>
  <c r="A41" i="40" s="1"/>
  <c r="A42" i="40" s="1"/>
  <c r="A43" i="40" s="1"/>
  <c r="A44" i="40" s="1"/>
  <c r="A45" i="40" s="1"/>
  <c r="A48" i="40" s="1"/>
  <c r="A49" i="40" s="1"/>
  <c r="A50" i="40" s="1"/>
  <c r="G37" i="12"/>
  <c r="B30" i="17" s="1"/>
  <c r="B32" i="17"/>
  <c r="H22" i="40"/>
  <c r="E40" i="17"/>
  <c r="B20" i="40" l="1"/>
  <c r="A21" i="17"/>
  <c r="A22" i="17" s="1"/>
  <c r="B140" i="32"/>
  <c r="A8" i="33"/>
  <c r="A9" i="33" s="1"/>
  <c r="A10" i="33" s="1"/>
  <c r="A11" i="33" s="1"/>
  <c r="A12" i="33" s="1"/>
  <c r="A13" i="33" s="1"/>
  <c r="A14" i="33" s="1"/>
  <c r="A15" i="33" s="1"/>
  <c r="A16" i="33" s="1"/>
  <c r="A17" i="33" s="1"/>
  <c r="A18" i="33" s="1"/>
  <c r="F46" i="22"/>
  <c r="I21" i="4"/>
  <c r="L46" i="2"/>
  <c r="A44" i="17"/>
  <c r="F17" i="40"/>
  <c r="G17" i="40" s="1"/>
  <c r="F9" i="40"/>
  <c r="G9" i="40" s="1"/>
  <c r="H23" i="40"/>
  <c r="F16" i="40"/>
  <c r="G16" i="40" s="1"/>
  <c r="F15" i="40"/>
  <c r="G15" i="40" s="1"/>
  <c r="F19" i="40"/>
  <c r="G19" i="40" s="1"/>
  <c r="H49" i="40"/>
  <c r="H50" i="40" s="1"/>
  <c r="E41" i="17" s="1"/>
  <c r="L47" i="2" s="1"/>
  <c r="F10" i="40"/>
  <c r="G10" i="40" s="1"/>
  <c r="F8" i="40"/>
  <c r="F11" i="40"/>
  <c r="G11" i="40" s="1"/>
  <c r="F14" i="40"/>
  <c r="G14" i="40" s="1"/>
  <c r="F18" i="40"/>
  <c r="G18" i="40" s="1"/>
  <c r="F13" i="40"/>
  <c r="G13" i="40" s="1"/>
  <c r="F12" i="40"/>
  <c r="G12" i="40" s="1"/>
  <c r="H48" i="40"/>
  <c r="B22" i="17" l="1"/>
  <c r="B21" i="33"/>
  <c r="A19" i="33"/>
  <c r="A20" i="33" s="1"/>
  <c r="A21" i="33" s="1"/>
  <c r="B112" i="31"/>
  <c r="A23" i="17"/>
  <c r="B24" i="17" s="1"/>
  <c r="B18" i="33"/>
  <c r="F20" i="40"/>
  <c r="G8" i="40"/>
  <c r="G20" i="40" s="1"/>
  <c r="D12" i="40"/>
  <c r="D14" i="40"/>
  <c r="H34" i="40"/>
  <c r="D16" i="40"/>
  <c r="D8" i="40"/>
  <c r="D19" i="40"/>
  <c r="D9" i="40"/>
  <c r="D10" i="40"/>
  <c r="H40" i="40"/>
  <c r="D17" i="40"/>
  <c r="D13" i="40"/>
  <c r="D11" i="40"/>
  <c r="D15" i="40"/>
  <c r="H25" i="40"/>
  <c r="D18" i="40"/>
  <c r="A25" i="33" l="1"/>
  <c r="B30" i="30"/>
  <c r="B22" i="30"/>
  <c r="A24" i="17"/>
  <c r="A8" i="28"/>
  <c r="E18" i="40"/>
  <c r="J18" i="40"/>
  <c r="K18" i="40" s="1"/>
  <c r="J13" i="40"/>
  <c r="K13" i="40" s="1"/>
  <c r="E13" i="40"/>
  <c r="J9" i="40"/>
  <c r="K9" i="40" s="1"/>
  <c r="E9" i="40"/>
  <c r="J17" i="40"/>
  <c r="K17" i="40" s="1"/>
  <c r="E17" i="40"/>
  <c r="J19" i="40"/>
  <c r="K19" i="40" s="1"/>
  <c r="E19" i="40"/>
  <c r="J14" i="40"/>
  <c r="K14" i="40" s="1"/>
  <c r="E14" i="40"/>
  <c r="J15" i="40"/>
  <c r="K15" i="40" s="1"/>
  <c r="E15" i="40"/>
  <c r="J8" i="40"/>
  <c r="D20" i="40"/>
  <c r="E8" i="40"/>
  <c r="E12" i="40"/>
  <c r="J12" i="40"/>
  <c r="K12" i="40" s="1"/>
  <c r="E11" i="40"/>
  <c r="J11" i="40"/>
  <c r="K11" i="40" s="1"/>
  <c r="E10" i="40"/>
  <c r="J10" i="40"/>
  <c r="K10" i="40" s="1"/>
  <c r="E16" i="40"/>
  <c r="J16" i="40"/>
  <c r="K16" i="40" s="1"/>
  <c r="H35" i="40"/>
  <c r="H42" i="40" s="1"/>
  <c r="H44" i="40"/>
  <c r="A26" i="17" l="1"/>
  <c r="A29" i="17" s="1"/>
  <c r="A30" i="17" s="1"/>
  <c r="A31" i="17" s="1"/>
  <c r="A32" i="17" s="1"/>
  <c r="A33" i="17" s="1"/>
  <c r="B37" i="17"/>
  <c r="A26" i="33"/>
  <c r="A27" i="33" s="1"/>
  <c r="A28" i="33" s="1"/>
  <c r="B27" i="30" s="1"/>
  <c r="H36" i="40"/>
  <c r="H43" i="40" s="1"/>
  <c r="H45" i="40" s="1"/>
  <c r="E20" i="40"/>
  <c r="K8" i="40"/>
  <c r="K20" i="40" s="1"/>
  <c r="J20" i="40"/>
  <c r="B28" i="33" l="1"/>
  <c r="A37" i="17"/>
  <c r="B38" i="17"/>
  <c r="A38" i="17" l="1"/>
  <c r="A39" i="17" s="1"/>
  <c r="B39" i="17" l="1"/>
  <c r="B41" i="17"/>
  <c r="B40" i="17"/>
  <c r="A40" i="17"/>
  <c r="A41" i="17" s="1"/>
</calcChain>
</file>

<file path=xl/sharedStrings.xml><?xml version="1.0" encoding="utf-8"?>
<sst xmlns="http://schemas.openxmlformats.org/spreadsheetml/2006/main" count="1826" uniqueCount="1232">
  <si>
    <t>werkelijke opbrengsten</t>
  </si>
  <si>
    <t>Afschrijvingskosten dubieuze debiteuren</t>
  </si>
  <si>
    <t>Scholingsmiddelen</t>
  </si>
  <si>
    <t>Definitief overeen-gekomen
 bedrag</t>
  </si>
  <si>
    <t>Diverse aanvaardbare kosten</t>
  </si>
  <si>
    <t>1.3.1</t>
  </si>
  <si>
    <t>1.3.2</t>
  </si>
  <si>
    <t>1.3.3</t>
  </si>
  <si>
    <t>1.3.4</t>
  </si>
  <si>
    <t>Totaal diverse aanvaardbare kosten</t>
  </si>
  <si>
    <t>Waarvan onverzekerde illegalen als bedoeld in artikel 43.2 van de beleidsregel "Transitie …"</t>
  </si>
  <si>
    <t>U wordt verzocht een opgave te doen van het aantal leerlingen dat op 1 oktober 2011 aan uw instelling was verbonden en dat voldeed aan de gestelde eisen.  Voor een verdere toelichting mogen wij u verwijzen naar onze circulaire MR/kh/I/99/14c d.d. 23 maart 1999.</t>
  </si>
  <si>
    <t>Op regel 501 dient u de samenstelling van de boekwaarde per 31 december  2011 volgens de jaarrekening op te nemen. Deze gegevens zijn exclusief de kosten voor onderhanden projecten van normale WZV-procedures. Op regel 503 t/m 514 vermeldt u in de eerste kolom de aanschafwaarde van (des)investeringen die in 2012 in gebruik zijn genomen c.q. buiten gebruik zijn gesteld. In de tweede kolom dient u de maandelijkse nacalculeerbare afschrijvingskosten te vermelden. Bij desinvesteringen vermeldt u in deze kolom ook de bedragen die tot dan toe in totaal op deze investeringen zijn afgeschreven.</t>
  </si>
  <si>
    <t xml:space="preserve">Op regel 519 dient u in de eerste kolom de kosten voor onderhanden projecten van WZV-vergunningen per 31 december 2009 volgens de jaarrekening op te nemen. U kunt de bedragen vermelden in de maand waarin het uitgevoerde werk is gefactureerd. In de factor wordt rekening gehouden met een betalingstermijn van 1 maand. In de tweede kolom vult u de onderhanden WZV-investeringen in die in 2011 in gebruik zijn genomen. </t>
  </si>
  <si>
    <t>Zelfmeting bloedst.waarden training</t>
  </si>
  <si>
    <t>ZELBTR</t>
  </si>
  <si>
    <t>Zelfmeting bloedst.waarden begeleiding</t>
  </si>
  <si>
    <t>ZELBBE</t>
  </si>
  <si>
    <t>Poliklinische bevallingen t.b.v. huisartsen, aantallen</t>
  </si>
  <si>
    <t>PLBEV+</t>
  </si>
  <si>
    <t>Overig; afgesproken budget, LOON**</t>
  </si>
  <si>
    <t>LK1LN</t>
  </si>
  <si>
    <t>Overig; afgesproken budget, MAT.**</t>
  </si>
  <si>
    <t>MK1LN</t>
  </si>
  <si>
    <t>Voorlopig overeengekomen bedrag voor LPT</t>
  </si>
  <si>
    <t>OLPT02</t>
  </si>
  <si>
    <t xml:space="preserve">Werkelijke totale overige afschrijvingskosten* </t>
  </si>
  <si>
    <t>KOV</t>
  </si>
  <si>
    <t>Werkelijke totale rentekosten</t>
  </si>
  <si>
    <t>KRENTE</t>
  </si>
  <si>
    <t>C151</t>
  </si>
  <si>
    <t>C152</t>
  </si>
  <si>
    <t>C153</t>
  </si>
  <si>
    <t>C154</t>
  </si>
  <si>
    <t>C155</t>
  </si>
  <si>
    <t>C156</t>
  </si>
  <si>
    <t>C158</t>
  </si>
  <si>
    <t>Trastuzumab</t>
  </si>
  <si>
    <t>C159</t>
  </si>
  <si>
    <t>C160</t>
  </si>
  <si>
    <t>C161</t>
  </si>
  <si>
    <t>C162</t>
  </si>
  <si>
    <t>C157</t>
  </si>
  <si>
    <t>C163</t>
  </si>
  <si>
    <t>C164</t>
  </si>
  <si>
    <t>C165</t>
  </si>
  <si>
    <t>C168</t>
  </si>
  <si>
    <t>C169</t>
  </si>
  <si>
    <t>C172</t>
  </si>
  <si>
    <t>C175</t>
  </si>
  <si>
    <t>C176</t>
  </si>
  <si>
    <t>C177</t>
  </si>
  <si>
    <t>C178</t>
  </si>
  <si>
    <t>C179</t>
  </si>
  <si>
    <t>Methylaminolevulinaat bij de indicatie actinische keratose**</t>
  </si>
  <si>
    <t>C180</t>
  </si>
  <si>
    <t>C181</t>
  </si>
  <si>
    <t>C182</t>
  </si>
  <si>
    <t>C183</t>
  </si>
  <si>
    <t>C184</t>
  </si>
  <si>
    <t>C185</t>
  </si>
  <si>
    <t>Azacitidine (Vidaza)2</t>
  </si>
  <si>
    <t>C186</t>
  </si>
  <si>
    <t>Tocilizumab</t>
  </si>
  <si>
    <t>C187</t>
  </si>
  <si>
    <t>Liaisonpsychiaters</t>
  </si>
  <si>
    <t>Radiotherapeuten**</t>
  </si>
  <si>
    <t>Mondziekten &amp; kaakchirurgie</t>
  </si>
  <si>
    <t>Dentomax. Orthopedie</t>
  </si>
  <si>
    <t>Anesthesisten (pijnbestrijding)</t>
  </si>
  <si>
    <t>KINV</t>
  </si>
  <si>
    <t>KART18</t>
  </si>
  <si>
    <t>KDOOKA</t>
  </si>
  <si>
    <t>Doorberekende kapitaallasten</t>
  </si>
  <si>
    <t>Overeengekomen nog te verwerken nacalculatie productie</t>
  </si>
  <si>
    <t>Poliklinische bevallingen</t>
  </si>
  <si>
    <t>IJ11</t>
  </si>
  <si>
    <t>IT11</t>
  </si>
  <si>
    <t>Categorie</t>
  </si>
  <si>
    <t>nummer</t>
  </si>
  <si>
    <t>email</t>
  </si>
  <si>
    <t>verzekeraar1</t>
  </si>
  <si>
    <t>verzekeraar2</t>
  </si>
  <si>
    <t>nog aan te vullen geneesmiddel</t>
  </si>
  <si>
    <t>Met betrekking tot 2010</t>
  </si>
  <si>
    <t>Loonkosten medisch specialisten tranches 2008 en 2009 overloop correctie (2010-2011)*</t>
  </si>
  <si>
    <t>2. In de kolom 'einddatum rentevastperiode' dient de datum worden opgenomen waarop het huidige rentepercentage expireert. Als een bestaande lening in 2009 vervroegd is afgelost kunt u bij de vervangende lening in deze kolom de datum vermelden waarop de oorspronkelijke rentevastperiode zou aflopen, echter met een maximum van 5 jaar na datum afsluiten vervangende lening. Gedurende de periode dat de oude lening nog zou zijn doorgelopen heeft de instelling recht op een rentevergoeding  conform het oude rentepercentage.</t>
  </si>
  <si>
    <t>* Met bovenstaande regels ten behoeve van de eerstelijnsvoorzieningen kan in de meeste gevallen worden volstaan. In beperkte mate wordt in sommige instellingen ook nog, zonder tussenkomst van een poortspecialist, een aantal diagnostische verrichtingen door huisartsen aangevraagd die in de categorie "overige" kunnen worden opgenomen (bijv. histologische- en in-vivo onderzoek). Alle in-vitro onderzoeken zijn overgeheveld naar de laboratoriumonderzoeken. Scopieën worden geacht via de tweede lijns beleidsregels te worden bekostigd, indien voor de betreffende patiënten een polikliniekbezoek wordt geregistreerd. Indien hiervan geen sprake is kunnen deze onderzoeken bij de functieonderzoeken worden opgenomen.</t>
  </si>
  <si>
    <t>2003 (en variabel deel radiotherapie 2008)</t>
  </si>
  <si>
    <t>** uitgangspunt is dat het onderhanden werk tot 2,5 maand wordt gefinancierd door voorschotten, of op basis van de beleidsregel heffingsrente. Dit is de reden waarom bij de berekening van het saldo "nog in tarieven te verrekenen" gecorrigeerd wordt voor 2,5 maand onderhanden werk. Lokale partijen kunnen met opgave van redenen hiervan afwijken.</t>
  </si>
  <si>
    <t>* zie onderbouwing regel 40 laatste rekenstaat</t>
  </si>
  <si>
    <t>Dure geneesmiddelen</t>
  </si>
  <si>
    <t>Diverse baten en lasten:</t>
  </si>
  <si>
    <t>Overige trajecten</t>
  </si>
  <si>
    <t>Hartrevalidatie intakecontact</t>
  </si>
  <si>
    <t>Hartrevalidatie informatiemodule</t>
  </si>
  <si>
    <t>Hartrevalidatie FIT-module &lt; 10 sessies</t>
  </si>
  <si>
    <t>Hartrevalidatie FIT-module &gt; 10 sessies</t>
  </si>
  <si>
    <t>Hartrevalidatie PEP-module</t>
  </si>
  <si>
    <t>IVF</t>
  </si>
  <si>
    <t>Eerstelijnsvoorzieningen / -functies</t>
  </si>
  <si>
    <t>plaatsing eenz. thalamusstimulator bij bew.st.</t>
  </si>
  <si>
    <t>plaatsing tweez. thalamusstimulator bij bew.st.</t>
  </si>
  <si>
    <t>vervanging eenz.thalamusstimulator bij bew.st.</t>
  </si>
  <si>
    <t>code nog niet bekend</t>
  </si>
  <si>
    <t xml:space="preserve">Opname pediatrische IC </t>
  </si>
  <si>
    <t>vervanging tweez.thalamusstimulator bij bew.st.</t>
  </si>
  <si>
    <t>teletherapie eenvoudig (D611)</t>
  </si>
  <si>
    <t>teletherapie standaard (D612)</t>
  </si>
  <si>
    <t>teletherapie intensief (D613)</t>
  </si>
  <si>
    <t>teletherapie bijzonder (D614)</t>
  </si>
  <si>
    <t>brachytherapie eenvoudig (D621)</t>
  </si>
  <si>
    <t>brachytherapie standaard (D622)</t>
  </si>
  <si>
    <t>brachytherapie intensief (D623)</t>
  </si>
  <si>
    <t>brachytherapie bijzonder (D624)</t>
  </si>
  <si>
    <t>Verrekenbedrag 2012</t>
  </si>
  <si>
    <t>Verrekenbedrag 2013</t>
  </si>
  <si>
    <r>
      <t xml:space="preserve">* Opbrengstverschillen worden vanaf 1-1-2008 niet via het verrekenpercentage verrekend, maar door middel van een vast bedrag per instelling dat over verzekeraars verdeeld moet worden. Deze vaste bedragen dienen in de opbrengsten ter dekking van het budget meegenomen te worden in het jaar dat daadwerkelijk verrekening heeft plaatsgevonden </t>
    </r>
    <r>
      <rPr>
        <b/>
        <sz val="8"/>
        <rFont val="Verdana"/>
        <family val="2"/>
      </rPr>
      <t>nadat de NZa deze heeft berekend.</t>
    </r>
    <r>
      <rPr>
        <sz val="8"/>
        <rFont val="Verdana"/>
        <family val="2"/>
      </rPr>
      <t xml:space="preserve"> De bedragen die worden opgevoerd dienen de werkelijk verrekende bedragen te zijn en niet de door de NZa berekende bedragen. Daarbij gaat het hier NIET om voorschotbedragen.</t>
    </r>
  </si>
  <si>
    <t>Omzet DBC-A (overlopende DBC's geopend in 2011, ziekenhuiskosten deel)</t>
  </si>
  <si>
    <t>*** In de beleidsregel "Transitie bekostigingsstructuur medisch specialistische zorg" wordt aangegeven dat over het eigen vermogen een vergoeding wordt ingecalculeerd. Deze vergoeding is gelijk aan de prijsstijging van de materiële kosten. Ivm het ontbreken van de definitieve index is de voorlopige index 2012 opgenomen.</t>
  </si>
  <si>
    <t>brachytherapie bijzonder (D625)</t>
  </si>
  <si>
    <t>BMT autoloog AML</t>
  </si>
  <si>
    <t>BMT allogeen perifeer bloed</t>
  </si>
  <si>
    <t>BMT donor verwant</t>
  </si>
  <si>
    <t>BMT allogeen donor onverwant</t>
  </si>
  <si>
    <t>BMT allogeen nazorg</t>
  </si>
  <si>
    <t>Docetaxel</t>
  </si>
  <si>
    <t>Irinotecan</t>
  </si>
  <si>
    <t>Gemcitabine</t>
  </si>
  <si>
    <t>Oxaliplatine</t>
  </si>
  <si>
    <t>Paclitaxel</t>
  </si>
  <si>
    <t>Immunoglobuline IV</t>
  </si>
  <si>
    <t>Botulinetoxine</t>
  </si>
  <si>
    <t>Verteporfin</t>
  </si>
  <si>
    <t>Doxorubicine liposomal (Caelyx)</t>
  </si>
  <si>
    <t xml:space="preserve">Vinorelbine </t>
  </si>
  <si>
    <t>Bevacizumab</t>
  </si>
  <si>
    <t>Verrekening lumpsumbedragen</t>
  </si>
  <si>
    <t>Afschrijvingskosten inventaris artikel 2 WBMV functies</t>
  </si>
  <si>
    <t>3.5</t>
  </si>
  <si>
    <t>3.7</t>
  </si>
  <si>
    <t>Voriconazol</t>
  </si>
  <si>
    <t>De werkbladen zijn met een wachtwoord beveiligd. U kunt zelf werkbladen toevoegen. Indien u een onjuistheid ontdekt verzoeken wij u dit via e-mail aan de Nza door te geven (vragencure@nza.nl).</t>
  </si>
  <si>
    <t>Budget</t>
  </si>
  <si>
    <t>3.4</t>
  </si>
  <si>
    <t>loonkosten</t>
  </si>
  <si>
    <t>mat.kosten</t>
  </si>
  <si>
    <t>klinische adherentie</t>
  </si>
  <si>
    <t>poliklinische adherentie</t>
  </si>
  <si>
    <t>gewogen specialisten eenheden</t>
  </si>
  <si>
    <t>erkende bedden</t>
  </si>
  <si>
    <t>bed chr.beademing</t>
  </si>
  <si>
    <t>bed neurochirurgie</t>
  </si>
  <si>
    <t>post-IC high care bed</t>
  </si>
  <si>
    <t>hartoperaties</t>
  </si>
  <si>
    <t>ptca's</t>
  </si>
  <si>
    <t>stents</t>
  </si>
  <si>
    <t>catheterablatie</t>
  </si>
  <si>
    <t>implementatie kunsthart</t>
  </si>
  <si>
    <t>niertransplantaties</t>
  </si>
  <si>
    <t>jaarkaart niertransplantaties</t>
  </si>
  <si>
    <t>beademingsdagen IC</t>
  </si>
  <si>
    <t>heupen</t>
  </si>
  <si>
    <t>in vitro fertilisatie</t>
  </si>
  <si>
    <t>hiv-opname</t>
  </si>
  <si>
    <t>hiv-verpleegdag</t>
  </si>
  <si>
    <t xml:space="preserve">Alle activiteiten die in rekening worden gebracht voor gezondheidszorgprestaties dienen als opbrengsten ter dekking voor het schaduwbudget te worden verantwoord met uitzondering van de opbrengsten in het kader van onderlinge dienstverlening tussen zorginstellingen. Vanaf 1 januari 1999 is de beleidsregel "aanvullende inkomsten zorginstellingen" van kracht. Opbrengsten die vallen onder deze beleidsregel hoeven niet ter dekking van het budget te worden aangewend. Betalingen door buitenlandse patiënten of verzekeraars, betalingen door werkgevers van patiënten en de in rekening gebrachte tarieven door aan de instelling verbonden dochtermaatschappen (bedrijvenpoliklinieken, buitenpoliklinieken en -praktijken, zotels, etc.) dienen door u als opbrengst verantwoord te worden. Bij onderdeel 2.1 dient u voor de DBC-A opbrengsten de opbrengsten van de kostencomponent van de DBC's inclusief het verrekenpercentage op te geven.Tevens dient u de honorariumopbrengsten van de medisch specialisten in loondienst ter dekking van het A-segment op te geven. </t>
  </si>
  <si>
    <t>De opbrengstverrekening 2012 vindt plaats aan de hand van het nacalculatieformulier 2012. Het is van groot belang dat de totaal verantwoorde opbrengsten 2011 ter dekking van het budget (nacalculatieformulier regel 1651)  aansluiten bij de jaarrekening. Volledigheidshalve wordt hierbij opgemerkt dat op de regels inzake verrekening via vaste bedragen met betrekking tot 2005 t/m 2011 (regels 1637 t/m 1643) de werkelijk verrekende bedragen in het jaar 2012 dienen te worden verantwoord. Indien met de zorgverzekeraar(s) een ander bedrag is verrekend dan door de NZa is gecommuniceerd, dan dient dit werkelijk verrekende bedrag te worden opgenomen in het nacalculatieformulier.</t>
  </si>
  <si>
    <t xml:space="preserve">Voor de definitieve nacalculatie van de gerealiseerde productie is een overzicht in het nacalculatieformulier opgenomen. Deze is alleen van toepassing indien er mutatie tov de laatst afgegeven rekenstaat (mei) moeten worden doorgevoerd. </t>
  </si>
  <si>
    <t>Nacalculatie productie (pagina 5 t/m 13)</t>
  </si>
  <si>
    <t>Realisatie:</t>
  </si>
  <si>
    <t>Rekenstaat:</t>
  </si>
  <si>
    <t>mutatie</t>
  </si>
  <si>
    <t>Omzet DOT-A2012 (ziekenhuiskosten deel)</t>
  </si>
  <si>
    <t xml:space="preserve">Honoraria omzet med. special. hulp in loondienstDOT-A2012 </t>
  </si>
  <si>
    <t>Totale omzet DOT-A2012 opbrengst</t>
  </si>
  <si>
    <t>Omzet DOT-Bnieuw (ziekenhuiskosten deel)</t>
  </si>
  <si>
    <t>Honoraria omzet med. special. hulp in loondienst DOT-Bnieuw</t>
  </si>
  <si>
    <t>Totale omzet DOT-Bnieuw opbrengst</t>
  </si>
  <si>
    <t>hiv-polikl.bezoek</t>
  </si>
  <si>
    <t>hiv-dagverpleging</t>
  </si>
  <si>
    <t>haemodialyses (H1)</t>
  </si>
  <si>
    <t>CAPD-dgn (H2)</t>
  </si>
  <si>
    <t>haemodialyses (H4)</t>
  </si>
  <si>
    <t>CAPD-dgn (H5)</t>
  </si>
  <si>
    <t>Met betrekking tot 2007</t>
  </si>
  <si>
    <t>Niertransplantatie bij levende donoren</t>
  </si>
  <si>
    <t>(Hart)longtransplantaties</t>
  </si>
  <si>
    <t>Implementatie kunsthart</t>
  </si>
  <si>
    <t>Niertransplantaties</t>
  </si>
  <si>
    <t>Jaarkaart niertransplantaties</t>
  </si>
  <si>
    <t>Van pagina 6</t>
  </si>
  <si>
    <t>Met betrekking tot 2008</t>
  </si>
  <si>
    <t>Thuisdialyse (W7)</t>
  </si>
  <si>
    <t>Thuisdialyse (W8)</t>
  </si>
  <si>
    <t>Thuisdialyse (W9)</t>
  </si>
  <si>
    <t>Thuisdialyse (W10)</t>
  </si>
  <si>
    <t>CCPD (W11)</t>
  </si>
  <si>
    <t>CCPD (W12)</t>
  </si>
  <si>
    <t xml:space="preserve">cervix-onderzoeken </t>
  </si>
  <si>
    <t>lab.1e lijn huisbezoek</t>
  </si>
  <si>
    <t>lab.1e lijn analyses</t>
  </si>
  <si>
    <t>trombotest</t>
  </si>
  <si>
    <t>zelfmeting bloedst.waarden training</t>
  </si>
  <si>
    <t>zelfmeting bloedst.waarden begeleiding</t>
  </si>
  <si>
    <t>rontgenonderzoeken</t>
  </si>
  <si>
    <t>functieonderzoeken</t>
  </si>
  <si>
    <t>ergotherapie</t>
  </si>
  <si>
    <t>lineaire versneller</t>
  </si>
  <si>
    <t>traumacentrum</t>
  </si>
  <si>
    <t>scholingsmiddelen per leerling</t>
  </si>
  <si>
    <t>bijdrage Begeleidingscommissie Hartchirurgie</t>
  </si>
  <si>
    <t>bijdrage Landelijke Neonatologie Registratie</t>
  </si>
  <si>
    <t>Incid. instandh. (trekkingsrechten)</t>
  </si>
  <si>
    <t>Aanpassingen van de aanvaardbare kosten op grond van goedkeuringen ex WZV worden alleen verwerkt voor zover deze vergezeld gaan van de goedkeuringsbeslissing en een specificatie van de (afschrijvings)kosten.</t>
  </si>
  <si>
    <t xml:space="preserve">Opname neonatale IC </t>
  </si>
  <si>
    <t>Aantal centrale afnames (a)</t>
  </si>
  <si>
    <t>Aantal decentrale afnames (b)</t>
  </si>
  <si>
    <t>Opbrengst extramurale enkelv. ergotherapie</t>
  </si>
  <si>
    <t>Cervixcytologisch bevolkingsonderzoek, aantal</t>
  </si>
  <si>
    <t>Overig;afgesproken budget vermelden, loon*</t>
  </si>
  <si>
    <t>Overig;afgesproken budget vermelden, mat.*</t>
  </si>
  <si>
    <t>Opnamen (1.5) gewogen</t>
  </si>
  <si>
    <t>Eerste polikl.bezoeken (zie 1.5) gewogen</t>
  </si>
  <si>
    <t>Dagverpleging I: normaal (zie 1.6)</t>
  </si>
  <si>
    <t>Dagverpleging II: zwaar (zie 1.6)</t>
  </si>
  <si>
    <t>2.1</t>
  </si>
  <si>
    <t>2.2</t>
  </si>
  <si>
    <t>2.3</t>
  </si>
  <si>
    <t>DBC-A opbrengst (Overlopende DBC's geopend in 2011)</t>
  </si>
  <si>
    <t>3.6</t>
  </si>
  <si>
    <t>Omzet DBC A-segment gesloten in 2012</t>
  </si>
  <si>
    <t>Openst. DBC A-segment ult. 2011 (onderh.werk)</t>
  </si>
  <si>
    <t>Honoraria-opbrengsten voor med. special. hulp in loondienst openstaand  ult. 2011 (onderh. werk)</t>
  </si>
  <si>
    <t>Honoraria omzet med. special. hulp in loondienst DBC-A</t>
  </si>
  <si>
    <t>Omzet DBC A-segment (overlopende DBC's geopend in 2011)</t>
  </si>
  <si>
    <t>Totaal overige vergoedingen</t>
  </si>
  <si>
    <t>Verrekening lumpsum cf pag 3 meest recente rekenstaat van 2012</t>
  </si>
  <si>
    <t>Werkelijk verrekende opbrengsten via vaste bedragen in 2012*</t>
  </si>
  <si>
    <t>Totale omzet DBC-A opbrengst (1709 - 1710)</t>
  </si>
  <si>
    <r>
      <t>DOT-A</t>
    </r>
    <r>
      <rPr>
        <b/>
        <vertAlign val="subscript"/>
        <sz val="9"/>
        <rFont val="Verdana"/>
        <family val="2"/>
      </rPr>
      <t>2012</t>
    </r>
    <r>
      <rPr>
        <b/>
        <sz val="9"/>
        <rFont val="Verdana"/>
        <family val="2"/>
      </rPr>
      <t xml:space="preserve"> opbrengst</t>
    </r>
  </si>
  <si>
    <t>Omzet DOT A-segment gesloten in 2012</t>
  </si>
  <si>
    <t>Openst. DOT A-segment ult. 2012 (onderh.werk)</t>
  </si>
  <si>
    <r>
      <t>Omzet DOT-A</t>
    </r>
    <r>
      <rPr>
        <b/>
        <vertAlign val="subscript"/>
        <sz val="9"/>
        <rFont val="Verdana"/>
        <family val="2"/>
      </rPr>
      <t>2012</t>
    </r>
    <r>
      <rPr>
        <b/>
        <sz val="9"/>
        <rFont val="Verdana"/>
        <family val="2"/>
      </rPr>
      <t xml:space="preserve"> (ziekenhuiskosten deel)</t>
    </r>
  </si>
  <si>
    <t>Met betrekking tot 2011</t>
  </si>
  <si>
    <t>Honoraria-opbrengsten voor med. special. hulp in loondienst openstaand  ult. 2012 (onderh. werk)</t>
  </si>
  <si>
    <t>3.8</t>
  </si>
  <si>
    <r>
      <t>Honoraria omzet med. special. hulp in loondienstDOT-A</t>
    </r>
    <r>
      <rPr>
        <b/>
        <vertAlign val="subscript"/>
        <sz val="9"/>
        <rFont val="Verdana"/>
        <family val="2"/>
      </rPr>
      <t>2012</t>
    </r>
    <r>
      <rPr>
        <b/>
        <sz val="9"/>
        <rFont val="Verdana"/>
        <family val="2"/>
      </rPr>
      <t xml:space="preserve"> </t>
    </r>
  </si>
  <si>
    <t>Brandwondenzorg</t>
  </si>
  <si>
    <r>
      <t>Totale omzet DOT-A</t>
    </r>
    <r>
      <rPr>
        <b/>
        <vertAlign val="subscript"/>
        <sz val="9"/>
        <rFont val="Verdana"/>
        <family val="2"/>
      </rPr>
      <t>2012</t>
    </r>
    <r>
      <rPr>
        <b/>
        <sz val="9"/>
        <rFont val="Verdana"/>
        <family val="2"/>
      </rPr>
      <t xml:space="preserve"> opbrengst</t>
    </r>
  </si>
  <si>
    <t>Calamiteitenhospitaal</t>
  </si>
  <si>
    <t>Post mortem orgaanuitname bij donoren</t>
  </si>
  <si>
    <t>Spoedeisende hulp</t>
  </si>
  <si>
    <r>
      <t>DOT-B</t>
    </r>
    <r>
      <rPr>
        <b/>
        <vertAlign val="subscript"/>
        <sz val="9"/>
        <rFont val="Verdana"/>
        <family val="2"/>
      </rPr>
      <t>nieuw</t>
    </r>
    <r>
      <rPr>
        <b/>
        <sz val="9"/>
        <rFont val="Verdana"/>
        <family val="2"/>
      </rPr>
      <t xml:space="preserve"> opbrengst</t>
    </r>
  </si>
  <si>
    <t>Traumazorg</t>
  </si>
  <si>
    <t>Omzet DOT B-segment (nieuw) gesloten in 2012</t>
  </si>
  <si>
    <t>Totaal opbrengsten Beschikbaarheidsbijdragen</t>
  </si>
  <si>
    <t>Openst. DOT B-segment (nieuw) ult. 2012 (onderh.werk)</t>
  </si>
  <si>
    <r>
      <t>Omzet DOT-B</t>
    </r>
    <r>
      <rPr>
        <b/>
        <vertAlign val="subscript"/>
        <sz val="9"/>
        <rFont val="Verdana"/>
        <family val="2"/>
      </rPr>
      <t>nieuw</t>
    </r>
    <r>
      <rPr>
        <b/>
        <sz val="9"/>
        <rFont val="Verdana"/>
        <family val="2"/>
      </rPr>
      <t xml:space="preserve"> (ziekenhuiskosten deel)</t>
    </r>
  </si>
  <si>
    <r>
      <t>Honoraria omzet med. special. hulp in loondienst DOT-B</t>
    </r>
    <r>
      <rPr>
        <b/>
        <vertAlign val="subscript"/>
        <sz val="9"/>
        <rFont val="Verdana"/>
        <family val="2"/>
      </rPr>
      <t>nieuw</t>
    </r>
  </si>
  <si>
    <r>
      <t>Totale omzet DOT-B</t>
    </r>
    <r>
      <rPr>
        <b/>
        <vertAlign val="subscript"/>
        <sz val="9"/>
        <rFont val="Verdana"/>
        <family val="2"/>
      </rPr>
      <t>nieuw</t>
    </r>
    <r>
      <rPr>
        <b/>
        <sz val="9"/>
        <rFont val="Verdana"/>
        <family val="2"/>
      </rPr>
      <t xml:space="preserve"> opbrengst</t>
    </r>
  </si>
  <si>
    <t>Overige zorgproducten</t>
  </si>
  <si>
    <t>Add-ons</t>
  </si>
  <si>
    <t>Ondersteunende producten (OP's)</t>
  </si>
  <si>
    <t xml:space="preserve">** De opbrengsten dienen gelijk te zijn aan de bedragen van de definitieve beschikbaarheidsbeschikkingen (inclusief de definitieve 2012 indexen), exclusief de honoraria voor vrijgevestigd medisch specialisten behorende bij deze functies.
- Onder traumazorg worden de volgende vormen van trauma zorg verstaan: beschikbaarheid van traumazorg in instellingen voor medisch specialistische zorg (traumacentrum), het ontwikkelen van de kennisfunctie ten behoeve zorgverlening bij rampen, de coördinatie van de trauma(keten)zorg en het opleiden, trainen en oefenen ten behoeve van rampen, en de beschikbaarheid van helikoptervoorzieningen voor traumazorg en voertuigen voor de mobiele medische teams (MMT). </t>
  </si>
  <si>
    <t>Overige producten (OVP's)</t>
  </si>
  <si>
    <t>Overige verrichtingen</t>
  </si>
  <si>
    <t>Totale omzet Overige zorgproducten</t>
  </si>
  <si>
    <t>4.3</t>
  </si>
  <si>
    <t>Transitiebedrag</t>
  </si>
  <si>
    <t>Zijn de inkomsten (zoals bijvoorbeeld opbrengsten samenhangend met buitenlandse patiënten) die dienen ter dekking van het WTG/WMG-budget, die vallen onder artikel 3.2 van de beleidsregel Aanvullende inkomsten zorginstellingen? Indien geen aanvullende inkomsten, kies dan 'nvt'.</t>
  </si>
  <si>
    <t xml:space="preserve">Indien vraag 14 met nee wordt beantwoord: Is de verwachting dat de overschrijding van het vergunningsbedrag op grond van de geldende WZV regels in de eindafrekening alsnog zal worden aanvaard? Als er geen investeringen hebben plaatsgevonden, kies dan nvt.  </t>
  </si>
  <si>
    <t>Verpleegdagen (excl. verkeerde beddagen)</t>
  </si>
  <si>
    <t>Immateriële vaste activa</t>
  </si>
  <si>
    <t>Grond</t>
  </si>
  <si>
    <t>Terreinvoorzieningen</t>
  </si>
  <si>
    <t>Gebouwen</t>
  </si>
  <si>
    <t>Verbouwingen</t>
  </si>
  <si>
    <t>Installaties</t>
  </si>
  <si>
    <t>Nacalculeerbare aanvaardbare afschrijvingskosten (normale en verkorte procedures)</t>
  </si>
  <si>
    <t>Is de Regeling verslaggeving WTZi toegepast?</t>
  </si>
  <si>
    <t>Dagverpleging 1</t>
  </si>
  <si>
    <t>Dagverpleging 2</t>
  </si>
  <si>
    <t>** Bij een positieve nacalculatie kunnen partijen eventueel een lager bedrag overeenkomen. Een negatieve nacalculatie kan niet worden beperkt.</t>
  </si>
  <si>
    <t>Abatacept</t>
  </si>
  <si>
    <t>Beademingsdagen IC **</t>
  </si>
  <si>
    <t>Hiv-opnamen ***</t>
  </si>
  <si>
    <t>Hiv-verpleegdagen ***</t>
  </si>
  <si>
    <t>Verschil 
(ongewogen)</t>
  </si>
  <si>
    <t>Bijlage: Overige mutaties</t>
  </si>
  <si>
    <t>Omschrijving overige mutatie</t>
  </si>
  <si>
    <t>Hiv-1e polikliniekbezoeken ***</t>
  </si>
  <si>
    <t>Hiv-dagverplegingen ***</t>
  </si>
  <si>
    <t>*** Hoewel deze producties reeds begrepen zijn in eerder gevraagde aantallen opnamen, verpleegdagen etc., worden deze met betrekking tot "hiv" opnieuw gevraagd teneinde een separate budgettoeslag te kunnen berekenen. Voor de toeslagen krijgen al deze aantallen het gewicht 1.</t>
  </si>
  <si>
    <t xml:space="preserve">KvK nummer </t>
  </si>
  <si>
    <t>BIJLAGEN</t>
  </si>
  <si>
    <t>Toelichting/invulinstructie</t>
  </si>
  <si>
    <t>Onderhanden bouwprojecten  met WZV/WTZi vergunning (geen investeringen meldingsregeling)</t>
  </si>
  <si>
    <t>Stents</t>
  </si>
  <si>
    <t>Hoofd-halsoncologie*</t>
  </si>
  <si>
    <t>Ten behoeve van de berekening van het transitiebedrag</t>
  </si>
  <si>
    <t xml:space="preserve">Algemene ziekenhuizen, waarvoor de beleidsregel "Transitie bekostigingsstructuur medisch specialistische zorg" van toepassing is(010) </t>
  </si>
  <si>
    <t>RUBRIEK 2: KAPITAALLASTEN</t>
  </si>
  <si>
    <t>Realisatie 2012</t>
  </si>
  <si>
    <t>Zijn er ex WTG/WMG gefinancierde vermogensbestanddelen en / of gebouwen uit de WMG-instelling overgebracht naar een andere rechtspersoon?</t>
  </si>
  <si>
    <t>Zijn de aanvaardbare rentekosten berekend conform het door het NZa opgestelde Rentenormeringsbalans?</t>
  </si>
  <si>
    <t>**** Voor een nadere toelichting zie beleidsregel "Transitie bekostigingsstructuur medisch specialistische zorg"</t>
  </si>
  <si>
    <t>**) Voor oude leningen (w) in de kolom "aanvaardbare rentekosten" het werkelijke rentebedrag vermelden</t>
  </si>
  <si>
    <t>**)</t>
  </si>
  <si>
    <t>Bed brandwonden</t>
  </si>
  <si>
    <t>*De aanpassing geldt voor de mutatie van het aantal patiënten ten opzichte van het niveau 2005.</t>
  </si>
  <si>
    <t>Werkelijke boekwaarde instandhoudingsinvesteringen (inclusief onderhanden werk)</t>
  </si>
  <si>
    <t>D./E.</t>
  </si>
  <si>
    <t>Normatieve boekwaarde medische en overige inventarissen</t>
  </si>
  <si>
    <t>G.</t>
  </si>
  <si>
    <t>Nog in tarieven te verrekenen</t>
  </si>
  <si>
    <t>Langlopende leningen (incl. langlopende leasecontracten)</t>
  </si>
  <si>
    <t>1. In de kolom 'Datum normrente' moet voor leningen die vanaf 2001 zijn afgesloten de datum worden vermeld waarop het berekende normpercentage is vastgesteld. Dit is datum waarop de leningsovereenkomst tot stand is gekomen.</t>
  </si>
  <si>
    <t>AICD-implantatie</t>
  </si>
  <si>
    <t>Opbrengst poliklinische logopedie</t>
  </si>
  <si>
    <t>Adalimumab</t>
  </si>
  <si>
    <t>Anakinra</t>
  </si>
  <si>
    <t>Certolizumab pegol</t>
  </si>
  <si>
    <t>Etanercept</t>
  </si>
  <si>
    <t>Golimumab</t>
  </si>
  <si>
    <t>Ustekinumab</t>
  </si>
  <si>
    <t>Nieuwe leningen kunt u in dit overzicht opnemen door de storting te verwerken als een negatieve aflossing. Als op de nieuwe lening in hetzelfde jaar nog wordt afgelost, kunnen deze aflossingen op een aparte regel worden verwerkt.</t>
  </si>
  <si>
    <t xml:space="preserve">J. </t>
  </si>
  <si>
    <t>Rentekosten langlopende leningen</t>
  </si>
  <si>
    <t>Activa</t>
  </si>
  <si>
    <t>Passiva</t>
  </si>
  <si>
    <t>Percentages t.b.v. berekening rentekosten</t>
  </si>
  <si>
    <t>%</t>
  </si>
  <si>
    <t>Normatieve rentepercentage kort krediet **</t>
  </si>
  <si>
    <t>Inflatievergoeding over eigen vermogen ***</t>
  </si>
  <si>
    <t>* Inclusief de resultaten behaald op het B-segment (zie de toelichting bij het nacalculatieformulier)</t>
  </si>
  <si>
    <t>C188</t>
  </si>
  <si>
    <t>Deze normatieve rentevoet is te vinden op de website van de NZa (www.NZa.nl), onder zorgaanbieder, rentenormering, korte rente.</t>
  </si>
  <si>
    <t>BIJLAGEN BIJ CALCULATIEMODEL RENTEKOSTEN</t>
  </si>
  <si>
    <t>Gewogen boekwaarde</t>
  </si>
  <si>
    <t xml:space="preserve">Factor </t>
  </si>
  <si>
    <t>Mutaties januari</t>
  </si>
  <si>
    <t>Mutaties februari</t>
  </si>
  <si>
    <t>Mutaties maart</t>
  </si>
  <si>
    <t>Mutaties april</t>
  </si>
  <si>
    <t>Mutaties mei</t>
  </si>
  <si>
    <t>Mutaties juni</t>
  </si>
  <si>
    <t>Mutaties juli</t>
  </si>
  <si>
    <t>Mutaties augustus</t>
  </si>
  <si>
    <t>Mutaties september</t>
  </si>
  <si>
    <t>Mutaties oktober</t>
  </si>
  <si>
    <t>Mutaties november</t>
  </si>
  <si>
    <t>Mutaties december</t>
  </si>
  <si>
    <t>Te verklaren verschillen</t>
  </si>
  <si>
    <t>Uitgev. nog niet in</t>
  </si>
  <si>
    <t>gebruik genomen</t>
  </si>
  <si>
    <t>Factor kolom 1</t>
  </si>
  <si>
    <t>Factor kolom 2</t>
  </si>
  <si>
    <t>Gefactureerd in januari</t>
  </si>
  <si>
    <t>Gefactureerd in februari</t>
  </si>
  <si>
    <t>Gefactureerd in maart</t>
  </si>
  <si>
    <t>Gefactureerd in april</t>
  </si>
  <si>
    <t>Gefactureerd in mei</t>
  </si>
  <si>
    <t>Gefactureerd in juni</t>
  </si>
  <si>
    <t>Gefactureerd in juli</t>
  </si>
  <si>
    <t>Gefactureerd in augustus</t>
  </si>
  <si>
    <t>Gefactureerd in september</t>
  </si>
  <si>
    <t>Gefactureerd in oktober</t>
  </si>
  <si>
    <t>Gefactureerd in november</t>
  </si>
  <si>
    <t>Gefactureerd in december</t>
  </si>
  <si>
    <t>Uitgevoerd en gefactureerd in januari</t>
  </si>
  <si>
    <t>Uitgevoerd en gefactureerd in februari</t>
  </si>
  <si>
    <t>Uitgevoerd en gefactureerd in maart</t>
  </si>
  <si>
    <t>Uitgevoerd en gefactureerd in april</t>
  </si>
  <si>
    <t>Uitgevoerd en gefactureerd in mei</t>
  </si>
  <si>
    <t>Uitgevoerd en gefactureerd in juni</t>
  </si>
  <si>
    <t>Uitgevoerd en gefactureerd in juli</t>
  </si>
  <si>
    <t>Werkelijke opbrengsten 2012</t>
  </si>
  <si>
    <t>Uitgevoerd en gefactureerd in augustus</t>
  </si>
  <si>
    <t>Uitgevoerd en gefactureerd in september</t>
  </si>
  <si>
    <t>Uitgevoerd en gefactureerd in oktober</t>
  </si>
  <si>
    <t>Uitgevoerd en gefactureerd in november</t>
  </si>
  <si>
    <t>Uitgevoerd en gefactureerd in december</t>
  </si>
  <si>
    <t>D.</t>
  </si>
  <si>
    <t xml:space="preserve">Normatieve </t>
  </si>
  <si>
    <t xml:space="preserve">Jaar </t>
  </si>
  <si>
    <t>Vrijval afschrijving</t>
  </si>
  <si>
    <t xml:space="preserve">afschrijvingen* </t>
  </si>
  <si>
    <t>bedrag rekenst.(-/-)</t>
  </si>
  <si>
    <t xml:space="preserve">boekwaarde </t>
  </si>
  <si>
    <t>Normatieve boekwaarde medische en overige inventarissen artikel 2 WBMV apparatuur</t>
  </si>
  <si>
    <t>Jaar</t>
  </si>
  <si>
    <t>Wilhelmina Ziekenhuis</t>
  </si>
  <si>
    <t>Delfzicht Ziekenhuis</t>
  </si>
  <si>
    <t>Scheper Ziekenhuis</t>
  </si>
  <si>
    <t>Bethesda Ziekenhuis</t>
  </si>
  <si>
    <t>Refaja Ziekenhuis</t>
  </si>
  <si>
    <t>R.K. Ziekenhuis Sint Lucas (fusievoorganger 10-109)</t>
  </si>
  <si>
    <t>Martini Ziekenhuis</t>
  </si>
  <si>
    <t>Ommelander Ziekenhuis Groep</t>
  </si>
  <si>
    <t>St. Chr.Zorgvoorzn. Talma Sionsberg loc. Dokkum</t>
  </si>
  <si>
    <t>ziekenhuis Nij Smellinghe Drachten</t>
  </si>
  <si>
    <t>Algemeen Ziekenhuis De Tjongerschans</t>
  </si>
  <si>
    <t>Antonius Ziekenhuis</t>
  </si>
  <si>
    <t>Medisch Centrum Leeuwarden</t>
  </si>
  <si>
    <t>Röpcke-Zweers Ziekenhuis</t>
  </si>
  <si>
    <t>Diaconessenhuis Meppel / St. Zorgcomb. Noorderboog</t>
  </si>
  <si>
    <t>Isala Klinieken</t>
  </si>
  <si>
    <t>IJsselmeerziekenhuizen</t>
  </si>
  <si>
    <t>Medisch Spectrum Twente</t>
  </si>
  <si>
    <t>Ziekenhuisgroep Twente</t>
  </si>
  <si>
    <t>Stichting Deventer Ziekenhuizen</t>
  </si>
  <si>
    <t>Gelre Ziekenhuizen, p/a loc. Het Spittaal, dir.fin</t>
  </si>
  <si>
    <t>Slingeland Ziekenhuis</t>
  </si>
  <si>
    <t>Streekziekenhuis Koningin Beatrix</t>
  </si>
  <si>
    <t>Streekziekenhuis "Zevenaar"</t>
  </si>
  <si>
    <t>De Gelderse Vallei</t>
  </si>
  <si>
    <t>Maasziekenhuis</t>
  </si>
  <si>
    <t>Canisius-Wilhelmina Ziekenhuis</t>
  </si>
  <si>
    <t>Ziekenhuis St. Jansdal</t>
  </si>
  <si>
    <t>Meander Medisch Centrum</t>
  </si>
  <si>
    <t>Ziekenhuis Rivierenland</t>
  </si>
  <si>
    <t>Sint Antonius Ziekenhuis</t>
  </si>
  <si>
    <t>Hofpoort Ziekenhuis</t>
  </si>
  <si>
    <t>Mesos</t>
  </si>
  <si>
    <t>Diakonessenhuis</t>
  </si>
  <si>
    <t>Flevoziekenhuis</t>
  </si>
  <si>
    <t>Tergooiziekenhuizen</t>
  </si>
  <si>
    <t>Medisch Centrum Alkmaar</t>
  </si>
  <si>
    <t>Gemini Ziekenhuis</t>
  </si>
  <si>
    <t>Westfries Gasthuis</t>
  </si>
  <si>
    <t>Spaarne Ziekenhuis</t>
  </si>
  <si>
    <t>Rode Kruis Ziekenhuis</t>
  </si>
  <si>
    <t>Kennemer Gasthuis</t>
  </si>
  <si>
    <t>Ziekenhuis Amstelland</t>
  </si>
  <si>
    <t>Slotervaartziekenhuis</t>
  </si>
  <si>
    <t>Coörd. Reg. Overleg acute zorg</t>
  </si>
  <si>
    <t>Niertransplantatie levende donoren</t>
  </si>
  <si>
    <t>Leiding klinisch-chem./hematol. laboratoria</t>
  </si>
  <si>
    <t>Beleidsregelbedragen algemene ziekenhuizen (conform CU-2034)</t>
  </si>
  <si>
    <t>Waterlandziekenhuis</t>
  </si>
  <si>
    <t>Stichting Zaans Medisch Centrum</t>
  </si>
  <si>
    <t>BovenIJ Ziekenhuis</t>
  </si>
  <si>
    <t>Onze Lieve Vrouwe Gasthuis</t>
  </si>
  <si>
    <t>Sint Lucas Andreas Ziekenhuis</t>
  </si>
  <si>
    <t>Antoni van Leeuwenhoek ziekenhuis / Het NKI</t>
  </si>
  <si>
    <t>Diaconessenhuis</t>
  </si>
  <si>
    <t>Rijnland Ziekenhuis</t>
  </si>
  <si>
    <t>Ziekenhuis Bronovo</t>
  </si>
  <si>
    <t>'t Lange Land Ziekenhuis</t>
  </si>
  <si>
    <t>Reinier de Graaf Groep</t>
  </si>
  <si>
    <t>Medisch Centrum Haaglanden</t>
  </si>
  <si>
    <t>HagaZiekenhuis</t>
  </si>
  <si>
    <t>Het Groene Hart Ziekenhuis</t>
  </si>
  <si>
    <t>Stichting Van Weel Bethesda Ziekenhuis</t>
  </si>
  <si>
    <t>Sint Franciscus Gasthuis</t>
  </si>
  <si>
    <t>Havenziekenhuis</t>
  </si>
  <si>
    <t>Ikazia Ziekenhuis</t>
  </si>
  <si>
    <t>Ruwaard van Putten Ziekenhuis</t>
  </si>
  <si>
    <t>IJsselland Ziekenhuis</t>
  </si>
  <si>
    <t>Stichting SSVZ</t>
  </si>
  <si>
    <t>Maasstadziekenhuis</t>
  </si>
  <si>
    <t>Rivas Zorggroep, locatie: Beatrixziekenhuis</t>
  </si>
  <si>
    <t>Albert Schweitzer Ziekenhuis, Amstelwijk</t>
  </si>
  <si>
    <t>Oosterscheldeziekenhuizen</t>
  </si>
  <si>
    <t>Stichting ziekenhuis Walcheren</t>
  </si>
  <si>
    <t>ZorgSaam Ziekenhuis</t>
  </si>
  <si>
    <t>Admiraal de Ruyter Ziekenhuis</t>
  </si>
  <si>
    <t>Ziekenhuis Lievensberg</t>
  </si>
  <si>
    <t>Sint Franciscus Ziekenhuis</t>
  </si>
  <si>
    <t>Amphia Ziekenhuis</t>
  </si>
  <si>
    <t>Sint Elisabeth Ziekenhuis</t>
  </si>
  <si>
    <t>TweeSteden Ziekenhuis</t>
  </si>
  <si>
    <t>Ziekenhuis Bernhoven</t>
  </si>
  <si>
    <t>Jeroen Bosch Ziekenhuis, Locatie Willem-Alexander</t>
  </si>
  <si>
    <t>Catharina Ziekenhuis</t>
  </si>
  <si>
    <t>Sint Anna Ziekenhuis</t>
  </si>
  <si>
    <t>Elkerliek Ziekenhuis</t>
  </si>
  <si>
    <t>Máxima Medisch Centrum</t>
  </si>
  <si>
    <t>Stichting Laurentius Ziekenhuis</t>
  </si>
  <si>
    <t>Sint Jans Gasthuis</t>
  </si>
  <si>
    <t>VieCuri Medisch Centrum voor Noord-Limburg</t>
  </si>
  <si>
    <t>Orbis Maasland ziekenhuis</t>
  </si>
  <si>
    <t>Atrium Medisch Centrum Parkstad</t>
  </si>
  <si>
    <t>Het Oogziekenhuis Rotterdam</t>
  </si>
  <si>
    <t xml:space="preserve">* zie onderbouwing regel 41 laatste rekenstaat </t>
  </si>
  <si>
    <t>F.</t>
  </si>
  <si>
    <t>Bijlage meegestuurd? (Ja/Nee)</t>
  </si>
  <si>
    <t>Verrekeningen in het kader van de lumpsumfinanciering voor lokale initiatieven</t>
  </si>
  <si>
    <t>Eventuele vordering vakantiegeldverplichting (volgens de balans per 1 januari van het jaar van invoering van het budgetsysteem)</t>
  </si>
  <si>
    <t>Nog in tarieven te verrekenen kosten/opbrengsten</t>
  </si>
  <si>
    <t>Te dekken door opbrengsten</t>
  </si>
  <si>
    <t>Werkelijke opbrengsten</t>
  </si>
  <si>
    <t>Opbrengstresultaat</t>
  </si>
  <si>
    <t>1/12 van het budget</t>
  </si>
  <si>
    <t>Bedrag</t>
  </si>
  <si>
    <t>Eventuele correctie voorgaande jaren</t>
  </si>
  <si>
    <t>Januari</t>
  </si>
  <si>
    <t>Februari</t>
  </si>
  <si>
    <t>Maart</t>
  </si>
  <si>
    <t>April</t>
  </si>
  <si>
    <t>Mei</t>
  </si>
  <si>
    <t>Juni</t>
  </si>
  <si>
    <t>Juli</t>
  </si>
  <si>
    <t>Augustus</t>
  </si>
  <si>
    <t>September</t>
  </si>
  <si>
    <t>Oktober</t>
  </si>
  <si>
    <t>November</t>
  </si>
  <si>
    <t>December</t>
  </si>
  <si>
    <t>Geldgever</t>
  </si>
  <si>
    <t>Einddatum</t>
  </si>
  <si>
    <t>N,W,</t>
  </si>
  <si>
    <t xml:space="preserve">Gewogen </t>
  </si>
  <si>
    <t>Normatief</t>
  </si>
  <si>
    <t>Aanvaardbaar</t>
  </si>
  <si>
    <t>normrente</t>
  </si>
  <si>
    <t>rentev. per.</t>
  </si>
  <si>
    <t>Werk.</t>
  </si>
  <si>
    <t>Norm.</t>
  </si>
  <si>
    <t>of V</t>
  </si>
  <si>
    <t xml:space="preserve">bedrag* </t>
  </si>
  <si>
    <t>schuld</t>
  </si>
  <si>
    <t>rentebedrag</t>
  </si>
  <si>
    <t>1)</t>
  </si>
  <si>
    <t>af: Egalisatierek. annuïteitenrente en nog te verrekenen (aanvaardbare) boeterente [(beginbalans + eindbalans) : 2]</t>
  </si>
  <si>
    <t>Verpleging in thuissituatie, ivm med spec.zorg</t>
  </si>
  <si>
    <t>Fictief berekende lening met betrekking tot huur/leasing van inventarissen</t>
  </si>
  <si>
    <t>1) Voor oude leningen (w) in de kolom "aanvaardbare rentekosten" het werkelijke rentebedrag vermelden</t>
  </si>
  <si>
    <t>*) Vermeld hier het aflossingsbedrag per aflossingsmoment</t>
  </si>
  <si>
    <t xml:space="preserve">Gewogen schuld per periode (1 januaridata aflossingen-31 december) </t>
  </si>
  <si>
    <t>Berekende</t>
  </si>
  <si>
    <t xml:space="preserve">rente </t>
  </si>
  <si>
    <t>Berekening  gewogen schuld en rentekosten</t>
  </si>
  <si>
    <t>Maag/darm artsen</t>
  </si>
  <si>
    <t>Cardio-pulmonaal chirurgen</t>
  </si>
  <si>
    <t>Neurologen zenuwartsen</t>
  </si>
  <si>
    <t>Liaison psychiater</t>
  </si>
  <si>
    <t>Anesthesisten</t>
  </si>
  <si>
    <t>Radiodiagnosten</t>
  </si>
  <si>
    <t>Patholoog-anatomen</t>
  </si>
  <si>
    <t>Medische microbiologen</t>
  </si>
  <si>
    <t>Schaaleffect**</t>
  </si>
  <si>
    <t>Budgetaanpassing i.v.m. mutatie specialisten exclusief kolom Bedrag loondienst (H).</t>
  </si>
  <si>
    <t xml:space="preserve">Storting/Aflossing </t>
  </si>
  <si>
    <t>rentevast per.</t>
  </si>
  <si>
    <t>Vervolg langlopende leningen (incl. langlopende leasecontracten)</t>
  </si>
  <si>
    <t>Eigen vermogen*</t>
  </si>
  <si>
    <t>Kapitaal</t>
  </si>
  <si>
    <t>Reserve aanvaardbare kosten</t>
  </si>
  <si>
    <t>Algemene reserves</t>
  </si>
  <si>
    <t>Bestemmingsreserves</t>
  </si>
  <si>
    <t>Reserve afschrijving inventarissen</t>
  </si>
  <si>
    <t xml:space="preserve">Overige reserves </t>
  </si>
  <si>
    <t>Egalisatierekening afschrijving instandhoudingsinvesteringen</t>
  </si>
  <si>
    <t>Overige egalisatierekeningen</t>
  </si>
  <si>
    <t>Voorziening groot onderhoud</t>
  </si>
  <si>
    <t xml:space="preserve">Overige voorzieningen </t>
  </si>
  <si>
    <t>Saldo resultatenrekening</t>
  </si>
  <si>
    <t>Correctie tbv aansluiting aanvaardb. kosten cf jaarrekening en aanvaardb. kosten cf nacalc.formulier</t>
  </si>
  <si>
    <t xml:space="preserve">Boekwaarde vergunningplichtige investeringen zonder vergunning. </t>
  </si>
  <si>
    <t>Intrest leasingcontracten</t>
  </si>
  <si>
    <t>Rente in huurkosten instandhoudingsinvesteringen</t>
  </si>
  <si>
    <r>
      <t>Amfotericine B liposomaal</t>
    </r>
    <r>
      <rPr>
        <vertAlign val="superscript"/>
        <sz val="9"/>
        <rFont val="Verdana"/>
        <family val="2"/>
      </rPr>
      <t>3</t>
    </r>
  </si>
  <si>
    <t>De werkbladen zijn met een wachtwoord beveiligd. U kunt zelf werkbladen toevoegen. Indien u een onjuistheid ontdekt verzoeken wij u dit via e-mail aan de Nza door te geven (formulierencure@nza.nl).</t>
  </si>
  <si>
    <t>* Alleen voor instellingen met een erkenning als traumacentrum. Alleen mutatie van het aantal patiënten ten opzichte van het niveau 2005 opnemen.</t>
  </si>
  <si>
    <t xml:space="preserve">3. In de kolom 'N, W of V' moet een 'W' worden vermeld voor bestaande leningen waarvoor de werkelijke rentekosten aanvaardbaar zijn.  U vermeldt een 'V' als sprake is van een na 31 december 2000 afgesloten lening waarvoor een normrente is vastgesteld en die in de plaats komt van een vervroegd afgeloste lening. U vermeldt een 'N' wanneer voor de lening een normatief percentage is vastgesteld en er geen sprake is van vervanging van een vervroegd afgeloste lening. </t>
  </si>
  <si>
    <t xml:space="preserve">Op regel 1314 kan de boekwaarde van vergunningsplichtige investeringen zonder vergunning in mindering worden gebracht. Dit betreft investeringen waarvoor, om voor nacalculatie in aanmerking te komen, een vergunning is vereist, maar welke niet is afgegeven. Het kan ook gaan om een overschrijding van een vergunning. De investeringen zijn gedaan ten behoeve van de instelling en er is geen titel om de daarmee samenhangende kapitaalslasten door te berekenen aan derden. </t>
  </si>
  <si>
    <t>De rente van lange leningen op regel 1316 dient te corresponderen met de leningen die in het overzicht onder G zijn vermeld. Boeterente als gevolg van het converteren van leningen (voor 2001) wordt afgeschreven over een variabele periode. De lengte van de periode wordt berekend door het bedrag van de boeterente te delen door het rentevoordeel dat in het eerste jaar na de conversiedatum wordt behaald.</t>
  </si>
  <si>
    <t>Rentenormeringsbalans</t>
  </si>
  <si>
    <t>1.2</t>
  </si>
  <si>
    <t>1.6</t>
  </si>
  <si>
    <t>Mutatie afschrijvingskosten</t>
  </si>
  <si>
    <t>RUBRIEK 1: NACALCULATIE PRODUCTIE</t>
  </si>
  <si>
    <t>Parameterwaarden</t>
  </si>
  <si>
    <t>Verschil</t>
  </si>
  <si>
    <t>Realisatie</t>
  </si>
  <si>
    <t>Hemodialyse</t>
  </si>
  <si>
    <t>Hemodialyse met EPO</t>
  </si>
  <si>
    <t>Thuisdialyse</t>
  </si>
  <si>
    <t>Idem met EPO</t>
  </si>
  <si>
    <t>Idem met VDA</t>
  </si>
  <si>
    <t>Idem met EPO + VDA</t>
  </si>
  <si>
    <t>Hartoperaties</t>
  </si>
  <si>
    <t>Hartcatheterablaties</t>
  </si>
  <si>
    <t>1.0</t>
  </si>
  <si>
    <t>Publicatie formulier</t>
  </si>
  <si>
    <t>Beenmergtransplantaties AML</t>
  </si>
  <si>
    <t>Versie</t>
  </si>
  <si>
    <t>Verrekend in opbrengsten (meest recente opbrengstregistratie)</t>
  </si>
  <si>
    <t>Alle in te vullen velden zijn gearceerd. Dit kunt u hier aan- en uitschakelen. Voor het maken van een duidelijke afdruk van het nacalculatieformulier wordt aanbevolen eerst de arcering van de velden uit te zetten</t>
  </si>
  <si>
    <t>Kolommen</t>
  </si>
  <si>
    <t xml:space="preserve">Algemeen </t>
  </si>
  <si>
    <t xml:space="preserve">Norm. </t>
  </si>
  <si>
    <t>Nacalculatie FB-budget</t>
  </si>
  <si>
    <t>Vloeien er publieke middelen weg naar privaat?</t>
  </si>
  <si>
    <t>Budgetaanpassing rentekosten</t>
  </si>
  <si>
    <t>Opnamen</t>
  </si>
  <si>
    <t>rekenstaat</t>
  </si>
  <si>
    <t>realisatie</t>
  </si>
  <si>
    <t>Maximaal
aanvaardbaar</t>
  </si>
  <si>
    <t>Kaakchirurgen</t>
  </si>
  <si>
    <t>Dentomaxillaire orthop.</t>
  </si>
  <si>
    <t>liasonpsychiaters</t>
  </si>
  <si>
    <t>Budgetaanpassing i.v.m. met goedkeuring WZV/WTZi voor uitbr. Art. 2- WBMV functies. Goedkeuringsbrieven VWS toevoegen.</t>
  </si>
  <si>
    <t>Opbrengst röntgenonderzoek t.b.v. huisartsen</t>
  </si>
  <si>
    <t>Opbrengst functieonderzoek t.b.v. huisartsen</t>
  </si>
  <si>
    <t>Trombosetests t.b.v. huisartsen, aantallen</t>
  </si>
  <si>
    <t>Deze vragenlijst wordt ingevuld door de instelling en gecontroleerd door de accountant. Per vraag aan te klikken wat van toepassing is. Indien het antwoord in kolom 2 is aangeklikt dient op een separate bijlage een toelichting te worden gegeven.</t>
  </si>
  <si>
    <t>Totaal aantal afnames (a+b+c)</t>
  </si>
  <si>
    <t>Analysekosten</t>
  </si>
  <si>
    <t>Deconcentratiegraad [b:(a+b)]x100%</t>
  </si>
  <si>
    <t>Nacalc. FB-budget</t>
  </si>
  <si>
    <t>Belimumab</t>
  </si>
  <si>
    <t>Bendamustine</t>
  </si>
  <si>
    <t>Micafungine</t>
  </si>
  <si>
    <t>* Voor  radiotherapeuten kunnen geen afspraken voor eerste polikliniekbezoeken worden gemaakt. Zie ook beleidsregel "Transitie bekostigingsstructuur medisch specialistische zorg"</t>
  </si>
  <si>
    <t>Op regel 601 dient u de samenstelling van de boekwaarde per 31 december 2011 volgens de jaarrekening op te nemen. Voor instandhoudingsinvesteringen in uitvoering zijn twee varianten mogelijk. U kunt er voor kiezen de investeringskosten aan het eind van het jaar direct te activeren en de afschrijving daarop in 2012 te starten. U kunt er ook voor kiezen de investeringskosten te boeken op onderhanden werk. Alleen als u kiest voor de laatste variant dienen de regels 603 en 617 te worden ingevuld. Evenals in overzicht B wordt ook hier in de toegepaste factoren rekening gehouden met een betalingstermijn van 1 maand.</t>
  </si>
  <si>
    <t>Overeengekomen</t>
  </si>
  <si>
    <t>In de laatste kolom komt op regel 804 het saldo ultimo 2011 te staan. Dit bedrag komt overeen met het financieringsresultaat ultimo 2009 conform de berekening in de eerste tabel bij onderdeel G. Voor het invullen van de eerste tabel dient u uit te gaan van de opbrengstregistratie uit de meest recente rekenstaat van het lopende jaar.</t>
  </si>
  <si>
    <t>4. In de kolommen van 'Storting/Aflossing 2011 dient u het aflossingsbedrag, de dag en de maand(en) van aflossing aan te geven. Aan de hand van deze gegevens wordt de gewogen schuld berekend. Indien deze berekening voor een specifieke situatie niet tot de juiste uitkomst leidt, kan het bedrag van de gewogen schuld worden aangepast. Ook de berekende aanvaardbare rentekosten kunnen worden aangepast voor afwijkingen in de werkelijke rentekosten als het gaat om oude leningen.</t>
  </si>
  <si>
    <t>Voor de bepaling van het resultaat dient te wordt uitgegaan van het budget aanvaardbare kosten op kasbasis volgens de laatst bekende rekenstaat 2011, aangevuld met de budgetmutaties volgens het nacalculatieformulier 2011, uitgezonderd de mutatie op de rente. Tevens zijn voor de resultaatbepaling van belang de resultaten behaald op het B-segment (zie beleidsregel rente). De gegevens op deze bijlage dienen aan te sluiten bij de jaarrekening. In het resultaat volgens de jaarrekening is het volledige resultaat op rente inbegrepen. Om aansluiting te behouden kan op regel 1313 de mutatie op rente worden opgenomen. Als het resultaat in de reserves is verwerkt, hoeft regel 1311 niet te worden ingevuld.</t>
  </si>
  <si>
    <t>1.4.1 Geneesmiddelen 80% vergoeding</t>
  </si>
  <si>
    <t>Wordt door de instelling voor nacalculeerbare activa gebruik gemaakt van een zogenaamde BTW-constructie? *</t>
  </si>
  <si>
    <t>Opbrengst transmuraal</t>
  </si>
  <si>
    <t>Hebben de lokale partijen verklaard dat zij de projecten die worden gedekt uit de lokale productiegebonden toeslag hebben beoordeeld, met inachtneming van de criteria zoals opgenomen in de beleidsregel Lokale productiegebonden toeslag?</t>
  </si>
  <si>
    <t>Is de berekening van de doorberekende kapitaalslasten juist en volledig, conform de beleidsregel Aanvullende inkomsten? Indien geen doorberekende kapitaalslasten, kies dan 'nvt'.</t>
  </si>
  <si>
    <t>Is bij de leningen (met een rentefixatieperiode van minimaal twee jaar) die vervroegd zijn afgelost en vervangen door nieuwe leningen, het juiste rentepercentage toegepast? Indien geen vervroegde aflossing en vervanging van leningen heeft plaatsgevonden, kies dan 'nvt'.</t>
  </si>
  <si>
    <t>Lokale productiegebonden toeslag</t>
  </si>
  <si>
    <t xml:space="preserve">Nacalculatie </t>
  </si>
  <si>
    <t>Ongewogen</t>
  </si>
  <si>
    <t>Gewogen</t>
  </si>
  <si>
    <t>Internisten</t>
  </si>
  <si>
    <t>Geriaters</t>
  </si>
  <si>
    <t>Longartsen</t>
  </si>
  <si>
    <t>Cardiologen</t>
  </si>
  <si>
    <t>Reumatologen</t>
  </si>
  <si>
    <t>Maag/darmartsen</t>
  </si>
  <si>
    <t>Allergologen</t>
  </si>
  <si>
    <t>Kinderartsen</t>
  </si>
  <si>
    <t>Chirurgen</t>
  </si>
  <si>
    <t>Orthopeden</t>
  </si>
  <si>
    <t>Urologen</t>
  </si>
  <si>
    <t>Plastisch chirurgen</t>
  </si>
  <si>
    <t>Neurochirurgen</t>
  </si>
  <si>
    <t>Cardio-pulm. Chirurgen</t>
  </si>
  <si>
    <t>Gynaecologen</t>
  </si>
  <si>
    <t>Oogartsen</t>
  </si>
  <si>
    <t>Dermatologen</t>
  </si>
  <si>
    <t>Neurologen</t>
  </si>
  <si>
    <t>Registratienummer NZa</t>
  </si>
  <si>
    <t>Neurologen/zenuwartsen</t>
  </si>
  <si>
    <t>Revalidatieartsen</t>
  </si>
  <si>
    <t>Radiotherapeuten</t>
  </si>
  <si>
    <t>Totale knie</t>
  </si>
  <si>
    <t>Totale heup</t>
  </si>
  <si>
    <t>* Indien voor een specialisme verschillende data van wijziging van toepassing zijn dan verzoeken wij u dit in een bijlage bij het nacalculatieformulier toe te lichten. Mutaties worden alleen verwerkt wanneer het nacalculatieformulier tweezijdig is ondertekend.</t>
  </si>
  <si>
    <t>Voorschot verrekenbedrag 2012 (pagina 19)</t>
  </si>
  <si>
    <t>RUBRIEK 5: VOORSCHOT VERREKENBEDRAG</t>
  </si>
  <si>
    <t>5.1 Renteberekening voorschotbedrag</t>
  </si>
  <si>
    <t>Verrekenbedrag</t>
  </si>
  <si>
    <t>Voorschot</t>
  </si>
  <si>
    <t>Verrekenbedrag minus voorschot</t>
  </si>
  <si>
    <t>Verrekenbedrag 2012 (95% van transitiebedrag*)</t>
  </si>
  <si>
    <t>Voorschot 2012</t>
  </si>
  <si>
    <t>Teveel ontvangen voorschot</t>
  </si>
  <si>
    <t>Rekenrente rentenormering**</t>
  </si>
  <si>
    <t>Normatieve rente voor genoten rentevoordelen over teveel ontvangen voorschot 2012</t>
  </si>
  <si>
    <t>** De voor het jaar geldende gemiddelde normatieve rentevoet wordt na afloop van het jaar door NZa berekend en gepubliceerd.</t>
  </si>
  <si>
    <t>Rentekorting uit totale voorschot in transitiebedrag</t>
  </si>
  <si>
    <t>Waarvan rentekorting in transitiebedrag voor het teveel ontvangen voorschot</t>
  </si>
  <si>
    <t>Genoten rentevoordelen in 2012 over het teveel ontvangen voorschot in 2012 (4%)</t>
  </si>
  <si>
    <t>Genoten rentevoordelen in 2013 over het teveel ontvangen voorschot in 2012 t/m augustus 2013*** (4%)</t>
  </si>
  <si>
    <t>*** De NZa berekent de eindafrekening in het derde kwartaal 2013; de beschikking wordt niet eerder dan september 2013 afgegeven.</t>
  </si>
  <si>
    <t>5.2 Eindafrekening 2012</t>
  </si>
  <si>
    <t>Verrekenbedrag (inclusief rentekorting uit voorschot)</t>
  </si>
  <si>
    <t>Af: betaalde voorschotten</t>
  </si>
  <si>
    <t>Af: genoten rentevoordeel in 2012</t>
  </si>
  <si>
    <t>Af: genoten rentevoordeel in 2013</t>
  </si>
  <si>
    <t>Te ontvangen/te betalen</t>
  </si>
  <si>
    <t>5.3 Herberekening Verrekenbedrag 2013: correctie voor rentecomponent uit voorschotten</t>
  </si>
  <si>
    <t>Transitiebedrag (inclusief rentekorting uit voorschotten 2012)</t>
  </si>
  <si>
    <t>Transitiebedrag (exclusief rentekorting uit voorschotten 2012)</t>
  </si>
  <si>
    <r>
      <t xml:space="preserve">Bij: correctie rentekorting uit </t>
    </r>
    <r>
      <rPr>
        <i/>
        <sz val="9"/>
        <rFont val="Verdana"/>
        <family val="2"/>
      </rPr>
      <t>teveel</t>
    </r>
    <r>
      <rPr>
        <sz val="9"/>
        <rFont val="Verdana"/>
        <family val="2"/>
      </rPr>
      <t xml:space="preserve"> ontvangen voorschot</t>
    </r>
  </si>
  <si>
    <t>Transitiebedrag (regel 1823)*</t>
  </si>
  <si>
    <r>
      <t>* inclusief rentecomponent; op blad A-G dienen onder de post Nog in tarieven te verreken kosten/opbrengsten (</t>
    </r>
    <r>
      <rPr>
        <b/>
        <sz val="8"/>
        <rFont val="Verdana"/>
        <family val="2"/>
      </rPr>
      <t>regel 808 t/m 819</t>
    </r>
    <r>
      <rPr>
        <sz val="8"/>
        <rFont val="Verdana"/>
        <family val="2"/>
      </rPr>
      <t>) onder 'gedeclareerd' per maand de opbrengsten uit voorschotten op het verrekenbedrag te worden meegenomen.</t>
    </r>
  </si>
  <si>
    <t>* Verrekenbedrag 2012 inclusief rentekorting uit voorschotten (zie blad 5 Voorschot verrekenbedrag 2012).</t>
  </si>
  <si>
    <t xml:space="preserve">** Verrekenbedrag 2013 exclusief rentekorting uit voorschotten (zie blad 5 Voorschot verrekenbedrag 2012). </t>
  </si>
  <si>
    <t>*** Inclusief de per maand ontvangen voorschotten op het verrekenbedrag (zie ook blad 5 Voorschot verrekenbedrag 2012)</t>
  </si>
  <si>
    <t>Gedeclareerd***</t>
  </si>
  <si>
    <t xml:space="preserve">*Gelijk aan opgaven op regel 1735 uit rubriek 3: werkelijke opbrengsten nacalculatieformulier 2011. Deze opbrengsten zijn in de rentenormerings balans 2010 opgenomen als vordering/schuld en dienen uit de opbrengsten te worden gehaald ten behoeve van de rente berekening 2012. Hierdoor blijven de tussentijdse verrekeningen van het financieringsoverschot 2010 en/of 2011, afgerekend in 2011, buiten het nog te verrekenen bedrag per 31-12-2011. </t>
  </si>
  <si>
    <t>Bij 5.1. dienen eventuele opbrengsten uit voorschotten op het verrekenbedrag per maand opgegeven te worden. Deze opbrengsten dienen eveneens onderdeel uit te maken van de bedragen onder 'gedeclareerd' op blad A-G, onder G, regel 808 t/m 819. De opbrengsten dienen opgegeven te worden in de maand waarin het voorschotbedrag is ontvangen. Op het blad '5. Voorschot verrekenbedrag 2012' wordt een rentecomponent berekend over eventueel teveel ontvangen voorschotten. Deze rentecomponent geldt alleen voor het verrekenbedrag 2012. Voor een nadere toelichting verwijzen wij u naar circulaire CI/12/67c d.d. 5 maart 2012.</t>
  </si>
  <si>
    <t>5.1</t>
  </si>
  <si>
    <t>Renteberekening voorschotbedrag</t>
  </si>
  <si>
    <t>5.2</t>
  </si>
  <si>
    <t>Eindafrekening 2012</t>
  </si>
  <si>
    <t>5.3</t>
  </si>
  <si>
    <t>Herberekening Verrekenbedrag 2013: correctie voor rentecomponent uit voorschotten</t>
  </si>
  <si>
    <t>** Er kunnen schaaleffecten optreden door wijziging van het aantal specialisteneenheden. Deze worden door de NZa automatisch verwerkt. U kunt hier eventueel een schatting voor opgeven.</t>
  </si>
  <si>
    <t>eerste implementatie BAHA</t>
  </si>
  <si>
    <t>Kapitaalslasten</t>
  </si>
  <si>
    <t>Bortezomib</t>
  </si>
  <si>
    <t>Omalizumab</t>
  </si>
  <si>
    <t>Alemtuzumab</t>
  </si>
  <si>
    <t>Pre-harttransplantaties</t>
  </si>
  <si>
    <t>Harttransplantaties</t>
  </si>
  <si>
    <t>Nazorg harttransplantaties</t>
  </si>
  <si>
    <t>Thuisbeademing basis</t>
  </si>
  <si>
    <t>Thuisbeademing 1</t>
  </si>
  <si>
    <t>Thuisbeademing 2</t>
  </si>
  <si>
    <t>Pre-levertransplantaties</t>
  </si>
  <si>
    <t>Levertransplantaties</t>
  </si>
  <si>
    <t>Nazorg levertransplantaties</t>
  </si>
  <si>
    <t>Pre-(hart)longtransplantaties</t>
  </si>
  <si>
    <t>(hart)longtransplantaties</t>
  </si>
  <si>
    <t>Nazorg (hart)longtransplantaties</t>
  </si>
  <si>
    <t>Cochleaire implantaties kinderen</t>
  </si>
  <si>
    <t>Nazorg cochleaire implantaties kinderen</t>
  </si>
  <si>
    <t>Omschrijving wijzigingen</t>
  </si>
  <si>
    <t>Distributie</t>
  </si>
  <si>
    <t>Versiebeheer</t>
  </si>
  <si>
    <t>Cochleaire implantaties volwassenen</t>
  </si>
  <si>
    <t>Nazorg cochleaire implantaties volwassenen</t>
  </si>
  <si>
    <t>Opname pediatrische IC</t>
  </si>
  <si>
    <t>Multitraumapatiënten (ISS&gt;=16)</t>
  </si>
  <si>
    <t>Spraak- en taaldiagnostiek: vast</t>
  </si>
  <si>
    <t>Spraak- en taaldiagnostiek: per kind</t>
  </si>
  <si>
    <t>Overige vragen</t>
  </si>
  <si>
    <t>Zijn in het lokaal overleg overige afspraken gemaakt die van invloed zijn op de aanvaardbare kosten?</t>
  </si>
  <si>
    <t>Handtekening</t>
  </si>
  <si>
    <t xml:space="preserve">Instelling </t>
  </si>
  <si>
    <t>Plaats</t>
  </si>
  <si>
    <t>Omschrijving</t>
  </si>
  <si>
    <t>Rekenstaat</t>
  </si>
  <si>
    <t>Factor</t>
  </si>
  <si>
    <t xml:space="preserve">Saldo </t>
  </si>
  <si>
    <t>Datum</t>
  </si>
  <si>
    <t>dag</t>
  </si>
  <si>
    <t>ma(a)nd(en)</t>
  </si>
  <si>
    <t xml:space="preserve">% </t>
  </si>
  <si>
    <t xml:space="preserve">Bedrag </t>
  </si>
  <si>
    <t xml:space="preserve">In gebruik </t>
  </si>
  <si>
    <t xml:space="preserve">genomen </t>
  </si>
  <si>
    <t xml:space="preserve">investeringen </t>
  </si>
  <si>
    <t xml:space="preserve">Boekwaarde </t>
  </si>
  <si>
    <t xml:space="preserve">Afschrijving </t>
  </si>
  <si>
    <t>investeringen</t>
  </si>
  <si>
    <t xml:space="preserve"> </t>
  </si>
  <si>
    <t>1.5</t>
  </si>
  <si>
    <t xml:space="preserve">1.1 </t>
  </si>
  <si>
    <t>Totaal</t>
  </si>
  <si>
    <t xml:space="preserve">Totaal </t>
  </si>
  <si>
    <t>Multitraumapatiënten (ISS&gt;=16)*</t>
  </si>
  <si>
    <t>Indien opbrengsten voor derde compartiment DBC´s als aanvullende inkomsten zijn aangemerkt, is het budget dan verlaagd voor  FB-paramerers en semivaste parameters die samenhangen met de betreffende derde compartiment DBC?</t>
  </si>
  <si>
    <t>Instandhoudingsinvesteringen</t>
  </si>
  <si>
    <t xml:space="preserve">Mutatie </t>
  </si>
  <si>
    <t>4.1</t>
  </si>
  <si>
    <t xml:space="preserve">Aanschafwaarde </t>
  </si>
  <si>
    <t xml:space="preserve">Afschrijvingen </t>
  </si>
  <si>
    <t xml:space="preserve">A. </t>
  </si>
  <si>
    <t>B.</t>
  </si>
  <si>
    <t xml:space="preserve">C. </t>
  </si>
  <si>
    <t>Voorlopige budgetmutatie( zie totaal meest recente rekenstaat)</t>
  </si>
  <si>
    <t xml:space="preserve">E. </t>
  </si>
  <si>
    <t>Aantal huisbezoeken (c)</t>
  </si>
  <si>
    <t>Nervus Vagus plaatsing</t>
  </si>
  <si>
    <t>Nervus Vagus vervanging</t>
  </si>
  <si>
    <t>OTO bij rampen en crisis</t>
  </si>
  <si>
    <t>Verpleging in thuissituatie, ivm med spec.zorg*</t>
  </si>
  <si>
    <t>Variabel deel</t>
  </si>
  <si>
    <t>Is voor de langlopende leningen die geborgd zijn door het Waarborgfonds van 22 november 1999 tot 1 januari 2001, de werkelijke verschuldigde rente verhoogd met 0,6%? Indien geen langlopende leningen zijn geborgd tussen genoemde periode, kies dan 'nvt'.</t>
  </si>
  <si>
    <t>Toelichting bij het elektronische formulier:</t>
  </si>
  <si>
    <t>Voldoen de aanvullende inkomsten die worden aangemerkt als vrij besteedbaar, aan de voorwaarden genoemd onder artikel 4 van de beleidsregel aanvullende inkomsten zorginstellingen? Indien geen aanvullende inkomsten, kies dan 'nvt'.</t>
  </si>
  <si>
    <t>Normatief werkkapitaal</t>
  </si>
  <si>
    <t xml:space="preserve">G. </t>
  </si>
  <si>
    <t xml:space="preserve">H. </t>
  </si>
  <si>
    <t>Eigen vermogen</t>
  </si>
  <si>
    <t xml:space="preserve">I. </t>
  </si>
  <si>
    <t>4.2</t>
  </si>
  <si>
    <t>TOELICHTING / INVULINSTRUCTIE</t>
  </si>
  <si>
    <t>Boekwaarde investeringen waarvoor vergunning is verleend</t>
  </si>
  <si>
    <t>1.7</t>
  </si>
  <si>
    <t>Nacalculatie</t>
  </si>
  <si>
    <t>Contactpersoon</t>
  </si>
  <si>
    <t>Telefoon</t>
  </si>
  <si>
    <t>E-mail</t>
  </si>
  <si>
    <t>(datum)</t>
  </si>
  <si>
    <t>(naam)</t>
  </si>
  <si>
    <t>(handtekening)</t>
  </si>
  <si>
    <t>AICD-implantaties</t>
  </si>
  <si>
    <t>Rituximab</t>
  </si>
  <si>
    <t>Infliximab</t>
  </si>
  <si>
    <t>Pemetrexed</t>
  </si>
  <si>
    <t>Cetuximab</t>
  </si>
  <si>
    <t>Panitumumab</t>
  </si>
  <si>
    <t>Anidulafungine</t>
  </si>
  <si>
    <t>Temoporfin</t>
  </si>
  <si>
    <t>Temsirolimus</t>
  </si>
  <si>
    <t>Caspofungine</t>
  </si>
  <si>
    <t>Totaal geneesmiddelen 80% vergoeding</t>
  </si>
  <si>
    <t>80% * 0,92</t>
  </si>
  <si>
    <t>Totaal dure geneesmiddelen</t>
  </si>
  <si>
    <t>Met betrekking tot 2009</t>
  </si>
  <si>
    <t>Dure geneesmiddelen en Weesgeneesmiddelen</t>
  </si>
  <si>
    <t>PGD per aangemelde patiënt</t>
  </si>
  <si>
    <t>PGD per behandeling (cyclus)</t>
  </si>
  <si>
    <t>Drug eluting stent bij interventie cardiologie</t>
  </si>
  <si>
    <t>Radiologische stent</t>
  </si>
  <si>
    <t>Oesophagus</t>
  </si>
  <si>
    <t>Plaatsing nervus vagus stimulator</t>
  </si>
  <si>
    <t>Vervanging nervus vagus stimulator</t>
  </si>
  <si>
    <t>logopedie</t>
  </si>
  <si>
    <t>MMT-voertuig</t>
  </si>
  <si>
    <t>Ondertekening namens het orgaan voor de gezondheidszorg:</t>
  </si>
  <si>
    <t>INHOUDSOPGAVE</t>
  </si>
  <si>
    <t>1.4</t>
  </si>
  <si>
    <t>Afschrijvingskosten medische en overige inventarissen</t>
  </si>
  <si>
    <t>Totaal budgetaanpassing</t>
  </si>
  <si>
    <t>Goedgekeurde investeringsbedrag</t>
  </si>
  <si>
    <t>Kortingspercentage</t>
  </si>
  <si>
    <t>Budgetaanpassing i.v.m. vrijval artikel 2 WMBV functies (voor zover nog niet verrekend in het budget)</t>
  </si>
  <si>
    <t>Code</t>
  </si>
  <si>
    <t>3.1</t>
  </si>
  <si>
    <t>3.2</t>
  </si>
  <si>
    <t>3.3</t>
  </si>
  <si>
    <t>nr.</t>
  </si>
  <si>
    <t>cat.</t>
  </si>
  <si>
    <t>Poliklinische toediening cytostatica (M14)</t>
  </si>
  <si>
    <t>Algemeen</t>
  </si>
  <si>
    <t>Subtotaal</t>
  </si>
  <si>
    <t>Toepassing kortingspercentages</t>
  </si>
  <si>
    <t>Doorberekende kapitaalslasten</t>
  </si>
  <si>
    <t>Mutatie</t>
  </si>
  <si>
    <t>Overige vergoedingen ter dekking van het budget</t>
  </si>
  <si>
    <t>Ranibizumab</t>
  </si>
  <si>
    <t>Pag.</t>
  </si>
  <si>
    <t>In rekenstaat</t>
  </si>
  <si>
    <t>Neurostimulatoren bij pijnbestrijding</t>
  </si>
  <si>
    <t>Van pagina 5</t>
  </si>
  <si>
    <t>Afschr.
%</t>
  </si>
  <si>
    <t>Plaatsing eenz.stimulator bij bew.st.</t>
  </si>
  <si>
    <t>Plaatsing tweez.stimulator bij bew.st.</t>
  </si>
  <si>
    <t>Vervanging eenz.stimulator bij bew.st.</t>
  </si>
  <si>
    <t>Vervanging tweez.stimulator bij bew.st.</t>
  </si>
  <si>
    <t>Zorgverzekeraar 1</t>
  </si>
  <si>
    <t>Zorgverzekeraar 2</t>
  </si>
  <si>
    <t>Eerste polikliniekbezoeken</t>
  </si>
  <si>
    <t>Anesthesisten (pijnbestr.)</t>
  </si>
  <si>
    <t>Huur/leasing gebouwen / installaties</t>
  </si>
  <si>
    <t>RUBRIEK 4: OVERZICHT MUTATIES</t>
  </si>
  <si>
    <t>Budgetaanpassing medische en overige inventarissen (goedkeuringsbrieven VWS toevoegen)</t>
  </si>
  <si>
    <t>Cellen waar met haakjes (    ) is aangegeven dat een negatief bedrag wordt verwacht, kunnen worden gevuld met positieve bedragen. Het programma rekent deze cellen automatisch om; bij een totaaltelling worden ze negatief in de som opgenomen.</t>
  </si>
  <si>
    <t>Zelfmeting bloedstollingswaarden training</t>
  </si>
  <si>
    <t>Zelfmeting bloedstollingswaarden begeleiding</t>
  </si>
  <si>
    <t>Weging-</t>
  </si>
  <si>
    <t>Opbrengst buitenlandse patiënten</t>
  </si>
  <si>
    <t>investering-</t>
  </si>
  <si>
    <t>Korting toepassing beleidsregel investeringen (zie berekening hieronder)</t>
  </si>
  <si>
    <t>Jaarl. instandhouding</t>
  </si>
  <si>
    <t>Natalizumab</t>
  </si>
  <si>
    <t>Met betrekking tot 2005</t>
  </si>
  <si>
    <t>Met betrekking tot 2006</t>
  </si>
  <si>
    <t>Totaal verrekening opbrengsten via vaste bedragen</t>
  </si>
  <si>
    <t>Honoraria-opbrengsten voor med. special. hulp in loondienst</t>
  </si>
  <si>
    <t>Hoofd halsoncologie</t>
  </si>
  <si>
    <t>Gecombineerde klep / CABG operatie</t>
  </si>
  <si>
    <t>TAAA (aortachirurgie)</t>
  </si>
  <si>
    <t>Neurointerventie coilling ongeruptureerd</t>
  </si>
  <si>
    <t>Neurointerventie coilling geruptureerd</t>
  </si>
  <si>
    <t>Neurointerventie AVM</t>
  </si>
  <si>
    <t>Neurointerventie ballon</t>
  </si>
  <si>
    <t>Neurointerventie menigeoom</t>
  </si>
  <si>
    <t>Cystic fybrosis kinderen</t>
  </si>
  <si>
    <t>Cystic fybrosis volwassenen</t>
  </si>
  <si>
    <t>van pagina 7</t>
  </si>
  <si>
    <t>Teletherapie eenvoudig (T1) 140626</t>
  </si>
  <si>
    <t>Teletherapie standaard (T2) 140627</t>
  </si>
  <si>
    <t>Teletherapie intensief (T3) 140628</t>
  </si>
  <si>
    <t>Teletherapie bijzonder (T4) 140629</t>
  </si>
  <si>
    <t>Brachytherapie eenvoudig (B1) 140630</t>
  </si>
  <si>
    <t>Brachytherapie standaard (B2) 140631</t>
  </si>
  <si>
    <t>Brachytherapie intensief (B3) 140632</t>
  </si>
  <si>
    <t>Brachytherapie bijzonder (B4) 140633</t>
  </si>
  <si>
    <t>Brachytherapie bijzonder (B5) 140634</t>
  </si>
  <si>
    <t>Eerste implementatie BAHA</t>
  </si>
  <si>
    <t xml:space="preserve">   t.b.v. nacalculatie</t>
  </si>
  <si>
    <t>parameterwaarden</t>
  </si>
  <si>
    <t>L</t>
  </si>
  <si>
    <t>M</t>
  </si>
  <si>
    <t>opname-1</t>
  </si>
  <si>
    <t>loon</t>
  </si>
  <si>
    <t>mat.</t>
  </si>
  <si>
    <t>opname-2</t>
  </si>
  <si>
    <t>verpleegdag-1</t>
  </si>
  <si>
    <t>verpleegdag-2</t>
  </si>
  <si>
    <t>1e polikl.bezoeker-1</t>
  </si>
  <si>
    <t xml:space="preserve">1e polikl.bezoeker-2 </t>
  </si>
  <si>
    <t>dagverpleging-1</t>
  </si>
  <si>
    <t>dagverpleging-2</t>
  </si>
  <si>
    <t>"zware" dagverpleging-1</t>
  </si>
  <si>
    <r>
      <t xml:space="preserve">** De voor het jaar geldende gemiddelde normatieve rentevoet wordt </t>
    </r>
    <r>
      <rPr>
        <u/>
        <sz val="8"/>
        <rFont val="Verdana"/>
        <family val="2"/>
      </rPr>
      <t>na afloop van het jaar</t>
    </r>
    <r>
      <rPr>
        <sz val="8"/>
        <rFont val="Verdana"/>
        <family val="2"/>
      </rPr>
      <t xml:space="preserve"> door NZa berekend en gepubliceerd.</t>
    </r>
  </si>
  <si>
    <r>
      <t>Het electronische formulier is beveiligd met een wachtwoord. Dit betekent dat in het formulier geen veranderingen kunnen worden aangebracht. Als toch de wens of de noodzaak bestaat om van het formulier af te wijken, dan kunt u dit verwerken op het tabblad overige mutaties</t>
    </r>
    <r>
      <rPr>
        <sz val="9"/>
        <rFont val="Verdana"/>
        <family val="2"/>
      </rPr>
      <t>.</t>
    </r>
  </si>
  <si>
    <t>"zware" dagverpleging-2</t>
  </si>
  <si>
    <t>M14 - 1</t>
  </si>
  <si>
    <t>M14 - 2</t>
  </si>
  <si>
    <t>poliklinische bevalling -1</t>
  </si>
  <si>
    <t>poliklinische bevalling -2</t>
  </si>
  <si>
    <t>lab.1e lijn  afnames-1</t>
  </si>
  <si>
    <t>lab.1e lijn  afnames-2</t>
  </si>
  <si>
    <t>CAPD</t>
  </si>
  <si>
    <t>CAPD met EPO</t>
  </si>
  <si>
    <t>CCPD met dialysemiddelen</t>
  </si>
  <si>
    <t>CCPD met dialysemiddelen met EPO</t>
  </si>
  <si>
    <t>PTCA</t>
  </si>
  <si>
    <t>MICU ritten</t>
  </si>
  <si>
    <t>Opbrengsten 2012 ter dekking van het schaduwbudget*</t>
  </si>
  <si>
    <t>* Opbrengsten exclusief werkelijk verrekende opbrengsten via vaste bedragen in 2012 en opbrengsten beschikbaarheidsbijdrage</t>
  </si>
  <si>
    <t>Vergoedingen beschikbaarheidsbijdrage**</t>
  </si>
  <si>
    <t>Totaal opbrengsten beschikbaarheidsbijdrage</t>
  </si>
  <si>
    <t>***</t>
  </si>
  <si>
    <t>Bovengenoemde partijen verzoeken het schaduwbudget 2012 vast te stellen op:</t>
  </si>
  <si>
    <t>U dient een samenvatting te geven van de nacalculeerbare afschrijvingskosten met betrekking tot materiële vaste activa, immateriële vaste activa en huur en leasing van gebouwen / installaties. Op de regel huur en lease kunt u het afschrijvingsbestanddeel van de (goedgekeurde) huurbedragen invullen. De afschrijvingen op medische en overige inventarissen, de afschrijvingen op vaste activa, vallend onder de beleidsregel meldingsprocedure WZV en de afschrijvingen dubieuze debiteuren, dienen hier buiten beschouwing te blijven. Het betreft hier uitsluitend investeringen op basis van de normale en de zogenoemde verkorte procedures.</t>
  </si>
  <si>
    <t>1.3</t>
  </si>
  <si>
    <t>* Voor de prestatie geldt een maximum tarief per 5 minuten. (CU-2013)</t>
  </si>
  <si>
    <t>Beschikbaarheidskosten</t>
  </si>
  <si>
    <t>Capaciteitskosten - 2</t>
  </si>
  <si>
    <t>Capaciteitskosten - 1</t>
  </si>
  <si>
    <t>Productiekosten</t>
  </si>
  <si>
    <t>Kosten bijzondere functies/voorzieningen</t>
  </si>
  <si>
    <t>Multitraumapatiënten (ISS=16)</t>
  </si>
  <si>
    <t>knieën</t>
  </si>
  <si>
    <t>Hartrevalidatie</t>
  </si>
  <si>
    <t>Overig</t>
  </si>
  <si>
    <t>1e-lijnskosten</t>
  </si>
  <si>
    <t>Is voor de langlopende leningen, die zijn afgesloten na 1 januari 2001, het normrentepercentage gehanteerd dat overeenkomt met het normrentepercentage volgens de NZa-website rentenormering? Indien geen langlopende leningen zijn afgesloten na 1 januari 2001, kies dan 'nvt'.</t>
  </si>
  <si>
    <t xml:space="preserve">Zijn er WZV/WTZi-goedgekeurde onroerende zaken (ook door beheersstichtingen en / of -vennootschappen) verkocht (zie beleidsregel Verrekening boekwinsten)? </t>
  </si>
  <si>
    <t>Budgetaanpassing in verband met WZV/WTZi-goedkeuring medische en overige inventarissen</t>
  </si>
  <si>
    <t>RBU</t>
  </si>
  <si>
    <t>factor</t>
  </si>
  <si>
    <t>KNO-artsen</t>
  </si>
  <si>
    <t>Overige mutaties</t>
  </si>
  <si>
    <t>Overige mutaties (volgens bijlage overige mutaties, zie apart tabblad)</t>
  </si>
  <si>
    <t>Datum ingang wijziging</t>
  </si>
  <si>
    <t>Loondienst ja/nee</t>
  </si>
  <si>
    <t>Bedrag loondienst</t>
  </si>
  <si>
    <t>Opnamen (zie blad 10) gewogen</t>
  </si>
  <si>
    <t>OPN+</t>
  </si>
  <si>
    <t>Verpl.dagen (excl. verkeerde bed)</t>
  </si>
  <si>
    <t>VTOT+</t>
  </si>
  <si>
    <t>Eerste polikl.bezoeken (zie blad 10) gewogen</t>
  </si>
  <si>
    <t>PBZ+</t>
  </si>
  <si>
    <t>Dagverpleging I: normaal</t>
  </si>
  <si>
    <t>DAGV+</t>
  </si>
  <si>
    <t>Dagverpleging II: zwaar</t>
  </si>
  <si>
    <t>DAGV2+</t>
  </si>
  <si>
    <t>HART+</t>
  </si>
  <si>
    <t>CABG</t>
  </si>
  <si>
    <t>TAAA</t>
  </si>
  <si>
    <t>PTCA behandelingen</t>
  </si>
  <si>
    <t>PTCA+</t>
  </si>
  <si>
    <t>STENT</t>
  </si>
  <si>
    <t>DRUGES</t>
  </si>
  <si>
    <t>RADIOS</t>
  </si>
  <si>
    <t>AICD</t>
  </si>
  <si>
    <t>Catheterablatie</t>
  </si>
  <si>
    <t>CATHET</t>
  </si>
  <si>
    <t>BMTAML</t>
  </si>
  <si>
    <t>NSTIMU</t>
  </si>
  <si>
    <t>Plaatsing eenz. thalamusstimulator bij bew.st.</t>
  </si>
  <si>
    <t>TSTIP1</t>
  </si>
  <si>
    <t>Plaatsing tweez. thalamusstimulator bij bew.st.</t>
  </si>
  <si>
    <t>TSTIP2</t>
  </si>
  <si>
    <t>Vervanging eenz.thalamusstimulator bij bew.st.</t>
  </si>
  <si>
    <t>TSTIV1</t>
  </si>
  <si>
    <t>Vervanging tweez.thalamusstimulator bij bew.st.</t>
  </si>
  <si>
    <t>TSTIV2</t>
  </si>
  <si>
    <t>PLNVS</t>
  </si>
  <si>
    <t>VVNVS</t>
  </si>
  <si>
    <t>NEUCON</t>
  </si>
  <si>
    <t>NEUCGE</t>
  </si>
  <si>
    <t>NEUAVM</t>
  </si>
  <si>
    <t>NEUBAL</t>
  </si>
  <si>
    <t>NEUMEN</t>
  </si>
  <si>
    <t>Opname neonatale IC</t>
  </si>
  <si>
    <t>OPNICU</t>
  </si>
  <si>
    <t>OPPICU</t>
  </si>
  <si>
    <t>Beademingsdagen IC*</t>
  </si>
  <si>
    <t>BDAGIC</t>
  </si>
  <si>
    <t>MTISS</t>
  </si>
  <si>
    <t>Knieen</t>
  </si>
  <si>
    <t>TKNIE</t>
  </si>
  <si>
    <t>Heupen</t>
  </si>
  <si>
    <t>THEUP</t>
  </si>
  <si>
    <t>HHONC</t>
  </si>
  <si>
    <t>OESO</t>
  </si>
  <si>
    <t>Poliklinische toediening cytostatica</t>
  </si>
  <si>
    <t>PLCYT+</t>
  </si>
  <si>
    <t>Teletherapie eenvoudig (D611)</t>
  </si>
  <si>
    <t>RADT1</t>
  </si>
  <si>
    <t>Teletherapie standaard (D612)</t>
  </si>
  <si>
    <t>RADT2</t>
  </si>
  <si>
    <t>Teletherapie intensief (D613)</t>
  </si>
  <si>
    <t>RADT3</t>
  </si>
  <si>
    <t>Teletherapie bijzonder (D614)</t>
  </si>
  <si>
    <t>RADT4</t>
  </si>
  <si>
    <t>Brachytherapie eenvoudig (D621)</t>
  </si>
  <si>
    <t>RADB1</t>
  </si>
  <si>
    <t>Brachytherapie standaard (D622)</t>
  </si>
  <si>
    <t>RADB2</t>
  </si>
  <si>
    <t>Brachytherapie intensief (D623)</t>
  </si>
  <si>
    <t>RADB3</t>
  </si>
  <si>
    <t>Brachytherapie bijzonder (D624)</t>
  </si>
  <si>
    <t>RADB4</t>
  </si>
  <si>
    <t>Brachytherapie bijzonder (D625)</t>
  </si>
  <si>
    <t>RADB5</t>
  </si>
  <si>
    <t>BAHA</t>
  </si>
  <si>
    <t>In vitro fertilisatie</t>
  </si>
  <si>
    <t>INVFR+</t>
  </si>
  <si>
    <t>Hiv-opname*</t>
  </si>
  <si>
    <t>HIVOPN</t>
  </si>
  <si>
    <t>Hiv-verpleegdag*</t>
  </si>
  <si>
    <t>HIVDAG</t>
  </si>
  <si>
    <t>Hiv-polikl.bezoek*</t>
  </si>
  <si>
    <t>HIVPOL</t>
  </si>
  <si>
    <t>Hiv-dagverpleging*</t>
  </si>
  <si>
    <t>HIVDVP</t>
  </si>
  <si>
    <t>CFVOLW</t>
  </si>
  <si>
    <t>CFKIND</t>
  </si>
  <si>
    <t>Haemodialyses (H1)</t>
  </si>
  <si>
    <t>HEMO+</t>
  </si>
  <si>
    <t>C+VS+</t>
  </si>
  <si>
    <t>Haemodialyses (H4)</t>
  </si>
  <si>
    <t>H+EPO+</t>
  </si>
  <si>
    <t>C+VS++</t>
  </si>
  <si>
    <t>D310</t>
  </si>
  <si>
    <t>D311</t>
  </si>
  <si>
    <t>D312</t>
  </si>
  <si>
    <t>D313</t>
  </si>
  <si>
    <t>D330</t>
  </si>
  <si>
    <t>D333</t>
  </si>
  <si>
    <t>RBUPOL</t>
  </si>
  <si>
    <t>HRTINT</t>
  </si>
  <si>
    <t>HRTINF</t>
  </si>
  <si>
    <t>HRT&lt;10</t>
  </si>
  <si>
    <t>HRT&gt;10</t>
  </si>
  <si>
    <t>HRTPEP</t>
  </si>
  <si>
    <t>MICU2</t>
  </si>
  <si>
    <t>Aantal huisbezoeken</t>
  </si>
  <si>
    <t>HSBZKN</t>
  </si>
  <si>
    <t>Totaal aantal afnames (regel 502 t/m 504)</t>
  </si>
  <si>
    <t>AFNAMS</t>
  </si>
  <si>
    <t>ANALYS</t>
  </si>
  <si>
    <t>Deconcentratiegraad (503/(502+503))x100%</t>
  </si>
  <si>
    <t>DCNGRD</t>
  </si>
  <si>
    <t>Opbrengst productie röntgenonderzoek</t>
  </si>
  <si>
    <t>RON98</t>
  </si>
  <si>
    <t>Opbrengst productie functieonderzoek</t>
  </si>
  <si>
    <t>FUNON+</t>
  </si>
  <si>
    <t>Opbrengst poliklinische logopedie***</t>
  </si>
  <si>
    <t>FYSLO+</t>
  </si>
  <si>
    <t>ERGOTH</t>
  </si>
  <si>
    <t>Cervix-cytologisch bevolkingsonderzoek, aantallen</t>
  </si>
  <si>
    <t>CVXON+</t>
  </si>
  <si>
    <t>Poliklinische trombotests, aantallen</t>
  </si>
  <si>
    <t>TRMBP+</t>
  </si>
  <si>
    <t>De instandhoudingsinvesteringen die in 2012 in gebruik zijn genomen kunt u hier opgeven. Er wordt onderscheid gemaakt in investeringen ten laste van de jaarlijkse instandhoudingen en investeringen ten laste van trekkingsrechten.Hierbij merken wij op dat investeringen altijd eerst ten laste van de jaarlijkse instandhouding worden gebracht. Wanneer de ruimte voor jaarlijkse instandhouding volledig is benut kan de resterende investering ten laste van de ruimte voor trekkingsrechten worden gebracht.</t>
  </si>
  <si>
    <t>Op pagina 15 kunt u het kortingspercentage 2012 van de beleidsregel investeringen berekenen. De kortingspercentages voor WZV goedgekeurde investeringen t/m 2011 zijn al eerder vastgesteld. U kunt deze in het schema overnemen. Tevens kunnen budgetaanpassingen in verband met WZV-goedkeuringen voor medische en overige inventarissen (onderdeel 1) en voor artikel 2 WBMV functies (onderdeel 3) worden gespecificeerd.</t>
  </si>
  <si>
    <t xml:space="preserve">U dient hier de afschrijvingen volgens de laatste rekenstaat 2012 in te vullen en deze vervolgens te vermenigvuldigen met de aangegeven factor. Het resultaat is de normatieve boekwaarde van medische en overige inventarissen. </t>
  </si>
  <si>
    <t>Op regel 802 dienen de bedragen van regel 1533 en 1534 uit rubriek 3 werkelijke opbrengten nacalculatieformulier 2012 opgenomen te worden. Hierdoor blijven de tussentijdse verrekeningen van het financieringsoverschot 2011 en/of 2012, afgerekend in 2012, buiten het nog te verrekenen bedrag  per 31-12-2012. 
In de derde kolom worden de maandbedragen berekend op basis van 1/12 deel van het budget op kasbasis volgens de laatst bekende rekenstaat 2012 aangevuld met de budgetmutaties volgens het nacalculatieformulier 2012 uitgezonderd de rentemutatie. Het totaal van deze kolom dient gelijk te zijn aan het bedrag op pagina 17, regel 1716. In de vierde kolom dient per maand te worden aangegeven de declaratiewaarde van de productie in die maand, ongeacht het moment van factureren. Opbrengsten van toeslagen die zijn afgegeven voor de verrekening van de lumpsum (specialistenhonorering) dienen buiten beschouwing te blijven.</t>
  </si>
  <si>
    <t>Eribuline</t>
  </si>
  <si>
    <t>ChondroCelect</t>
  </si>
  <si>
    <t>Crisantaspase</t>
  </si>
  <si>
    <t>Catumaxomab</t>
  </si>
  <si>
    <t>Cabazitaxel</t>
  </si>
  <si>
    <t>Netto</t>
  </si>
  <si>
    <t>inkoopkosten</t>
  </si>
  <si>
    <t>Verteporfine</t>
  </si>
  <si>
    <t xml:space="preserve">Methylaminolevulinaat </t>
  </si>
  <si>
    <t>Temoporfine</t>
  </si>
  <si>
    <t>Paclitaxel albumine gebonden</t>
  </si>
  <si>
    <t>193301; 193302</t>
  </si>
  <si>
    <t>193304; 193305</t>
  </si>
  <si>
    <t>193306; 193307</t>
  </si>
  <si>
    <t>193324; 193325</t>
  </si>
  <si>
    <t>193352; 193353</t>
  </si>
  <si>
    <t>Collagenase clostridium histolyticum</t>
  </si>
  <si>
    <t>Amfotericine B in lipidecomplex</t>
  </si>
  <si>
    <r>
      <t>Dure geneesmiddelen</t>
    </r>
    <r>
      <rPr>
        <b/>
        <sz val="9"/>
        <rFont val="Calibri"/>
        <family val="2"/>
      </rPr>
      <t>¹</t>
    </r>
  </si>
  <si>
    <t>Amfotericine B liposomaal</t>
  </si>
  <si>
    <r>
      <t>Infliximab</t>
    </r>
    <r>
      <rPr>
        <sz val="8"/>
        <rFont val="Verdana"/>
        <family val="2"/>
      </rPr>
      <t>²</t>
    </r>
  </si>
  <si>
    <t>Bevacizumab³</t>
  </si>
  <si>
    <t xml:space="preserve">3) Voor de indicatie 'eerstelijnsbehandeling van gevorderde (FIGO stadia IIIB, IIIC en IV) epitheliaal ovarium-, tuba- of primair peritoneaal carcinoom' geldt (in uitzondering op de vermelde indicaties bij bevacizumab op de add-on lijst) geen vergoeding in het schaduwbudget. </t>
  </si>
  <si>
    <r>
      <t>Alemtuzumab</t>
    </r>
    <r>
      <rPr>
        <vertAlign val="superscript"/>
        <sz val="9"/>
        <rFont val="Verdana"/>
        <family val="2"/>
      </rPr>
      <t>4</t>
    </r>
  </si>
  <si>
    <t xml:space="preserve">4) Voor de indicatie '3e lijnsbehandeling chronische lymfocytaire leukemie' geldt (in uitzondering op de vermelde indicaties bij alemtuzumab op de add-on lijst) geen vergoeding in het schaduwbudget. </t>
  </si>
  <si>
    <r>
      <t>Cetuximab</t>
    </r>
    <r>
      <rPr>
        <vertAlign val="superscript"/>
        <sz val="9"/>
        <rFont val="Verdana"/>
        <family val="2"/>
      </rPr>
      <t>5</t>
    </r>
  </si>
  <si>
    <t>6) Indien eerste toediening vóór 1 januari 2012 heeft plaatsgevonden (intramuraal): 80% netto inkoopkosten. Indien de behandeling op of na 1 januari 2012 is gestart: 100% gedeclareerde add-on omzet (dit geldt voor alle behandelingen, dus voormalig extramuraal bekostigde behandelingen en álle (zowel intra- als extramurale) behandelingen gestart op of na 1 januari 2012). Voormalig extramurale behandelingen, gestart vóór 1 januari 2012, die na 1 januari 2012 worden voortgezet, worden in het kader van de bekostiging als nieuwe behandeling beschouwd.</t>
  </si>
  <si>
    <t>7) Indien toediening vóór 1 januari 2012 heeft plaatsgevonden (intramuraal): 80% netto inkoopkosten. Indien toediening op of na 1 januari 2012 is gestart: 95% netto inkoopkosten</t>
  </si>
  <si>
    <t xml:space="preserve">5) Voor de indicatie 'Derdelijnsbehandeling van gemetastaseerde colorectale kanker bij patiënten met een niet-gemuteerd KRAS-gen (mCRC)' geldt in het schaduwbudget (in uitzondering op de vermelde indicaties bij cetuximab op de add-on lijst) een vergoeding van 80% * 0,92 * de inkoopprijs. </t>
  </si>
  <si>
    <r>
      <t>Abatacept</t>
    </r>
    <r>
      <rPr>
        <vertAlign val="superscript"/>
        <sz val="9"/>
        <rFont val="Verdana"/>
        <family val="2"/>
      </rPr>
      <t>6</t>
    </r>
  </si>
  <si>
    <t>2) Indien eerste toediening vóór 1 januari 2012 heeft plaatsgevonden (intramuraal): 80% netto inkoopkosten. Uitzondering hierop: Uitsluitend voor gebruik bij patiënten behandeld worden voor reumatoïde artritis met Infliximab en bij wie de eerste toediening heeft plaatsgevonden voor 1 mei 2004 geldt een vergoeding van 100% van de netto inkoopkosten. Indien behandeling op of na 1 januari 2012 is gestart: 100% gedeclareerde add-on omzet (dit geldt voor alle behandelingen, dus voormalig extramuraal bekostigde behandelingen en álle (zowel intra- als extramurale) behandelingen gestart op of na 1 januari 2012). Voormalig extramurale behandelingen, gestart vóór 1 januari 2012, die na 1 januari 2012 worden voortgezet, worden in het kader van de bekostiging als nieuwe behandeling beschouwd.</t>
  </si>
  <si>
    <t>Infliximab²</t>
  </si>
  <si>
    <t>191801 t/m 191803</t>
  </si>
  <si>
    <t>Aafact</t>
  </si>
  <si>
    <t>191804 t/m 191809</t>
  </si>
  <si>
    <t>Advate</t>
  </si>
  <si>
    <t>191810 t/m 191813</t>
  </si>
  <si>
    <t>Benefix</t>
  </si>
  <si>
    <t>Ceprotin</t>
  </si>
  <si>
    <t>Factor X P Behring</t>
  </si>
  <si>
    <t>Feiba S-TIM 4</t>
  </si>
  <si>
    <t>Fibrogammin P</t>
  </si>
  <si>
    <t>191827 t/m 191829</t>
  </si>
  <si>
    <t>Haemate P</t>
  </si>
  <si>
    <t>Haemocomplettan P</t>
  </si>
  <si>
    <t>191831 t/m 191834</t>
  </si>
  <si>
    <t>Helixate Nex Gen</t>
  </si>
  <si>
    <t>Immunine</t>
  </si>
  <si>
    <t>191845 t/m 191849</t>
  </si>
  <si>
    <t>Kogenate Bayer</t>
  </si>
  <si>
    <t>Mononine</t>
  </si>
  <si>
    <t>Nonafact</t>
  </si>
  <si>
    <t>191856 t/m 191859</t>
  </si>
  <si>
    <t>Novoseven</t>
  </si>
  <si>
    <t>191862 t/m 191865</t>
  </si>
  <si>
    <t>ReFacto AF</t>
  </si>
  <si>
    <t>Wilate</t>
  </si>
  <si>
    <t>Wilfactin</t>
  </si>
  <si>
    <t>Antitrombine III concentraat immuno</t>
  </si>
  <si>
    <t>191871 t/m 191873</t>
  </si>
  <si>
    <t>Atenative</t>
  </si>
  <si>
    <t>Beriplex P/N</t>
  </si>
  <si>
    <t>Cofact</t>
  </si>
  <si>
    <t>Hemoleven Factor XI preparaat</t>
  </si>
  <si>
    <t>Nanotiv</t>
  </si>
  <si>
    <t>191881 t/m 191883</t>
  </si>
  <si>
    <t>Octanate</t>
  </si>
  <si>
    <t>1) De toegestane indicaties bij de hier genoemde stofnamen (add-ons) zijn vermeld in de add-on lijst bij de beleidsregel "Prestaties en tarieven medisch specialistische zorg".</t>
  </si>
  <si>
    <t>191814; 191815</t>
  </si>
  <si>
    <t>191817; 191818</t>
  </si>
  <si>
    <t>191823; 191824</t>
  </si>
  <si>
    <t>191825; 191826</t>
  </si>
  <si>
    <t>191843; 191844</t>
  </si>
  <si>
    <t>191850; 191851</t>
  </si>
  <si>
    <t>191854; 191855</t>
  </si>
  <si>
    <t>191866; 191867</t>
  </si>
  <si>
    <t>191869; 191870</t>
  </si>
  <si>
    <t>191874; 191875</t>
  </si>
  <si>
    <t>191876; 191877</t>
  </si>
  <si>
    <t>191879; 191880</t>
  </si>
  <si>
    <t>191890; 191891</t>
  </si>
  <si>
    <t>191892; 191893</t>
  </si>
  <si>
    <t>193349; 193350</t>
  </si>
  <si>
    <t>193314 t/m 193317</t>
  </si>
  <si>
    <t>193310 t/m 193312</t>
  </si>
  <si>
    <t>193336 t/m 193338</t>
  </si>
  <si>
    <t>1.4.2 Geneesmiddelen 100% vergoeding netto inkoopkosten</t>
  </si>
  <si>
    <t>1.4.3 Geneesmiddelen 100% vergoeding gedeclareerde add-on omzet</t>
  </si>
  <si>
    <t>Gedeclareerde</t>
  </si>
  <si>
    <t>add-on omzet</t>
  </si>
  <si>
    <t>Totaal geneesmiddelen 100% vergoeding gedeclareerde add-on omzet</t>
  </si>
  <si>
    <t>Totaal geneesmiddelen 100% vergoeding netto inkoopkosten</t>
  </si>
  <si>
    <t>1.4.5</t>
  </si>
  <si>
    <t>1.4.4</t>
  </si>
  <si>
    <t>Vemurafenib</t>
  </si>
  <si>
    <r>
      <t>Ipilimumab</t>
    </r>
    <r>
      <rPr>
        <vertAlign val="superscript"/>
        <sz val="9"/>
        <rFont val="Verdana"/>
        <family val="2"/>
      </rPr>
      <t>7</t>
    </r>
  </si>
  <si>
    <t>Geneesmiddelen met een afwijkende vergoeding (80% * 0,92)</t>
  </si>
  <si>
    <t>Totaal geneesmiddelen afwijkende vergoeding  (80% * 0,92)</t>
  </si>
  <si>
    <t>Geneesmiddelen met een afwijkende vergoeding (95%)</t>
  </si>
  <si>
    <t>Totaal geneesmiddelen afwijkende vergoeding (95%)</t>
  </si>
  <si>
    <t>Rituximab (Mabthera)</t>
  </si>
  <si>
    <t>Factor VII Baxter concentraat</t>
  </si>
  <si>
    <t xml:space="preserve">Azacitidine </t>
  </si>
  <si>
    <t xml:space="preserve">Doxorubicine liposomaal PEG </t>
  </si>
  <si>
    <r>
      <t>Trabectedine</t>
    </r>
    <r>
      <rPr>
        <vertAlign val="superscript"/>
        <sz val="9"/>
        <rFont val="Verdana"/>
        <family val="2"/>
      </rPr>
      <t>8</t>
    </r>
  </si>
  <si>
    <t xml:space="preserve">8) Voor de indicatie 'recidief ovariumcarcinoom' geldt een vergoeding van 80% van de netto inkoopkosten in het schaduwbudget. </t>
  </si>
  <si>
    <t>Toelichting</t>
  </si>
  <si>
    <t>Hemostatica (stollingsfactoren</t>
  </si>
  <si>
    <t>Overige geneesmiddelen</t>
  </si>
  <si>
    <t xml:space="preserve">Let op dat u bij het invullen ook aandacht besteed aan de opmerkingen in de voetnoten. Hierin wordt een aanvullende toelichting gegeven over de vergoeding in het schaduwbudget per indicatie. Namelijk kunnen per indicatie bij één stofnaam verschillende vergoedingen bestaan in het schaduwbudget. </t>
  </si>
  <si>
    <t>Bovengenoemde partijen verzoeken de omzet uit prestatiebekostiging 2012 vast te stellen op:</t>
  </si>
  <si>
    <t>Vragenlijst berekening transitiebedrag</t>
  </si>
  <si>
    <t>Is voor de bepaling van de voor vergoeding in het schaduwbudget in aanmerking te nemen kosten van de geneesmiddelen uitgegaan van de netto inkoopprijs, dat wil zeggen de inkoopprijs (volgens taxe) na aftrek van eventuele kortingen en bonussen?</t>
  </si>
  <si>
    <t>Is vastgesteld dat de in het schaduwbudget opgenomen productieparameters behoren tot de DBC's van het zogenaamde oude DBC-A segment?</t>
  </si>
  <si>
    <t>Is de Handreiking omzetverantwoording 2012 gevolgd en zijn eventuele afwijkingen hiervan toegelicht?</t>
  </si>
  <si>
    <t>Vervolg VRAGENLIJST BEREKENING TRANSITIEBEDRAG</t>
  </si>
  <si>
    <t>Productie/aanvullende inkomsten</t>
  </si>
  <si>
    <t>Aantal extra bijlagen bij het formulier:</t>
  </si>
  <si>
    <t>contact zorgaanbieder</t>
  </si>
  <si>
    <t>1.1 realisatie</t>
  </si>
  <si>
    <t>Dubieuze debiteuren</t>
  </si>
  <si>
    <t>KDD</t>
  </si>
  <si>
    <t>LSCHOL</t>
  </si>
  <si>
    <t>Aantal leerlingen per 1 oktober 2011</t>
  </si>
  <si>
    <t>Klinische en dagverpleging adherentie 2010</t>
  </si>
  <si>
    <t>Poliklinische adherentie 2010</t>
  </si>
  <si>
    <t>KLAD</t>
  </si>
  <si>
    <t>POAD</t>
  </si>
  <si>
    <t>Abatacept6</t>
  </si>
  <si>
    <t>Ipilimumab7</t>
  </si>
  <si>
    <t>Trabectedine8</t>
  </si>
  <si>
    <t>Ad ons</t>
  </si>
  <si>
    <t>optelsom</t>
  </si>
  <si>
    <t>Hiervoor verwijzen we naar de Handreiking omzetverantwoording 2012 (bijlage bij circulaire CI/13/9c d.d. 11 februari 2012</t>
  </si>
  <si>
    <t>Hebben de opbrengsten op regel 1738 t/m regel 1745 alleen betrekking op de jaren 2005 t/m 2011 en zijn deze daadwerkelijk verrekend in 2012?</t>
  </si>
  <si>
    <t>In dit formulier wordt verwezen naar beleidsregels die zijn opgegaan in de beleidsregel Transitie Bekostigingsstructuur Medisch Specialistische Zorg.</t>
  </si>
  <si>
    <t>optelsom   verwijderd</t>
  </si>
  <si>
    <t>Ziekenhuis Rijnstate</t>
  </si>
  <si>
    <t>* U dient conform beleidsregel "Transitie bekostigingsstructuur medisch specialistische zorg" en nadere regeling "Transitie bekostigingsstructuur medisch specialistische zorg" het ingevulde formulier (Excel) en het ondertekende voorblad (PDF) elektronisch naar de NZa toe te zenden. U wordt verzocht uw mail met bijlages te sturen naar info@nza.nl.</t>
  </si>
  <si>
    <t>In haar beoordeling let de NZa onder andere en voor zover van toepassing op de volgende punten:</t>
  </si>
  <si>
    <t>-          de juiste afschrijvingspercentages worden gehanteerd,</t>
  </si>
  <si>
    <t>-          geen versnelde afschrijving wordt toegepast,</t>
  </si>
  <si>
    <t>-          geen beroep wordt gedaan op de IVA-regeling, de garantieregeling kapitaallasten of  de (BR 1085) Overgangsregime kapitaallastenvergoeding,</t>
  </si>
  <si>
    <t>-          de jaarlijkse instandhouding eerst volledig wordt gebruikt voordat trekkingsrechten worden aangesproken,</t>
  </si>
  <si>
    <t>-          alleen wordt afgeschreven op in gebruik genomen activa,</t>
  </si>
  <si>
    <t>-          doorbelaste kapitaallasten juist worden verwerkt,</t>
  </si>
  <si>
    <t>-          juiste aansluiting bestaat van werkelijke relevante huurkosten,</t>
  </si>
  <si>
    <t>-          de juiste splitsing wordt gedaan in VWS-deel en OCW-deel.</t>
  </si>
  <si>
    <t>U wordt verzocht deze punten mee te nemen in de onderbouwing van uw aanvraag.</t>
  </si>
  <si>
    <t>De totale instandhoudingsinvesteringen in een jaar worden zoveel als mogelijk toegerekend aan de nog niet benutte investeringsmogelijkheden van het onderdeel jaarlijkse instandhoudingsinvesteringen. (art 116. BR/CU-2080). Dit betekent dat de ruimte uit jaarlijkse instandhouding op nul moet staan voordat de trekkingsrechten kunnen worden aangesproken.</t>
  </si>
  <si>
    <t>De NZA hanteert de vastgestelde afschrijvingspercentages bij de beoordeling van het ingediende formulier 'Vaststelling transitiebedrag'. In kolom 'afschr. %' staande van toepassing zijnde percentages. Voor mutaties ten opzichte van de budgetvergoeding 2011 dient per afzonderlijke post een aansluiting te maken met de NZA-regelgeving. U kunt daarbij verwijzen naar de ingebruikgenomen investeringen (met verwijzing naar paginanummers uit de  jaarrekening) en het vastgestelde afschrijvingspercentage.</t>
  </si>
  <si>
    <t>In gebruikgenomen investering (minimaal)*</t>
  </si>
  <si>
    <t>* De aangevraagde afschrijvingskosten hebben betrekking op het oude A-segment</t>
  </si>
  <si>
    <t>Voorzover u Prismant niet hebt gemachtigd om de opgegeven adherenties rechtstreeks aan de NZa ter beschikking te stellen, dient u een kopie van de opgave van Prismant mee te zenden. Op basis van de aantallen 2008, 2009 en 2010 wordt de schaduwbudgetvergoeding berekend.</t>
  </si>
  <si>
    <t>Nacalculatie mutatie</t>
  </si>
  <si>
    <t>ruimte voor toelichting</t>
  </si>
  <si>
    <t>Jaarrekening paginanr.</t>
  </si>
  <si>
    <t>Definitieve Vaststelling Transitiebedrag</t>
  </si>
  <si>
    <t>PDELTA</t>
  </si>
  <si>
    <t>verwijderd</t>
  </si>
  <si>
    <t>remicade</t>
  </si>
  <si>
    <t>eenmalig overal op nul zetten</t>
  </si>
  <si>
    <t>MREMIC</t>
  </si>
  <si>
    <t>Inzenden vóór 1 september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</si>
</sst>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64" formatCode="_-* #,##0.00_-;_-* #,##0.00\-;_-* &quot;-&quot;??_-;_-@_-"/>
    <numFmt numFmtId="165" formatCode="0.0000"/>
    <numFmt numFmtId="166" formatCode="#,##0.0_-;#,##0.0\-"/>
    <numFmt numFmtId="167" formatCode="0.000"/>
    <numFmt numFmtId="168" formatCode="#,##0_ ;[Red]\-#,##0\ "/>
    <numFmt numFmtId="169" formatCode="#,##0.0"/>
    <numFmt numFmtId="170" formatCode="#,##0;\(#,##0\);"/>
    <numFmt numFmtId="171" formatCode="0.0%"/>
    <numFmt numFmtId="172" formatCode="#,##0.0000"/>
    <numFmt numFmtId="173" formatCode="#,##0_ \ ;\(#,##0\)_ ;"/>
    <numFmt numFmtId="174" formatCode="#,##0\ ;\(#,##0\);"/>
    <numFmt numFmtId="175" formatCode="#,##0_ ;\(#,##0\);"/>
    <numFmt numFmtId="176" formatCode="\(#,##0\)_ ;#,##0_ \ ;\ \(* \)_ "/>
    <numFmt numFmtId="177" formatCode="#,##0_ ;;"/>
    <numFmt numFmtId="178" formatCode="0\ ;"/>
    <numFmt numFmtId="179" formatCode="\ \ƒ* #,##0_ \ ;\ \ƒ* ;\ \ƒ* "/>
    <numFmt numFmtId="180" formatCode="#,##0.00_ ;\-#,##0.00\ "/>
    <numFmt numFmtId="181" formatCode="#,##0.00_ ;[Red]\-#,##0.00\ "/>
    <numFmt numFmtId="182" formatCode="0.0"/>
    <numFmt numFmtId="183" formatCode="_-* #,##0_-;_-* #,##0\-;_-* &quot;-&quot;??_-;_-@_-"/>
    <numFmt numFmtId="184" formatCode="dd/mm/yy;@"/>
    <numFmt numFmtId="185" formatCode="d/mm/yy;@"/>
    <numFmt numFmtId="186" formatCode="#,##0.00000"/>
  </numFmts>
  <fonts count="48" x14ac:knownFonts="1">
    <font>
      <sz val="10"/>
      <name val="Arial"/>
    </font>
    <font>
      <sz val="10"/>
      <name val="Arial"/>
      <family val="2"/>
    </font>
    <font>
      <b/>
      <sz val="10"/>
      <name val="Arial"/>
      <family val="2"/>
    </font>
    <font>
      <sz val="8"/>
      <name val="Arial"/>
      <family val="2"/>
    </font>
    <font>
      <sz val="10"/>
      <name val="Arial"/>
      <family val="2"/>
    </font>
    <font>
      <b/>
      <sz val="8"/>
      <name val="Arial"/>
      <family val="2"/>
    </font>
    <font>
      <sz val="9"/>
      <name val="Arial"/>
      <family val="2"/>
    </font>
    <font>
      <b/>
      <sz val="9"/>
      <name val="Arial"/>
      <family val="2"/>
    </font>
    <font>
      <sz val="10"/>
      <name val="Helv"/>
    </font>
    <font>
      <b/>
      <sz val="14"/>
      <name val="Helv"/>
    </font>
    <font>
      <sz val="24"/>
      <color indexed="13"/>
      <name val="Helv"/>
    </font>
    <font>
      <u/>
      <sz val="10"/>
      <color indexed="12"/>
      <name val="Arial"/>
      <family val="2"/>
    </font>
    <font>
      <sz val="8"/>
      <name val="Arial"/>
      <family val="2"/>
    </font>
    <font>
      <sz val="9"/>
      <name val="Arial"/>
      <family val="2"/>
    </font>
    <font>
      <b/>
      <sz val="8"/>
      <name val="Verdana"/>
      <family val="2"/>
    </font>
    <font>
      <sz val="10"/>
      <name val="Verdana"/>
      <family val="2"/>
    </font>
    <font>
      <sz val="10"/>
      <color indexed="9"/>
      <name val="Verdana"/>
      <family val="2"/>
    </font>
    <font>
      <b/>
      <sz val="10"/>
      <name val="Verdana"/>
      <family val="2"/>
    </font>
    <font>
      <sz val="9"/>
      <name val="Verdana"/>
      <family val="2"/>
    </font>
    <font>
      <b/>
      <sz val="9"/>
      <name val="Verdana"/>
      <family val="2"/>
    </font>
    <font>
      <sz val="8"/>
      <name val="Verdana"/>
      <family val="2"/>
    </font>
    <font>
      <sz val="9"/>
      <color indexed="47"/>
      <name val="Verdana"/>
      <family val="2"/>
    </font>
    <font>
      <b/>
      <sz val="9"/>
      <color indexed="9"/>
      <name val="Verdana"/>
      <family val="2"/>
    </font>
    <font>
      <u/>
      <sz val="9"/>
      <name val="Verdana"/>
      <family val="2"/>
    </font>
    <font>
      <sz val="9"/>
      <color indexed="8"/>
      <name val="Verdana"/>
      <family val="2"/>
    </font>
    <font>
      <sz val="9"/>
      <color indexed="9"/>
      <name val="Verdana"/>
      <family val="2"/>
    </font>
    <font>
      <b/>
      <i/>
      <sz val="9"/>
      <name val="Verdana"/>
      <family val="2"/>
    </font>
    <font>
      <b/>
      <sz val="14"/>
      <name val="Verdana"/>
      <family val="2"/>
    </font>
    <font>
      <b/>
      <sz val="10"/>
      <name val="Arial"/>
      <family val="2"/>
    </font>
    <font>
      <i/>
      <sz val="9"/>
      <name val="Verdana"/>
      <family val="2"/>
    </font>
    <font>
      <sz val="9"/>
      <color indexed="10"/>
      <name val="Verdana"/>
      <family val="2"/>
    </font>
    <font>
      <b/>
      <sz val="9"/>
      <color indexed="8"/>
      <name val="Verdana"/>
      <family val="2"/>
    </font>
    <font>
      <b/>
      <sz val="8"/>
      <color indexed="9"/>
      <name val="Verdana"/>
      <family val="2"/>
    </font>
    <font>
      <sz val="9"/>
      <color indexed="22"/>
      <name val="Verdana"/>
      <family val="2"/>
    </font>
    <font>
      <sz val="10"/>
      <color indexed="10"/>
      <name val="Verdana"/>
      <family val="2"/>
    </font>
    <font>
      <sz val="9"/>
      <color indexed="55"/>
      <name val="Verdana"/>
      <family val="2"/>
    </font>
    <font>
      <sz val="9"/>
      <color indexed="55"/>
      <name val="Arial"/>
      <family val="2"/>
    </font>
    <font>
      <vertAlign val="superscript"/>
      <sz val="8"/>
      <name val="Verdana"/>
      <family val="2"/>
    </font>
    <font>
      <vertAlign val="superscript"/>
      <sz val="9"/>
      <name val="Verdana"/>
      <family val="2"/>
    </font>
    <font>
      <u/>
      <sz val="8"/>
      <name val="Verdana"/>
      <family val="2"/>
    </font>
    <font>
      <sz val="10"/>
      <color indexed="55"/>
      <name val="Arial"/>
      <family val="2"/>
    </font>
    <font>
      <b/>
      <vertAlign val="subscript"/>
      <sz val="9"/>
      <name val="Verdana"/>
      <family val="2"/>
    </font>
    <font>
      <sz val="10"/>
      <color indexed="10"/>
      <name val="Arial"/>
      <family val="2"/>
    </font>
    <font>
      <b/>
      <sz val="9"/>
      <name val="Calibri"/>
      <family val="2"/>
    </font>
    <font>
      <sz val="10"/>
      <color rgb="FFFF0000"/>
      <name val="Arial"/>
      <family val="2"/>
    </font>
    <font>
      <sz val="16"/>
      <name val="Verdana"/>
      <family val="2"/>
    </font>
    <font>
      <sz val="8"/>
      <color rgb="FF000000"/>
      <name val="Tahoma"/>
      <family val="2"/>
    </font>
    <font>
      <sz val="9"/>
      <color theme="0"/>
      <name val="Verdana"/>
      <family val="2"/>
    </font>
  </fonts>
  <fills count="15">
    <fill>
      <patternFill patternType="none"/>
    </fill>
    <fill>
      <patternFill patternType="gray125"/>
    </fill>
    <fill>
      <patternFill patternType="solid">
        <fgColor indexed="13"/>
      </patternFill>
    </fill>
    <fill>
      <patternFill patternType="solid">
        <fgColor indexed="43"/>
        <bgColor indexed="64"/>
      </patternFill>
    </fill>
    <fill>
      <patternFill patternType="solid">
        <fgColor indexed="12"/>
      </patternFill>
    </fill>
    <fill>
      <patternFill patternType="solid">
        <fgColor indexed="9"/>
        <bgColor indexed="64"/>
      </patternFill>
    </fill>
    <fill>
      <patternFill patternType="solid">
        <fgColor indexed="14"/>
        <bgColor indexed="64"/>
      </patternFill>
    </fill>
    <fill>
      <patternFill patternType="solid">
        <fgColor indexed="22"/>
        <bgColor indexed="64"/>
      </patternFill>
    </fill>
    <fill>
      <patternFill patternType="solid">
        <fgColor indexed="10"/>
        <bgColor indexed="64"/>
      </patternFill>
    </fill>
    <fill>
      <patternFill patternType="solid">
        <fgColor indexed="47"/>
        <bgColor indexed="64"/>
      </patternFill>
    </fill>
    <fill>
      <patternFill patternType="solid">
        <fgColor theme="0"/>
        <bgColor indexed="64"/>
      </patternFill>
    </fill>
    <fill>
      <patternFill patternType="solid">
        <fgColor rgb="FFCCCCFF"/>
        <bgColor indexed="64"/>
      </patternFill>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s>
  <borders count="54">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right/>
      <top/>
      <bottom style="hair">
        <color indexed="64"/>
      </bottom>
      <diagonal/>
    </border>
    <border>
      <left/>
      <right/>
      <top style="thin">
        <color indexed="64"/>
      </top>
      <bottom style="hair">
        <color indexed="64"/>
      </bottom>
      <diagonal/>
    </border>
    <border>
      <left/>
      <right/>
      <top/>
      <bottom style="thin">
        <color indexed="64"/>
      </bottom>
      <diagonal/>
    </border>
    <border>
      <left style="hair">
        <color indexed="64"/>
      </left>
      <right/>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right style="hair">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hair">
        <color indexed="64"/>
      </top>
      <bottom/>
      <diagonal/>
    </border>
    <border>
      <left/>
      <right/>
      <top style="hair">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hair">
        <color indexed="64"/>
      </left>
      <right style="hair">
        <color indexed="64"/>
      </right>
      <top style="hair">
        <color indexed="64"/>
      </top>
      <bottom style="medium">
        <color indexed="64"/>
      </bottom>
      <diagonal/>
    </border>
    <border>
      <left/>
      <right style="hair">
        <color indexed="64"/>
      </right>
      <top/>
      <bottom style="medium">
        <color indexed="64"/>
      </bottom>
      <diagonal/>
    </border>
    <border>
      <left style="hair">
        <color indexed="64"/>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s>
  <cellStyleXfs count="33">
    <xf numFmtId="0" fontId="0" fillId="0" borderId="0" applyFill="0" applyBorder="0"/>
    <xf numFmtId="0" fontId="8" fillId="0" borderId="0"/>
    <xf numFmtId="0" fontId="8" fillId="0" borderId="1"/>
    <xf numFmtId="0" fontId="11" fillId="0" borderId="0" applyNumberFormat="0" applyFill="0" applyBorder="0" applyAlignment="0" applyProtection="0">
      <alignment vertical="top"/>
      <protection locked="0"/>
    </xf>
    <xf numFmtId="164" fontId="1" fillId="0" borderId="0" applyFont="0" applyFill="0" applyBorder="0" applyAlignment="0" applyProtection="0"/>
    <xf numFmtId="0" fontId="9" fillId="2" borderId="1"/>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1" fillId="0" borderId="0" applyFont="0" applyFill="0" applyBorder="0" applyAlignment="0" applyProtection="0"/>
    <xf numFmtId="0" fontId="8" fillId="0" borderId="0"/>
    <xf numFmtId="0" fontId="1" fillId="0" borderId="0"/>
    <xf numFmtId="0" fontId="1" fillId="0" borderId="0" applyFill="0" applyBorder="0"/>
    <xf numFmtId="0" fontId="1" fillId="0" borderId="0"/>
    <xf numFmtId="0" fontId="1" fillId="0" borderId="0"/>
    <xf numFmtId="0" fontId="1" fillId="0" borderId="0" applyFill="0" applyBorder="0"/>
    <xf numFmtId="0" fontId="1" fillId="0" borderId="0"/>
    <xf numFmtId="0" fontId="1" fillId="0" borderId="0" applyFill="0" applyBorder="0"/>
    <xf numFmtId="0" fontId="1" fillId="0" borderId="0"/>
    <xf numFmtId="173" fontId="6" fillId="0" borderId="2" applyFill="0" applyBorder="0"/>
    <xf numFmtId="179" fontId="6" fillId="0" borderId="2" applyFill="0" applyBorder="0"/>
    <xf numFmtId="176" fontId="6" fillId="0" borderId="2" applyFill="0" applyBorder="0"/>
    <xf numFmtId="173" fontId="7" fillId="3" borderId="3"/>
    <xf numFmtId="176" fontId="7" fillId="3" borderId="3"/>
    <xf numFmtId="0" fontId="8" fillId="0" borderId="1"/>
    <xf numFmtId="0" fontId="10" fillId="4" borderId="0"/>
    <xf numFmtId="0" fontId="9" fillId="0" borderId="4"/>
    <xf numFmtId="0" fontId="9" fillId="0" borderId="1"/>
  </cellStyleXfs>
  <cellXfs count="1544">
    <xf numFmtId="0" fontId="0" fillId="0" borderId="0" xfId="0"/>
    <xf numFmtId="0" fontId="2" fillId="0" borderId="0" xfId="0" applyNumberFormat="1" applyFont="1" applyAlignment="1" applyProtection="1">
      <protection hidden="1"/>
    </xf>
    <xf numFmtId="0" fontId="0" fillId="0" borderId="0" xfId="0" applyAlignment="1" applyProtection="1">
      <protection hidden="1"/>
    </xf>
    <xf numFmtId="0" fontId="3" fillId="0" borderId="0" xfId="0" applyFont="1" applyAlignment="1" applyProtection="1">
      <alignment vertical="center"/>
      <protection hidden="1"/>
    </xf>
    <xf numFmtId="0" fontId="7" fillId="0" borderId="0" xfId="0" applyNumberFormat="1" applyFont="1" applyBorder="1" applyAlignment="1" applyProtection="1">
      <protection hidden="1"/>
    </xf>
    <xf numFmtId="0" fontId="7" fillId="0" borderId="0" xfId="0" applyNumberFormat="1" applyFont="1" applyAlignment="1" applyProtection="1">
      <protection hidden="1"/>
    </xf>
    <xf numFmtId="0" fontId="6" fillId="0" borderId="0" xfId="0" applyFont="1" applyAlignment="1" applyProtection="1">
      <protection hidden="1"/>
    </xf>
    <xf numFmtId="0" fontId="6" fillId="0" borderId="0" xfId="0" applyFont="1" applyAlignment="1" applyProtection="1">
      <alignment horizontal="left"/>
      <protection hidden="1"/>
    </xf>
    <xf numFmtId="0" fontId="7" fillId="0" borderId="0" xfId="0" applyFont="1" applyBorder="1" applyAlignment="1" applyProtection="1">
      <protection hidden="1"/>
    </xf>
    <xf numFmtId="0" fontId="7" fillId="0" borderId="0" xfId="0" applyFont="1" applyAlignment="1" applyProtection="1">
      <protection hidden="1"/>
    </xf>
    <xf numFmtId="0" fontId="7" fillId="0" borderId="0" xfId="0" applyNumberFormat="1" applyFont="1" applyFill="1" applyBorder="1" applyAlignment="1" applyProtection="1">
      <protection hidden="1"/>
    </xf>
    <xf numFmtId="0" fontId="6" fillId="0" borderId="0" xfId="0" applyFont="1" applyFill="1" applyBorder="1" applyAlignment="1" applyProtection="1">
      <protection hidden="1"/>
    </xf>
    <xf numFmtId="0" fontId="6" fillId="0" borderId="0" xfId="0" applyFont="1" applyBorder="1" applyAlignment="1" applyProtection="1">
      <protection hidden="1"/>
    </xf>
    <xf numFmtId="0" fontId="6" fillId="0" borderId="0" xfId="0" applyFont="1" applyBorder="1" applyAlignment="1" applyProtection="1">
      <alignment vertical="center"/>
      <protection hidden="1"/>
    </xf>
    <xf numFmtId="0" fontId="6" fillId="0" borderId="0" xfId="0" applyFont="1" applyAlignment="1" applyProtection="1">
      <alignment vertical="center"/>
      <protection hidden="1"/>
    </xf>
    <xf numFmtId="0" fontId="4" fillId="0" borderId="0" xfId="0" applyFont="1" applyAlignment="1" applyProtection="1">
      <protection hidden="1"/>
    </xf>
    <xf numFmtId="0" fontId="4" fillId="0" borderId="0" xfId="0" applyFont="1" applyBorder="1" applyAlignment="1" applyProtection="1">
      <protection hidden="1"/>
    </xf>
    <xf numFmtId="49" fontId="6" fillId="0" borderId="0" xfId="0" applyNumberFormat="1" applyFont="1" applyBorder="1" applyAlignment="1" applyProtection="1">
      <alignment horizontal="center"/>
      <protection hidden="1"/>
    </xf>
    <xf numFmtId="0" fontId="7" fillId="0" borderId="0" xfId="0" applyFont="1" applyFill="1" applyBorder="1" applyAlignment="1" applyProtection="1">
      <protection hidden="1"/>
    </xf>
    <xf numFmtId="0" fontId="4" fillId="0" borderId="0" xfId="0" applyFont="1" applyFill="1" applyBorder="1" applyAlignment="1" applyProtection="1">
      <protection hidden="1"/>
    </xf>
    <xf numFmtId="0" fontId="6" fillId="0" borderId="0" xfId="0" applyFont="1" applyProtection="1">
      <protection hidden="1"/>
    </xf>
    <xf numFmtId="0" fontId="6" fillId="0" borderId="0" xfId="0" applyFont="1" applyBorder="1" applyProtection="1">
      <protection hidden="1"/>
    </xf>
    <xf numFmtId="0" fontId="6" fillId="0" borderId="0" xfId="0" applyFont="1" applyBorder="1" applyAlignment="1" applyProtection="1">
      <alignment horizontal="left"/>
      <protection hidden="1"/>
    </xf>
    <xf numFmtId="3" fontId="6" fillId="0" borderId="0" xfId="0" applyNumberFormat="1" applyFont="1" applyProtection="1">
      <protection hidden="1"/>
    </xf>
    <xf numFmtId="0" fontId="18" fillId="0" borderId="0" xfId="0" applyFont="1" applyAlignment="1" applyProtection="1">
      <alignment horizontal="justify" vertical="top" wrapText="1"/>
      <protection hidden="1"/>
    </xf>
    <xf numFmtId="0" fontId="14" fillId="0" borderId="0" xfId="0" applyFont="1" applyBorder="1" applyProtection="1">
      <protection hidden="1"/>
    </xf>
    <xf numFmtId="0" fontId="15" fillId="0" borderId="0" xfId="0" applyFont="1" applyProtection="1">
      <protection hidden="1"/>
    </xf>
    <xf numFmtId="0" fontId="15" fillId="0" borderId="0" xfId="0" applyFont="1" applyAlignment="1" applyProtection="1">
      <protection hidden="1"/>
    </xf>
    <xf numFmtId="0" fontId="15" fillId="0" borderId="0" xfId="0" applyFont="1" applyBorder="1" applyProtection="1">
      <protection hidden="1"/>
    </xf>
    <xf numFmtId="0" fontId="15" fillId="0" borderId="0" xfId="0" applyFont="1" applyBorder="1" applyAlignment="1" applyProtection="1">
      <protection hidden="1"/>
    </xf>
    <xf numFmtId="0" fontId="19" fillId="0" borderId="0" xfId="0" applyFont="1" applyBorder="1" applyAlignment="1" applyProtection="1">
      <protection hidden="1"/>
    </xf>
    <xf numFmtId="0" fontId="18" fillId="0" borderId="0" xfId="0" applyFont="1" applyBorder="1" applyAlignment="1" applyProtection="1">
      <protection hidden="1"/>
    </xf>
    <xf numFmtId="0" fontId="18" fillId="0" borderId="0" xfId="0" applyFont="1" applyBorder="1" applyAlignment="1" applyProtection="1">
      <alignment horizontal="right"/>
      <protection hidden="1"/>
    </xf>
    <xf numFmtId="0" fontId="18" fillId="0" borderId="0" xfId="0" applyFont="1" applyBorder="1" applyAlignment="1" applyProtection="1">
      <alignment horizontal="center" wrapText="1"/>
      <protection hidden="1"/>
    </xf>
    <xf numFmtId="37" fontId="18" fillId="0" borderId="5" xfId="0" applyNumberFormat="1" applyFont="1" applyFill="1" applyBorder="1" applyAlignment="1" applyProtection="1">
      <alignment vertical="center"/>
      <protection locked="0"/>
    </xf>
    <xf numFmtId="0" fontId="19" fillId="0" borderId="0" xfId="0" applyNumberFormat="1" applyFont="1" applyAlignment="1" applyProtection="1">
      <protection hidden="1"/>
    </xf>
    <xf numFmtId="0" fontId="18" fillId="0" borderId="0" xfId="0" applyFont="1" applyAlignment="1" applyProtection="1">
      <protection hidden="1"/>
    </xf>
    <xf numFmtId="0" fontId="18" fillId="0" borderId="0" xfId="0" applyFont="1" applyAlignment="1" applyProtection="1">
      <alignment horizontal="left"/>
      <protection hidden="1"/>
    </xf>
    <xf numFmtId="0" fontId="19" fillId="0" borderId="0" xfId="0" applyNumberFormat="1" applyFont="1" applyBorder="1" applyAlignment="1" applyProtection="1">
      <protection hidden="1"/>
    </xf>
    <xf numFmtId="0" fontId="19" fillId="0" borderId="0" xfId="0" applyNumberFormat="1" applyFont="1" applyBorder="1" applyAlignment="1" applyProtection="1">
      <alignment vertical="center"/>
      <protection hidden="1"/>
    </xf>
    <xf numFmtId="0" fontId="18" fillId="0" borderId="0" xfId="0" applyFont="1" applyBorder="1" applyAlignment="1" applyProtection="1">
      <alignment vertical="center"/>
      <protection hidden="1"/>
    </xf>
    <xf numFmtId="0" fontId="22" fillId="0" borderId="0" xfId="0" applyNumberFormat="1" applyFont="1" applyBorder="1" applyAlignment="1" applyProtection="1">
      <alignment vertical="center"/>
      <protection hidden="1"/>
    </xf>
    <xf numFmtId="178" fontId="18" fillId="0" borderId="0" xfId="0" applyNumberFormat="1" applyFont="1" applyBorder="1" applyAlignment="1" applyProtection="1">
      <alignment horizontal="right" vertical="center"/>
      <protection hidden="1"/>
    </xf>
    <xf numFmtId="0" fontId="18" fillId="0" borderId="0" xfId="0" applyFont="1" applyProtection="1">
      <protection hidden="1"/>
    </xf>
    <xf numFmtId="0" fontId="19" fillId="0" borderId="0" xfId="0" applyNumberFormat="1" applyFont="1" applyBorder="1" applyAlignment="1" applyProtection="1">
      <alignment horizontal="center"/>
      <protection hidden="1"/>
    </xf>
    <xf numFmtId="173" fontId="18" fillId="0" borderId="6" xfId="24" applyFont="1" applyFill="1" applyBorder="1" applyProtection="1">
      <protection locked="0"/>
    </xf>
    <xf numFmtId="0" fontId="18" fillId="0" borderId="0" xfId="0" applyFont="1" applyAlignment="1" applyProtection="1">
      <alignment horizontal="center"/>
      <protection hidden="1"/>
    </xf>
    <xf numFmtId="3" fontId="18" fillId="0" borderId="0" xfId="0" applyNumberFormat="1" applyFont="1" applyProtection="1">
      <protection hidden="1"/>
    </xf>
    <xf numFmtId="0" fontId="18" fillId="0" borderId="0" xfId="0" applyFont="1" applyAlignment="1" applyProtection="1">
      <alignment vertical="center"/>
      <protection hidden="1"/>
    </xf>
    <xf numFmtId="3" fontId="18" fillId="0" borderId="6" xfId="24" applyNumberFormat="1" applyFont="1" applyFill="1" applyBorder="1" applyProtection="1">
      <protection locked="0"/>
    </xf>
    <xf numFmtId="0" fontId="19" fillId="3" borderId="7" xfId="0" applyFont="1" applyFill="1" applyBorder="1" applyAlignment="1" applyProtection="1">
      <protection hidden="1"/>
    </xf>
    <xf numFmtId="0" fontId="19" fillId="0" borderId="0" xfId="0" applyNumberFormat="1" applyFont="1" applyBorder="1" applyAlignment="1" applyProtection="1">
      <alignment horizontal="left"/>
      <protection hidden="1"/>
    </xf>
    <xf numFmtId="2" fontId="18" fillId="0" borderId="0" xfId="0" applyNumberFormat="1" applyFont="1" applyProtection="1">
      <protection hidden="1"/>
    </xf>
    <xf numFmtId="37" fontId="18" fillId="0" borderId="0" xfId="0" applyNumberFormat="1" applyFont="1" applyAlignment="1" applyProtection="1">
      <protection hidden="1"/>
    </xf>
    <xf numFmtId="37" fontId="18" fillId="0" borderId="0" xfId="0" applyNumberFormat="1" applyFont="1" applyAlignment="1" applyProtection="1">
      <alignment horizontal="center"/>
      <protection hidden="1"/>
    </xf>
    <xf numFmtId="0" fontId="18" fillId="0" borderId="0" xfId="0" applyFont="1" applyBorder="1" applyProtection="1">
      <protection hidden="1"/>
    </xf>
    <xf numFmtId="0" fontId="19" fillId="3" borderId="6" xfId="0" applyNumberFormat="1" applyFont="1" applyFill="1" applyBorder="1" applyAlignment="1" applyProtection="1">
      <alignment horizontal="left"/>
      <protection hidden="1"/>
    </xf>
    <xf numFmtId="0" fontId="19" fillId="3" borderId="6" xfId="0" applyFont="1" applyFill="1" applyBorder="1" applyAlignment="1" applyProtection="1">
      <alignment horizontal="left"/>
      <protection hidden="1"/>
    </xf>
    <xf numFmtId="0" fontId="18" fillId="0" borderId="0" xfId="0" applyFont="1" applyBorder="1" applyAlignment="1" applyProtection="1">
      <alignment horizontal="left"/>
      <protection hidden="1"/>
    </xf>
    <xf numFmtId="0" fontId="19" fillId="0" borderId="0" xfId="0" applyFont="1" applyProtection="1">
      <protection hidden="1"/>
    </xf>
    <xf numFmtId="0" fontId="18" fillId="0" borderId="8" xfId="0" applyFont="1" applyBorder="1" applyProtection="1">
      <protection hidden="1"/>
    </xf>
    <xf numFmtId="3" fontId="18" fillId="0" borderId="9" xfId="24" applyNumberFormat="1" applyFont="1" applyFill="1" applyBorder="1" applyProtection="1">
      <protection locked="0"/>
    </xf>
    <xf numFmtId="0" fontId="19" fillId="3" borderId="6" xfId="0" applyFont="1" applyFill="1" applyBorder="1" applyProtection="1">
      <protection hidden="1"/>
    </xf>
    <xf numFmtId="0" fontId="19" fillId="3" borderId="9" xfId="0" applyNumberFormat="1" applyFont="1" applyFill="1" applyBorder="1" applyAlignment="1" applyProtection="1">
      <alignment horizontal="left"/>
      <protection hidden="1"/>
    </xf>
    <xf numFmtId="0" fontId="19" fillId="5" borderId="0" xfId="0" applyNumberFormat="1" applyFont="1" applyFill="1" applyBorder="1" applyAlignment="1" applyProtection="1">
      <alignment horizontal="left"/>
      <protection hidden="1"/>
    </xf>
    <xf numFmtId="0" fontId="19" fillId="3" borderId="7" xfId="0" applyNumberFormat="1" applyFont="1" applyFill="1" applyBorder="1" applyAlignment="1" applyProtection="1">
      <alignment horizontal="left"/>
      <protection hidden="1"/>
    </xf>
    <xf numFmtId="0" fontId="18" fillId="0" borderId="0" xfId="0" applyNumberFormat="1" applyFont="1" applyBorder="1" applyAlignment="1" applyProtection="1">
      <alignment vertical="center"/>
      <protection hidden="1"/>
    </xf>
    <xf numFmtId="37" fontId="19" fillId="0" borderId="0" xfId="0" applyNumberFormat="1" applyFont="1" applyBorder="1" applyAlignment="1" applyProtection="1">
      <alignment horizontal="left"/>
      <protection hidden="1"/>
    </xf>
    <xf numFmtId="37" fontId="19" fillId="0" borderId="0" xfId="0" applyNumberFormat="1" applyFont="1" applyBorder="1" applyAlignment="1" applyProtection="1">
      <alignment horizontal="center"/>
      <protection hidden="1"/>
    </xf>
    <xf numFmtId="0" fontId="25" fillId="0" borderId="0" xfId="0" applyFont="1" applyBorder="1" applyAlignment="1" applyProtection="1">
      <alignment vertical="center"/>
      <protection hidden="1"/>
    </xf>
    <xf numFmtId="37" fontId="19" fillId="3" borderId="7" xfId="0" applyNumberFormat="1" applyFont="1" applyFill="1" applyBorder="1" applyAlignment="1" applyProtection="1">
      <alignment horizontal="left"/>
      <protection hidden="1"/>
    </xf>
    <xf numFmtId="0" fontId="18" fillId="0" borderId="0" xfId="0" applyNumberFormat="1" applyFont="1" applyBorder="1" applyAlignment="1" applyProtection="1">
      <alignment horizontal="left" vertical="center"/>
      <protection hidden="1"/>
    </xf>
    <xf numFmtId="0" fontId="18" fillId="0" borderId="6" xfId="24" applyNumberFormat="1" applyFont="1" applyFill="1" applyBorder="1" applyProtection="1">
      <protection locked="0"/>
    </xf>
    <xf numFmtId="0" fontId="19" fillId="0" borderId="0" xfId="0" applyFont="1" applyAlignment="1" applyProtection="1">
      <protection hidden="1"/>
    </xf>
    <xf numFmtId="0" fontId="18" fillId="0" borderId="0" xfId="0" applyFont="1" applyAlignment="1" applyProtection="1">
      <alignment horizontal="justify"/>
      <protection hidden="1"/>
    </xf>
    <xf numFmtId="0" fontId="18" fillId="0" borderId="0" xfId="0" applyFont="1" applyAlignment="1" applyProtection="1">
      <alignment wrapText="1"/>
      <protection hidden="1"/>
    </xf>
    <xf numFmtId="0" fontId="18" fillId="0" borderId="0" xfId="0" applyFont="1" applyAlignment="1" applyProtection="1">
      <alignment horizontal="justify" wrapText="1"/>
      <protection hidden="1"/>
    </xf>
    <xf numFmtId="169" fontId="19" fillId="0" borderId="0" xfId="0" applyNumberFormat="1" applyFont="1" applyAlignment="1" applyProtection="1">
      <protection hidden="1"/>
    </xf>
    <xf numFmtId="37" fontId="19" fillId="0" borderId="0" xfId="0" applyNumberFormat="1" applyFont="1" applyAlignment="1" applyProtection="1">
      <protection hidden="1"/>
    </xf>
    <xf numFmtId="0" fontId="18" fillId="0" borderId="0" xfId="0" applyNumberFormat="1" applyFont="1" applyAlignment="1" applyProtection="1">
      <alignment horizontal="right" vertical="top"/>
      <protection hidden="1"/>
    </xf>
    <xf numFmtId="169" fontId="18" fillId="0" borderId="0" xfId="0" applyNumberFormat="1" applyFont="1" applyAlignment="1" applyProtection="1">
      <alignment vertical="top"/>
      <protection hidden="1"/>
    </xf>
    <xf numFmtId="169" fontId="18" fillId="0" borderId="0" xfId="0" applyNumberFormat="1" applyFont="1" applyAlignment="1" applyProtection="1">
      <alignment vertical="top" wrapText="1"/>
      <protection hidden="1"/>
    </xf>
    <xf numFmtId="0" fontId="19" fillId="0" borderId="0" xfId="0" applyFont="1" applyAlignment="1" applyProtection="1">
      <alignment vertical="top"/>
      <protection hidden="1"/>
    </xf>
    <xf numFmtId="0" fontId="18" fillId="0" borderId="0" xfId="0" applyNumberFormat="1" applyFont="1" applyAlignment="1" applyProtection="1">
      <alignment vertical="top"/>
      <protection hidden="1"/>
    </xf>
    <xf numFmtId="0" fontId="18" fillId="0" borderId="0" xfId="0" applyNumberFormat="1" applyFont="1" applyAlignment="1" applyProtection="1">
      <alignment vertical="top" wrapText="1"/>
      <protection hidden="1"/>
    </xf>
    <xf numFmtId="169" fontId="19" fillId="0" borderId="0" xfId="0" applyNumberFormat="1" applyFont="1" applyAlignment="1" applyProtection="1">
      <alignment vertical="top"/>
      <protection hidden="1"/>
    </xf>
    <xf numFmtId="37" fontId="19" fillId="0" borderId="0" xfId="0" applyNumberFormat="1" applyFont="1" applyAlignment="1" applyProtection="1">
      <alignment vertical="top" wrapText="1"/>
      <protection hidden="1"/>
    </xf>
    <xf numFmtId="0" fontId="19" fillId="0" borderId="0" xfId="0" applyFont="1" applyAlignment="1" applyProtection="1">
      <alignment vertical="top" wrapText="1"/>
      <protection hidden="1"/>
    </xf>
    <xf numFmtId="0" fontId="18" fillId="0" borderId="0" xfId="0" applyFont="1" applyAlignment="1" applyProtection="1">
      <alignment vertical="top" wrapText="1"/>
      <protection hidden="1"/>
    </xf>
    <xf numFmtId="37" fontId="18" fillId="0" borderId="0" xfId="0" applyNumberFormat="1" applyFont="1" applyAlignment="1" applyProtection="1">
      <alignment vertical="top"/>
      <protection hidden="1"/>
    </xf>
    <xf numFmtId="0" fontId="19" fillId="0" borderId="0" xfId="0" applyNumberFormat="1" applyFont="1" applyAlignment="1" applyProtection="1">
      <alignment vertical="top"/>
      <protection hidden="1"/>
    </xf>
    <xf numFmtId="0" fontId="18" fillId="0" borderId="0" xfId="0" applyNumberFormat="1" applyFont="1" applyAlignment="1" applyProtection="1">
      <alignment horizontal="justify" vertical="top" wrapText="1"/>
      <protection hidden="1"/>
    </xf>
    <xf numFmtId="0" fontId="18" fillId="0" borderId="0" xfId="0" applyFont="1" applyAlignment="1" applyProtection="1">
      <alignment horizontal="justify" vertical="top"/>
      <protection hidden="1"/>
    </xf>
    <xf numFmtId="169" fontId="18" fillId="0" borderId="0" xfId="0" applyNumberFormat="1" applyFont="1" applyAlignment="1" applyProtection="1">
      <protection hidden="1"/>
    </xf>
    <xf numFmtId="0" fontId="18" fillId="0" borderId="0" xfId="0" applyNumberFormat="1" applyFont="1" applyAlignment="1" applyProtection="1">
      <protection hidden="1"/>
    </xf>
    <xf numFmtId="0" fontId="18" fillId="0" borderId="0" xfId="0" applyNumberFormat="1" applyFont="1" applyAlignment="1" applyProtection="1">
      <alignment horizontal="left"/>
      <protection hidden="1"/>
    </xf>
    <xf numFmtId="0" fontId="27" fillId="0" borderId="0" xfId="0" applyFont="1" applyBorder="1" applyAlignment="1" applyProtection="1">
      <protection hidden="1"/>
    </xf>
    <xf numFmtId="0" fontId="27" fillId="0" borderId="0" xfId="0" applyFont="1" applyBorder="1" applyAlignment="1" applyProtection="1">
      <alignment horizontal="left"/>
      <protection hidden="1"/>
    </xf>
    <xf numFmtId="0" fontId="27" fillId="0" borderId="0" xfId="0" applyFont="1" applyBorder="1" applyAlignment="1" applyProtection="1">
      <alignment vertical="center"/>
      <protection hidden="1"/>
    </xf>
    <xf numFmtId="37" fontId="27" fillId="0" borderId="0" xfId="0" applyNumberFormat="1" applyFont="1" applyBorder="1" applyProtection="1">
      <protection hidden="1"/>
    </xf>
    <xf numFmtId="0" fontId="27" fillId="0" borderId="0" xfId="0" applyFont="1" applyBorder="1" applyProtection="1">
      <protection hidden="1"/>
    </xf>
    <xf numFmtId="0" fontId="16" fillId="0" borderId="0" xfId="0" applyFont="1" applyBorder="1" applyAlignment="1" applyProtection="1">
      <protection hidden="1"/>
    </xf>
    <xf numFmtId="0" fontId="14" fillId="0" borderId="0" xfId="0" applyFont="1" applyBorder="1" applyAlignment="1" applyProtection="1">
      <protection hidden="1"/>
    </xf>
    <xf numFmtId="0" fontId="19" fillId="0" borderId="0" xfId="0" applyNumberFormat="1" applyFont="1" applyBorder="1" applyProtection="1">
      <protection hidden="1"/>
    </xf>
    <xf numFmtId="0" fontId="6" fillId="0" borderId="0" xfId="0" applyFont="1" applyFill="1" applyProtection="1">
      <protection hidden="1"/>
    </xf>
    <xf numFmtId="0" fontId="0" fillId="0" borderId="0" xfId="0" applyFill="1" applyBorder="1" applyProtection="1">
      <protection hidden="1"/>
    </xf>
    <xf numFmtId="0" fontId="19" fillId="0" borderId="0" xfId="0" applyFont="1" applyFill="1" applyBorder="1" applyProtection="1">
      <protection hidden="1"/>
    </xf>
    <xf numFmtId="0" fontId="18" fillId="0" borderId="6" xfId="0" applyFont="1" applyBorder="1" applyProtection="1">
      <protection hidden="1"/>
    </xf>
    <xf numFmtId="0" fontId="19" fillId="0" borderId="0" xfId="0" applyFont="1" applyBorder="1" applyAlignment="1" applyProtection="1">
      <alignment horizontal="left"/>
      <protection hidden="1"/>
    </xf>
    <xf numFmtId="0" fontId="18" fillId="0" borderId="7" xfId="0" applyFont="1" applyBorder="1" applyProtection="1">
      <protection hidden="1"/>
    </xf>
    <xf numFmtId="3" fontId="18" fillId="0" borderId="0" xfId="0" applyNumberFormat="1" applyFont="1" applyFill="1" applyBorder="1" applyProtection="1">
      <protection hidden="1"/>
    </xf>
    <xf numFmtId="0" fontId="19" fillId="0" borderId="0" xfId="0" applyFont="1" applyFill="1" applyBorder="1" applyAlignment="1" applyProtection="1">
      <alignment horizontal="left"/>
      <protection hidden="1"/>
    </xf>
    <xf numFmtId="0" fontId="7" fillId="0" borderId="0" xfId="0" applyFont="1" applyProtection="1">
      <protection hidden="1"/>
    </xf>
    <xf numFmtId="2" fontId="6" fillId="0" borderId="0" xfId="0" applyNumberFormat="1" applyFont="1" applyProtection="1">
      <protection hidden="1"/>
    </xf>
    <xf numFmtId="1" fontId="18" fillId="0" borderId="6" xfId="0" applyNumberFormat="1" applyFont="1" applyFill="1" applyBorder="1" applyAlignment="1" applyProtection="1">
      <alignment vertical="center"/>
      <protection locked="0"/>
    </xf>
    <xf numFmtId="0" fontId="18" fillId="0" borderId="0" xfId="0" applyFont="1" applyAlignment="1" applyProtection="1">
      <alignment horizontal="right" vertical="top"/>
      <protection hidden="1"/>
    </xf>
    <xf numFmtId="0" fontId="19" fillId="0" borderId="0" xfId="0" applyNumberFormat="1" applyFont="1" applyAlignment="1" applyProtection="1">
      <alignment horizontal="left"/>
      <protection hidden="1"/>
    </xf>
    <xf numFmtId="0" fontId="13" fillId="0" borderId="0" xfId="0" applyFont="1" applyProtection="1">
      <protection hidden="1"/>
    </xf>
    <xf numFmtId="0" fontId="13" fillId="0" borderId="0" xfId="0" applyFont="1" applyAlignment="1" applyProtection="1">
      <protection hidden="1"/>
    </xf>
    <xf numFmtId="3" fontId="18" fillId="0" borderId="10" xfId="24" applyNumberFormat="1" applyFont="1" applyFill="1" applyBorder="1" applyProtection="1">
      <protection locked="0"/>
    </xf>
    <xf numFmtId="3" fontId="18" fillId="0" borderId="9" xfId="24" applyNumberFormat="1" applyFont="1" applyFill="1" applyBorder="1" applyAlignment="1" applyProtection="1">
      <alignment horizontal="right" vertical="top"/>
      <protection locked="0"/>
    </xf>
    <xf numFmtId="3" fontId="18" fillId="0" borderId="6" xfId="24" applyNumberFormat="1" applyFont="1" applyFill="1" applyBorder="1" applyAlignment="1" applyProtection="1">
      <alignment horizontal="right" vertical="top"/>
      <protection locked="0"/>
    </xf>
    <xf numFmtId="3" fontId="18" fillId="0" borderId="6" xfId="24" applyNumberFormat="1" applyFont="1" applyFill="1" applyBorder="1" applyAlignment="1" applyProtection="1">
      <alignment vertical="top"/>
      <protection locked="0"/>
    </xf>
    <xf numFmtId="0" fontId="18" fillId="0" borderId="0" xfId="0" applyFont="1" applyFill="1" applyProtection="1">
      <protection hidden="1"/>
    </xf>
    <xf numFmtId="0" fontId="18" fillId="0" borderId="10" xfId="0" applyFont="1" applyBorder="1" applyAlignment="1" applyProtection="1">
      <alignment horizontal="left"/>
      <protection hidden="1"/>
    </xf>
    <xf numFmtId="3" fontId="18" fillId="0" borderId="9" xfId="24" applyNumberFormat="1" applyFont="1" applyFill="1" applyBorder="1" applyAlignment="1" applyProtection="1">
      <alignment vertical="top"/>
      <protection locked="0"/>
    </xf>
    <xf numFmtId="1" fontId="18" fillId="0" borderId="11" xfId="0" applyNumberFormat="1" applyFont="1" applyFill="1" applyBorder="1" applyAlignment="1" applyProtection="1">
      <alignment horizontal="left"/>
      <protection hidden="1"/>
    </xf>
    <xf numFmtId="0" fontId="15" fillId="0" borderId="0" xfId="0" applyFont="1" applyAlignment="1" applyProtection="1">
      <alignment vertical="top"/>
      <protection hidden="1"/>
    </xf>
    <xf numFmtId="0" fontId="19" fillId="0" borderId="0" xfId="0" applyFont="1" applyBorder="1" applyProtection="1">
      <protection hidden="1"/>
    </xf>
    <xf numFmtId="0" fontId="19" fillId="0" borderId="0" xfId="0" applyNumberFormat="1" applyFont="1" applyBorder="1" applyAlignment="1" applyProtection="1">
      <alignment horizontal="right" vertical="top"/>
      <protection hidden="1"/>
    </xf>
    <xf numFmtId="0" fontId="20" fillId="0" borderId="0" xfId="0" applyFont="1" applyBorder="1" applyAlignment="1" applyProtection="1">
      <alignment vertical="center"/>
      <protection hidden="1"/>
    </xf>
    <xf numFmtId="178" fontId="20" fillId="0" borderId="0" xfId="0" applyNumberFormat="1" applyFont="1" applyBorder="1" applyAlignment="1" applyProtection="1">
      <alignment horizontal="right" vertical="center"/>
      <protection hidden="1"/>
    </xf>
    <xf numFmtId="0" fontId="14" fillId="3" borderId="12" xfId="0" applyFont="1" applyFill="1" applyBorder="1" applyAlignment="1" applyProtection="1">
      <alignment horizontal="center" vertical="center"/>
      <protection hidden="1"/>
    </xf>
    <xf numFmtId="0" fontId="5" fillId="0" borderId="0" xfId="0" applyFont="1" applyBorder="1" applyProtection="1">
      <protection hidden="1"/>
    </xf>
    <xf numFmtId="0" fontId="0" fillId="0" borderId="0" xfId="0" applyBorder="1" applyProtection="1">
      <protection hidden="1"/>
    </xf>
    <xf numFmtId="0" fontId="0" fillId="0" borderId="0" xfId="0" applyProtection="1">
      <protection hidden="1"/>
    </xf>
    <xf numFmtId="0" fontId="13" fillId="0" borderId="0" xfId="0" applyFont="1" applyBorder="1" applyProtection="1">
      <protection hidden="1"/>
    </xf>
    <xf numFmtId="0" fontId="18" fillId="0" borderId="13" xfId="0" applyFont="1" applyBorder="1" applyAlignment="1" applyProtection="1">
      <alignment horizontal="justify" wrapText="1"/>
      <protection hidden="1"/>
    </xf>
    <xf numFmtId="0" fontId="18" fillId="0" borderId="14" xfId="0" applyFont="1" applyBorder="1" applyAlignment="1" applyProtection="1">
      <protection hidden="1"/>
    </xf>
    <xf numFmtId="0" fontId="19" fillId="0" borderId="15" xfId="0" applyFont="1" applyBorder="1" applyProtection="1">
      <protection hidden="1"/>
    </xf>
    <xf numFmtId="0" fontId="18" fillId="0" borderId="15" xfId="0" applyFont="1" applyBorder="1" applyProtection="1">
      <protection hidden="1"/>
    </xf>
    <xf numFmtId="0" fontId="18" fillId="0" borderId="15" xfId="0" applyFont="1" applyBorder="1" applyAlignment="1" applyProtection="1">
      <protection hidden="1"/>
    </xf>
    <xf numFmtId="0" fontId="18" fillId="0" borderId="16" xfId="0" applyFont="1" applyBorder="1" applyProtection="1">
      <protection hidden="1"/>
    </xf>
    <xf numFmtId="0" fontId="18" fillId="0" borderId="17" xfId="0" applyFont="1" applyBorder="1" applyAlignment="1" applyProtection="1">
      <protection hidden="1"/>
    </xf>
    <xf numFmtId="0" fontId="18" fillId="0" borderId="18" xfId="0" applyFont="1" applyBorder="1" applyProtection="1">
      <protection hidden="1"/>
    </xf>
    <xf numFmtId="0" fontId="19" fillId="0" borderId="19" xfId="0" applyFont="1" applyBorder="1" applyAlignment="1" applyProtection="1">
      <alignment vertical="top"/>
      <protection hidden="1"/>
    </xf>
    <xf numFmtId="0" fontId="18" fillId="0" borderId="20" xfId="0" applyFont="1" applyBorder="1" applyAlignment="1" applyProtection="1">
      <alignment vertical="top" wrapText="1"/>
      <protection hidden="1"/>
    </xf>
    <xf numFmtId="0" fontId="18" fillId="0" borderId="0" xfId="0" applyFont="1" applyBorder="1" applyAlignment="1" applyProtection="1">
      <alignment vertical="top" wrapText="1"/>
      <protection hidden="1"/>
    </xf>
    <xf numFmtId="0" fontId="18" fillId="0" borderId="18" xfId="0" applyFont="1" applyBorder="1" applyAlignment="1" applyProtection="1">
      <protection hidden="1"/>
    </xf>
    <xf numFmtId="0" fontId="18" fillId="0" borderId="21" xfId="0" applyFont="1" applyFill="1" applyBorder="1" applyAlignment="1" applyProtection="1">
      <protection hidden="1"/>
    </xf>
    <xf numFmtId="0" fontId="18" fillId="0" borderId="13" xfId="0" applyFont="1" applyFill="1" applyBorder="1" applyProtection="1">
      <protection hidden="1"/>
    </xf>
    <xf numFmtId="0" fontId="25" fillId="0" borderId="13" xfId="0" applyFont="1" applyBorder="1" applyAlignment="1" applyProtection="1">
      <alignment vertical="top" wrapText="1"/>
      <protection hidden="1"/>
    </xf>
    <xf numFmtId="0" fontId="18" fillId="0" borderId="13" xfId="0" applyFont="1" applyFill="1" applyBorder="1" applyAlignment="1" applyProtection="1">
      <alignment vertical="top" wrapText="1"/>
      <protection hidden="1"/>
    </xf>
    <xf numFmtId="0" fontId="18" fillId="0" borderId="13" xfId="0" applyFont="1" applyFill="1" applyBorder="1" applyAlignment="1" applyProtection="1">
      <alignment vertical="top"/>
      <protection hidden="1"/>
    </xf>
    <xf numFmtId="0" fontId="18" fillId="0" borderId="22" xfId="0" applyFont="1" applyFill="1" applyBorder="1" applyAlignment="1" applyProtection="1">
      <protection hidden="1"/>
    </xf>
    <xf numFmtId="0" fontId="13" fillId="0" borderId="0" xfId="0" applyFont="1" applyFill="1" applyProtection="1">
      <protection hidden="1"/>
    </xf>
    <xf numFmtId="0" fontId="21" fillId="0" borderId="0" xfId="0" applyFont="1" applyBorder="1" applyAlignment="1" applyProtection="1">
      <protection hidden="1"/>
    </xf>
    <xf numFmtId="0" fontId="23" fillId="0" borderId="0" xfId="0" applyFont="1" applyProtection="1">
      <protection hidden="1"/>
    </xf>
    <xf numFmtId="0" fontId="18" fillId="0" borderId="6" xfId="0" applyFont="1" applyFill="1" applyBorder="1" applyProtection="1">
      <protection hidden="1"/>
    </xf>
    <xf numFmtId="0" fontId="15" fillId="0" borderId="0" xfId="0" applyFont="1" applyFill="1" applyProtection="1">
      <protection hidden="1"/>
    </xf>
    <xf numFmtId="0" fontId="4" fillId="0" borderId="0" xfId="0" applyFont="1" applyBorder="1" applyProtection="1">
      <protection hidden="1"/>
    </xf>
    <xf numFmtId="0" fontId="17" fillId="0" borderId="0" xfId="22" applyFont="1" applyProtection="1">
      <protection hidden="1"/>
    </xf>
    <xf numFmtId="0" fontId="18" fillId="0" borderId="0" xfId="22" applyFont="1" applyBorder="1" applyProtection="1">
      <protection hidden="1"/>
    </xf>
    <xf numFmtId="0" fontId="3" fillId="0" borderId="0" xfId="0" applyFont="1" applyBorder="1" applyAlignment="1" applyProtection="1">
      <alignment vertical="center"/>
      <protection hidden="1"/>
    </xf>
    <xf numFmtId="0" fontId="4" fillId="0" borderId="0" xfId="0" applyFont="1" applyProtection="1">
      <protection hidden="1"/>
    </xf>
    <xf numFmtId="0" fontId="7" fillId="0" borderId="0" xfId="0" applyFont="1" applyBorder="1" applyProtection="1">
      <protection hidden="1"/>
    </xf>
    <xf numFmtId="0" fontId="15" fillId="0" borderId="0" xfId="0" applyFont="1" applyFill="1" applyBorder="1" applyProtection="1">
      <protection hidden="1"/>
    </xf>
    <xf numFmtId="0" fontId="19" fillId="0" borderId="0" xfId="0" applyFont="1" applyFill="1" applyProtection="1">
      <protection hidden="1"/>
    </xf>
    <xf numFmtId="0" fontId="18" fillId="3" borderId="3" xfId="0" applyFont="1" applyFill="1" applyBorder="1" applyAlignment="1" applyProtection="1">
      <alignment horizontal="center" vertical="center"/>
      <protection hidden="1"/>
    </xf>
    <xf numFmtId="3" fontId="18" fillId="0" borderId="0" xfId="14" applyNumberFormat="1" applyFont="1" applyBorder="1" applyProtection="1">
      <protection hidden="1"/>
    </xf>
    <xf numFmtId="3" fontId="19" fillId="0" borderId="0" xfId="14" applyNumberFormat="1" applyFont="1" applyBorder="1" applyProtection="1">
      <protection hidden="1"/>
    </xf>
    <xf numFmtId="0" fontId="19" fillId="0" borderId="10" xfId="0" applyFont="1" applyBorder="1" applyProtection="1">
      <protection hidden="1"/>
    </xf>
    <xf numFmtId="0" fontId="14" fillId="3" borderId="23" xfId="0" applyFont="1" applyFill="1" applyBorder="1" applyAlignment="1" applyProtection="1">
      <alignment horizontal="center" vertical="center"/>
      <protection hidden="1"/>
    </xf>
    <xf numFmtId="0" fontId="14" fillId="3" borderId="2" xfId="0" applyFont="1" applyFill="1" applyBorder="1" applyAlignment="1" applyProtection="1">
      <alignment horizontal="center" vertical="center"/>
      <protection hidden="1"/>
    </xf>
    <xf numFmtId="0" fontId="18" fillId="0" borderId="0" xfId="0" applyFont="1" applyFill="1" applyBorder="1" applyProtection="1">
      <protection hidden="1"/>
    </xf>
    <xf numFmtId="0" fontId="7" fillId="0" borderId="24" xfId="0" applyNumberFormat="1" applyFont="1" applyBorder="1" applyProtection="1">
      <protection hidden="1"/>
    </xf>
    <xf numFmtId="0" fontId="6" fillId="0" borderId="25" xfId="0" applyFont="1" applyBorder="1" applyAlignment="1" applyProtection="1">
      <protection hidden="1"/>
    </xf>
    <xf numFmtId="0" fontId="19" fillId="3" borderId="6" xfId="0" applyFont="1" applyFill="1" applyBorder="1" applyAlignment="1" applyProtection="1">
      <alignment horizontal="center"/>
      <protection hidden="1"/>
    </xf>
    <xf numFmtId="0" fontId="19" fillId="3" borderId="23" xfId="0" applyFont="1" applyFill="1" applyBorder="1" applyAlignment="1" applyProtection="1">
      <alignment horizontal="center"/>
      <protection hidden="1"/>
    </xf>
    <xf numFmtId="0" fontId="19" fillId="3" borderId="9" xfId="0" applyFont="1" applyFill="1" applyBorder="1" applyAlignment="1" applyProtection="1">
      <alignment horizontal="left" vertical="top" wrapText="1"/>
      <protection hidden="1"/>
    </xf>
    <xf numFmtId="3" fontId="18" fillId="0" borderId="0" xfId="0" applyNumberFormat="1" applyFont="1" applyAlignment="1" applyProtection="1">
      <alignment horizontal="right" vertical="top"/>
      <protection hidden="1"/>
    </xf>
    <xf numFmtId="178" fontId="25" fillId="0" borderId="0" xfId="0" applyNumberFormat="1" applyFont="1" applyBorder="1" applyAlignment="1" applyProtection="1">
      <alignment horizontal="right" vertical="center"/>
      <protection hidden="1"/>
    </xf>
    <xf numFmtId="0" fontId="17" fillId="0" borderId="0" xfId="0" applyFont="1" applyBorder="1" applyAlignment="1" applyProtection="1">
      <alignment horizontal="left"/>
      <protection hidden="1"/>
    </xf>
    <xf numFmtId="168" fontId="15" fillId="0" borderId="0" xfId="0" applyNumberFormat="1" applyFont="1" applyBorder="1" applyProtection="1">
      <protection hidden="1"/>
    </xf>
    <xf numFmtId="0" fontId="17" fillId="0" borderId="0" xfId="0" applyFont="1" applyAlignment="1" applyProtection="1">
      <alignment horizontal="left"/>
      <protection hidden="1"/>
    </xf>
    <xf numFmtId="168" fontId="15" fillId="0" borderId="0" xfId="0" applyNumberFormat="1" applyFont="1" applyProtection="1">
      <protection hidden="1"/>
    </xf>
    <xf numFmtId="0" fontId="19" fillId="0" borderId="0" xfId="0" applyFont="1" applyAlignment="1" applyProtection="1">
      <alignment horizontal="left"/>
      <protection hidden="1"/>
    </xf>
    <xf numFmtId="168" fontId="18" fillId="0" borderId="0" xfId="0" applyNumberFormat="1" applyFont="1" applyProtection="1">
      <protection hidden="1"/>
    </xf>
    <xf numFmtId="168" fontId="19" fillId="3" borderId="3" xfId="0" applyNumberFormat="1" applyFont="1" applyFill="1" applyBorder="1" applyAlignment="1" applyProtection="1">
      <alignment horizontal="center"/>
      <protection hidden="1"/>
    </xf>
    <xf numFmtId="168" fontId="19" fillId="3" borderId="23" xfId="0" applyNumberFormat="1" applyFont="1" applyFill="1" applyBorder="1" applyAlignment="1" applyProtection="1">
      <alignment horizontal="center"/>
      <protection hidden="1"/>
    </xf>
    <xf numFmtId="0" fontId="19" fillId="3" borderId="12" xfId="0" applyNumberFormat="1" applyFont="1" applyFill="1" applyBorder="1" applyAlignment="1" applyProtection="1">
      <alignment horizontal="center"/>
      <protection hidden="1"/>
    </xf>
    <xf numFmtId="178" fontId="19" fillId="3" borderId="6" xfId="0" applyNumberFormat="1" applyFont="1" applyFill="1" applyBorder="1" applyAlignment="1" applyProtection="1">
      <alignment horizontal="left"/>
      <protection hidden="1"/>
    </xf>
    <xf numFmtId="0" fontId="17" fillId="0" borderId="0" xfId="0" applyFont="1" applyProtection="1">
      <protection hidden="1"/>
    </xf>
    <xf numFmtId="4" fontId="19" fillId="0" borderId="0" xfId="0" applyNumberFormat="1" applyFont="1" applyFill="1" applyBorder="1" applyProtection="1">
      <protection hidden="1"/>
    </xf>
    <xf numFmtId="2" fontId="19" fillId="0" borderId="0" xfId="0" applyNumberFormat="1" applyFont="1" applyFill="1" applyBorder="1" applyProtection="1">
      <protection hidden="1"/>
    </xf>
    <xf numFmtId="0" fontId="20" fillId="0" borderId="0" xfId="0" applyFont="1" applyAlignment="1" applyProtection="1">
      <alignment horizontal="left"/>
      <protection hidden="1"/>
    </xf>
    <xf numFmtId="168" fontId="18" fillId="0" borderId="0" xfId="0" applyNumberFormat="1" applyFont="1" applyBorder="1" applyProtection="1">
      <protection hidden="1"/>
    </xf>
    <xf numFmtId="0" fontId="19" fillId="5" borderId="0" xfId="0" applyFont="1" applyFill="1" applyAlignment="1" applyProtection="1">
      <alignment horizontal="left"/>
      <protection hidden="1"/>
    </xf>
    <xf numFmtId="0" fontId="19" fillId="3" borderId="3" xfId="0" applyNumberFormat="1" applyFont="1" applyFill="1" applyBorder="1" applyAlignment="1" applyProtection="1">
      <alignment horizontal="center"/>
      <protection hidden="1"/>
    </xf>
    <xf numFmtId="168" fontId="19" fillId="0" borderId="0" xfId="0" applyNumberFormat="1" applyFont="1" applyBorder="1" applyAlignment="1" applyProtection="1">
      <alignment horizontal="center"/>
      <protection hidden="1"/>
    </xf>
    <xf numFmtId="3" fontId="18" fillId="0" borderId="0" xfId="0" quotePrefix="1" applyNumberFormat="1" applyFont="1" applyFill="1" applyBorder="1" applyProtection="1">
      <protection hidden="1"/>
    </xf>
    <xf numFmtId="3" fontId="18" fillId="0" borderId="0" xfId="0" applyNumberFormat="1" applyFont="1" applyFill="1" applyProtection="1">
      <protection hidden="1"/>
    </xf>
    <xf numFmtId="168" fontId="18" fillId="0" borderId="26" xfId="0" applyNumberFormat="1" applyFont="1" applyBorder="1" applyProtection="1">
      <protection hidden="1"/>
    </xf>
    <xf numFmtId="168" fontId="19" fillId="0" borderId="0" xfId="0" applyNumberFormat="1" applyFont="1" applyBorder="1" applyProtection="1">
      <protection hidden="1"/>
    </xf>
    <xf numFmtId="168" fontId="18" fillId="5" borderId="0" xfId="0" applyNumberFormat="1" applyFont="1" applyFill="1" applyBorder="1" applyProtection="1">
      <protection hidden="1"/>
    </xf>
    <xf numFmtId="180" fontId="18" fillId="5" borderId="0" xfId="4" applyNumberFormat="1" applyFont="1" applyFill="1" applyBorder="1" applyProtection="1">
      <protection hidden="1"/>
    </xf>
    <xf numFmtId="168" fontId="18" fillId="0" borderId="0" xfId="0" quotePrefix="1" applyNumberFormat="1" applyFont="1" applyBorder="1" applyProtection="1">
      <protection hidden="1"/>
    </xf>
    <xf numFmtId="0" fontId="18" fillId="0" borderId="24" xfId="0" applyFont="1" applyBorder="1" applyProtection="1">
      <protection hidden="1"/>
    </xf>
    <xf numFmtId="168" fontId="19" fillId="0" borderId="24" xfId="0" applyNumberFormat="1" applyFont="1" applyBorder="1" applyProtection="1">
      <protection hidden="1"/>
    </xf>
    <xf numFmtId="168" fontId="18" fillId="0" borderId="7" xfId="0" applyNumberFormat="1" applyFont="1" applyBorder="1" applyProtection="1">
      <protection hidden="1"/>
    </xf>
    <xf numFmtId="0" fontId="18" fillId="0" borderId="0" xfId="0" applyFont="1" applyBorder="1" applyAlignment="1" applyProtection="1">
      <alignment horizontal="center"/>
      <protection hidden="1"/>
    </xf>
    <xf numFmtId="0" fontId="19" fillId="0" borderId="0" xfId="0" applyNumberFormat="1" applyFont="1" applyAlignment="1" applyProtection="1">
      <alignment horizontal="justify"/>
      <protection hidden="1"/>
    </xf>
    <xf numFmtId="0" fontId="18" fillId="0" borderId="0" xfId="0" applyFont="1" applyBorder="1" applyAlignment="1" applyProtection="1">
      <alignment horizontal="justify"/>
      <protection hidden="1"/>
    </xf>
    <xf numFmtId="0" fontId="6" fillId="0" borderId="0" xfId="0" applyFont="1" applyAlignment="1" applyProtection="1">
      <alignment horizontal="justify"/>
      <protection hidden="1"/>
    </xf>
    <xf numFmtId="0" fontId="17" fillId="0" borderId="0" xfId="0" applyNumberFormat="1" applyFont="1" applyAlignment="1" applyProtection="1">
      <protection hidden="1"/>
    </xf>
    <xf numFmtId="0" fontId="15" fillId="0" borderId="0" xfId="0" applyFont="1" applyAlignment="1" applyProtection="1">
      <alignment horizontal="left"/>
      <protection hidden="1"/>
    </xf>
    <xf numFmtId="0" fontId="17" fillId="0" borderId="0" xfId="0" applyFont="1" applyBorder="1" applyAlignment="1" applyProtection="1">
      <protection hidden="1"/>
    </xf>
    <xf numFmtId="0" fontId="20" fillId="0" borderId="0" xfId="0" applyFont="1" applyBorder="1" applyAlignment="1" applyProtection="1">
      <alignment horizontal="left" vertical="center"/>
      <protection hidden="1"/>
    </xf>
    <xf numFmtId="0" fontId="14" fillId="0" borderId="0" xfId="0" applyNumberFormat="1" applyFont="1" applyBorder="1" applyAlignment="1" applyProtection="1">
      <alignment vertical="center"/>
      <protection hidden="1"/>
    </xf>
    <xf numFmtId="0" fontId="20" fillId="0" borderId="0" xfId="0" applyFont="1" applyBorder="1" applyAlignment="1" applyProtection="1">
      <alignment vertical="top"/>
      <protection hidden="1"/>
    </xf>
    <xf numFmtId="0" fontId="17" fillId="0" borderId="0" xfId="0" applyNumberFormat="1" applyFont="1" applyAlignment="1" applyProtection="1">
      <alignment horizontal="justify"/>
      <protection hidden="1"/>
    </xf>
    <xf numFmtId="0" fontId="15" fillId="0" borderId="0" xfId="0" applyFont="1" applyAlignment="1" applyProtection="1">
      <alignment horizontal="justify"/>
      <protection hidden="1"/>
    </xf>
    <xf numFmtId="0" fontId="17" fillId="0" borderId="0" xfId="0" applyFont="1" applyBorder="1" applyAlignment="1" applyProtection="1">
      <alignment horizontal="justify"/>
      <protection hidden="1"/>
    </xf>
    <xf numFmtId="0" fontId="15" fillId="0" borderId="0" xfId="0" applyFont="1" applyAlignment="1" applyProtection="1">
      <alignment horizontal="justify" vertical="top"/>
      <protection hidden="1"/>
    </xf>
    <xf numFmtId="0" fontId="4" fillId="0" borderId="0" xfId="0" applyFont="1" applyAlignment="1" applyProtection="1">
      <alignment horizontal="justify"/>
      <protection hidden="1"/>
    </xf>
    <xf numFmtId="49" fontId="18" fillId="0" borderId="0" xfId="0" applyNumberFormat="1" applyFont="1" applyAlignment="1" applyProtection="1">
      <alignment horizontal="right"/>
      <protection hidden="1"/>
    </xf>
    <xf numFmtId="0" fontId="18" fillId="0" borderId="0" xfId="0" applyFont="1" applyAlignment="1" applyProtection="1">
      <alignment vertical="top"/>
      <protection hidden="1"/>
    </xf>
    <xf numFmtId="49" fontId="19" fillId="0" borderId="0" xfId="0" applyNumberFormat="1" applyFont="1" applyAlignment="1" applyProtection="1">
      <alignment horizontal="right"/>
      <protection hidden="1"/>
    </xf>
    <xf numFmtId="49" fontId="18" fillId="0" borderId="0" xfId="0" applyNumberFormat="1" applyFont="1" applyAlignment="1" applyProtection="1">
      <alignment vertical="top" wrapText="1"/>
      <protection hidden="1"/>
    </xf>
    <xf numFmtId="49" fontId="18" fillId="0" borderId="0" xfId="0" applyNumberFormat="1" applyFont="1" applyAlignment="1" applyProtection="1">
      <alignment vertical="top"/>
      <protection hidden="1"/>
    </xf>
    <xf numFmtId="49" fontId="18" fillId="0" borderId="0" xfId="0" applyNumberFormat="1" applyFont="1" applyAlignment="1" applyProtection="1">
      <protection hidden="1"/>
    </xf>
    <xf numFmtId="49" fontId="18" fillId="0" borderId="0" xfId="0" applyNumberFormat="1" applyFont="1" applyAlignment="1" applyProtection="1">
      <alignment wrapText="1"/>
      <protection hidden="1"/>
    </xf>
    <xf numFmtId="0" fontId="4" fillId="0" borderId="0" xfId="0" applyFont="1" applyAlignment="1" applyProtection="1">
      <alignment vertical="top"/>
      <protection hidden="1"/>
    </xf>
    <xf numFmtId="169" fontId="6" fillId="0" borderId="0" xfId="0" applyNumberFormat="1" applyFont="1" applyAlignment="1" applyProtection="1">
      <protection hidden="1"/>
    </xf>
    <xf numFmtId="169" fontId="4" fillId="0" borderId="0" xfId="0" applyNumberFormat="1" applyFont="1" applyAlignment="1" applyProtection="1">
      <protection hidden="1"/>
    </xf>
    <xf numFmtId="0" fontId="4" fillId="0" borderId="0" xfId="0" applyFont="1" applyAlignment="1" applyProtection="1">
      <alignment horizontal="justify" vertical="top"/>
      <protection hidden="1"/>
    </xf>
    <xf numFmtId="0" fontId="2" fillId="0" borderId="0" xfId="0" applyNumberFormat="1" applyFont="1" applyAlignment="1" applyProtection="1">
      <alignment horizontal="justify"/>
      <protection hidden="1"/>
    </xf>
    <xf numFmtId="169" fontId="4" fillId="0" borderId="0" xfId="0" applyNumberFormat="1" applyFont="1" applyAlignment="1" applyProtection="1">
      <alignment horizontal="justify"/>
      <protection hidden="1"/>
    </xf>
    <xf numFmtId="0" fontId="25" fillId="0" borderId="13" xfId="0" applyFont="1" applyBorder="1" applyAlignment="1" applyProtection="1">
      <alignment vertical="top" wrapText="1"/>
      <protection locked="0"/>
    </xf>
    <xf numFmtId="3" fontId="18" fillId="0" borderId="0" xfId="0" applyNumberFormat="1" applyFont="1" applyBorder="1" applyAlignment="1" applyProtection="1">
      <alignment horizontal="right" vertical="center"/>
      <protection hidden="1"/>
    </xf>
    <xf numFmtId="0" fontId="18" fillId="0" borderId="0" xfId="22" quotePrefix="1" applyNumberFormat="1" applyFont="1" applyBorder="1" applyAlignment="1" applyProtection="1">
      <alignment vertical="center"/>
      <protection hidden="1"/>
    </xf>
    <xf numFmtId="0" fontId="18" fillId="0" borderId="0" xfId="22" applyFont="1" applyProtection="1">
      <protection hidden="1"/>
    </xf>
    <xf numFmtId="0" fontId="19" fillId="0" borderId="0" xfId="22" applyNumberFormat="1" applyFont="1" applyAlignment="1" applyProtection="1">
      <protection hidden="1"/>
    </xf>
    <xf numFmtId="0" fontId="18" fillId="0" borderId="0" xfId="22" applyFont="1" applyAlignment="1" applyProtection="1">
      <alignment horizontal="left"/>
      <protection hidden="1"/>
    </xf>
    <xf numFmtId="0" fontId="18" fillId="0" borderId="0" xfId="22" applyFont="1" applyBorder="1" applyAlignment="1" applyProtection="1">
      <alignment horizontal="left" vertical="center"/>
      <protection hidden="1"/>
    </xf>
    <xf numFmtId="0" fontId="25" fillId="0" borderId="0" xfId="22" applyFont="1" applyBorder="1" applyAlignment="1" applyProtection="1">
      <alignment horizontal="left" vertical="center"/>
      <protection hidden="1"/>
    </xf>
    <xf numFmtId="0" fontId="19" fillId="0" borderId="0" xfId="22" applyFont="1" applyProtection="1">
      <protection hidden="1"/>
    </xf>
    <xf numFmtId="0" fontId="18" fillId="0" borderId="0" xfId="22" applyFont="1" applyAlignment="1" applyProtection="1">
      <alignment vertical="center"/>
      <protection hidden="1"/>
    </xf>
    <xf numFmtId="0" fontId="18" fillId="0" borderId="27" xfId="22" applyFont="1" applyBorder="1" applyAlignment="1" applyProtection="1">
      <alignment horizontal="center"/>
      <protection hidden="1"/>
    </xf>
    <xf numFmtId="0" fontId="18" fillId="0" borderId="0" xfId="22" applyFont="1" applyBorder="1" applyAlignment="1" applyProtection="1">
      <alignment horizontal="left" vertical="center" wrapText="1"/>
      <protection hidden="1"/>
    </xf>
    <xf numFmtId="0" fontId="18" fillId="0" borderId="0" xfId="22" applyFont="1" applyBorder="1" applyAlignment="1" applyProtection="1">
      <alignment horizontal="center"/>
      <protection hidden="1"/>
    </xf>
    <xf numFmtId="168" fontId="18" fillId="5" borderId="6" xfId="0" applyNumberFormat="1" applyFont="1" applyFill="1" applyBorder="1" applyProtection="1"/>
    <xf numFmtId="168" fontId="18" fillId="0" borderId="6" xfId="0" quotePrefix="1" applyNumberFormat="1" applyFont="1" applyBorder="1" applyProtection="1"/>
    <xf numFmtId="180" fontId="18" fillId="0" borderId="6" xfId="4" applyNumberFormat="1" applyFont="1" applyFill="1" applyBorder="1" applyProtection="1"/>
    <xf numFmtId="180" fontId="18" fillId="5" borderId="6" xfId="4" applyNumberFormat="1" applyFont="1" applyFill="1" applyBorder="1" applyProtection="1"/>
    <xf numFmtId="0" fontId="19" fillId="3" borderId="8" xfId="0" applyFont="1" applyFill="1" applyBorder="1" applyAlignment="1" applyProtection="1">
      <alignment horizontal="left"/>
    </xf>
    <xf numFmtId="0" fontId="19" fillId="3" borderId="10" xfId="0" applyFont="1" applyFill="1" applyBorder="1" applyAlignment="1" applyProtection="1">
      <alignment horizontal="left"/>
    </xf>
    <xf numFmtId="3" fontId="18" fillId="0" borderId="6" xfId="0" applyNumberFormat="1" applyFont="1" applyFill="1" applyBorder="1" applyAlignment="1" applyProtection="1"/>
    <xf numFmtId="3" fontId="18" fillId="0" borderId="6" xfId="0" applyNumberFormat="1" applyFont="1" applyFill="1" applyBorder="1" applyProtection="1"/>
    <xf numFmtId="9" fontId="18" fillId="5" borderId="6" xfId="14" applyFont="1" applyFill="1" applyBorder="1" applyProtection="1"/>
    <xf numFmtId="3" fontId="18" fillId="0" borderId="0" xfId="0" applyNumberFormat="1" applyFont="1" applyProtection="1"/>
    <xf numFmtId="3" fontId="18" fillId="5" borderId="6" xfId="23" applyNumberFormat="1" applyFont="1" applyFill="1" applyBorder="1" applyProtection="1"/>
    <xf numFmtId="3" fontId="18" fillId="0" borderId="6" xfId="0" applyNumberFormat="1" applyFont="1" applyBorder="1" applyProtection="1"/>
    <xf numFmtId="3" fontId="19" fillId="3" borderId="6" xfId="0" applyNumberFormat="1" applyFont="1" applyFill="1" applyBorder="1" applyProtection="1"/>
    <xf numFmtId="3" fontId="18" fillId="0" borderId="6" xfId="0" applyNumberFormat="1" applyFont="1" applyFill="1" applyBorder="1" applyAlignment="1" applyProtection="1">
      <alignment horizontal="right"/>
    </xf>
    <xf numFmtId="3" fontId="19" fillId="3" borderId="9" xfId="24" applyNumberFormat="1" applyFont="1" applyFill="1" applyBorder="1" applyAlignment="1" applyProtection="1">
      <alignment horizontal="right" vertical="top"/>
    </xf>
    <xf numFmtId="3" fontId="19" fillId="3" borderId="10" xfId="26" applyNumberFormat="1" applyFont="1" applyFill="1" applyBorder="1" applyAlignment="1" applyProtection="1">
      <alignment horizontal="right" vertical="top"/>
    </xf>
    <xf numFmtId="3" fontId="19" fillId="3" borderId="6" xfId="24" applyNumberFormat="1" applyFont="1" applyFill="1" applyBorder="1" applyAlignment="1" applyProtection="1">
      <alignment vertical="top"/>
    </xf>
    <xf numFmtId="3" fontId="19" fillId="3" borderId="6" xfId="27" applyNumberFormat="1" applyFont="1" applyFill="1" applyBorder="1" applyAlignment="1" applyProtection="1">
      <alignment vertical="top"/>
    </xf>
    <xf numFmtId="3" fontId="18" fillId="3" borderId="6" xfId="0" applyNumberFormat="1" applyFont="1" applyFill="1" applyBorder="1" applyProtection="1"/>
    <xf numFmtId="3" fontId="18" fillId="3" borderId="6" xfId="14" applyNumberFormat="1" applyFont="1" applyFill="1" applyBorder="1" applyProtection="1"/>
    <xf numFmtId="3" fontId="18" fillId="0" borderId="10" xfId="0" applyNumberFormat="1" applyFont="1" applyBorder="1" applyAlignment="1" applyProtection="1">
      <alignment horizontal="right"/>
    </xf>
    <xf numFmtId="3" fontId="18" fillId="0" borderId="10" xfId="0" applyNumberFormat="1" applyFont="1" applyFill="1" applyBorder="1" applyAlignment="1" applyProtection="1">
      <alignment horizontal="right"/>
    </xf>
    <xf numFmtId="0" fontId="18" fillId="0" borderId="6" xfId="0" applyFont="1" applyBorder="1" applyProtection="1"/>
    <xf numFmtId="3" fontId="18" fillId="0" borderId="28" xfId="0" applyNumberFormat="1" applyFont="1" applyBorder="1" applyProtection="1"/>
    <xf numFmtId="3" fontId="18" fillId="0" borderId="29" xfId="0" applyNumberFormat="1" applyFont="1" applyBorder="1" applyProtection="1"/>
    <xf numFmtId="3" fontId="18" fillId="0" borderId="30" xfId="0" applyNumberFormat="1" applyFont="1" applyBorder="1" applyProtection="1"/>
    <xf numFmtId="3" fontId="18" fillId="0" borderId="10" xfId="0" applyNumberFormat="1" applyFont="1" applyBorder="1" applyProtection="1"/>
    <xf numFmtId="4" fontId="19" fillId="0" borderId="0" xfId="0" applyNumberFormat="1" applyFont="1" applyBorder="1" applyAlignment="1" applyProtection="1">
      <protection hidden="1"/>
    </xf>
    <xf numFmtId="4" fontId="19" fillId="0" borderId="0" xfId="0" applyNumberFormat="1" applyFont="1" applyBorder="1" applyAlignment="1" applyProtection="1">
      <alignment vertical="center"/>
      <protection hidden="1"/>
    </xf>
    <xf numFmtId="4" fontId="18" fillId="0" borderId="0" xfId="0" applyNumberFormat="1" applyFont="1" applyBorder="1" applyProtection="1">
      <protection hidden="1"/>
    </xf>
    <xf numFmtId="4" fontId="15" fillId="0" borderId="0" xfId="0" applyNumberFormat="1" applyFont="1" applyBorder="1" applyProtection="1">
      <protection hidden="1"/>
    </xf>
    <xf numFmtId="4" fontId="15" fillId="0" borderId="0" xfId="0" applyNumberFormat="1" applyFont="1" applyBorder="1" applyAlignment="1" applyProtection="1">
      <alignment horizontal="center"/>
      <protection hidden="1"/>
    </xf>
    <xf numFmtId="4" fontId="6" fillId="0" borderId="0" xfId="0" applyNumberFormat="1" applyFont="1" applyBorder="1" applyProtection="1">
      <protection hidden="1"/>
    </xf>
    <xf numFmtId="4" fontId="4" fillId="0" borderId="0" xfId="0" applyNumberFormat="1" applyFont="1" applyBorder="1" applyProtection="1">
      <protection hidden="1"/>
    </xf>
    <xf numFmtId="0" fontId="27" fillId="0" borderId="0" xfId="0" applyFont="1" applyFill="1" applyProtection="1">
      <protection hidden="1"/>
    </xf>
    <xf numFmtId="0" fontId="15" fillId="0" borderId="0" xfId="0" applyFont="1" applyFill="1" applyAlignment="1" applyProtection="1">
      <protection hidden="1"/>
    </xf>
    <xf numFmtId="180" fontId="18" fillId="0" borderId="6" xfId="4" applyNumberFormat="1" applyFont="1" applyBorder="1" applyProtection="1"/>
    <xf numFmtId="168" fontId="19" fillId="3" borderId="20" xfId="0" applyNumberFormat="1" applyFont="1" applyFill="1" applyBorder="1" applyAlignment="1" applyProtection="1">
      <alignment horizontal="center"/>
      <protection hidden="1"/>
    </xf>
    <xf numFmtId="0" fontId="19" fillId="3" borderId="2" xfId="0" applyNumberFormat="1" applyFont="1" applyFill="1" applyBorder="1" applyAlignment="1" applyProtection="1">
      <alignment horizontal="center"/>
      <protection hidden="1"/>
    </xf>
    <xf numFmtId="168" fontId="15" fillId="3" borderId="12" xfId="0" applyNumberFormat="1" applyFont="1" applyFill="1" applyBorder="1" applyProtection="1">
      <protection hidden="1"/>
    </xf>
    <xf numFmtId="0" fontId="19" fillId="3" borderId="6" xfId="0" applyNumberFormat="1" applyFont="1" applyFill="1" applyBorder="1" applyAlignment="1" applyProtection="1">
      <alignment horizontal="right"/>
      <protection hidden="1"/>
    </xf>
    <xf numFmtId="178" fontId="15" fillId="0" borderId="0" xfId="0" applyNumberFormat="1" applyFont="1" applyProtection="1">
      <protection hidden="1"/>
    </xf>
    <xf numFmtId="3" fontId="18" fillId="0" borderId="28" xfId="0" applyNumberFormat="1" applyFont="1" applyFill="1" applyBorder="1" applyAlignment="1" applyProtection="1"/>
    <xf numFmtId="168" fontId="18" fillId="0" borderId="8" xfId="0" applyNumberFormat="1" applyFont="1" applyBorder="1" applyProtection="1">
      <protection hidden="1"/>
    </xf>
    <xf numFmtId="168" fontId="18" fillId="0" borderId="10" xfId="0" applyNumberFormat="1" applyFont="1" applyBorder="1" applyProtection="1">
      <protection hidden="1"/>
    </xf>
    <xf numFmtId="168" fontId="19" fillId="3" borderId="6" xfId="0" quotePrefix="1" applyNumberFormat="1" applyFont="1" applyFill="1" applyBorder="1" applyProtection="1"/>
    <xf numFmtId="173" fontId="18" fillId="0" borderId="0" xfId="24" applyFont="1" applyFill="1" applyBorder="1" applyAlignment="1" applyProtection="1">
      <protection locked="0"/>
    </xf>
    <xf numFmtId="0" fontId="28" fillId="0" borderId="0" xfId="0" applyFont="1" applyBorder="1" applyAlignment="1"/>
    <xf numFmtId="0" fontId="18" fillId="0" borderId="0" xfId="0" applyFont="1" applyBorder="1" applyAlignment="1" applyProtection="1">
      <alignment wrapText="1"/>
      <protection hidden="1"/>
    </xf>
    <xf numFmtId="0" fontId="0" fillId="0" borderId="10" xfId="0" applyBorder="1" applyAlignment="1">
      <alignment vertical="top"/>
    </xf>
    <xf numFmtId="0" fontId="18" fillId="0" borderId="7" xfId="0" applyFont="1" applyBorder="1" applyAlignment="1" applyProtection="1">
      <alignment vertical="top"/>
      <protection hidden="1"/>
    </xf>
    <xf numFmtId="0" fontId="0" fillId="0" borderId="8" xfId="0" applyBorder="1" applyAlignment="1">
      <alignment vertical="top"/>
    </xf>
    <xf numFmtId="0" fontId="18" fillId="0" borderId="7" xfId="0" applyFont="1" applyBorder="1" applyProtection="1"/>
    <xf numFmtId="0" fontId="6" fillId="3" borderId="0" xfId="0" applyFont="1" applyFill="1" applyAlignment="1" applyProtection="1">
      <protection hidden="1"/>
    </xf>
    <xf numFmtId="0" fontId="18" fillId="3" borderId="0" xfId="0" applyFont="1" applyFill="1" applyAlignment="1" applyProtection="1">
      <protection hidden="1"/>
    </xf>
    <xf numFmtId="0" fontId="6" fillId="3" borderId="8" xfId="0" applyFont="1" applyFill="1" applyBorder="1" applyAlignment="1" applyProtection="1">
      <protection hidden="1"/>
    </xf>
    <xf numFmtId="0" fontId="18" fillId="3" borderId="8" xfId="0" applyFont="1" applyFill="1" applyBorder="1" applyAlignment="1" applyProtection="1">
      <protection hidden="1"/>
    </xf>
    <xf numFmtId="0" fontId="18" fillId="3" borderId="10" xfId="0" applyFont="1" applyFill="1" applyBorder="1" applyAlignment="1" applyProtection="1">
      <protection hidden="1"/>
    </xf>
    <xf numFmtId="0" fontId="0" fillId="0" borderId="0" xfId="0" applyBorder="1" applyAlignment="1">
      <alignment wrapText="1"/>
    </xf>
    <xf numFmtId="171" fontId="18" fillId="0" borderId="10" xfId="0" applyNumberFormat="1" applyFont="1" applyFill="1" applyBorder="1" applyAlignment="1" applyProtection="1">
      <alignment horizontal="center"/>
    </xf>
    <xf numFmtId="9" fontId="18" fillId="0" borderId="10" xfId="0" applyNumberFormat="1" applyFont="1" applyFill="1" applyBorder="1" applyAlignment="1" applyProtection="1">
      <alignment horizontal="center"/>
    </xf>
    <xf numFmtId="9" fontId="18" fillId="0" borderId="10" xfId="14" applyFont="1" applyFill="1" applyBorder="1" applyAlignment="1" applyProtection="1">
      <alignment horizontal="center"/>
    </xf>
    <xf numFmtId="0" fontId="19" fillId="3" borderId="11" xfId="0" applyFont="1" applyFill="1" applyBorder="1" applyAlignment="1" applyProtection="1">
      <alignment horizontal="left"/>
    </xf>
    <xf numFmtId="0" fontId="19" fillId="0" borderId="0" xfId="0" applyNumberFormat="1" applyFont="1" applyAlignment="1" applyProtection="1"/>
    <xf numFmtId="0" fontId="18" fillId="0" borderId="0" xfId="0" applyFont="1" applyAlignment="1" applyProtection="1"/>
    <xf numFmtId="0" fontId="18" fillId="0" borderId="0" xfId="0" applyFont="1" applyAlignment="1" applyProtection="1">
      <alignment horizontal="left"/>
    </xf>
    <xf numFmtId="0" fontId="18" fillId="0" borderId="0" xfId="0" applyNumberFormat="1" applyFont="1" applyBorder="1" applyAlignment="1" applyProtection="1">
      <alignment vertical="center"/>
    </xf>
    <xf numFmtId="0" fontId="18" fillId="0" borderId="0" xfId="0" applyFont="1" applyBorder="1" applyAlignment="1" applyProtection="1">
      <alignment vertical="center"/>
    </xf>
    <xf numFmtId="0" fontId="22" fillId="0" borderId="0" xfId="0" applyNumberFormat="1" applyFont="1" applyBorder="1" applyAlignment="1" applyProtection="1">
      <alignment vertical="center"/>
    </xf>
    <xf numFmtId="0" fontId="19" fillId="0" borderId="0" xfId="0" applyNumberFormat="1" applyFont="1" applyBorder="1" applyAlignment="1" applyProtection="1">
      <alignment vertical="center"/>
    </xf>
    <xf numFmtId="178" fontId="18" fillId="0" borderId="0" xfId="0" applyNumberFormat="1" applyFont="1" applyBorder="1" applyAlignment="1" applyProtection="1">
      <alignment horizontal="right" vertical="center"/>
    </xf>
    <xf numFmtId="0" fontId="19" fillId="0" borderId="0" xfId="0" applyNumberFormat="1" applyFont="1" applyBorder="1" applyAlignment="1" applyProtection="1">
      <alignment horizontal="left"/>
    </xf>
    <xf numFmtId="37" fontId="18" fillId="0" borderId="0" xfId="0" applyNumberFormat="1" applyFont="1" applyAlignment="1" applyProtection="1"/>
    <xf numFmtId="2" fontId="18" fillId="0" borderId="0" xfId="0" applyNumberFormat="1" applyFont="1" applyAlignment="1" applyProtection="1"/>
    <xf numFmtId="0" fontId="18" fillId="0" borderId="0" xfId="0" applyFont="1" applyBorder="1" applyAlignment="1" applyProtection="1"/>
    <xf numFmtId="37" fontId="18" fillId="0" borderId="0" xfId="0" applyNumberFormat="1" applyFont="1" applyAlignment="1" applyProtection="1">
      <alignment horizontal="center"/>
    </xf>
    <xf numFmtId="0" fontId="19" fillId="0" borderId="0" xfId="0" applyFont="1" applyProtection="1"/>
    <xf numFmtId="0" fontId="18" fillId="0" borderId="0" xfId="0" applyFont="1" applyProtection="1"/>
    <xf numFmtId="0" fontId="19" fillId="3" borderId="31" xfId="0" applyFont="1" applyFill="1" applyBorder="1" applyAlignment="1" applyProtection="1">
      <alignment horizontal="center"/>
    </xf>
    <xf numFmtId="0" fontId="19" fillId="3" borderId="32" xfId="0" applyNumberFormat="1" applyFont="1" applyFill="1" applyBorder="1" applyAlignment="1" applyProtection="1">
      <alignment horizontal="center"/>
    </xf>
    <xf numFmtId="0" fontId="19" fillId="3" borderId="33" xfId="0" applyFont="1" applyFill="1" applyBorder="1" applyAlignment="1" applyProtection="1">
      <alignment horizontal="center"/>
    </xf>
    <xf numFmtId="0" fontId="19" fillId="3" borderId="34" xfId="0" applyNumberFormat="1" applyFont="1" applyFill="1" applyBorder="1" applyAlignment="1" applyProtection="1">
      <alignment horizontal="center"/>
    </xf>
    <xf numFmtId="0" fontId="19" fillId="0" borderId="0" xfId="0" applyFont="1" applyFill="1" applyBorder="1" applyProtection="1"/>
    <xf numFmtId="0" fontId="19" fillId="0" borderId="0" xfId="0" applyNumberFormat="1" applyFont="1" applyFill="1" applyBorder="1" applyProtection="1"/>
    <xf numFmtId="0" fontId="19" fillId="3" borderId="7" xfId="0" applyFont="1" applyFill="1" applyBorder="1" applyAlignment="1" applyProtection="1">
      <alignment horizontal="left"/>
    </xf>
    <xf numFmtId="0" fontId="18" fillId="0" borderId="7" xfId="0" applyFont="1" applyBorder="1" applyAlignment="1" applyProtection="1">
      <alignment horizontal="left"/>
    </xf>
    <xf numFmtId="0" fontId="19" fillId="3" borderId="6" xfId="0" applyFont="1" applyFill="1" applyBorder="1" applyAlignment="1" applyProtection="1">
      <alignment horizontal="left"/>
    </xf>
    <xf numFmtId="0" fontId="18" fillId="0" borderId="7" xfId="0" applyFont="1" applyFill="1" applyBorder="1" applyAlignment="1" applyProtection="1">
      <alignment horizontal="left"/>
    </xf>
    <xf numFmtId="3" fontId="18" fillId="0" borderId="8" xfId="0" applyNumberFormat="1" applyFont="1" applyFill="1" applyBorder="1" applyAlignment="1" applyProtection="1">
      <alignment horizontal="right"/>
    </xf>
    <xf numFmtId="0" fontId="18" fillId="0" borderId="7" xfId="0" applyFont="1" applyFill="1" applyBorder="1" applyProtection="1"/>
    <xf numFmtId="3" fontId="18" fillId="0" borderId="35" xfId="0" applyNumberFormat="1" applyFont="1" applyFill="1" applyBorder="1" applyAlignment="1" applyProtection="1">
      <alignment horizontal="right"/>
    </xf>
    <xf numFmtId="3" fontId="18" fillId="0" borderId="36" xfId="0" applyNumberFormat="1" applyFont="1" applyFill="1" applyBorder="1" applyAlignment="1" applyProtection="1">
      <alignment horizontal="right"/>
    </xf>
    <xf numFmtId="0" fontId="19" fillId="3" borderId="6" xfId="0" applyFont="1" applyFill="1" applyBorder="1" applyProtection="1"/>
    <xf numFmtId="0" fontId="18" fillId="3" borderId="7" xfId="0" applyFont="1" applyFill="1" applyBorder="1" applyProtection="1"/>
    <xf numFmtId="0" fontId="18" fillId="3" borderId="8" xfId="0" applyFont="1" applyFill="1" applyBorder="1" applyProtection="1"/>
    <xf numFmtId="0" fontId="18" fillId="0" borderId="27" xfId="0" applyFont="1" applyFill="1" applyBorder="1" applyProtection="1"/>
    <xf numFmtId="0" fontId="18" fillId="0" borderId="29" xfId="0" applyFont="1" applyBorder="1" applyProtection="1"/>
    <xf numFmtId="0" fontId="19" fillId="3" borderId="7" xfId="0" applyFont="1" applyFill="1" applyBorder="1" applyProtection="1"/>
    <xf numFmtId="3" fontId="19" fillId="3" borderId="8" xfId="0" applyNumberFormat="1" applyFont="1" applyFill="1" applyBorder="1" applyProtection="1"/>
    <xf numFmtId="0" fontId="19" fillId="3" borderId="7" xfId="0" applyFont="1" applyFill="1" applyBorder="1" applyAlignment="1" applyProtection="1"/>
    <xf numFmtId="0" fontId="19" fillId="5" borderId="0" xfId="0" applyFont="1" applyFill="1" applyBorder="1" applyAlignment="1" applyProtection="1">
      <alignment horizontal="left"/>
    </xf>
    <xf numFmtId="0" fontId="19" fillId="0" borderId="0" xfId="0" applyFont="1" applyFill="1" applyBorder="1" applyAlignment="1" applyProtection="1">
      <alignment horizontal="left"/>
    </xf>
    <xf numFmtId="1" fontId="19" fillId="0" borderId="0" xfId="0" applyNumberFormat="1" applyFont="1" applyFill="1" applyBorder="1" applyProtection="1"/>
    <xf numFmtId="2" fontId="18" fillId="0" borderId="0" xfId="0" applyNumberFormat="1" applyFont="1" applyProtection="1"/>
    <xf numFmtId="0" fontId="25" fillId="0" borderId="0" xfId="0" applyFont="1" applyProtection="1">
      <protection hidden="1"/>
    </xf>
    <xf numFmtId="0" fontId="18" fillId="0" borderId="0" xfId="0" applyFont="1" applyBorder="1" applyAlignment="1" applyProtection="1">
      <alignment horizontal="left"/>
    </xf>
    <xf numFmtId="0" fontId="18" fillId="0" borderId="7" xfId="0" applyFont="1" applyFill="1" applyBorder="1" applyAlignment="1" applyProtection="1">
      <alignment horizontal="left"/>
      <protection hidden="1"/>
    </xf>
    <xf numFmtId="0" fontId="19" fillId="3" borderId="37" xfId="0" applyFont="1" applyFill="1" applyBorder="1" applyAlignment="1" applyProtection="1">
      <alignment horizontal="center"/>
      <protection hidden="1"/>
    </xf>
    <xf numFmtId="0" fontId="19" fillId="3" borderId="10" xfId="0" applyFont="1" applyFill="1" applyBorder="1" applyAlignment="1" applyProtection="1">
      <protection hidden="1"/>
    </xf>
    <xf numFmtId="173" fontId="18" fillId="0" borderId="10" xfId="24" applyFont="1" applyFill="1" applyBorder="1" applyAlignment="1" applyProtection="1"/>
    <xf numFmtId="181" fontId="6" fillId="0" borderId="0" xfId="0" applyNumberFormat="1" applyFont="1" applyProtection="1">
      <protection hidden="1"/>
    </xf>
    <xf numFmtId="0" fontId="27" fillId="0" borderId="0" xfId="0" applyNumberFormat="1" applyFont="1" applyAlignment="1" applyProtection="1">
      <alignment horizontal="left"/>
      <protection hidden="1"/>
    </xf>
    <xf numFmtId="37" fontId="18" fillId="0" borderId="0" xfId="0" applyNumberFormat="1" applyFont="1" applyBorder="1" applyAlignment="1" applyProtection="1">
      <protection hidden="1"/>
    </xf>
    <xf numFmtId="0" fontId="0" fillId="0" borderId="0" xfId="0" applyAlignment="1">
      <alignment wrapText="1"/>
    </xf>
    <xf numFmtId="37" fontId="19" fillId="3" borderId="19" xfId="0" applyNumberFormat="1" applyFont="1" applyFill="1" applyBorder="1" applyAlignment="1" applyProtection="1">
      <protection hidden="1"/>
    </xf>
    <xf numFmtId="0" fontId="15" fillId="3" borderId="37" xfId="0" applyFont="1" applyFill="1" applyBorder="1" applyProtection="1">
      <protection hidden="1"/>
    </xf>
    <xf numFmtId="0" fontId="18" fillId="3" borderId="20" xfId="0" applyFont="1" applyFill="1" applyBorder="1" applyAlignment="1" applyProtection="1">
      <protection hidden="1"/>
    </xf>
    <xf numFmtId="37" fontId="19" fillId="3" borderId="3" xfId="0" applyNumberFormat="1" applyFont="1" applyFill="1" applyBorder="1" applyAlignment="1" applyProtection="1">
      <alignment horizontal="right"/>
      <protection hidden="1"/>
    </xf>
    <xf numFmtId="37" fontId="19" fillId="0" borderId="0" xfId="0" applyNumberFormat="1" applyFont="1" applyFill="1" applyBorder="1" applyAlignment="1" applyProtection="1">
      <protection hidden="1"/>
    </xf>
    <xf numFmtId="0" fontId="18" fillId="0" borderId="0" xfId="0" applyFont="1" applyFill="1" applyBorder="1" applyAlignment="1" applyProtection="1">
      <protection hidden="1"/>
    </xf>
    <xf numFmtId="37" fontId="19" fillId="0" borderId="0" xfId="0" applyNumberFormat="1" applyFont="1" applyFill="1" applyBorder="1" applyAlignment="1" applyProtection="1">
      <alignment horizontal="right"/>
      <protection hidden="1"/>
    </xf>
    <xf numFmtId="173" fontId="19" fillId="0" borderId="0" xfId="24" applyFont="1" applyFill="1" applyBorder="1" applyAlignment="1" applyProtection="1">
      <alignment horizontal="left"/>
      <protection hidden="1"/>
    </xf>
    <xf numFmtId="37" fontId="18" fillId="0" borderId="0" xfId="0" applyNumberFormat="1" applyFont="1" applyProtection="1">
      <protection hidden="1"/>
    </xf>
    <xf numFmtId="37" fontId="18" fillId="0" borderId="0" xfId="0" applyNumberFormat="1" applyFont="1" applyAlignment="1" applyProtection="1">
      <alignment horizontal="left"/>
      <protection hidden="1"/>
    </xf>
    <xf numFmtId="0" fontId="18" fillId="0" borderId="7" xfId="0" applyFont="1" applyFill="1" applyBorder="1" applyProtection="1">
      <protection hidden="1"/>
    </xf>
    <xf numFmtId="173" fontId="19" fillId="0" borderId="8" xfId="24" applyFont="1" applyFill="1" applyBorder="1" applyAlignment="1" applyProtection="1">
      <alignment horizontal="right"/>
      <protection hidden="1"/>
    </xf>
    <xf numFmtId="0" fontId="18" fillId="0" borderId="10" xfId="0" applyFont="1" applyBorder="1" applyAlignment="1" applyProtection="1">
      <protection hidden="1"/>
    </xf>
    <xf numFmtId="3" fontId="18" fillId="0" borderId="6" xfId="24" applyNumberFormat="1" applyFont="1" applyFill="1" applyBorder="1" applyProtection="1"/>
    <xf numFmtId="0" fontId="18" fillId="0" borderId="8" xfId="0" applyFont="1" applyFill="1" applyBorder="1" applyProtection="1">
      <protection hidden="1"/>
    </xf>
    <xf numFmtId="0" fontId="18" fillId="0" borderId="10" xfId="0" applyFont="1" applyFill="1" applyBorder="1" applyProtection="1">
      <protection hidden="1"/>
    </xf>
    <xf numFmtId="0" fontId="18" fillId="0" borderId="36" xfId="0" applyFont="1" applyFill="1" applyBorder="1" applyProtection="1">
      <protection hidden="1"/>
    </xf>
    <xf numFmtId="0" fontId="18" fillId="0" borderId="35" xfId="0" applyFont="1" applyFill="1" applyBorder="1" applyProtection="1">
      <protection hidden="1"/>
    </xf>
    <xf numFmtId="3" fontId="18" fillId="0" borderId="9" xfId="24" applyNumberFormat="1" applyFont="1" applyFill="1" applyBorder="1" applyProtection="1"/>
    <xf numFmtId="173" fontId="18" fillId="0" borderId="36" xfId="24" applyFont="1" applyFill="1" applyBorder="1" applyProtection="1">
      <protection hidden="1"/>
    </xf>
    <xf numFmtId="173" fontId="18" fillId="0" borderId="35" xfId="24" applyFont="1" applyFill="1" applyBorder="1" applyProtection="1">
      <protection hidden="1"/>
    </xf>
    <xf numFmtId="0" fontId="19" fillId="3" borderId="6" xfId="18" applyFont="1" applyFill="1" applyBorder="1" applyProtection="1">
      <protection hidden="1"/>
    </xf>
    <xf numFmtId="37" fontId="19" fillId="3" borderId="7" xfId="0" applyNumberFormat="1" applyFont="1" applyFill="1" applyBorder="1" applyProtection="1">
      <protection hidden="1"/>
    </xf>
    <xf numFmtId="37" fontId="19" fillId="3" borderId="10" xfId="0" applyNumberFormat="1" applyFont="1" applyFill="1" applyBorder="1" applyProtection="1">
      <protection hidden="1"/>
    </xf>
    <xf numFmtId="3" fontId="19" fillId="3" borderId="6" xfId="27" applyNumberFormat="1" applyFont="1" applyBorder="1" applyProtection="1"/>
    <xf numFmtId="173" fontId="18" fillId="0" borderId="7" xfId="24" applyFont="1" applyFill="1" applyBorder="1" applyProtection="1">
      <protection hidden="1"/>
    </xf>
    <xf numFmtId="173" fontId="18" fillId="0" borderId="10" xfId="24" applyFont="1" applyFill="1" applyBorder="1" applyProtection="1">
      <protection hidden="1"/>
    </xf>
    <xf numFmtId="0" fontId="19" fillId="0" borderId="0" xfId="18" applyFont="1" applyFill="1" applyBorder="1" applyProtection="1">
      <protection hidden="1"/>
    </xf>
    <xf numFmtId="37" fontId="19" fillId="0" borderId="0" xfId="0" applyNumberFormat="1" applyFont="1" applyFill="1" applyBorder="1" applyProtection="1">
      <protection hidden="1"/>
    </xf>
    <xf numFmtId="3" fontId="19" fillId="0" borderId="0" xfId="27" applyNumberFormat="1" applyFont="1" applyFill="1" applyBorder="1" applyProtection="1">
      <protection hidden="1"/>
    </xf>
    <xf numFmtId="37" fontId="18" fillId="0" borderId="0" xfId="0" applyNumberFormat="1" applyFont="1" applyBorder="1" applyProtection="1">
      <protection hidden="1"/>
    </xf>
    <xf numFmtId="3" fontId="18" fillId="0" borderId="0" xfId="0" applyNumberFormat="1" applyFont="1" applyBorder="1" applyProtection="1">
      <protection hidden="1"/>
    </xf>
    <xf numFmtId="0" fontId="19" fillId="3" borderId="7" xfId="18" applyFont="1" applyFill="1" applyBorder="1" applyProtection="1">
      <protection hidden="1"/>
    </xf>
    <xf numFmtId="37" fontId="19" fillId="3" borderId="8" xfId="0" applyNumberFormat="1" applyFont="1" applyFill="1" applyBorder="1" applyProtection="1">
      <protection hidden="1"/>
    </xf>
    <xf numFmtId="3" fontId="19" fillId="3" borderId="6" xfId="27" applyNumberFormat="1" applyFont="1" applyFill="1" applyBorder="1" applyProtection="1"/>
    <xf numFmtId="0" fontId="19" fillId="3" borderId="7" xfId="0" applyFont="1" applyFill="1" applyBorder="1" applyProtection="1">
      <protection hidden="1"/>
    </xf>
    <xf numFmtId="173" fontId="19" fillId="0" borderId="10" xfId="24" applyFont="1" applyFill="1" applyBorder="1" applyAlignment="1" applyProtection="1">
      <alignment horizontal="right"/>
      <protection hidden="1"/>
    </xf>
    <xf numFmtId="173" fontId="18" fillId="0" borderId="8" xfId="24" applyFont="1" applyFill="1" applyBorder="1" applyProtection="1">
      <protection hidden="1"/>
    </xf>
    <xf numFmtId="0" fontId="18" fillId="0" borderId="10" xfId="0" applyFont="1" applyBorder="1" applyProtection="1">
      <protection hidden="1"/>
    </xf>
    <xf numFmtId="3" fontId="18" fillId="0" borderId="9" xfId="24" quotePrefix="1" applyNumberFormat="1" applyFont="1" applyFill="1" applyBorder="1" applyProtection="1"/>
    <xf numFmtId="3" fontId="18" fillId="0" borderId="0" xfId="18" applyNumberFormat="1" applyFont="1" applyFill="1" applyBorder="1" applyProtection="1">
      <protection hidden="1"/>
    </xf>
    <xf numFmtId="0" fontId="19" fillId="0" borderId="0" xfId="0" applyNumberFormat="1" applyFont="1" applyProtection="1">
      <protection hidden="1"/>
    </xf>
    <xf numFmtId="0" fontId="19" fillId="3" borderId="19" xfId="0" applyFont="1" applyFill="1" applyBorder="1" applyProtection="1">
      <protection hidden="1"/>
    </xf>
    <xf numFmtId="0" fontId="19" fillId="3" borderId="20" xfId="0" quotePrefix="1" applyFont="1" applyFill="1" applyBorder="1" applyAlignment="1" applyProtection="1">
      <alignment horizontal="center"/>
      <protection hidden="1"/>
    </xf>
    <xf numFmtId="49" fontId="18" fillId="0" borderId="8" xfId="0" applyNumberFormat="1" applyFont="1" applyBorder="1" applyAlignment="1" applyProtection="1">
      <alignment horizontal="center"/>
      <protection hidden="1"/>
    </xf>
    <xf numFmtId="49" fontId="18" fillId="0" borderId="0" xfId="0" applyNumberFormat="1" applyFont="1" applyBorder="1" applyAlignment="1" applyProtection="1">
      <alignment horizontal="center"/>
      <protection hidden="1"/>
    </xf>
    <xf numFmtId="0" fontId="7" fillId="0" borderId="0" xfId="0" applyNumberFormat="1" applyFont="1" applyProtection="1">
      <protection hidden="1"/>
    </xf>
    <xf numFmtId="3" fontId="18" fillId="0" borderId="7" xfId="26" applyNumberFormat="1" applyFont="1" applyFill="1" applyBorder="1" applyProtection="1">
      <protection locked="0"/>
    </xf>
    <xf numFmtId="3" fontId="18" fillId="0" borderId="7" xfId="24" applyNumberFormat="1" applyFont="1" applyBorder="1" applyAlignment="1" applyProtection="1"/>
    <xf numFmtId="172" fontId="18" fillId="0" borderId="7" xfId="24" applyNumberFormat="1" applyFont="1" applyBorder="1" applyAlignment="1" applyProtection="1">
      <alignment horizontal="center"/>
    </xf>
    <xf numFmtId="3" fontId="18" fillId="0" borderId="6" xfId="24" applyNumberFormat="1" applyFont="1" applyBorder="1" applyProtection="1"/>
    <xf numFmtId="3" fontId="18" fillId="0" borderId="6" xfId="26" applyNumberFormat="1" applyFont="1" applyFill="1" applyBorder="1" applyProtection="1">
      <protection locked="0"/>
    </xf>
    <xf numFmtId="169" fontId="18" fillId="0" borderId="7" xfId="24" applyNumberFormat="1" applyFont="1" applyBorder="1" applyAlignment="1" applyProtection="1">
      <alignment horizontal="center"/>
    </xf>
    <xf numFmtId="3" fontId="18" fillId="0" borderId="8" xfId="24" applyNumberFormat="1" applyFont="1" applyBorder="1" applyProtection="1"/>
    <xf numFmtId="3" fontId="18" fillId="0" borderId="35" xfId="24" applyNumberFormat="1" applyFont="1" applyFill="1" applyBorder="1" applyProtection="1">
      <protection locked="0"/>
    </xf>
    <xf numFmtId="3" fontId="18" fillId="0" borderId="11" xfId="24" applyNumberFormat="1" applyFont="1" applyBorder="1" applyAlignment="1" applyProtection="1"/>
    <xf numFmtId="172" fontId="18" fillId="0" borderId="11" xfId="24" applyNumberFormat="1" applyFont="1" applyBorder="1" applyAlignment="1" applyProtection="1">
      <alignment horizontal="center"/>
    </xf>
    <xf numFmtId="3" fontId="18" fillId="0" borderId="9" xfId="24" applyNumberFormat="1" applyFont="1" applyBorder="1" applyProtection="1"/>
    <xf numFmtId="37" fontId="19" fillId="3" borderId="6" xfId="0" applyNumberFormat="1" applyFont="1" applyFill="1" applyBorder="1" applyProtection="1">
      <protection hidden="1"/>
    </xf>
    <xf numFmtId="3" fontId="19" fillId="3" borderId="6" xfId="24" applyNumberFormat="1" applyFont="1" applyFill="1" applyBorder="1" applyProtection="1"/>
    <xf numFmtId="3" fontId="19" fillId="3" borderId="6" xfId="27" applyNumberFormat="1" applyFont="1" applyFill="1" applyBorder="1" applyAlignment="1" applyProtection="1"/>
    <xf numFmtId="165" fontId="19" fillId="3" borderId="6" xfId="0" applyNumberFormat="1" applyFont="1" applyFill="1" applyBorder="1" applyAlignment="1" applyProtection="1">
      <alignment horizontal="center"/>
    </xf>
    <xf numFmtId="37" fontId="18" fillId="0" borderId="7" xfId="0" applyNumberFormat="1" applyFont="1" applyFill="1" applyBorder="1" applyProtection="1"/>
    <xf numFmtId="3" fontId="19" fillId="0" borderId="0" xfId="27" applyNumberFormat="1" applyFont="1" applyFill="1" applyBorder="1" applyAlignment="1" applyProtection="1"/>
    <xf numFmtId="165" fontId="19" fillId="0" borderId="0" xfId="0" applyNumberFormat="1" applyFont="1" applyFill="1" applyBorder="1" applyAlignment="1" applyProtection="1">
      <alignment horizontal="center"/>
    </xf>
    <xf numFmtId="3" fontId="19" fillId="0" borderId="0" xfId="27" applyNumberFormat="1" applyFont="1" applyFill="1" applyBorder="1" applyProtection="1"/>
    <xf numFmtId="170" fontId="31" fillId="3" borderId="10" xfId="27" applyNumberFormat="1" applyFont="1" applyFill="1" applyBorder="1" applyAlignment="1" applyProtection="1"/>
    <xf numFmtId="172" fontId="18" fillId="0" borderId="7" xfId="24" applyNumberFormat="1" applyFont="1" applyFill="1" applyBorder="1" applyAlignment="1" applyProtection="1">
      <alignment horizontal="center"/>
    </xf>
    <xf numFmtId="4" fontId="18" fillId="0" borderId="28" xfId="24" applyNumberFormat="1" applyFont="1" applyFill="1" applyBorder="1" applyAlignment="1" applyProtection="1">
      <alignment horizontal="center"/>
    </xf>
    <xf numFmtId="165" fontId="18" fillId="0" borderId="6" xfId="0" applyNumberFormat="1" applyFont="1" applyBorder="1" applyAlignment="1" applyProtection="1">
      <alignment horizontal="center"/>
    </xf>
    <xf numFmtId="0" fontId="15" fillId="0" borderId="0" xfId="0" applyFont="1" applyProtection="1"/>
    <xf numFmtId="3" fontId="18" fillId="0" borderId="7" xfId="24" applyNumberFormat="1" applyFont="1" applyBorder="1" applyProtection="1"/>
    <xf numFmtId="172" fontId="18" fillId="0" borderId="6" xfId="24" applyNumberFormat="1" applyFont="1" applyFill="1" applyBorder="1" applyAlignment="1" applyProtection="1">
      <alignment horizontal="center"/>
    </xf>
    <xf numFmtId="3" fontId="15" fillId="0" borderId="0" xfId="0" applyNumberFormat="1" applyFont="1" applyProtection="1"/>
    <xf numFmtId="3" fontId="18" fillId="0" borderId="6" xfId="26" applyNumberFormat="1" applyFont="1" applyFill="1" applyBorder="1" applyProtection="1"/>
    <xf numFmtId="3" fontId="19" fillId="3" borderId="6" xfId="28" applyNumberFormat="1" applyFont="1" applyBorder="1" applyProtection="1"/>
    <xf numFmtId="0" fontId="18" fillId="0" borderId="0" xfId="0" applyFont="1" applyFill="1" applyAlignment="1" applyProtection="1">
      <protection hidden="1"/>
    </xf>
    <xf numFmtId="166" fontId="18" fillId="0" borderId="6" xfId="0" applyNumberFormat="1" applyFont="1" applyFill="1" applyBorder="1" applyAlignment="1" applyProtection="1">
      <alignment horizontal="center"/>
    </xf>
    <xf numFmtId="173" fontId="18" fillId="0" borderId="6" xfId="24" applyFont="1" applyBorder="1" applyProtection="1"/>
    <xf numFmtId="166" fontId="18" fillId="0" borderId="9" xfId="0" applyNumberFormat="1" applyFont="1" applyFill="1" applyBorder="1" applyAlignment="1" applyProtection="1">
      <alignment horizontal="center"/>
    </xf>
    <xf numFmtId="0" fontId="18" fillId="0" borderId="9" xfId="24" applyNumberFormat="1" applyFont="1" applyBorder="1" applyProtection="1"/>
    <xf numFmtId="3" fontId="19" fillId="3" borderId="28" xfId="27" applyNumberFormat="1" applyFont="1" applyBorder="1" applyProtection="1"/>
    <xf numFmtId="173" fontId="19" fillId="5" borderId="28" xfId="27" applyFont="1" applyFill="1" applyBorder="1" applyProtection="1"/>
    <xf numFmtId="3" fontId="18" fillId="3" borderId="6" xfId="27" applyNumberFormat="1" applyFont="1" applyBorder="1" applyProtection="1"/>
    <xf numFmtId="173" fontId="18" fillId="5" borderId="6" xfId="27" applyFont="1" applyFill="1" applyBorder="1" applyProtection="1"/>
    <xf numFmtId="3" fontId="18" fillId="3" borderId="6" xfId="0" applyNumberFormat="1" applyFont="1" applyFill="1" applyBorder="1" applyAlignment="1" applyProtection="1">
      <alignment horizontal="center"/>
    </xf>
    <xf numFmtId="0" fontId="18" fillId="0" borderId="36" xfId="0" applyFont="1" applyFill="1" applyBorder="1" applyAlignment="1" applyProtection="1">
      <protection hidden="1"/>
    </xf>
    <xf numFmtId="0" fontId="18" fillId="0" borderId="35" xfId="0" applyFont="1" applyFill="1" applyBorder="1" applyAlignment="1" applyProtection="1">
      <protection hidden="1"/>
    </xf>
    <xf numFmtId="3" fontId="19" fillId="3" borderId="6" xfId="27" applyNumberFormat="1" applyFont="1" applyBorder="1" applyAlignment="1" applyProtection="1"/>
    <xf numFmtId="3" fontId="18" fillId="6" borderId="9" xfId="24" applyNumberFormat="1" applyFont="1" applyFill="1" applyBorder="1" applyProtection="1">
      <protection locked="0"/>
    </xf>
    <xf numFmtId="3" fontId="18" fillId="3" borderId="6" xfId="0" applyNumberFormat="1" applyFont="1" applyFill="1" applyBorder="1" applyAlignment="1" applyProtection="1"/>
    <xf numFmtId="3" fontId="19" fillId="3" borderId="6" xfId="0" applyNumberFormat="1" applyFont="1" applyFill="1" applyBorder="1" applyAlignment="1" applyProtection="1">
      <alignment horizontal="right"/>
    </xf>
    <xf numFmtId="37" fontId="19" fillId="0" borderId="0" xfId="0" applyNumberFormat="1" applyFont="1" applyBorder="1" applyProtection="1">
      <protection hidden="1"/>
    </xf>
    <xf numFmtId="37" fontId="19" fillId="0" borderId="25" xfId="0" applyNumberFormat="1" applyFont="1" applyFill="1" applyBorder="1" applyAlignment="1" applyProtection="1">
      <alignment horizontal="center"/>
      <protection hidden="1"/>
    </xf>
    <xf numFmtId="37" fontId="19" fillId="0" borderId="10" xfId="0" applyNumberFormat="1" applyFont="1" applyFill="1" applyBorder="1" applyAlignment="1" applyProtection="1">
      <alignment horizontal="center"/>
    </xf>
    <xf numFmtId="37" fontId="19" fillId="0" borderId="24" xfId="0" applyNumberFormat="1" applyFont="1" applyFill="1" applyBorder="1" applyAlignment="1" applyProtection="1">
      <alignment horizontal="center"/>
    </xf>
    <xf numFmtId="3" fontId="19" fillId="0" borderId="8" xfId="0" applyNumberFormat="1" applyFont="1" applyFill="1" applyBorder="1" applyAlignment="1" applyProtection="1">
      <alignment horizontal="center"/>
    </xf>
    <xf numFmtId="3" fontId="19" fillId="0" borderId="24" xfId="0" applyNumberFormat="1" applyFont="1" applyFill="1" applyBorder="1" applyAlignment="1" applyProtection="1">
      <alignment horizontal="center"/>
    </xf>
    <xf numFmtId="37" fontId="18" fillId="0" borderId="6" xfId="0" applyNumberFormat="1" applyFont="1" applyBorder="1" applyProtection="1">
      <protection hidden="1"/>
    </xf>
    <xf numFmtId="3" fontId="18" fillId="0" borderId="10" xfId="0" applyNumberFormat="1" applyFont="1" applyFill="1" applyBorder="1" applyProtection="1"/>
    <xf numFmtId="3" fontId="19" fillId="3" borderId="10" xfId="0" applyNumberFormat="1" applyFont="1" applyFill="1" applyBorder="1" applyProtection="1"/>
    <xf numFmtId="165" fontId="19" fillId="3" borderId="6" xfId="0" applyNumberFormat="1" applyFont="1" applyFill="1" applyBorder="1" applyProtection="1"/>
    <xf numFmtId="0" fontId="19" fillId="0" borderId="0" xfId="0" applyNumberFormat="1" applyFont="1" applyAlignment="1" applyProtection="1">
      <alignment horizontal="center"/>
      <protection hidden="1"/>
    </xf>
    <xf numFmtId="3" fontId="18" fillId="0" borderId="0" xfId="0" applyNumberFormat="1" applyFont="1" applyAlignment="1" applyProtection="1">
      <protection hidden="1"/>
    </xf>
    <xf numFmtId="3" fontId="19" fillId="0" borderId="0" xfId="0" applyNumberFormat="1" applyFont="1" applyProtection="1">
      <protection hidden="1"/>
    </xf>
    <xf numFmtId="0" fontId="19" fillId="3" borderId="6" xfId="0" applyNumberFormat="1" applyFont="1" applyFill="1" applyBorder="1" applyAlignment="1" applyProtection="1">
      <alignment horizontal="center"/>
      <protection hidden="1"/>
    </xf>
    <xf numFmtId="3" fontId="20" fillId="0" borderId="10" xfId="0" applyNumberFormat="1" applyFont="1" applyFill="1" applyBorder="1" applyAlignment="1" applyProtection="1">
      <alignment horizontal="left"/>
      <protection locked="0"/>
    </xf>
    <xf numFmtId="14" fontId="20" fillId="0" borderId="6" xfId="0" applyNumberFormat="1" applyFont="1" applyFill="1" applyBorder="1" applyAlignment="1" applyProtection="1">
      <alignment horizontal="left"/>
      <protection locked="0"/>
    </xf>
    <xf numFmtId="167" fontId="20" fillId="0" borderId="6" xfId="0" applyNumberFormat="1" applyFont="1" applyFill="1" applyBorder="1" applyProtection="1">
      <protection locked="0"/>
    </xf>
    <xf numFmtId="49" fontId="20" fillId="0" borderId="6" xfId="24" applyNumberFormat="1" applyFont="1" applyFill="1" applyBorder="1" applyAlignment="1" applyProtection="1">
      <alignment horizontal="center"/>
      <protection locked="0"/>
    </xf>
    <xf numFmtId="3" fontId="20" fillId="0" borderId="6" xfId="24" applyNumberFormat="1" applyFont="1" applyFill="1" applyBorder="1" applyProtection="1">
      <protection locked="0"/>
    </xf>
    <xf numFmtId="0" fontId="20" fillId="0" borderId="6" xfId="0" applyNumberFormat="1" applyFont="1" applyFill="1" applyBorder="1" applyAlignment="1" applyProtection="1">
      <alignment horizontal="center"/>
      <protection locked="0"/>
    </xf>
    <xf numFmtId="170" fontId="20" fillId="0" borderId="6" xfId="24" applyNumberFormat="1" applyFont="1" applyFill="1" applyBorder="1" applyProtection="1"/>
    <xf numFmtId="167" fontId="20" fillId="0" borderId="6" xfId="24" applyNumberFormat="1" applyFont="1" applyFill="1" applyBorder="1" applyProtection="1">
      <protection locked="0"/>
    </xf>
    <xf numFmtId="167" fontId="20" fillId="0" borderId="9" xfId="0" applyNumberFormat="1" applyFont="1" applyFill="1" applyBorder="1" applyProtection="1">
      <protection locked="0"/>
    </xf>
    <xf numFmtId="167" fontId="20" fillId="0" borderId="9" xfId="24" applyNumberFormat="1" applyFont="1" applyFill="1" applyBorder="1" applyProtection="1">
      <protection locked="0"/>
    </xf>
    <xf numFmtId="49" fontId="20" fillId="0" borderId="9" xfId="24" applyNumberFormat="1" applyFont="1" applyFill="1" applyBorder="1" applyAlignment="1" applyProtection="1">
      <alignment horizontal="center"/>
      <protection locked="0"/>
    </xf>
    <xf numFmtId="3" fontId="20" fillId="0" borderId="35" xfId="0" applyNumberFormat="1" applyFont="1" applyFill="1" applyBorder="1" applyAlignment="1" applyProtection="1">
      <alignment horizontal="left"/>
      <protection locked="0"/>
    </xf>
    <xf numFmtId="14" fontId="20" fillId="0" borderId="9" xfId="0" applyNumberFormat="1" applyFont="1" applyFill="1" applyBorder="1" applyAlignment="1" applyProtection="1">
      <alignment horizontal="left"/>
      <protection locked="0"/>
    </xf>
    <xf numFmtId="174" fontId="14" fillId="3" borderId="6" xfId="27" applyNumberFormat="1" applyFont="1" applyBorder="1" applyProtection="1"/>
    <xf numFmtId="174" fontId="14" fillId="3" borderId="6" xfId="24" applyNumberFormat="1" applyFont="1" applyFill="1" applyBorder="1" applyProtection="1"/>
    <xf numFmtId="175" fontId="14" fillId="0" borderId="11" xfId="24" applyNumberFormat="1" applyFont="1" applyFill="1" applyBorder="1" applyProtection="1"/>
    <xf numFmtId="175" fontId="14" fillId="0" borderId="36" xfId="24" applyNumberFormat="1" applyFont="1" applyFill="1" applyBorder="1" applyProtection="1"/>
    <xf numFmtId="175" fontId="14" fillId="0" borderId="35" xfId="24" applyNumberFormat="1" applyFont="1" applyFill="1" applyBorder="1" applyProtection="1"/>
    <xf numFmtId="170" fontId="14" fillId="3" borderId="6" xfId="27" applyNumberFormat="1" applyFont="1" applyBorder="1" applyProtection="1"/>
    <xf numFmtId="0" fontId="18" fillId="0" borderId="0" xfId="0" applyNumberFormat="1" applyFont="1" applyBorder="1" applyAlignment="1" applyProtection="1">
      <alignment horizontal="left"/>
      <protection hidden="1"/>
    </xf>
    <xf numFmtId="0" fontId="18" fillId="0" borderId="8" xfId="0" applyFont="1" applyFill="1" applyBorder="1" applyAlignment="1" applyProtection="1">
      <alignment horizontal="left"/>
      <protection hidden="1"/>
    </xf>
    <xf numFmtId="37" fontId="19" fillId="0" borderId="6" xfId="0" applyNumberFormat="1" applyFont="1" applyFill="1" applyBorder="1" applyAlignment="1" applyProtection="1">
      <alignment horizontal="right"/>
    </xf>
    <xf numFmtId="170" fontId="18" fillId="0" borderId="6" xfId="26" applyNumberFormat="1" applyFont="1" applyFill="1" applyBorder="1" applyProtection="1">
      <protection locked="0"/>
    </xf>
    <xf numFmtId="0" fontId="18" fillId="0" borderId="8" xfId="0" applyFont="1" applyFill="1" applyBorder="1" applyAlignment="1" applyProtection="1">
      <protection hidden="1"/>
    </xf>
    <xf numFmtId="170" fontId="18" fillId="0" borderId="6" xfId="24" applyNumberFormat="1" applyFont="1" applyFill="1" applyBorder="1" applyProtection="1">
      <protection locked="0"/>
    </xf>
    <xf numFmtId="170" fontId="19" fillId="3" borderId="6" xfId="27" applyNumberFormat="1" applyFont="1" applyBorder="1" applyProtection="1"/>
    <xf numFmtId="173" fontId="20" fillId="0" borderId="6" xfId="24" applyFont="1" applyFill="1" applyBorder="1" applyAlignment="1" applyProtection="1">
      <alignment horizontal="right"/>
    </xf>
    <xf numFmtId="170" fontId="20" fillId="0" borderId="10" xfId="24" applyNumberFormat="1" applyFont="1" applyFill="1" applyBorder="1" applyAlignment="1" applyProtection="1">
      <alignment horizontal="right"/>
    </xf>
    <xf numFmtId="173" fontId="19" fillId="3" borderId="7" xfId="24" applyFont="1" applyFill="1" applyBorder="1" applyAlignment="1" applyProtection="1">
      <alignment horizontal="left"/>
    </xf>
    <xf numFmtId="173" fontId="20" fillId="3" borderId="8" xfId="24" applyFont="1" applyFill="1" applyBorder="1" applyAlignment="1" applyProtection="1">
      <alignment horizontal="right"/>
    </xf>
    <xf numFmtId="173" fontId="20" fillId="3" borderId="10" xfId="24" applyFont="1" applyFill="1" applyBorder="1" applyAlignment="1" applyProtection="1">
      <alignment horizontal="right"/>
    </xf>
    <xf numFmtId="49" fontId="20" fillId="0" borderId="10" xfId="0" applyNumberFormat="1" applyFont="1" applyFill="1" applyBorder="1" applyAlignment="1" applyProtection="1">
      <alignment horizontal="left"/>
      <protection locked="0"/>
    </xf>
    <xf numFmtId="49" fontId="20" fillId="0" borderId="35" xfId="0" applyNumberFormat="1" applyFont="1" applyFill="1" applyBorder="1" applyAlignment="1" applyProtection="1">
      <alignment horizontal="left"/>
      <protection locked="0"/>
    </xf>
    <xf numFmtId="173" fontId="14" fillId="3" borderId="10" xfId="27" applyFont="1" applyBorder="1" applyProtection="1"/>
    <xf numFmtId="0" fontId="19" fillId="3" borderId="6" xfId="0" applyNumberFormat="1" applyFont="1" applyFill="1" applyBorder="1" applyAlignment="1" applyProtection="1">
      <alignment horizontal="center"/>
    </xf>
    <xf numFmtId="0" fontId="17" fillId="0" borderId="0" xfId="0" applyNumberFormat="1" applyFont="1" applyAlignment="1" applyProtection="1">
      <alignment horizontal="center"/>
      <protection hidden="1"/>
    </xf>
    <xf numFmtId="0" fontId="32" fillId="0" borderId="0" xfId="0" applyNumberFormat="1" applyFont="1" applyBorder="1" applyAlignment="1" applyProtection="1">
      <alignment vertical="center"/>
      <protection hidden="1"/>
    </xf>
    <xf numFmtId="0" fontId="15" fillId="0" borderId="0" xfId="0" applyFont="1" applyBorder="1" applyAlignment="1" applyProtection="1">
      <alignment vertical="center"/>
      <protection hidden="1"/>
    </xf>
    <xf numFmtId="0" fontId="14" fillId="0" borderId="0" xfId="0" applyNumberFormat="1" applyFont="1" applyBorder="1" applyAlignment="1" applyProtection="1">
      <alignment horizontal="center" vertical="center"/>
      <protection hidden="1"/>
    </xf>
    <xf numFmtId="0" fontId="20" fillId="0" borderId="0" xfId="0" applyFont="1" applyBorder="1" applyAlignment="1" applyProtection="1">
      <alignment horizontal="center" vertical="center"/>
      <protection hidden="1"/>
    </xf>
    <xf numFmtId="14" fontId="14" fillId="3" borderId="3" xfId="0" applyNumberFormat="1" applyFont="1" applyFill="1" applyBorder="1" applyAlignment="1" applyProtection="1">
      <alignment horizontal="center" vertical="center"/>
      <protection hidden="1"/>
    </xf>
    <xf numFmtId="0" fontId="20" fillId="0" borderId="0" xfId="0" applyFont="1" applyAlignment="1" applyProtection="1">
      <alignment vertical="center"/>
      <protection hidden="1"/>
    </xf>
    <xf numFmtId="0" fontId="19" fillId="0" borderId="0" xfId="0" applyFont="1" applyBorder="1" applyAlignment="1" applyProtection="1">
      <alignment horizontal="center"/>
      <protection hidden="1"/>
    </xf>
    <xf numFmtId="0" fontId="18" fillId="0" borderId="10" xfId="0" applyFont="1" applyFill="1" applyBorder="1" applyAlignment="1" applyProtection="1">
      <alignment horizontal="left"/>
      <protection hidden="1"/>
    </xf>
    <xf numFmtId="173" fontId="19" fillId="3" borderId="6" xfId="27" applyFont="1" applyBorder="1" applyProtection="1"/>
    <xf numFmtId="173" fontId="18" fillId="0" borderId="10" xfId="24" applyFont="1" applyBorder="1" applyProtection="1">
      <protection hidden="1"/>
    </xf>
    <xf numFmtId="176" fontId="18" fillId="0" borderId="9" xfId="26" applyFont="1" applyFill="1" applyBorder="1" applyProtection="1">
      <protection locked="0"/>
    </xf>
    <xf numFmtId="176" fontId="18" fillId="0" borderId="9" xfId="26" applyNumberFormat="1" applyFont="1" applyFill="1" applyBorder="1" applyProtection="1"/>
    <xf numFmtId="176" fontId="18" fillId="0" borderId="9" xfId="26" applyNumberFormat="1" applyFont="1" applyFill="1" applyBorder="1" applyProtection="1">
      <protection locked="0"/>
    </xf>
    <xf numFmtId="0" fontId="18" fillId="0" borderId="0" xfId="0" applyFont="1" applyFill="1" applyAlignment="1" applyProtection="1">
      <alignment horizontal="center" vertical="center"/>
      <protection hidden="1"/>
    </xf>
    <xf numFmtId="37" fontId="18" fillId="0" borderId="0" xfId="0" applyNumberFormat="1" applyFont="1" applyFill="1" applyAlignment="1" applyProtection="1">
      <alignment vertical="center"/>
      <protection hidden="1"/>
    </xf>
    <xf numFmtId="0" fontId="18" fillId="0" borderId="0" xfId="0" applyFont="1" applyFill="1" applyAlignment="1" applyProtection="1">
      <alignment vertical="center"/>
      <protection hidden="1"/>
    </xf>
    <xf numFmtId="37" fontId="14" fillId="3" borderId="3" xfId="0" applyNumberFormat="1" applyFont="1" applyFill="1" applyBorder="1" applyAlignment="1" applyProtection="1">
      <alignment horizontal="center"/>
      <protection hidden="1"/>
    </xf>
    <xf numFmtId="37" fontId="19" fillId="0" borderId="0" xfId="0" applyNumberFormat="1" applyFont="1" applyProtection="1">
      <protection hidden="1"/>
    </xf>
    <xf numFmtId="3" fontId="18" fillId="0" borderId="8" xfId="0" quotePrefix="1" applyNumberFormat="1" applyFont="1" applyFill="1" applyBorder="1" applyAlignment="1" applyProtection="1">
      <alignment horizontal="left"/>
      <protection hidden="1"/>
    </xf>
    <xf numFmtId="0" fontId="18" fillId="0" borderId="10" xfId="0" applyFont="1" applyFill="1" applyBorder="1" applyAlignment="1" applyProtection="1">
      <protection hidden="1"/>
    </xf>
    <xf numFmtId="173" fontId="18" fillId="0" borderId="9" xfId="24" applyFont="1" applyFill="1" applyBorder="1" applyProtection="1">
      <protection locked="0"/>
    </xf>
    <xf numFmtId="3" fontId="18" fillId="0" borderId="36" xfId="0" applyNumberFormat="1" applyFont="1" applyFill="1" applyBorder="1" applyAlignment="1" applyProtection="1">
      <alignment horizontal="left"/>
      <protection hidden="1"/>
    </xf>
    <xf numFmtId="0" fontId="19" fillId="3" borderId="8" xfId="0" applyFont="1" applyFill="1" applyBorder="1" applyAlignment="1" applyProtection="1">
      <protection hidden="1"/>
    </xf>
    <xf numFmtId="173" fontId="19" fillId="3" borderId="6" xfId="27" applyFont="1" applyFill="1" applyBorder="1" applyAlignment="1" applyProtection="1"/>
    <xf numFmtId="0" fontId="15" fillId="0" borderId="0" xfId="0" applyFont="1" applyAlignment="1" applyProtection="1">
      <alignment horizontal="center"/>
      <protection hidden="1"/>
    </xf>
    <xf numFmtId="0" fontId="15" fillId="0" borderId="0" xfId="0" applyFont="1" applyBorder="1" applyAlignment="1" applyProtection="1">
      <alignment horizontal="center"/>
      <protection hidden="1"/>
    </xf>
    <xf numFmtId="0" fontId="17" fillId="0" borderId="0" xfId="0" applyNumberFormat="1" applyFont="1" applyBorder="1" applyAlignment="1" applyProtection="1">
      <alignment horizontal="center"/>
      <protection hidden="1"/>
    </xf>
    <xf numFmtId="0" fontId="2" fillId="0" borderId="0" xfId="0" applyNumberFormat="1" applyFont="1" applyAlignment="1" applyProtection="1">
      <alignment horizontal="center"/>
      <protection hidden="1"/>
    </xf>
    <xf numFmtId="3" fontId="18" fillId="3" borderId="8" xfId="0" applyNumberFormat="1" applyFont="1" applyFill="1" applyBorder="1" applyAlignment="1" applyProtection="1">
      <alignment horizontal="right"/>
    </xf>
    <xf numFmtId="3" fontId="18" fillId="3" borderId="10" xfId="0" applyNumberFormat="1" applyFont="1" applyFill="1" applyBorder="1" applyAlignment="1" applyProtection="1">
      <alignment horizontal="right"/>
    </xf>
    <xf numFmtId="0" fontId="14" fillId="0" borderId="0" xfId="0" applyFont="1" applyFill="1" applyBorder="1" applyAlignment="1" applyProtection="1">
      <alignment vertical="center"/>
      <protection hidden="1"/>
    </xf>
    <xf numFmtId="0" fontId="14" fillId="0" borderId="0" xfId="0" applyFont="1" applyFill="1" applyBorder="1" applyProtection="1">
      <protection hidden="1"/>
    </xf>
    <xf numFmtId="3" fontId="18" fillId="0" borderId="6" xfId="24" applyNumberFormat="1" applyFont="1" applyFill="1" applyBorder="1" applyAlignment="1" applyProtection="1">
      <alignment horizontal="right"/>
      <protection locked="0"/>
    </xf>
    <xf numFmtId="0" fontId="19" fillId="0" borderId="0" xfId="0" applyFont="1" applyAlignment="1" applyProtection="1">
      <alignment horizontal="left" vertical="top"/>
    </xf>
    <xf numFmtId="0" fontId="17" fillId="0" borderId="0" xfId="0" applyFont="1" applyBorder="1" applyProtection="1">
      <protection hidden="1"/>
    </xf>
    <xf numFmtId="0" fontId="25" fillId="0" borderId="0" xfId="0" applyNumberFormat="1" applyFont="1" applyBorder="1" applyAlignment="1" applyProtection="1">
      <alignment horizontal="left" vertical="center"/>
      <protection hidden="1"/>
    </xf>
    <xf numFmtId="0" fontId="19" fillId="3" borderId="3" xfId="0" applyFont="1" applyFill="1" applyBorder="1" applyAlignment="1" applyProtection="1">
      <alignment horizontal="center" vertical="top" wrapText="1"/>
      <protection hidden="1"/>
    </xf>
    <xf numFmtId="0" fontId="20" fillId="0" borderId="0" xfId="0" applyFont="1" applyProtection="1">
      <protection hidden="1"/>
    </xf>
    <xf numFmtId="0" fontId="19" fillId="3" borderId="7" xfId="0" applyFont="1" applyFill="1" applyBorder="1" applyAlignment="1" applyProtection="1">
      <alignment horizontal="center"/>
      <protection hidden="1"/>
    </xf>
    <xf numFmtId="2" fontId="18" fillId="0" borderId="6" xfId="24" applyNumberFormat="1" applyFont="1" applyFill="1" applyBorder="1" applyProtection="1">
      <protection locked="0"/>
    </xf>
    <xf numFmtId="2" fontId="18" fillId="0" borderId="6" xfId="0" applyNumberFormat="1" applyFont="1" applyBorder="1" applyProtection="1"/>
    <xf numFmtId="2" fontId="19" fillId="3" borderId="6" xfId="0" applyNumberFormat="1" applyFont="1" applyFill="1" applyBorder="1" applyProtection="1"/>
    <xf numFmtId="0" fontId="20" fillId="0" borderId="0" xfId="0" applyFont="1" applyBorder="1" applyProtection="1">
      <protection hidden="1"/>
    </xf>
    <xf numFmtId="0" fontId="0" fillId="0" borderId="0" xfId="0" applyFill="1" applyProtection="1">
      <protection hidden="1"/>
    </xf>
    <xf numFmtId="0" fontId="29" fillId="0" borderId="0" xfId="0" applyFont="1" applyProtection="1">
      <protection hidden="1"/>
    </xf>
    <xf numFmtId="0" fontId="20" fillId="0" borderId="0" xfId="0" applyFont="1" applyFill="1" applyBorder="1" applyProtection="1">
      <protection hidden="1"/>
    </xf>
    <xf numFmtId="0" fontId="25" fillId="0" borderId="0" xfId="0" applyFont="1" applyFill="1" applyBorder="1" applyAlignment="1" applyProtection="1">
      <alignment vertical="center"/>
      <protection hidden="1"/>
    </xf>
    <xf numFmtId="0" fontId="30" fillId="0" borderId="0" xfId="0" applyFont="1" applyAlignment="1" applyProtection="1">
      <alignment horizontal="left" vertical="top" wrapText="1"/>
      <protection hidden="1"/>
    </xf>
    <xf numFmtId="168" fontId="25" fillId="0" borderId="0" xfId="0" applyNumberFormat="1" applyFont="1" applyProtection="1">
      <protection hidden="1"/>
    </xf>
    <xf numFmtId="0" fontId="30" fillId="0" borderId="0" xfId="0" applyFont="1" applyAlignment="1" applyProtection="1">
      <alignment wrapText="1"/>
      <protection hidden="1"/>
    </xf>
    <xf numFmtId="0" fontId="30" fillId="0" borderId="0" xfId="0" applyFont="1" applyAlignment="1" applyProtection="1">
      <alignment horizontal="justify"/>
      <protection hidden="1"/>
    </xf>
    <xf numFmtId="0" fontId="15" fillId="0" borderId="0" xfId="0" applyFont="1" applyAlignment="1" applyProtection="1">
      <alignment horizontal="right"/>
      <protection hidden="1"/>
    </xf>
    <xf numFmtId="0" fontId="14" fillId="0" borderId="0" xfId="0" applyNumberFormat="1" applyFont="1" applyBorder="1" applyAlignment="1" applyProtection="1">
      <alignment horizontal="left" vertical="center"/>
      <protection hidden="1"/>
    </xf>
    <xf numFmtId="49" fontId="18" fillId="0" borderId="0" xfId="0" applyNumberFormat="1" applyFont="1" applyAlignment="1" applyProtection="1">
      <alignment horizontal="left"/>
      <protection hidden="1"/>
    </xf>
    <xf numFmtId="0" fontId="18" fillId="7" borderId="3" xfId="0" applyNumberFormat="1" applyFont="1" applyFill="1" applyBorder="1" applyAlignment="1" applyProtection="1">
      <protection hidden="1"/>
    </xf>
    <xf numFmtId="0" fontId="19" fillId="7" borderId="3" xfId="0" applyNumberFormat="1" applyFont="1" applyFill="1" applyBorder="1" applyAlignment="1" applyProtection="1">
      <protection hidden="1"/>
    </xf>
    <xf numFmtId="0" fontId="19" fillId="7" borderId="3" xfId="0" applyNumberFormat="1" applyFont="1" applyFill="1" applyBorder="1" applyAlignment="1" applyProtection="1">
      <alignment horizontal="left"/>
      <protection hidden="1"/>
    </xf>
    <xf numFmtId="49" fontId="19" fillId="7" borderId="3" xfId="0" applyNumberFormat="1" applyFont="1" applyFill="1" applyBorder="1" applyAlignment="1" applyProtection="1">
      <alignment horizontal="right"/>
      <protection hidden="1"/>
    </xf>
    <xf numFmtId="0" fontId="18" fillId="0" borderId="0" xfId="0" applyNumberFormat="1" applyFont="1" applyAlignment="1" applyProtection="1">
      <alignment horizontal="right" wrapText="1"/>
      <protection hidden="1"/>
    </xf>
    <xf numFmtId="0" fontId="18" fillId="0" borderId="0" xfId="0" applyFont="1" applyAlignment="1" applyProtection="1">
      <alignment horizontal="right"/>
      <protection hidden="1"/>
    </xf>
    <xf numFmtId="0" fontId="18" fillId="0" borderId="0" xfId="0" applyNumberFormat="1" applyFont="1" applyAlignment="1" applyProtection="1">
      <alignment horizontal="right"/>
      <protection hidden="1"/>
    </xf>
    <xf numFmtId="14" fontId="18" fillId="0" borderId="0" xfId="0" applyNumberFormat="1" applyFont="1" applyBorder="1" applyAlignment="1" applyProtection="1">
      <alignment horizontal="left"/>
      <protection hidden="1"/>
    </xf>
    <xf numFmtId="169" fontId="18" fillId="0" borderId="0" xfId="0" applyNumberFormat="1" applyFont="1" applyBorder="1" applyAlignment="1" applyProtection="1">
      <protection hidden="1"/>
    </xf>
    <xf numFmtId="0" fontId="6" fillId="0" borderId="0" xfId="0" applyFont="1" applyBorder="1" applyAlignment="1" applyProtection="1">
      <alignment horizontal="justify"/>
      <protection hidden="1"/>
    </xf>
    <xf numFmtId="0" fontId="18" fillId="0" borderId="0" xfId="0" applyNumberFormat="1" applyFont="1" applyBorder="1" applyAlignment="1" applyProtection="1">
      <protection hidden="1"/>
    </xf>
    <xf numFmtId="0" fontId="15" fillId="0" borderId="0" xfId="0" applyFont="1" applyFill="1" applyBorder="1" applyAlignment="1" applyProtection="1">
      <alignment horizontal="justify"/>
      <protection hidden="1"/>
    </xf>
    <xf numFmtId="0" fontId="18" fillId="0" borderId="0" xfId="0" applyFont="1" applyFill="1" applyBorder="1" applyAlignment="1" applyProtection="1">
      <alignment horizontal="justify"/>
      <protection hidden="1"/>
    </xf>
    <xf numFmtId="0" fontId="19" fillId="0" borderId="0" xfId="0" applyFont="1" applyFill="1" applyBorder="1" applyAlignment="1" applyProtection="1">
      <protection hidden="1"/>
    </xf>
    <xf numFmtId="14" fontId="18" fillId="0" borderId="0" xfId="0" applyNumberFormat="1" applyFont="1" applyFill="1" applyBorder="1" applyAlignment="1" applyProtection="1">
      <alignment horizontal="left"/>
      <protection hidden="1"/>
    </xf>
    <xf numFmtId="49" fontId="18" fillId="0" borderId="0" xfId="0" applyNumberFormat="1" applyFont="1" applyBorder="1" applyAlignment="1" applyProtection="1">
      <alignment horizontal="right"/>
      <protection hidden="1"/>
    </xf>
    <xf numFmtId="49" fontId="18" fillId="0" borderId="0" xfId="0" applyNumberFormat="1" applyFont="1" applyFill="1" applyBorder="1" applyAlignment="1" applyProtection="1">
      <alignment horizontal="right"/>
      <protection hidden="1"/>
    </xf>
    <xf numFmtId="14" fontId="18" fillId="0" borderId="0" xfId="0" applyNumberFormat="1" applyFont="1" applyFill="1" applyBorder="1" applyAlignment="1" applyProtection="1">
      <alignment horizontal="right"/>
      <protection hidden="1"/>
    </xf>
    <xf numFmtId="0" fontId="18" fillId="0" borderId="0" xfId="0" applyFont="1" applyFill="1" applyBorder="1" applyAlignment="1" applyProtection="1">
      <alignment horizontal="right"/>
      <protection hidden="1"/>
    </xf>
    <xf numFmtId="0" fontId="15" fillId="0" borderId="0" xfId="0" applyFont="1" applyFill="1" applyBorder="1" applyAlignment="1" applyProtection="1">
      <alignment wrapText="1"/>
      <protection hidden="1"/>
    </xf>
    <xf numFmtId="0" fontId="18" fillId="0" borderId="0" xfId="0" applyNumberFormat="1" applyFont="1" applyFill="1" applyBorder="1" applyAlignment="1" applyProtection="1">
      <protection hidden="1"/>
    </xf>
    <xf numFmtId="169" fontId="18" fillId="0" borderId="0" xfId="0" applyNumberFormat="1" applyFont="1" applyFill="1" applyBorder="1" applyAlignment="1" applyProtection="1">
      <alignment vertical="top"/>
      <protection hidden="1"/>
    </xf>
    <xf numFmtId="169" fontId="18" fillId="0" borderId="0" xfId="0" applyNumberFormat="1" applyFont="1" applyFill="1" applyBorder="1" applyAlignment="1" applyProtection="1">
      <protection hidden="1"/>
    </xf>
    <xf numFmtId="169" fontId="6" fillId="0" borderId="0" xfId="0" applyNumberFormat="1" applyFont="1" applyFill="1" applyBorder="1" applyAlignment="1" applyProtection="1">
      <alignment wrapText="1"/>
      <protection hidden="1"/>
    </xf>
    <xf numFmtId="169" fontId="6" fillId="0" borderId="0" xfId="0" applyNumberFormat="1" applyFont="1" applyFill="1" applyBorder="1" applyAlignment="1" applyProtection="1">
      <protection hidden="1"/>
    </xf>
    <xf numFmtId="169" fontId="6" fillId="0" borderId="0" xfId="0" applyNumberFormat="1" applyFont="1" applyBorder="1" applyAlignment="1" applyProtection="1">
      <protection hidden="1"/>
    </xf>
    <xf numFmtId="0" fontId="4" fillId="0" borderId="0" xfId="0" applyFont="1" applyBorder="1" applyAlignment="1" applyProtection="1">
      <alignment horizontal="right"/>
      <protection hidden="1"/>
    </xf>
    <xf numFmtId="0" fontId="4" fillId="0" borderId="0" xfId="0" applyFont="1" applyAlignment="1" applyProtection="1">
      <alignment horizontal="right"/>
      <protection hidden="1"/>
    </xf>
    <xf numFmtId="0" fontId="4" fillId="0" borderId="0" xfId="0" applyFont="1" applyAlignment="1" applyProtection="1">
      <alignment horizontal="left"/>
      <protection hidden="1"/>
    </xf>
    <xf numFmtId="178" fontId="18" fillId="0" borderId="0" xfId="0" applyNumberFormat="1" applyFont="1" applyProtection="1">
      <protection hidden="1"/>
    </xf>
    <xf numFmtId="0" fontId="19" fillId="0" borderId="0" xfId="0" applyNumberFormat="1" applyFont="1" applyAlignment="1" applyProtection="1">
      <alignment wrapText="1"/>
      <protection hidden="1"/>
    </xf>
    <xf numFmtId="0" fontId="18" fillId="0" borderId="0" xfId="0" applyNumberFormat="1" applyFont="1" applyBorder="1" applyAlignment="1" applyProtection="1">
      <alignment horizontal="left" vertical="justify" wrapText="1"/>
      <protection hidden="1"/>
    </xf>
    <xf numFmtId="0" fontId="19" fillId="0" borderId="0" xfId="0" applyNumberFormat="1" applyFont="1" applyBorder="1" applyAlignment="1" applyProtection="1">
      <alignment horizontal="left" vertical="justify" wrapText="1"/>
      <protection hidden="1"/>
    </xf>
    <xf numFmtId="0" fontId="18" fillId="0" borderId="0" xfId="0" applyNumberFormat="1" applyFont="1" applyBorder="1" applyAlignment="1" applyProtection="1">
      <alignment horizontal="left" vertical="justify" wrapText="1" readingOrder="1"/>
      <protection hidden="1"/>
    </xf>
    <xf numFmtId="0" fontId="19" fillId="0" borderId="0" xfId="0" applyNumberFormat="1" applyFont="1" applyBorder="1" applyAlignment="1" applyProtection="1">
      <alignment horizontal="left" vertical="justify" wrapText="1" readingOrder="1"/>
      <protection hidden="1"/>
    </xf>
    <xf numFmtId="0" fontId="22" fillId="0" borderId="0" xfId="0" applyNumberFormat="1" applyFont="1" applyBorder="1" applyAlignment="1" applyProtection="1">
      <alignment horizontal="left" vertical="justify" wrapText="1"/>
      <protection hidden="1"/>
    </xf>
    <xf numFmtId="181" fontId="18" fillId="0" borderId="6" xfId="0" applyNumberFormat="1" applyFont="1" applyFill="1" applyBorder="1" applyProtection="1">
      <protection hidden="1"/>
    </xf>
    <xf numFmtId="2" fontId="19" fillId="3" borderId="6" xfId="0" applyNumberFormat="1" applyFont="1" applyFill="1" applyBorder="1" applyAlignment="1" applyProtection="1">
      <alignment horizontal="right"/>
      <protection hidden="1"/>
    </xf>
    <xf numFmtId="0" fontId="18" fillId="0" borderId="0" xfId="0" applyNumberFormat="1" applyFont="1" applyBorder="1" applyAlignment="1" applyProtection="1">
      <alignment horizontal="center" vertical="justify" wrapText="1"/>
      <protection hidden="1"/>
    </xf>
    <xf numFmtId="0" fontId="18" fillId="0" borderId="0" xfId="22" applyFont="1" applyBorder="1" applyAlignment="1" applyProtection="1">
      <alignment vertical="center" wrapText="1"/>
      <protection hidden="1"/>
    </xf>
    <xf numFmtId="0" fontId="33" fillId="0" borderId="0" xfId="0" applyFont="1" applyBorder="1" applyProtection="1">
      <protection hidden="1"/>
    </xf>
    <xf numFmtId="0" fontId="33" fillId="0" borderId="0" xfId="0" applyFont="1" applyFill="1" applyBorder="1" applyProtection="1">
      <protection hidden="1"/>
    </xf>
    <xf numFmtId="0" fontId="18" fillId="0" borderId="27" xfId="0" applyFont="1" applyBorder="1" applyProtection="1">
      <protection hidden="1"/>
    </xf>
    <xf numFmtId="0" fontId="30" fillId="0" borderId="0" xfId="0" applyFont="1" applyProtection="1">
      <protection hidden="1"/>
    </xf>
    <xf numFmtId="0" fontId="34" fillId="0" borderId="0" xfId="0" applyFont="1" applyBorder="1" applyProtection="1">
      <protection hidden="1"/>
    </xf>
    <xf numFmtId="0" fontId="34" fillId="0" borderId="0" xfId="0" applyFont="1" applyFill="1" applyBorder="1" applyProtection="1">
      <protection hidden="1"/>
    </xf>
    <xf numFmtId="0" fontId="35" fillId="0" borderId="0" xfId="0" applyFont="1" applyProtection="1">
      <protection hidden="1"/>
    </xf>
    <xf numFmtId="0" fontId="35" fillId="0" borderId="0" xfId="0" applyFont="1" applyBorder="1" applyAlignment="1" applyProtection="1">
      <alignment vertical="center"/>
      <protection hidden="1"/>
    </xf>
    <xf numFmtId="0" fontId="35" fillId="0" borderId="0" xfId="0" applyFont="1" applyBorder="1" applyProtection="1">
      <protection hidden="1"/>
    </xf>
    <xf numFmtId="0" fontId="35" fillId="0" borderId="0" xfId="0" applyFont="1" applyBorder="1" applyAlignment="1" applyProtection="1">
      <alignment horizontal="left"/>
      <protection hidden="1"/>
    </xf>
    <xf numFmtId="0" fontId="35" fillId="0" borderId="0" xfId="0" applyFont="1" applyBorder="1" applyAlignment="1" applyProtection="1">
      <alignment horizontal="center"/>
      <protection hidden="1"/>
    </xf>
    <xf numFmtId="4" fontId="35" fillId="0" borderId="0" xfId="0" applyNumberFormat="1" applyFont="1" applyBorder="1" applyProtection="1">
      <protection hidden="1"/>
    </xf>
    <xf numFmtId="0" fontId="35" fillId="0" borderId="0" xfId="0" applyFont="1" applyFill="1" applyBorder="1" applyAlignment="1" applyProtection="1">
      <alignment horizontal="right"/>
      <protection hidden="1"/>
    </xf>
    <xf numFmtId="0" fontId="35" fillId="0" borderId="0" xfId="0" applyFont="1" applyFill="1" applyBorder="1" applyProtection="1">
      <protection hidden="1"/>
    </xf>
    <xf numFmtId="0" fontId="35" fillId="0" borderId="0" xfId="0" applyNumberFormat="1" applyFont="1" applyFill="1" applyBorder="1" applyProtection="1">
      <protection hidden="1"/>
    </xf>
    <xf numFmtId="168" fontId="35" fillId="0" borderId="0" xfId="0" applyNumberFormat="1" applyFont="1" applyProtection="1">
      <protection hidden="1"/>
    </xf>
    <xf numFmtId="168" fontId="35" fillId="5" borderId="0" xfId="0" applyNumberFormat="1" applyFont="1" applyFill="1" applyProtection="1">
      <protection hidden="1"/>
    </xf>
    <xf numFmtId="0" fontId="36" fillId="0" borderId="0" xfId="0" applyFont="1" applyBorder="1" applyProtection="1">
      <protection hidden="1"/>
    </xf>
    <xf numFmtId="0" fontId="36" fillId="0" borderId="0" xfId="0" applyFont="1" applyBorder="1" applyAlignment="1" applyProtection="1">
      <alignment vertical="center"/>
      <protection hidden="1"/>
    </xf>
    <xf numFmtId="0" fontId="36" fillId="0" borderId="0" xfId="0" applyFont="1" applyProtection="1">
      <protection hidden="1"/>
    </xf>
    <xf numFmtId="0" fontId="15" fillId="0" borderId="0" xfId="22" applyFont="1" applyProtection="1"/>
    <xf numFmtId="0" fontId="18" fillId="3" borderId="3" xfId="22" applyFont="1" applyFill="1" applyBorder="1" applyAlignment="1" applyProtection="1">
      <alignment horizontal="center"/>
    </xf>
    <xf numFmtId="0" fontId="15" fillId="0" borderId="0" xfId="0" applyFont="1" applyBorder="1" applyProtection="1"/>
    <xf numFmtId="0" fontId="20" fillId="0" borderId="0" xfId="22" applyFont="1" applyBorder="1" applyAlignment="1" applyProtection="1">
      <alignment horizontal="left" vertical="center"/>
    </xf>
    <xf numFmtId="0" fontId="14" fillId="0" borderId="0" xfId="22" applyNumberFormat="1" applyFont="1" applyBorder="1" applyAlignment="1" applyProtection="1">
      <alignment vertical="center"/>
    </xf>
    <xf numFmtId="0" fontId="32" fillId="0" borderId="0" xfId="22" applyNumberFormat="1" applyFont="1" applyBorder="1" applyAlignment="1" applyProtection="1">
      <alignment vertical="center"/>
    </xf>
    <xf numFmtId="178" fontId="18" fillId="0" borderId="0" xfId="22" applyNumberFormat="1" applyFont="1" applyBorder="1" applyAlignment="1" applyProtection="1">
      <alignment horizontal="right" vertical="center"/>
    </xf>
    <xf numFmtId="178" fontId="20" fillId="0" borderId="0" xfId="22" applyNumberFormat="1" applyFont="1" applyBorder="1" applyAlignment="1" applyProtection="1">
      <alignment horizontal="right" vertical="center"/>
    </xf>
    <xf numFmtId="0" fontId="18" fillId="0" borderId="6" xfId="23" applyFont="1" applyFill="1" applyBorder="1" applyProtection="1"/>
    <xf numFmtId="164" fontId="18" fillId="0" borderId="6" xfId="4" applyNumberFormat="1" applyFont="1" applyFill="1" applyBorder="1" applyProtection="1">
      <protection hidden="1"/>
    </xf>
    <xf numFmtId="0" fontId="25" fillId="0" borderId="0" xfId="0" applyFont="1" applyAlignment="1" applyProtection="1">
      <protection hidden="1"/>
    </xf>
    <xf numFmtId="0" fontId="20" fillId="0" borderId="0" xfId="23" applyFont="1" applyProtection="1"/>
    <xf numFmtId="0" fontId="18" fillId="0" borderId="0" xfId="23" applyFont="1" applyProtection="1"/>
    <xf numFmtId="0" fontId="18" fillId="0" borderId="0" xfId="17" applyNumberFormat="1" applyFont="1" applyBorder="1" applyAlignment="1" applyProtection="1">
      <alignment vertical="center"/>
    </xf>
    <xf numFmtId="0" fontId="18" fillId="0" borderId="0" xfId="23" applyFont="1" applyBorder="1" applyProtection="1"/>
    <xf numFmtId="0" fontId="18" fillId="0" borderId="0" xfId="23" applyFont="1" applyFill="1" applyBorder="1" applyProtection="1"/>
    <xf numFmtId="37" fontId="25" fillId="0" borderId="0" xfId="23" applyNumberFormat="1" applyFont="1" applyAlignment="1" applyProtection="1">
      <alignment vertical="top"/>
    </xf>
    <xf numFmtId="0" fontId="19" fillId="0" borderId="0" xfId="23" applyFont="1" applyProtection="1"/>
    <xf numFmtId="0" fontId="18" fillId="0" borderId="0" xfId="23" applyFont="1" applyFill="1" applyBorder="1" applyAlignment="1" applyProtection="1">
      <alignment horizontal="center" vertical="top"/>
    </xf>
    <xf numFmtId="1" fontId="19" fillId="3" borderId="6" xfId="23" applyNumberFormat="1" applyFont="1" applyFill="1" applyBorder="1" applyAlignment="1" applyProtection="1">
      <alignment horizontal="center" vertical="distributed"/>
    </xf>
    <xf numFmtId="0" fontId="18" fillId="0" borderId="6" xfId="23" applyFont="1" applyFill="1" applyBorder="1" applyAlignment="1" applyProtection="1">
      <alignment vertical="distributed"/>
    </xf>
    <xf numFmtId="3" fontId="18" fillId="0" borderId="7" xfId="23" applyNumberFormat="1" applyFont="1" applyFill="1" applyBorder="1" applyAlignment="1" applyProtection="1">
      <alignment wrapText="1"/>
      <protection locked="0"/>
    </xf>
    <xf numFmtId="3" fontId="18" fillId="0" borderId="6" xfId="23" applyNumberFormat="1" applyFont="1" applyFill="1" applyBorder="1" applyAlignment="1" applyProtection="1">
      <alignment wrapText="1"/>
      <protection locked="0"/>
    </xf>
    <xf numFmtId="1" fontId="19" fillId="3" borderId="9" xfId="23" applyNumberFormat="1" applyFont="1" applyFill="1" applyBorder="1" applyAlignment="1" applyProtection="1">
      <alignment horizontal="center" vertical="distributed"/>
    </xf>
    <xf numFmtId="0" fontId="18" fillId="0" borderId="7" xfId="23" applyFont="1" applyFill="1" applyBorder="1" applyAlignment="1" applyProtection="1">
      <alignment horizontal="left" vertical="distributed" wrapText="1"/>
    </xf>
    <xf numFmtId="0" fontId="18" fillId="0" borderId="6" xfId="23" applyFont="1" applyFill="1" applyBorder="1" applyAlignment="1" applyProtection="1">
      <alignment horizontal="left" vertical="distributed" wrapText="1"/>
    </xf>
    <xf numFmtId="0" fontId="18" fillId="0" borderId="0" xfId="23" applyFont="1" applyAlignment="1" applyProtection="1">
      <alignment vertical="top"/>
    </xf>
    <xf numFmtId="0" fontId="37" fillId="0" borderId="0" xfId="23" applyFont="1" applyBorder="1" applyAlignment="1" applyProtection="1">
      <alignment horizontal="left" vertical="distributed"/>
    </xf>
    <xf numFmtId="0" fontId="20" fillId="0" borderId="0" xfId="23" applyFont="1" applyBorder="1" applyAlignment="1" applyProtection="1">
      <alignment horizontal="left" vertical="distributed"/>
    </xf>
    <xf numFmtId="1" fontId="19" fillId="0" borderId="0" xfId="23" applyNumberFormat="1" applyFont="1" applyFill="1" applyBorder="1" applyAlignment="1" applyProtection="1">
      <alignment horizontal="center"/>
    </xf>
    <xf numFmtId="0" fontId="18" fillId="0" borderId="0" xfId="23" applyFont="1" applyFill="1" applyBorder="1" applyAlignment="1" applyProtection="1">
      <alignment vertical="top" wrapText="1"/>
    </xf>
    <xf numFmtId="3" fontId="18" fillId="0" borderId="0" xfId="23" applyNumberFormat="1" applyFont="1" applyFill="1" applyBorder="1" applyProtection="1"/>
    <xf numFmtId="168" fontId="18" fillId="0" borderId="0" xfId="23" applyNumberFormat="1" applyFont="1" applyBorder="1" applyProtection="1"/>
    <xf numFmtId="0" fontId="18" fillId="0" borderId="0" xfId="23" applyFont="1" applyBorder="1" applyAlignment="1" applyProtection="1">
      <alignment horizontal="right" vertical="distributed"/>
    </xf>
    <xf numFmtId="3" fontId="19" fillId="3" borderId="10" xfId="23" applyNumberFormat="1" applyFont="1" applyFill="1" applyBorder="1" applyAlignment="1" applyProtection="1">
      <alignment horizontal="right" vertical="top"/>
    </xf>
    <xf numFmtId="3" fontId="19" fillId="3" borderId="6" xfId="23" applyNumberFormat="1" applyFont="1" applyFill="1" applyBorder="1" applyAlignment="1" applyProtection="1">
      <alignment horizontal="right" wrapText="1"/>
    </xf>
    <xf numFmtId="3" fontId="19" fillId="3" borderId="7" xfId="23" applyNumberFormat="1" applyFont="1" applyFill="1" applyBorder="1" applyAlignment="1" applyProtection="1">
      <alignment horizontal="right" wrapText="1"/>
    </xf>
    <xf numFmtId="0" fontId="19" fillId="3" borderId="3" xfId="0" applyFont="1" applyFill="1" applyBorder="1" applyAlignment="1" applyProtection="1">
      <alignment horizontal="center"/>
      <protection hidden="1"/>
    </xf>
    <xf numFmtId="164" fontId="18" fillId="0" borderId="6" xfId="4" applyNumberFormat="1" applyFont="1" applyBorder="1" applyProtection="1">
      <protection hidden="1"/>
    </xf>
    <xf numFmtId="164" fontId="18" fillId="0" borderId="6" xfId="4" applyNumberFormat="1" applyFont="1" applyFill="1" applyBorder="1" applyAlignment="1">
      <alignment horizontal="right"/>
    </xf>
    <xf numFmtId="164" fontId="18" fillId="0" borderId="28" xfId="4" applyNumberFormat="1" applyFont="1" applyFill="1" applyBorder="1" applyProtection="1">
      <protection hidden="1"/>
    </xf>
    <xf numFmtId="0" fontId="18" fillId="0" borderId="0" xfId="20" applyFont="1" applyFill="1" applyProtection="1">
      <protection hidden="1"/>
    </xf>
    <xf numFmtId="0" fontId="18" fillId="0" borderId="10" xfId="20" applyFont="1" applyFill="1" applyBorder="1" applyProtection="1">
      <protection hidden="1"/>
    </xf>
    <xf numFmtId="4" fontId="18" fillId="3" borderId="6" xfId="0" applyNumberFormat="1" applyFont="1" applyFill="1" applyBorder="1" applyProtection="1">
      <protection hidden="1"/>
    </xf>
    <xf numFmtId="10" fontId="18" fillId="0" borderId="6" xfId="14" applyNumberFormat="1" applyFont="1" applyFill="1" applyBorder="1" applyProtection="1">
      <protection hidden="1"/>
    </xf>
    <xf numFmtId="10" fontId="24" fillId="0" borderId="6" xfId="14" applyNumberFormat="1" applyFont="1" applyFill="1" applyBorder="1" applyProtection="1">
      <protection hidden="1"/>
    </xf>
    <xf numFmtId="0" fontId="19" fillId="0" borderId="0" xfId="0" applyFont="1" applyBorder="1" applyProtection="1"/>
    <xf numFmtId="0" fontId="0" fillId="0" borderId="10" xfId="0" applyBorder="1" applyAlignment="1" applyProtection="1"/>
    <xf numFmtId="0" fontId="18" fillId="0" borderId="7" xfId="0" applyFont="1" applyBorder="1" applyAlignment="1" applyProtection="1"/>
    <xf numFmtId="3" fontId="19" fillId="3" borderId="3" xfId="0" applyNumberFormat="1" applyFont="1" applyFill="1" applyBorder="1" applyAlignment="1" applyProtection="1">
      <alignment horizontal="left" vertical="top" wrapText="1"/>
    </xf>
    <xf numFmtId="3" fontId="19" fillId="3" borderId="10" xfId="0" applyNumberFormat="1" applyFont="1" applyFill="1" applyBorder="1" applyAlignment="1" applyProtection="1">
      <alignment horizontal="right" vertical="top" wrapText="1"/>
    </xf>
    <xf numFmtId="0" fontId="19" fillId="3" borderId="3" xfId="0" applyFont="1" applyFill="1" applyBorder="1" applyAlignment="1" applyProtection="1">
      <alignment horizontal="center" vertical="top" wrapText="1"/>
    </xf>
    <xf numFmtId="14" fontId="18" fillId="0" borderId="6" xfId="24" applyNumberFormat="1" applyFont="1" applyFill="1" applyBorder="1" applyProtection="1">
      <protection locked="0"/>
    </xf>
    <xf numFmtId="2" fontId="18" fillId="0" borderId="6" xfId="24" applyNumberFormat="1" applyFont="1" applyFill="1" applyBorder="1" applyAlignment="1" applyProtection="1">
      <alignment horizontal="center"/>
      <protection locked="0"/>
    </xf>
    <xf numFmtId="14" fontId="25" fillId="0" borderId="0" xfId="0" applyNumberFormat="1" applyFont="1" applyBorder="1" applyAlignment="1" applyProtection="1">
      <alignment vertical="center"/>
      <protection hidden="1"/>
    </xf>
    <xf numFmtId="183" fontId="18" fillId="0" borderId="6" xfId="4" applyNumberFormat="1" applyFont="1" applyFill="1" applyBorder="1" applyProtection="1">
      <protection locked="0"/>
    </xf>
    <xf numFmtId="0" fontId="18" fillId="0" borderId="11" xfId="0" applyFont="1" applyFill="1" applyBorder="1" applyAlignment="1" applyProtection="1">
      <protection hidden="1"/>
    </xf>
    <xf numFmtId="183" fontId="19" fillId="3" borderId="10" xfId="4" applyNumberFormat="1" applyFont="1" applyFill="1" applyBorder="1" applyProtection="1"/>
    <xf numFmtId="0" fontId="20" fillId="0" borderId="0" xfId="0" applyFont="1" applyFill="1" applyBorder="1" applyAlignment="1" applyProtection="1">
      <alignment horizontal="left"/>
      <protection hidden="1"/>
    </xf>
    <xf numFmtId="0" fontId="20" fillId="0" borderId="0" xfId="0" applyFont="1" applyFill="1" applyBorder="1" applyAlignment="1" applyProtection="1">
      <alignment horizontal="left"/>
    </xf>
    <xf numFmtId="168" fontId="20" fillId="0" borderId="0" xfId="0" quotePrefix="1" applyNumberFormat="1" applyFont="1" applyFill="1" applyBorder="1" applyProtection="1"/>
    <xf numFmtId="3" fontId="18" fillId="0" borderId="6" xfId="0" applyNumberFormat="1" applyFont="1" applyBorder="1" applyProtection="1">
      <protection locked="0"/>
    </xf>
    <xf numFmtId="0" fontId="20" fillId="0" borderId="0" xfId="0" applyFont="1" applyAlignment="1" applyProtection="1">
      <alignment horizontal="left" vertical="top" wrapText="1"/>
      <protection hidden="1"/>
    </xf>
    <xf numFmtId="0" fontId="20" fillId="0" borderId="0" xfId="0" applyFont="1" applyBorder="1" applyAlignment="1" applyProtection="1">
      <alignment horizontal="left" wrapText="1"/>
    </xf>
    <xf numFmtId="0" fontId="19" fillId="0" borderId="0" xfId="0" applyNumberFormat="1" applyFont="1" applyBorder="1" applyAlignment="1" applyProtection="1">
      <alignment horizontal="left" vertical="top"/>
      <protection hidden="1"/>
    </xf>
    <xf numFmtId="169" fontId="18" fillId="0" borderId="0" xfId="0" applyNumberFormat="1" applyFont="1" applyBorder="1" applyAlignment="1" applyProtection="1">
      <alignment vertical="top" wrapText="1"/>
      <protection hidden="1"/>
    </xf>
    <xf numFmtId="14" fontId="18" fillId="0" borderId="0" xfId="0" applyNumberFormat="1" applyFont="1" applyBorder="1" applyAlignment="1" applyProtection="1">
      <alignment horizontal="left" vertical="top" wrapText="1"/>
      <protection hidden="1"/>
    </xf>
    <xf numFmtId="0" fontId="18" fillId="0" borderId="0" xfId="0" applyNumberFormat="1" applyFont="1" applyBorder="1" applyAlignment="1" applyProtection="1">
      <alignment horizontal="right" vertical="top" wrapText="1"/>
      <protection hidden="1"/>
    </xf>
    <xf numFmtId="0" fontId="18" fillId="0" borderId="0" xfId="0" applyFont="1" applyBorder="1" applyAlignment="1" applyProtection="1">
      <alignment horizontal="right" vertical="top" wrapText="1"/>
      <protection hidden="1"/>
    </xf>
    <xf numFmtId="183" fontId="19" fillId="0" borderId="0" xfId="4" applyNumberFormat="1" applyFont="1" applyBorder="1" applyAlignment="1" applyProtection="1">
      <protection hidden="1"/>
    </xf>
    <xf numFmtId="183" fontId="18" fillId="0" borderId="0" xfId="4" applyNumberFormat="1" applyFont="1" applyProtection="1">
      <protection hidden="1"/>
    </xf>
    <xf numFmtId="183" fontId="18" fillId="0" borderId="0" xfId="4" applyNumberFormat="1" applyFont="1" applyBorder="1" applyAlignment="1" applyProtection="1">
      <alignment horizontal="right" vertical="center"/>
      <protection hidden="1"/>
    </xf>
    <xf numFmtId="183" fontId="18" fillId="0" borderId="0" xfId="4" applyNumberFormat="1" applyFont="1" applyBorder="1" applyAlignment="1" applyProtection="1">
      <alignment vertical="center"/>
      <protection hidden="1"/>
    </xf>
    <xf numFmtId="183" fontId="19" fillId="0" borderId="0" xfId="4" applyNumberFormat="1" applyFont="1" applyBorder="1" applyAlignment="1" applyProtection="1">
      <alignment vertical="center"/>
      <protection hidden="1"/>
    </xf>
    <xf numFmtId="183" fontId="18" fillId="0" borderId="0" xfId="4" applyNumberFormat="1" applyFont="1" applyAlignment="1" applyProtection="1">
      <alignment vertical="center"/>
      <protection hidden="1"/>
    </xf>
    <xf numFmtId="183" fontId="6" fillId="0" borderId="0" xfId="4" applyNumberFormat="1" applyFont="1" applyProtection="1">
      <protection hidden="1"/>
    </xf>
    <xf numFmtId="183" fontId="4" fillId="0" borderId="0" xfId="4" applyNumberFormat="1" applyFont="1" applyBorder="1" applyProtection="1">
      <protection hidden="1"/>
    </xf>
    <xf numFmtId="183" fontId="6" fillId="0" borderId="0" xfId="4" applyNumberFormat="1" applyFont="1" applyBorder="1" applyProtection="1">
      <protection hidden="1"/>
    </xf>
    <xf numFmtId="183" fontId="0" fillId="0" borderId="0" xfId="4" applyNumberFormat="1" applyFont="1" applyFill="1" applyBorder="1" applyProtection="1">
      <protection hidden="1"/>
    </xf>
    <xf numFmtId="183" fontId="6" fillId="0" borderId="0" xfId="4" applyNumberFormat="1" applyFont="1" applyFill="1" applyBorder="1" applyProtection="1">
      <protection hidden="1"/>
    </xf>
    <xf numFmtId="164" fontId="6" fillId="0" borderId="0" xfId="4" applyNumberFormat="1" applyFont="1" applyProtection="1">
      <protection hidden="1"/>
    </xf>
    <xf numFmtId="180" fontId="19" fillId="5" borderId="0" xfId="4" applyNumberFormat="1" applyFont="1" applyFill="1" applyBorder="1" applyProtection="1"/>
    <xf numFmtId="168" fontId="30" fillId="0" borderId="0" xfId="0" applyNumberFormat="1" applyFont="1" applyProtection="1">
      <protection hidden="1"/>
    </xf>
    <xf numFmtId="180" fontId="18" fillId="5" borderId="0" xfId="4" applyNumberFormat="1" applyFont="1" applyFill="1" applyBorder="1" applyProtection="1"/>
    <xf numFmtId="171" fontId="18" fillId="5" borderId="6" xfId="14" applyNumberFormat="1" applyFont="1" applyFill="1" applyBorder="1" applyProtection="1"/>
    <xf numFmtId="0" fontId="15" fillId="0" borderId="27" xfId="0" applyFont="1" applyBorder="1" applyProtection="1">
      <protection hidden="1"/>
    </xf>
    <xf numFmtId="0" fontId="19" fillId="3" borderId="20" xfId="0" applyNumberFormat="1" applyFont="1" applyFill="1" applyBorder="1" applyAlignment="1" applyProtection="1">
      <alignment horizontal="center"/>
      <protection hidden="1"/>
    </xf>
    <xf numFmtId="0" fontId="19" fillId="3" borderId="37" xfId="0" applyNumberFormat="1" applyFont="1" applyFill="1" applyBorder="1" applyAlignment="1" applyProtection="1">
      <alignment horizontal="center"/>
      <protection hidden="1"/>
    </xf>
    <xf numFmtId="168" fontId="19" fillId="3" borderId="19" xfId="0" applyNumberFormat="1" applyFont="1" applyFill="1" applyBorder="1" applyAlignment="1" applyProtection="1">
      <alignment horizontal="center"/>
      <protection hidden="1"/>
    </xf>
    <xf numFmtId="0" fontId="18" fillId="0" borderId="6" xfId="24" applyNumberFormat="1" applyFont="1" applyFill="1" applyBorder="1" applyAlignment="1" applyProtection="1">
      <alignment horizontal="right"/>
      <protection locked="0"/>
    </xf>
    <xf numFmtId="183" fontId="18" fillId="0" borderId="6" xfId="4" applyNumberFormat="1" applyFont="1" applyBorder="1" applyProtection="1"/>
    <xf numFmtId="183" fontId="19" fillId="3" borderId="6" xfId="4" applyNumberFormat="1" applyFont="1" applyFill="1" applyBorder="1" applyProtection="1"/>
    <xf numFmtId="168" fontId="19" fillId="3" borderId="2" xfId="0" applyNumberFormat="1" applyFont="1" applyFill="1" applyBorder="1" applyAlignment="1" applyProtection="1">
      <alignment horizontal="center"/>
      <protection hidden="1"/>
    </xf>
    <xf numFmtId="49" fontId="19" fillId="3" borderId="2" xfId="0" applyNumberFormat="1" applyFont="1" applyFill="1" applyBorder="1" applyAlignment="1" applyProtection="1">
      <alignment horizontal="center"/>
      <protection hidden="1"/>
    </xf>
    <xf numFmtId="181" fontId="18" fillId="5" borderId="6" xfId="0" applyNumberFormat="1" applyFont="1" applyFill="1" applyBorder="1" applyProtection="1"/>
    <xf numFmtId="181" fontId="18" fillId="0" borderId="6" xfId="4" applyNumberFormat="1" applyFont="1" applyBorder="1" applyProtection="1"/>
    <xf numFmtId="183" fontId="18" fillId="0" borderId="10" xfId="4" applyNumberFormat="1" applyFont="1" applyFill="1" applyBorder="1" applyProtection="1">
      <protection locked="0"/>
    </xf>
    <xf numFmtId="183" fontId="18" fillId="0" borderId="7" xfId="4" applyNumberFormat="1" applyFont="1" applyBorder="1" applyProtection="1">
      <protection hidden="1"/>
    </xf>
    <xf numFmtId="183" fontId="18" fillId="0" borderId="8" xfId="4" applyNumberFormat="1" applyFont="1" applyBorder="1" applyProtection="1">
      <protection hidden="1"/>
    </xf>
    <xf numFmtId="3" fontId="19" fillId="3" borderId="6" xfId="0" applyNumberFormat="1" applyFont="1" applyFill="1" applyBorder="1" applyProtection="1">
      <protection hidden="1"/>
    </xf>
    <xf numFmtId="49" fontId="20" fillId="0" borderId="36" xfId="0" applyNumberFormat="1" applyFont="1" applyBorder="1" applyAlignment="1" applyProtection="1">
      <alignment horizontal="center"/>
      <protection hidden="1"/>
    </xf>
    <xf numFmtId="0" fontId="20" fillId="0" borderId="36" xfId="0" applyFont="1" applyBorder="1" applyAlignment="1" applyProtection="1">
      <protection hidden="1"/>
    </xf>
    <xf numFmtId="0" fontId="20" fillId="0" borderId="36" xfId="0" applyFont="1" applyBorder="1" applyProtection="1">
      <protection hidden="1"/>
    </xf>
    <xf numFmtId="49" fontId="20" fillId="0" borderId="0" xfId="0" applyNumberFormat="1" applyFont="1" applyBorder="1" applyAlignment="1" applyProtection="1">
      <alignment horizontal="center"/>
      <protection hidden="1"/>
    </xf>
    <xf numFmtId="0" fontId="20" fillId="0" borderId="0" xfId="0" applyFont="1" applyAlignment="1" applyProtection="1">
      <protection hidden="1"/>
    </xf>
    <xf numFmtId="0" fontId="20" fillId="0" borderId="0" xfId="0" applyNumberFormat="1" applyFont="1" applyProtection="1">
      <protection hidden="1"/>
    </xf>
    <xf numFmtId="180" fontId="18" fillId="5" borderId="8" xfId="4" applyNumberFormat="1" applyFont="1" applyFill="1" applyBorder="1" applyProtection="1"/>
    <xf numFmtId="183" fontId="18" fillId="0" borderId="6" xfId="4" quotePrefix="1" applyNumberFormat="1" applyFont="1" applyBorder="1" applyProtection="1"/>
    <xf numFmtId="0" fontId="19" fillId="0" borderId="3" xfId="0" applyNumberFormat="1" applyFont="1" applyBorder="1" applyAlignment="1" applyProtection="1">
      <alignment horizontal="left" vertical="top"/>
      <protection hidden="1"/>
    </xf>
    <xf numFmtId="169" fontId="18" fillId="0" borderId="3" xfId="0" applyNumberFormat="1" applyFont="1" applyBorder="1" applyAlignment="1" applyProtection="1">
      <alignment vertical="top" wrapText="1"/>
      <protection hidden="1"/>
    </xf>
    <xf numFmtId="14" fontId="18" fillId="0" borderId="3" xfId="0" applyNumberFormat="1" applyFont="1" applyBorder="1" applyAlignment="1" applyProtection="1">
      <alignment horizontal="left" vertical="top" wrapText="1"/>
      <protection hidden="1"/>
    </xf>
    <xf numFmtId="14" fontId="18" fillId="0" borderId="3" xfId="0" applyNumberFormat="1" applyFont="1" applyBorder="1" applyAlignment="1" applyProtection="1">
      <alignment horizontal="right" vertical="top" wrapText="1"/>
      <protection hidden="1"/>
    </xf>
    <xf numFmtId="0" fontId="1" fillId="0" borderId="0" xfId="21" applyProtection="1"/>
    <xf numFmtId="0" fontId="18" fillId="0" borderId="6" xfId="21" applyFont="1" applyFill="1" applyBorder="1" applyProtection="1"/>
    <xf numFmtId="0" fontId="1" fillId="0" borderId="13" xfId="21" applyBorder="1" applyProtection="1"/>
    <xf numFmtId="0" fontId="1" fillId="0" borderId="0" xfId="21" applyFill="1" applyProtection="1"/>
    <xf numFmtId="0" fontId="15" fillId="0" borderId="0" xfId="21" applyFont="1" applyFill="1" applyBorder="1" applyProtection="1"/>
    <xf numFmtId="3" fontId="1" fillId="0" borderId="0" xfId="21" applyNumberFormat="1" applyProtection="1"/>
    <xf numFmtId="0" fontId="18" fillId="0" borderId="0" xfId="23" applyFont="1" applyFill="1" applyBorder="1" applyAlignment="1" applyProtection="1">
      <alignment vertical="distributed"/>
    </xf>
    <xf numFmtId="0" fontId="18" fillId="0" borderId="0" xfId="23" applyFont="1" applyFill="1" applyBorder="1" applyAlignment="1" applyProtection="1">
      <alignment horizontal="left" vertical="distributed" wrapText="1"/>
    </xf>
    <xf numFmtId="0" fontId="38" fillId="0" borderId="0" xfId="16" applyFont="1" applyFill="1" applyProtection="1"/>
    <xf numFmtId="0" fontId="18" fillId="0" borderId="0" xfId="23" applyFont="1" applyFill="1" applyBorder="1" applyAlignment="1" applyProtection="1">
      <alignment vertical="distributed" wrapText="1"/>
    </xf>
    <xf numFmtId="0" fontId="18" fillId="0" borderId="0" xfId="16" applyFont="1" applyFill="1" applyProtection="1"/>
    <xf numFmtId="0" fontId="18" fillId="0" borderId="6" xfId="21" applyFont="1" applyBorder="1" applyProtection="1"/>
    <xf numFmtId="0" fontId="18" fillId="0" borderId="9" xfId="21" applyFont="1" applyFill="1" applyBorder="1" applyProtection="1"/>
    <xf numFmtId="0" fontId="18" fillId="0" borderId="28" xfId="21" applyFont="1" applyFill="1" applyBorder="1" applyProtection="1"/>
    <xf numFmtId="0" fontId="18" fillId="0" borderId="0" xfId="21" applyFont="1" applyFill="1" applyBorder="1" applyProtection="1"/>
    <xf numFmtId="0" fontId="1" fillId="0" borderId="0" xfId="21" applyBorder="1" applyProtection="1"/>
    <xf numFmtId="0" fontId="18" fillId="0" borderId="13" xfId="21" applyFont="1" applyFill="1" applyBorder="1" applyProtection="1"/>
    <xf numFmtId="0" fontId="1" fillId="0" borderId="13" xfId="21" applyFill="1" applyBorder="1" applyProtection="1"/>
    <xf numFmtId="0" fontId="0" fillId="0" borderId="0" xfId="0" applyFill="1"/>
    <xf numFmtId="0" fontId="0" fillId="0" borderId="38" xfId="0" applyFill="1" applyBorder="1"/>
    <xf numFmtId="0" fontId="0" fillId="0" borderId="39" xfId="0" applyFill="1" applyBorder="1"/>
    <xf numFmtId="0" fontId="0" fillId="0" borderId="0" xfId="0" applyFill="1" applyBorder="1"/>
    <xf numFmtId="3" fontId="1" fillId="0" borderId="13" xfId="21" applyNumberFormat="1" applyBorder="1" applyProtection="1"/>
    <xf numFmtId="0" fontId="18" fillId="0" borderId="10" xfId="23" applyFont="1" applyFill="1" applyBorder="1" applyProtection="1"/>
    <xf numFmtId="0" fontId="1" fillId="0" borderId="0" xfId="21" applyFont="1" applyProtection="1"/>
    <xf numFmtId="168" fontId="18" fillId="0" borderId="6" xfId="0" quotePrefix="1" applyNumberFormat="1" applyFont="1" applyFill="1" applyBorder="1" applyProtection="1"/>
    <xf numFmtId="0" fontId="18" fillId="0" borderId="7" xfId="23" applyFont="1" applyFill="1" applyBorder="1" applyAlignment="1" applyProtection="1">
      <alignment vertical="distributed"/>
    </xf>
    <xf numFmtId="0" fontId="18" fillId="0" borderId="0" xfId="0" applyFont="1"/>
    <xf numFmtId="0" fontId="19" fillId="0" borderId="0" xfId="0" applyFont="1" applyAlignment="1">
      <alignment horizontal="right"/>
    </xf>
    <xf numFmtId="0" fontId="18" fillId="0" borderId="0" xfId="0" applyFont="1" applyAlignment="1">
      <alignment horizontal="right"/>
    </xf>
    <xf numFmtId="10" fontId="18" fillId="0" borderId="0" xfId="0" applyNumberFormat="1" applyFont="1" applyAlignment="1">
      <alignment horizontal="right"/>
    </xf>
    <xf numFmtId="14" fontId="0" fillId="0" borderId="0" xfId="0" applyNumberFormat="1" applyProtection="1">
      <protection hidden="1"/>
    </xf>
    <xf numFmtId="14" fontId="0" fillId="0" borderId="0" xfId="0" applyNumberFormat="1" applyBorder="1" applyProtection="1">
      <protection hidden="1"/>
    </xf>
    <xf numFmtId="3" fontId="18" fillId="0" borderId="10" xfId="24" applyNumberFormat="1" applyFont="1" applyFill="1" applyBorder="1" applyAlignment="1" applyProtection="1">
      <alignment vertical="top"/>
      <protection locked="0"/>
    </xf>
    <xf numFmtId="3" fontId="19" fillId="3" borderId="3" xfId="0" applyNumberFormat="1" applyFont="1" applyFill="1" applyBorder="1" applyAlignment="1" applyProtection="1">
      <alignment horizontal="center" vertical="top" wrapText="1"/>
    </xf>
    <xf numFmtId="0" fontId="19" fillId="0" borderId="0" xfId="19" applyFont="1" applyFill="1" applyBorder="1" applyAlignment="1" applyProtection="1">
      <alignment horizontal="left" vertical="center"/>
      <protection hidden="1"/>
    </xf>
    <xf numFmtId="0" fontId="18" fillId="0" borderId="8" xfId="0" applyFont="1" applyBorder="1" applyAlignment="1" applyProtection="1">
      <alignment horizontal="left"/>
    </xf>
    <xf numFmtId="0" fontId="18" fillId="0" borderId="10" xfId="0" applyFont="1" applyBorder="1" applyAlignment="1" applyProtection="1">
      <alignment horizontal="left"/>
    </xf>
    <xf numFmtId="0" fontId="1" fillId="0" borderId="13" xfId="21" applyFont="1" applyBorder="1" applyProtection="1"/>
    <xf numFmtId="1" fontId="18" fillId="0" borderId="0" xfId="0" applyNumberFormat="1" applyFont="1" applyAlignment="1" applyProtection="1">
      <protection hidden="1"/>
    </xf>
    <xf numFmtId="1" fontId="1" fillId="0" borderId="0" xfId="21" applyNumberFormat="1" applyProtection="1"/>
    <xf numFmtId="37" fontId="1" fillId="0" borderId="0" xfId="21" applyNumberFormat="1" applyProtection="1"/>
    <xf numFmtId="3" fontId="1" fillId="0" borderId="0" xfId="21" applyNumberFormat="1" applyFont="1" applyFill="1" applyProtection="1"/>
    <xf numFmtId="3" fontId="1" fillId="0" borderId="13" xfId="21" applyNumberFormat="1" applyFont="1" applyFill="1" applyBorder="1" applyProtection="1"/>
    <xf numFmtId="0" fontId="0" fillId="0" borderId="13" xfId="0" applyFill="1" applyBorder="1"/>
    <xf numFmtId="37" fontId="1" fillId="0" borderId="13" xfId="21" applyNumberFormat="1" applyBorder="1" applyProtection="1"/>
    <xf numFmtId="0" fontId="18" fillId="0" borderId="40" xfId="21" applyFont="1" applyBorder="1" applyProtection="1"/>
    <xf numFmtId="0" fontId="1" fillId="0" borderId="41" xfId="21" applyBorder="1" applyProtection="1"/>
    <xf numFmtId="180" fontId="18" fillId="5" borderId="9" xfId="4" applyNumberFormat="1" applyFont="1" applyFill="1" applyBorder="1" applyProtection="1"/>
    <xf numFmtId="0" fontId="1" fillId="0" borderId="0" xfId="21" applyFill="1" applyBorder="1" applyProtection="1"/>
    <xf numFmtId="180" fontId="18" fillId="0" borderId="0" xfId="4" applyNumberFormat="1" applyFont="1" applyFill="1" applyBorder="1" applyProtection="1"/>
    <xf numFmtId="180" fontId="18" fillId="5" borderId="28" xfId="4" applyNumberFormat="1" applyFont="1" applyFill="1" applyBorder="1" applyProtection="1"/>
    <xf numFmtId="0" fontId="22" fillId="0" borderId="0" xfId="0" applyNumberFormat="1" applyFont="1" applyAlignment="1" applyProtection="1">
      <protection hidden="1"/>
    </xf>
    <xf numFmtId="172" fontId="18" fillId="0" borderId="0" xfId="0" applyNumberFormat="1" applyFont="1" applyAlignment="1">
      <alignment horizontal="right"/>
    </xf>
    <xf numFmtId="186" fontId="18" fillId="0" borderId="0" xfId="0" applyNumberFormat="1" applyFont="1" applyAlignment="1">
      <alignment horizontal="right"/>
    </xf>
    <xf numFmtId="0" fontId="19" fillId="3" borderId="0" xfId="0" applyFont="1" applyFill="1" applyProtection="1">
      <protection hidden="1"/>
    </xf>
    <xf numFmtId="3" fontId="19" fillId="3" borderId="10" xfId="26" applyNumberFormat="1" applyFont="1" applyFill="1" applyBorder="1" applyAlignment="1" applyProtection="1">
      <alignment horizontal="left" vertical="top"/>
    </xf>
    <xf numFmtId="3" fontId="19" fillId="0" borderId="0" xfId="26" applyNumberFormat="1" applyFont="1" applyFill="1" applyBorder="1" applyAlignment="1" applyProtection="1">
      <alignment horizontal="right" vertical="top"/>
    </xf>
    <xf numFmtId="173" fontId="19" fillId="0" borderId="0" xfId="27" applyFont="1" applyFill="1" applyBorder="1" applyAlignment="1" applyProtection="1">
      <alignment horizontal="right" vertical="center"/>
    </xf>
    <xf numFmtId="0" fontId="18" fillId="0" borderId="0" xfId="0" applyNumberFormat="1" applyFont="1" applyFill="1" applyBorder="1" applyAlignment="1" applyProtection="1">
      <alignment horizontal="left" vertical="justify" wrapText="1" readingOrder="1"/>
      <protection hidden="1"/>
    </xf>
    <xf numFmtId="0" fontId="19" fillId="0" borderId="0" xfId="0" applyNumberFormat="1" applyFont="1" applyFill="1" applyBorder="1" applyAlignment="1" applyProtection="1">
      <alignment horizontal="left" vertical="justify" wrapText="1" readingOrder="1"/>
      <protection hidden="1"/>
    </xf>
    <xf numFmtId="0" fontId="18" fillId="0" borderId="0" xfId="0" applyNumberFormat="1" applyFont="1" applyFill="1" applyBorder="1" applyAlignment="1" applyProtection="1">
      <alignment horizontal="left" vertical="justify" wrapText="1"/>
      <protection hidden="1"/>
    </xf>
    <xf numFmtId="173" fontId="18" fillId="0" borderId="7" xfId="24" applyFont="1" applyFill="1" applyBorder="1" applyAlignment="1" applyProtection="1">
      <protection locked="0"/>
    </xf>
    <xf numFmtId="0" fontId="19" fillId="3" borderId="6" xfId="0" applyFont="1" applyFill="1" applyBorder="1" applyAlignment="1" applyProtection="1">
      <alignment horizontal="center"/>
    </xf>
    <xf numFmtId="0" fontId="19" fillId="0" borderId="0" xfId="0" applyFont="1" applyFill="1" applyAlignment="1" applyProtection="1">
      <alignment horizontal="center"/>
    </xf>
    <xf numFmtId="0" fontId="18" fillId="0" borderId="0" xfId="0" applyFont="1" applyBorder="1" applyProtection="1"/>
    <xf numFmtId="168" fontId="18" fillId="0" borderId="0" xfId="0" applyNumberFormat="1" applyFont="1" applyBorder="1" applyProtection="1"/>
    <xf numFmtId="183" fontId="19" fillId="0" borderId="7" xfId="4" applyNumberFormat="1" applyFont="1" applyFill="1" applyBorder="1" applyAlignment="1" applyProtection="1"/>
    <xf numFmtId="173" fontId="18" fillId="0" borderId="6" xfId="24" applyFont="1" applyFill="1" applyBorder="1" applyAlignment="1" applyProtection="1"/>
    <xf numFmtId="168" fontId="18" fillId="3" borderId="10" xfId="0" applyNumberFormat="1" applyFont="1" applyFill="1" applyBorder="1" applyProtection="1"/>
    <xf numFmtId="173" fontId="18" fillId="3" borderId="7" xfId="24" applyFont="1" applyFill="1" applyBorder="1" applyAlignment="1" applyProtection="1"/>
    <xf numFmtId="173" fontId="18" fillId="3" borderId="6" xfId="24" applyFont="1" applyFill="1" applyBorder="1" applyAlignment="1" applyProtection="1"/>
    <xf numFmtId="0" fontId="18" fillId="8" borderId="6" xfId="0" applyFont="1" applyFill="1" applyBorder="1" applyProtection="1">
      <protection hidden="1"/>
    </xf>
    <xf numFmtId="3" fontId="1" fillId="8" borderId="0" xfId="21" applyNumberFormat="1" applyFont="1" applyFill="1" applyProtection="1"/>
    <xf numFmtId="3" fontId="1" fillId="8" borderId="0" xfId="21" applyNumberFormat="1" applyFill="1" applyProtection="1"/>
    <xf numFmtId="180" fontId="18" fillId="5" borderId="7" xfId="4" applyNumberFormat="1" applyFont="1" applyFill="1" applyBorder="1" applyProtection="1"/>
    <xf numFmtId="168" fontId="18" fillId="0" borderId="0" xfId="0" quotePrefix="1" applyNumberFormat="1" applyFont="1" applyBorder="1" applyProtection="1"/>
    <xf numFmtId="3" fontId="18" fillId="0" borderId="8" xfId="0" applyNumberFormat="1" applyFont="1" applyFill="1" applyBorder="1" applyAlignment="1" applyProtection="1"/>
    <xf numFmtId="3" fontId="18" fillId="0" borderId="10" xfId="0" applyNumberFormat="1" applyFont="1" applyFill="1" applyBorder="1" applyAlignment="1" applyProtection="1"/>
    <xf numFmtId="37" fontId="18" fillId="0" borderId="0" xfId="0" applyNumberFormat="1" applyFont="1" applyFill="1" applyBorder="1" applyAlignment="1" applyProtection="1">
      <alignment vertical="center"/>
      <protection locked="0"/>
    </xf>
    <xf numFmtId="37" fontId="18" fillId="0" borderId="27" xfId="0" applyNumberFormat="1" applyFont="1" applyFill="1" applyBorder="1" applyAlignment="1" applyProtection="1">
      <alignment vertical="center"/>
      <protection locked="0"/>
    </xf>
    <xf numFmtId="0" fontId="20" fillId="0" borderId="0" xfId="0" applyFont="1" applyBorder="1" applyAlignment="1" applyProtection="1">
      <alignment wrapText="1"/>
    </xf>
    <xf numFmtId="3" fontId="16" fillId="0" borderId="0" xfId="0" applyNumberFormat="1" applyFont="1" applyProtection="1">
      <protection hidden="1"/>
    </xf>
    <xf numFmtId="0" fontId="16" fillId="0" borderId="0" xfId="0" applyFont="1" applyProtection="1">
      <protection hidden="1"/>
    </xf>
    <xf numFmtId="183" fontId="16" fillId="0" borderId="0" xfId="0" applyNumberFormat="1" applyFont="1" applyProtection="1">
      <protection hidden="1"/>
    </xf>
    <xf numFmtId="0" fontId="19" fillId="0" borderId="3" xfId="0" applyNumberFormat="1" applyFont="1" applyBorder="1" applyAlignment="1" applyProtection="1">
      <alignment horizontal="left"/>
      <protection hidden="1"/>
    </xf>
    <xf numFmtId="169" fontId="18" fillId="0" borderId="3" xfId="0" applyNumberFormat="1" applyFont="1" applyBorder="1" applyAlignment="1" applyProtection="1">
      <protection hidden="1"/>
    </xf>
    <xf numFmtId="0" fontId="18" fillId="0" borderId="0" xfId="0" applyFont="1" applyFill="1" applyAlignment="1" applyProtection="1">
      <alignment horizontal="justify"/>
      <protection hidden="1"/>
    </xf>
    <xf numFmtId="0" fontId="19" fillId="0" borderId="0" xfId="0" applyFont="1" applyBorder="1" applyAlignment="1" applyProtection="1"/>
    <xf numFmtId="0" fontId="18" fillId="0" borderId="0" xfId="0" applyFont="1" applyBorder="1" applyAlignment="1" applyProtection="1">
      <alignment vertical="top"/>
    </xf>
    <xf numFmtId="0" fontId="6" fillId="0" borderId="0" xfId="0" applyFont="1" applyProtection="1"/>
    <xf numFmtId="0" fontId="18" fillId="0" borderId="0" xfId="0" applyFont="1" applyBorder="1" applyAlignment="1" applyProtection="1">
      <alignment horizontal="left" vertical="center"/>
    </xf>
    <xf numFmtId="0" fontId="6" fillId="0" borderId="0" xfId="0" applyFont="1" applyBorder="1" applyAlignment="1" applyProtection="1">
      <alignment vertical="center"/>
    </xf>
    <xf numFmtId="178" fontId="18" fillId="0" borderId="0" xfId="0" applyNumberFormat="1" applyFont="1" applyBorder="1" applyAlignment="1" applyProtection="1">
      <alignment horizontal="right" vertical="top"/>
    </xf>
    <xf numFmtId="0" fontId="25" fillId="0" borderId="0" xfId="0" applyFont="1" applyBorder="1" applyAlignment="1" applyProtection="1">
      <alignment vertical="center"/>
    </xf>
    <xf numFmtId="2" fontId="19" fillId="0" borderId="0" xfId="0" applyNumberFormat="1" applyFont="1" applyFill="1" applyBorder="1" applyAlignment="1" applyProtection="1">
      <alignment horizontal="center"/>
      <protection hidden="1"/>
    </xf>
    <xf numFmtId="1" fontId="19" fillId="0" borderId="0" xfId="0" applyNumberFormat="1" applyFont="1" applyFill="1" applyBorder="1" applyAlignment="1" applyProtection="1">
      <alignment horizontal="center"/>
      <protection hidden="1"/>
    </xf>
    <xf numFmtId="37" fontId="19" fillId="3" borderId="3" xfId="0" applyNumberFormat="1" applyFont="1" applyFill="1" applyBorder="1" applyAlignment="1" applyProtection="1">
      <alignment horizontal="center"/>
      <protection hidden="1"/>
    </xf>
    <xf numFmtId="37" fontId="19" fillId="3" borderId="3" xfId="0" applyNumberFormat="1" applyFont="1" applyFill="1" applyBorder="1" applyAlignment="1" applyProtection="1">
      <alignment horizontal="center" wrapText="1"/>
      <protection hidden="1"/>
    </xf>
    <xf numFmtId="3" fontId="18" fillId="0" borderId="6" xfId="4" applyNumberFormat="1" applyFont="1" applyBorder="1" applyAlignment="1" applyProtection="1">
      <alignment horizontal="right"/>
    </xf>
    <xf numFmtId="3" fontId="18" fillId="0" borderId="6" xfId="4" applyNumberFormat="1" applyFont="1" applyBorder="1" applyAlignment="1" applyProtection="1">
      <alignment horizontal="center"/>
    </xf>
    <xf numFmtId="165" fontId="19" fillId="0" borderId="0" xfId="0" applyNumberFormat="1" applyFont="1" applyFill="1" applyBorder="1" applyProtection="1"/>
    <xf numFmtId="3" fontId="19" fillId="0" borderId="0" xfId="0" applyNumberFormat="1" applyFont="1" applyFill="1" applyBorder="1" applyProtection="1"/>
    <xf numFmtId="0" fontId="0" fillId="0" borderId="0" xfId="0" applyProtection="1"/>
    <xf numFmtId="0" fontId="0" fillId="0" borderId="0" xfId="0" applyFill="1" applyProtection="1"/>
    <xf numFmtId="37" fontId="20" fillId="0" borderId="0" xfId="0" applyNumberFormat="1" applyFont="1" applyFill="1" applyBorder="1" applyProtection="1"/>
    <xf numFmtId="37" fontId="18" fillId="0" borderId="0" xfId="0" applyNumberFormat="1" applyFont="1" applyFill="1" applyBorder="1" applyProtection="1"/>
    <xf numFmtId="37" fontId="19" fillId="0" borderId="0" xfId="0" applyNumberFormat="1" applyFont="1" applyFill="1" applyBorder="1" applyProtection="1"/>
    <xf numFmtId="10" fontId="18" fillId="0" borderId="6" xfId="14" applyNumberFormat="1" applyFont="1" applyFill="1" applyBorder="1" applyProtection="1"/>
    <xf numFmtId="9" fontId="18" fillId="0" borderId="6" xfId="14" applyFont="1" applyFill="1" applyBorder="1" applyProtection="1"/>
    <xf numFmtId="0" fontId="20" fillId="0" borderId="0" xfId="0" applyFont="1" applyProtection="1"/>
    <xf numFmtId="37" fontId="14" fillId="0" borderId="0" xfId="0" applyNumberFormat="1" applyFont="1" applyFill="1" applyBorder="1" applyProtection="1"/>
    <xf numFmtId="9" fontId="12" fillId="0" borderId="0" xfId="0" applyNumberFormat="1" applyFont="1" applyFill="1" applyProtection="1"/>
    <xf numFmtId="0" fontId="12" fillId="0" borderId="0" xfId="0" applyFont="1" applyProtection="1"/>
    <xf numFmtId="0" fontId="1" fillId="0" borderId="0" xfId="0" applyFont="1" applyProtection="1"/>
    <xf numFmtId="39" fontId="19" fillId="0" borderId="0" xfId="0" applyNumberFormat="1" applyFont="1" applyFill="1" applyBorder="1" applyProtection="1"/>
    <xf numFmtId="0" fontId="42" fillId="0" borderId="0" xfId="0" applyFont="1" applyFill="1" applyProtection="1"/>
    <xf numFmtId="3" fontId="0" fillId="0" borderId="0" xfId="0" applyNumberFormat="1" applyProtection="1"/>
    <xf numFmtId="3" fontId="19" fillId="0" borderId="6" xfId="0" applyNumberFormat="1" applyFont="1" applyFill="1" applyBorder="1" applyProtection="1"/>
    <xf numFmtId="169" fontId="18" fillId="0" borderId="0" xfId="0" applyNumberFormat="1" applyFont="1" applyFill="1" applyAlignment="1" applyProtection="1">
      <protection hidden="1"/>
    </xf>
    <xf numFmtId="37" fontId="18" fillId="0" borderId="0" xfId="0" applyNumberFormat="1" applyFont="1" applyFill="1" applyAlignment="1" applyProtection="1">
      <protection hidden="1"/>
    </xf>
    <xf numFmtId="0" fontId="20" fillId="5" borderId="0" xfId="0" applyFont="1" applyFill="1" applyBorder="1" applyAlignment="1" applyProtection="1">
      <alignment horizontal="left"/>
    </xf>
    <xf numFmtId="0" fontId="18" fillId="0" borderId="8" xfId="23" applyFont="1" applyFill="1" applyBorder="1" applyProtection="1"/>
    <xf numFmtId="0" fontId="18" fillId="0" borderId="6" xfId="23" applyFont="1" applyFill="1" applyBorder="1" applyAlignment="1" applyProtection="1">
      <alignment horizontal="left" vertical="distributed"/>
    </xf>
    <xf numFmtId="0" fontId="18" fillId="0" borderId="0" xfId="23" applyFont="1" applyFill="1" applyProtection="1"/>
    <xf numFmtId="14" fontId="18" fillId="0" borderId="0" xfId="23" applyNumberFormat="1" applyFont="1" applyFill="1" applyProtection="1"/>
    <xf numFmtId="0" fontId="18" fillId="10" borderId="6" xfId="23" applyFont="1" applyFill="1" applyBorder="1" applyAlignment="1" applyProtection="1">
      <alignment vertical="distributed"/>
    </xf>
    <xf numFmtId="0" fontId="18" fillId="10" borderId="7" xfId="23" applyFont="1" applyFill="1" applyBorder="1" applyAlignment="1" applyProtection="1">
      <alignment vertical="distributed" wrapText="1"/>
    </xf>
    <xf numFmtId="0" fontId="20" fillId="0" borderId="0" xfId="23" applyFont="1" applyBorder="1" applyAlignment="1" applyProtection="1">
      <alignment horizontal="left" wrapText="1"/>
    </xf>
    <xf numFmtId="3" fontId="18" fillId="11" borderId="7" xfId="23" applyNumberFormat="1" applyFont="1" applyFill="1" applyBorder="1" applyAlignment="1" applyProtection="1">
      <alignment wrapText="1"/>
      <protection locked="0"/>
    </xf>
    <xf numFmtId="0" fontId="18" fillId="10" borderId="6" xfId="23" applyFont="1" applyFill="1" applyBorder="1" applyAlignment="1" applyProtection="1">
      <alignment horizontal="left" vertical="distributed"/>
    </xf>
    <xf numFmtId="0" fontId="18" fillId="0" borderId="10" xfId="23" applyFont="1" applyFill="1" applyBorder="1" applyAlignment="1" applyProtection="1">
      <alignment horizontal="left" vertical="distributed"/>
    </xf>
    <xf numFmtId="37" fontId="19" fillId="3" borderId="7" xfId="0" applyNumberFormat="1" applyFont="1" applyFill="1" applyBorder="1" applyProtection="1"/>
    <xf numFmtId="37" fontId="19" fillId="3" borderId="8" xfId="0" applyNumberFormat="1" applyFont="1" applyFill="1" applyBorder="1" applyProtection="1"/>
    <xf numFmtId="37" fontId="18" fillId="0" borderId="10" xfId="0" applyNumberFormat="1" applyFont="1" applyFill="1" applyBorder="1" applyProtection="1"/>
    <xf numFmtId="0" fontId="0" fillId="0" borderId="0" xfId="21" applyFont="1" applyProtection="1"/>
    <xf numFmtId="0" fontId="0" fillId="0" borderId="0" xfId="21" applyFont="1" applyBorder="1" applyProtection="1"/>
    <xf numFmtId="0" fontId="19" fillId="0" borderId="0" xfId="0" applyNumberFormat="1" applyFont="1" applyAlignment="1" applyProtection="1">
      <alignment horizontal="left"/>
    </xf>
    <xf numFmtId="1" fontId="18" fillId="0" borderId="0" xfId="0" applyNumberFormat="1" applyFont="1" applyAlignment="1" applyProtection="1"/>
    <xf numFmtId="168" fontId="18" fillId="0" borderId="0" xfId="0" applyNumberFormat="1" applyFont="1" applyProtection="1"/>
    <xf numFmtId="0" fontId="19" fillId="0" borderId="0" xfId="19" applyFont="1" applyFill="1" applyBorder="1" applyAlignment="1" applyProtection="1">
      <alignment horizontal="left" vertical="center"/>
    </xf>
    <xf numFmtId="0" fontId="0" fillId="0" borderId="0" xfId="0" applyAlignment="1" applyProtection="1"/>
    <xf numFmtId="168" fontId="19" fillId="3" borderId="23" xfId="0" applyNumberFormat="1" applyFont="1" applyFill="1" applyBorder="1" applyAlignment="1" applyProtection="1">
      <alignment horizontal="center"/>
    </xf>
    <xf numFmtId="0" fontId="19" fillId="3" borderId="12" xfId="0" applyNumberFormat="1" applyFont="1" applyFill="1" applyBorder="1" applyAlignment="1" applyProtection="1">
      <alignment horizontal="center"/>
    </xf>
    <xf numFmtId="0" fontId="19" fillId="0" borderId="0" xfId="0" applyNumberFormat="1" applyFont="1" applyFill="1" applyBorder="1" applyAlignment="1" applyProtection="1">
      <alignment horizontal="center"/>
    </xf>
    <xf numFmtId="168" fontId="19" fillId="0" borderId="0" xfId="0" applyNumberFormat="1" applyFont="1" applyFill="1" applyBorder="1" applyAlignment="1" applyProtection="1">
      <alignment horizontal="center" vertical="center"/>
    </xf>
    <xf numFmtId="168" fontId="18" fillId="0" borderId="10" xfId="0" applyNumberFormat="1" applyFont="1" applyFill="1" applyBorder="1" applyProtection="1"/>
    <xf numFmtId="0" fontId="18" fillId="0" borderId="0" xfId="0" applyNumberFormat="1" applyFont="1" applyBorder="1" applyAlignment="1" applyProtection="1">
      <alignment horizontal="left" vertical="center"/>
    </xf>
    <xf numFmtId="0" fontId="19" fillId="3" borderId="23" xfId="0" applyFont="1" applyFill="1" applyBorder="1" applyAlignment="1" applyProtection="1">
      <alignment horizontal="center" vertical="center"/>
    </xf>
    <xf numFmtId="0" fontId="19" fillId="0" borderId="0" xfId="0" applyFont="1" applyAlignment="1" applyProtection="1">
      <alignment horizontal="left"/>
    </xf>
    <xf numFmtId="0" fontId="19" fillId="0" borderId="0" xfId="0" applyFont="1" applyFill="1" applyProtection="1"/>
    <xf numFmtId="0" fontId="19" fillId="3" borderId="12" xfId="0" applyFont="1" applyFill="1" applyBorder="1" applyAlignment="1" applyProtection="1">
      <alignment horizontal="center" vertical="center"/>
    </xf>
    <xf numFmtId="0" fontId="7" fillId="0" borderId="0" xfId="0" applyFont="1" applyAlignment="1" applyProtection="1">
      <alignment horizontal="left"/>
    </xf>
    <xf numFmtId="168" fontId="6" fillId="0" borderId="0" xfId="0" applyNumberFormat="1" applyFont="1" applyProtection="1"/>
    <xf numFmtId="0" fontId="0" fillId="0" borderId="0" xfId="0" applyBorder="1" applyProtection="1"/>
    <xf numFmtId="0" fontId="44" fillId="0" borderId="0" xfId="21" applyFont="1" applyProtection="1"/>
    <xf numFmtId="0" fontId="4" fillId="0" borderId="0" xfId="21" applyFont="1" applyProtection="1"/>
    <xf numFmtId="0" fontId="18" fillId="12" borderId="0" xfId="23" applyFont="1" applyFill="1" applyBorder="1" applyAlignment="1" applyProtection="1">
      <alignment vertical="distributed"/>
    </xf>
    <xf numFmtId="3" fontId="1" fillId="12" borderId="0" xfId="21" applyNumberFormat="1" applyFill="1" applyProtection="1"/>
    <xf numFmtId="3" fontId="18" fillId="0" borderId="6" xfId="23" applyNumberFormat="1" applyFont="1" applyFill="1" applyBorder="1" applyAlignment="1" applyProtection="1">
      <alignment vertical="distributed"/>
    </xf>
    <xf numFmtId="3" fontId="18" fillId="0" borderId="9" xfId="23" applyNumberFormat="1" applyFont="1" applyFill="1" applyBorder="1" applyAlignment="1" applyProtection="1">
      <alignment vertical="distributed"/>
    </xf>
    <xf numFmtId="3" fontId="18" fillId="0" borderId="0" xfId="23" applyNumberFormat="1" applyFont="1" applyFill="1" applyBorder="1" applyAlignment="1" applyProtection="1">
      <alignment vertical="distributed"/>
    </xf>
    <xf numFmtId="0" fontId="18" fillId="0" borderId="28" xfId="0" applyFont="1" applyBorder="1" applyProtection="1">
      <protection hidden="1"/>
    </xf>
    <xf numFmtId="3" fontId="19" fillId="0" borderId="0" xfId="23" applyNumberFormat="1" applyFont="1" applyFill="1" applyBorder="1" applyAlignment="1" applyProtection="1">
      <alignment vertical="distributed"/>
    </xf>
    <xf numFmtId="0" fontId="1" fillId="12" borderId="0" xfId="21" applyFill="1" applyProtection="1"/>
    <xf numFmtId="0" fontId="14" fillId="0" borderId="0" xfId="0" applyFont="1" applyFill="1" applyBorder="1" applyProtection="1"/>
    <xf numFmtId="0" fontId="14" fillId="0" borderId="0" xfId="0" applyFont="1" applyBorder="1" applyProtection="1"/>
    <xf numFmtId="0" fontId="14" fillId="0" borderId="0" xfId="0" applyFont="1" applyBorder="1" applyAlignment="1" applyProtection="1"/>
    <xf numFmtId="0" fontId="5" fillId="0" borderId="0" xfId="0" applyFont="1" applyBorder="1" applyProtection="1"/>
    <xf numFmtId="0" fontId="27" fillId="0" borderId="0" xfId="0" applyFont="1" applyBorder="1" applyAlignment="1" applyProtection="1"/>
    <xf numFmtId="0" fontId="27" fillId="0" borderId="0" xfId="0" applyFont="1" applyBorder="1" applyAlignment="1" applyProtection="1">
      <alignment vertical="center"/>
    </xf>
    <xf numFmtId="37" fontId="27" fillId="0" borderId="0" xfId="0" applyNumberFormat="1" applyFont="1" applyBorder="1" applyProtection="1"/>
    <xf numFmtId="0" fontId="27" fillId="0" borderId="0" xfId="0" applyFont="1" applyBorder="1" applyProtection="1"/>
    <xf numFmtId="0" fontId="15" fillId="0" borderId="0" xfId="0" applyFont="1" applyBorder="1" applyAlignment="1" applyProtection="1"/>
    <xf numFmtId="0" fontId="16" fillId="0" borderId="0" xfId="0" applyFont="1" applyBorder="1" applyAlignment="1" applyProtection="1"/>
    <xf numFmtId="0" fontId="7" fillId="0" borderId="0" xfId="0" applyFont="1" applyBorder="1" applyAlignment="1" applyProtection="1"/>
    <xf numFmtId="0" fontId="15" fillId="0" borderId="0" xfId="0" applyFont="1" applyAlignment="1" applyProtection="1"/>
    <xf numFmtId="0" fontId="27" fillId="0" borderId="0" xfId="0" applyFont="1" applyBorder="1" applyAlignment="1" applyProtection="1">
      <alignment horizontal="left"/>
    </xf>
    <xf numFmtId="0" fontId="15" fillId="0" borderId="0" xfId="0" applyFont="1" applyFill="1" applyBorder="1" applyProtection="1"/>
    <xf numFmtId="0" fontId="15" fillId="0" borderId="0" xfId="0" applyFont="1" applyFill="1" applyAlignment="1" applyProtection="1"/>
    <xf numFmtId="0" fontId="19" fillId="0" borderId="0" xfId="0" applyFont="1" applyBorder="1" applyAlignment="1" applyProtection="1">
      <alignment vertical="center"/>
    </xf>
    <xf numFmtId="0" fontId="18" fillId="0" borderId="24" xfId="0" applyFont="1" applyBorder="1" applyAlignment="1" applyProtection="1"/>
    <xf numFmtId="0" fontId="19" fillId="0" borderId="24" xfId="0" applyFont="1" applyBorder="1" applyAlignment="1" applyProtection="1"/>
    <xf numFmtId="0" fontId="13" fillId="0" borderId="0" xfId="0" applyFont="1" applyAlignment="1" applyProtection="1"/>
    <xf numFmtId="0" fontId="13" fillId="0" borderId="0" xfId="0" applyFont="1" applyBorder="1" applyAlignment="1" applyProtection="1"/>
    <xf numFmtId="0" fontId="18" fillId="0" borderId="0" xfId="0" applyFont="1" applyBorder="1" applyAlignment="1" applyProtection="1">
      <alignment horizontal="center" wrapText="1"/>
    </xf>
    <xf numFmtId="37" fontId="18" fillId="0" borderId="42" xfId="0" applyNumberFormat="1" applyFont="1" applyFill="1" applyBorder="1" applyAlignment="1" applyProtection="1">
      <alignment vertical="center"/>
    </xf>
    <xf numFmtId="37" fontId="18" fillId="0" borderId="35" xfId="0" applyNumberFormat="1" applyFont="1" applyFill="1" applyBorder="1" applyAlignment="1" applyProtection="1">
      <alignment vertical="center"/>
    </xf>
    <xf numFmtId="0" fontId="18" fillId="0" borderId="7" xfId="0" applyFont="1" applyBorder="1" applyAlignment="1" applyProtection="1">
      <alignment vertical="center"/>
    </xf>
    <xf numFmtId="0" fontId="18" fillId="0" borderId="8" xfId="0" applyFont="1" applyBorder="1" applyAlignment="1" applyProtection="1">
      <alignment vertical="center"/>
    </xf>
    <xf numFmtId="0" fontId="18" fillId="0" borderId="10" xfId="0" applyFont="1" applyBorder="1" applyAlignment="1" applyProtection="1">
      <alignment vertical="center"/>
    </xf>
    <xf numFmtId="0" fontId="25" fillId="0" borderId="0" xfId="0" applyFont="1" applyBorder="1" applyAlignment="1" applyProtection="1"/>
    <xf numFmtId="0" fontId="18" fillId="0" borderId="6" xfId="0" applyFont="1" applyBorder="1" applyAlignment="1" applyProtection="1">
      <alignment horizontal="left"/>
    </xf>
    <xf numFmtId="0" fontId="40" fillId="0" borderId="0" xfId="0" applyFont="1" applyBorder="1" applyProtection="1"/>
    <xf numFmtId="0" fontId="19" fillId="0" borderId="43" xfId="0" applyFont="1" applyBorder="1" applyAlignment="1" applyProtection="1">
      <alignment vertical="center"/>
    </xf>
    <xf numFmtId="0" fontId="18" fillId="0" borderId="44" xfId="0" applyFont="1" applyBorder="1" applyAlignment="1" applyProtection="1">
      <alignment vertical="center"/>
    </xf>
    <xf numFmtId="0" fontId="18" fillId="0" borderId="45" xfId="0" applyFont="1" applyBorder="1" applyAlignment="1" applyProtection="1">
      <alignment vertical="center"/>
    </xf>
    <xf numFmtId="0" fontId="18" fillId="0" borderId="0" xfId="0" applyFont="1" applyBorder="1" applyAlignment="1" applyProtection="1">
      <alignment horizontal="right"/>
    </xf>
    <xf numFmtId="0" fontId="13" fillId="0" borderId="0" xfId="0" applyFont="1" applyBorder="1" applyProtection="1"/>
    <xf numFmtId="0" fontId="18" fillId="0" borderId="0" xfId="0" quotePrefix="1" applyFont="1" applyBorder="1" applyAlignment="1" applyProtection="1">
      <alignment horizontal="center" wrapText="1"/>
    </xf>
    <xf numFmtId="0" fontId="18" fillId="0" borderId="0" xfId="0" applyFont="1" applyAlignment="1" applyProtection="1">
      <alignment horizontal="justify" wrapText="1"/>
    </xf>
    <xf numFmtId="0" fontId="18" fillId="0" borderId="13" xfId="0" applyFont="1" applyBorder="1" applyAlignment="1" applyProtection="1">
      <alignment horizontal="justify" wrapText="1"/>
    </xf>
    <xf numFmtId="0" fontId="6" fillId="0" borderId="0" xfId="0" applyFont="1" applyBorder="1" applyProtection="1"/>
    <xf numFmtId="0" fontId="18" fillId="0" borderId="14" xfId="0" applyFont="1" applyBorder="1" applyAlignment="1" applyProtection="1"/>
    <xf numFmtId="0" fontId="19" fillId="0" borderId="15" xfId="0" applyFont="1" applyBorder="1" applyProtection="1"/>
    <xf numFmtId="0" fontId="18" fillId="0" borderId="15" xfId="0" applyFont="1" applyBorder="1" applyProtection="1"/>
    <xf numFmtId="0" fontId="18" fillId="0" borderId="15" xfId="0" applyFont="1" applyBorder="1" applyAlignment="1" applyProtection="1"/>
    <xf numFmtId="0" fontId="18" fillId="0" borderId="16" xfId="0" applyFont="1" applyBorder="1" applyProtection="1"/>
    <xf numFmtId="0" fontId="13" fillId="0" borderId="0" xfId="0" applyFont="1" applyProtection="1"/>
    <xf numFmtId="0" fontId="18" fillId="0" borderId="17" xfId="0" applyFont="1" applyBorder="1" applyAlignment="1" applyProtection="1"/>
    <xf numFmtId="0" fontId="18" fillId="0" borderId="18" xfId="0" applyFont="1" applyBorder="1" applyProtection="1"/>
    <xf numFmtId="0" fontId="40" fillId="0" borderId="0" xfId="0" applyFont="1" applyFill="1" applyBorder="1" applyProtection="1"/>
    <xf numFmtId="0" fontId="18" fillId="0" borderId="18" xfId="0" applyFont="1" applyBorder="1" applyAlignment="1" applyProtection="1"/>
    <xf numFmtId="0" fontId="18" fillId="0" borderId="0" xfId="0" applyFont="1" applyFill="1" applyProtection="1"/>
    <xf numFmtId="0" fontId="18" fillId="0" borderId="21" xfId="0" applyFont="1" applyFill="1" applyBorder="1" applyAlignment="1" applyProtection="1"/>
    <xf numFmtId="0" fontId="18" fillId="0" borderId="13" xfId="0" applyFont="1" applyFill="1" applyBorder="1" applyProtection="1"/>
    <xf numFmtId="0" fontId="25" fillId="0" borderId="13" xfId="0" applyFont="1" applyBorder="1" applyAlignment="1" applyProtection="1">
      <alignment vertical="top" wrapText="1"/>
    </xf>
    <xf numFmtId="0" fontId="18" fillId="0" borderId="13" xfId="0" applyFont="1" applyFill="1" applyBorder="1" applyAlignment="1" applyProtection="1">
      <alignment vertical="top" wrapText="1"/>
    </xf>
    <xf numFmtId="0" fontId="18" fillId="0" borderId="13" xfId="0" applyFont="1" applyFill="1" applyBorder="1" applyAlignment="1" applyProtection="1">
      <alignment vertical="top"/>
    </xf>
    <xf numFmtId="0" fontId="18" fillId="0" borderId="22" xfId="0" applyFont="1" applyFill="1" applyBorder="1" applyAlignment="1" applyProtection="1"/>
    <xf numFmtId="0" fontId="13" fillId="0" borderId="0" xfId="0" applyFont="1" applyFill="1" applyProtection="1"/>
    <xf numFmtId="0" fontId="21" fillId="0" borderId="0" xfId="0" applyFont="1" applyBorder="1" applyAlignment="1" applyProtection="1"/>
    <xf numFmtId="0" fontId="19" fillId="0" borderId="11" xfId="0" applyFont="1" applyBorder="1" applyAlignment="1" applyProtection="1">
      <alignment vertical="center"/>
    </xf>
    <xf numFmtId="0" fontId="19" fillId="0" borderId="36" xfId="0" applyFont="1" applyBorder="1" applyAlignment="1" applyProtection="1">
      <alignment vertical="center"/>
    </xf>
    <xf numFmtId="0" fontId="18" fillId="0" borderId="36" xfId="0" applyFont="1" applyBorder="1" applyAlignment="1" applyProtection="1">
      <alignment vertical="center"/>
    </xf>
    <xf numFmtId="0" fontId="18" fillId="0" borderId="0" xfId="0" applyFont="1" applyAlignment="1" applyProtection="1">
      <alignment vertical="center"/>
    </xf>
    <xf numFmtId="0" fontId="6" fillId="0" borderId="0" xfId="0" applyFont="1" applyAlignment="1" applyProtection="1">
      <alignment vertical="center"/>
    </xf>
    <xf numFmtId="0" fontId="19" fillId="0" borderId="27" xfId="0" applyFont="1" applyBorder="1" applyAlignment="1" applyProtection="1">
      <alignment vertical="center"/>
    </xf>
    <xf numFmtId="0" fontId="6" fillId="0" borderId="8" xfId="0" applyFont="1" applyBorder="1" applyAlignment="1" applyProtection="1">
      <alignment vertical="center"/>
    </xf>
    <xf numFmtId="0" fontId="18" fillId="0" borderId="8" xfId="0" applyFont="1" applyFill="1" applyBorder="1" applyAlignment="1" applyProtection="1">
      <alignment vertical="center"/>
    </xf>
    <xf numFmtId="0" fontId="19" fillId="0" borderId="7" xfId="0" applyFont="1" applyBorder="1" applyAlignment="1" applyProtection="1">
      <alignment vertical="center"/>
    </xf>
    <xf numFmtId="0" fontId="6" fillId="0" borderId="0" xfId="0" applyFont="1" applyAlignment="1" applyProtection="1"/>
    <xf numFmtId="0" fontId="19" fillId="0" borderId="0" xfId="0" applyFont="1" applyFill="1" applyBorder="1" applyAlignment="1" applyProtection="1">
      <alignment vertical="center"/>
    </xf>
    <xf numFmtId="0" fontId="18" fillId="0" borderId="0" xfId="0" applyFont="1" applyFill="1" applyBorder="1" applyAlignment="1" applyProtection="1">
      <alignment vertical="center"/>
    </xf>
    <xf numFmtId="37" fontId="18" fillId="0" borderId="0" xfId="0" applyNumberFormat="1" applyFont="1" applyBorder="1" applyAlignment="1" applyProtection="1">
      <alignment vertical="center"/>
    </xf>
    <xf numFmtId="0" fontId="40" fillId="0" borderId="13" xfId="0" applyFont="1" applyBorder="1" applyProtection="1"/>
    <xf numFmtId="0" fontId="40" fillId="0" borderId="0" xfId="0" applyFont="1" applyProtection="1"/>
    <xf numFmtId="37" fontId="18" fillId="0" borderId="30" xfId="0" applyNumberFormat="1" applyFont="1" applyFill="1" applyBorder="1" applyAlignment="1" applyProtection="1">
      <alignment vertical="center"/>
      <protection locked="0"/>
    </xf>
    <xf numFmtId="37" fontId="18" fillId="0" borderId="30" xfId="0" applyNumberFormat="1" applyFont="1" applyFill="1" applyBorder="1" applyAlignment="1" applyProtection="1">
      <alignment horizontal="right" vertical="center"/>
      <protection locked="0"/>
    </xf>
    <xf numFmtId="37" fontId="18" fillId="0" borderId="10" xfId="0" applyNumberFormat="1" applyFont="1" applyFill="1" applyBorder="1" applyAlignment="1" applyProtection="1">
      <alignment vertical="center"/>
      <protection locked="0"/>
    </xf>
    <xf numFmtId="0" fontId="18" fillId="0" borderId="0" xfId="0" applyFont="1" applyBorder="1" applyProtection="1">
      <protection locked="0"/>
    </xf>
    <xf numFmtId="0" fontId="18" fillId="0" borderId="0" xfId="0" applyFont="1" applyBorder="1" applyAlignment="1" applyProtection="1">
      <protection locked="0"/>
    </xf>
    <xf numFmtId="0" fontId="19" fillId="0" borderId="19" xfId="0" applyFont="1" applyBorder="1" applyAlignment="1" applyProtection="1">
      <alignment vertical="top"/>
      <protection locked="0"/>
    </xf>
    <xf numFmtId="0" fontId="18" fillId="0" borderId="20" xfId="0" applyFont="1" applyBorder="1" applyAlignment="1" applyProtection="1">
      <alignment vertical="top" wrapText="1"/>
      <protection locked="0"/>
    </xf>
    <xf numFmtId="0" fontId="18" fillId="0" borderId="0" xfId="0" applyFont="1" applyBorder="1" applyAlignment="1" applyProtection="1">
      <alignment vertical="top" wrapText="1"/>
      <protection locked="0"/>
    </xf>
    <xf numFmtId="0" fontId="18" fillId="0" borderId="13" xfId="0" applyFont="1" applyFill="1" applyBorder="1" applyProtection="1">
      <protection locked="0"/>
    </xf>
    <xf numFmtId="0" fontId="18" fillId="0" borderId="13" xfId="0" applyFont="1" applyFill="1" applyBorder="1" applyAlignment="1" applyProtection="1">
      <alignment vertical="top" wrapText="1"/>
      <protection locked="0"/>
    </xf>
    <xf numFmtId="0" fontId="19" fillId="3" borderId="31" xfId="23" applyFont="1" applyFill="1" applyBorder="1" applyAlignment="1" applyProtection="1">
      <alignment horizontal="center" vertical="center"/>
    </xf>
    <xf numFmtId="0" fontId="19" fillId="3" borderId="23" xfId="23" applyFont="1" applyFill="1" applyBorder="1" applyAlignment="1" applyProtection="1">
      <alignment horizontal="center" vertical="center"/>
    </xf>
    <xf numFmtId="0" fontId="19" fillId="0" borderId="0" xfId="16" applyFont="1" applyFill="1" applyBorder="1" applyProtection="1"/>
    <xf numFmtId="0" fontId="19" fillId="3" borderId="38" xfId="23" applyFont="1" applyFill="1" applyBorder="1" applyAlignment="1" applyProtection="1">
      <alignment horizontal="center" vertical="center"/>
    </xf>
    <xf numFmtId="9" fontId="19" fillId="3" borderId="2" xfId="23" applyNumberFormat="1" applyFont="1" applyFill="1" applyBorder="1" applyAlignment="1" applyProtection="1">
      <alignment horizontal="center" vertical="center"/>
    </xf>
    <xf numFmtId="0" fontId="19" fillId="3" borderId="2" xfId="23" applyFont="1" applyFill="1" applyBorder="1" applyAlignment="1" applyProtection="1">
      <alignment horizontal="center" vertical="center"/>
    </xf>
    <xf numFmtId="0" fontId="19" fillId="3" borderId="12" xfId="23" applyFont="1" applyFill="1" applyBorder="1" applyAlignment="1" applyProtection="1">
      <alignment horizontal="center" vertical="center"/>
    </xf>
    <xf numFmtId="3" fontId="0" fillId="0" borderId="10" xfId="0" applyNumberFormat="1" applyBorder="1" applyAlignment="1" applyProtection="1">
      <alignment wrapText="1"/>
    </xf>
    <xf numFmtId="0" fontId="18" fillId="0" borderId="6" xfId="23" applyFont="1" applyBorder="1" applyAlignment="1" applyProtection="1">
      <alignment vertical="distributed"/>
    </xf>
    <xf numFmtId="0" fontId="19" fillId="3" borderId="0" xfId="23" applyFont="1" applyFill="1" applyBorder="1" applyAlignment="1" applyProtection="1">
      <alignment horizontal="center" vertical="center"/>
    </xf>
    <xf numFmtId="0" fontId="19" fillId="3" borderId="10" xfId="23" applyFont="1" applyFill="1" applyBorder="1" applyAlignment="1" applyProtection="1">
      <alignment horizontal="center" vertical="center"/>
    </xf>
    <xf numFmtId="0" fontId="18" fillId="0" borderId="0" xfId="0" applyFont="1" applyAlignment="1" applyProtection="1">
      <alignment horizontal="right" vertical="top"/>
    </xf>
    <xf numFmtId="0" fontId="19" fillId="0" borderId="0" xfId="0" applyNumberFormat="1" applyFont="1" applyBorder="1" applyAlignment="1" applyProtection="1">
      <alignment horizontal="right" vertical="top"/>
    </xf>
    <xf numFmtId="2" fontId="18" fillId="0" borderId="0" xfId="0" applyNumberFormat="1" applyFont="1" applyAlignment="1" applyProtection="1">
      <alignment horizontal="left"/>
    </xf>
    <xf numFmtId="2" fontId="18" fillId="0" borderId="0" xfId="0" applyNumberFormat="1" applyFont="1" applyAlignment="1" applyProtection="1">
      <alignment horizontal="right" vertical="top"/>
    </xf>
    <xf numFmtId="0" fontId="26" fillId="0" borderId="0" xfId="18" applyFont="1" applyBorder="1" applyAlignment="1" applyProtection="1">
      <alignment horizontal="left"/>
    </xf>
    <xf numFmtId="37" fontId="18" fillId="0" borderId="0" xfId="0" applyNumberFormat="1" applyFont="1" applyAlignment="1" applyProtection="1">
      <alignment vertical="top"/>
    </xf>
    <xf numFmtId="0" fontId="19" fillId="0" borderId="0" xfId="18" applyFont="1" applyBorder="1" applyAlignment="1" applyProtection="1">
      <alignment horizontal="left"/>
    </xf>
    <xf numFmtId="0" fontId="19" fillId="0" borderId="0" xfId="18" applyFont="1" applyBorder="1" applyAlignment="1" applyProtection="1">
      <alignment horizontal="right" vertical="top"/>
    </xf>
    <xf numFmtId="0" fontId="19" fillId="0" borderId="0" xfId="18" applyFont="1" applyBorder="1" applyAlignment="1" applyProtection="1">
      <alignment horizontal="left" vertical="top"/>
    </xf>
    <xf numFmtId="37" fontId="19" fillId="3" borderId="19" xfId="0" applyNumberFormat="1" applyFont="1" applyFill="1" applyBorder="1" applyAlignment="1" applyProtection="1">
      <alignment vertical="center"/>
    </xf>
    <xf numFmtId="37" fontId="19" fillId="3" borderId="20" xfId="0" applyNumberFormat="1" applyFont="1" applyFill="1" applyBorder="1" applyAlignment="1" applyProtection="1">
      <alignment horizontal="right" vertical="top"/>
    </xf>
    <xf numFmtId="0" fontId="19" fillId="0" borderId="0" xfId="0" applyNumberFormat="1" applyFont="1" applyFill="1" applyBorder="1" applyAlignment="1" applyProtection="1">
      <alignment vertical="center"/>
    </xf>
    <xf numFmtId="37" fontId="19" fillId="0" borderId="24" xfId="0" applyNumberFormat="1" applyFont="1" applyBorder="1" applyAlignment="1" applyProtection="1">
      <alignment horizontal="left"/>
    </xf>
    <xf numFmtId="0" fontId="19" fillId="0" borderId="0" xfId="0" applyFont="1" applyBorder="1" applyAlignment="1" applyProtection="1">
      <alignment horizontal="right" vertical="top"/>
    </xf>
    <xf numFmtId="0" fontId="19" fillId="0" borderId="0" xfId="0" applyNumberFormat="1" applyFont="1" applyFill="1" applyBorder="1" applyAlignment="1" applyProtection="1"/>
    <xf numFmtId="178" fontId="19" fillId="3" borderId="9" xfId="0" applyNumberFormat="1" applyFont="1" applyFill="1" applyBorder="1" applyAlignment="1" applyProtection="1">
      <alignment horizontal="left" vertical="top" wrapText="1"/>
    </xf>
    <xf numFmtId="0" fontId="18" fillId="0" borderId="11" xfId="0" applyFont="1" applyBorder="1" applyAlignment="1" applyProtection="1"/>
    <xf numFmtId="0" fontId="18" fillId="0" borderId="36" xfId="0" applyFont="1" applyBorder="1" applyAlignment="1" applyProtection="1"/>
    <xf numFmtId="0" fontId="18" fillId="0" borderId="35" xfId="0" applyFont="1" applyBorder="1" applyAlignment="1" applyProtection="1"/>
    <xf numFmtId="37" fontId="19" fillId="0" borderId="0" xfId="0" applyNumberFormat="1" applyFont="1" applyBorder="1" applyAlignment="1" applyProtection="1"/>
    <xf numFmtId="0" fontId="19" fillId="3" borderId="6" xfId="0" applyNumberFormat="1" applyFont="1" applyFill="1" applyBorder="1" applyAlignment="1" applyProtection="1"/>
    <xf numFmtId="0" fontId="19" fillId="3" borderId="9" xfId="0" applyNumberFormat="1" applyFont="1" applyFill="1" applyBorder="1" applyAlignment="1" applyProtection="1">
      <alignment horizontal="left"/>
    </xf>
    <xf numFmtId="0" fontId="18" fillId="0" borderId="11" xfId="0" applyFont="1" applyBorder="1" applyAlignment="1" applyProtection="1">
      <alignment horizontal="left"/>
    </xf>
    <xf numFmtId="0" fontId="18" fillId="0" borderId="36" xfId="0" applyFont="1" applyBorder="1" applyAlignment="1" applyProtection="1">
      <alignment horizontal="left"/>
    </xf>
    <xf numFmtId="3" fontId="19" fillId="0" borderId="42" xfId="26" applyNumberFormat="1" applyFont="1" applyFill="1" applyBorder="1" applyAlignment="1" applyProtection="1">
      <alignment horizontal="right" vertical="top"/>
    </xf>
    <xf numFmtId="0" fontId="19" fillId="3" borderId="36" xfId="0" applyFont="1" applyFill="1" applyBorder="1" applyAlignment="1" applyProtection="1">
      <alignment horizontal="left"/>
    </xf>
    <xf numFmtId="0" fontId="19" fillId="3" borderId="35" xfId="0" applyFont="1" applyFill="1" applyBorder="1" applyAlignment="1" applyProtection="1">
      <alignment horizontal="left"/>
    </xf>
    <xf numFmtId="37" fontId="19" fillId="0" borderId="0" xfId="0" applyNumberFormat="1" applyFont="1" applyBorder="1" applyAlignment="1" applyProtection="1">
      <alignment horizontal="left"/>
    </xf>
    <xf numFmtId="3" fontId="19" fillId="0" borderId="27" xfId="26" applyNumberFormat="1" applyFont="1" applyFill="1" applyBorder="1" applyAlignment="1" applyProtection="1">
      <alignment horizontal="right" vertical="top"/>
    </xf>
    <xf numFmtId="37" fontId="19" fillId="3" borderId="7" xfId="0" applyNumberFormat="1" applyFont="1" applyFill="1" applyBorder="1" applyAlignment="1" applyProtection="1">
      <alignment horizontal="left"/>
    </xf>
    <xf numFmtId="37" fontId="19" fillId="3" borderId="8" xfId="0" applyNumberFormat="1" applyFont="1" applyFill="1" applyBorder="1" applyAlignment="1" applyProtection="1">
      <alignment horizontal="left"/>
    </xf>
    <xf numFmtId="37" fontId="19" fillId="3" borderId="10" xfId="0" applyNumberFormat="1" applyFont="1" applyFill="1" applyBorder="1" applyAlignment="1" applyProtection="1">
      <alignment horizontal="left"/>
    </xf>
    <xf numFmtId="0" fontId="19" fillId="0" borderId="0" xfId="0" applyNumberFormat="1" applyFont="1" applyFill="1" applyBorder="1" applyAlignment="1" applyProtection="1">
      <alignment horizontal="left"/>
    </xf>
    <xf numFmtId="37" fontId="19" fillId="0" borderId="0" xfId="0" applyNumberFormat="1" applyFont="1" applyFill="1" applyBorder="1" applyAlignment="1" applyProtection="1">
      <alignment horizontal="left"/>
    </xf>
    <xf numFmtId="173" fontId="19" fillId="3" borderId="7" xfId="25" applyNumberFormat="1" applyFont="1" applyFill="1" applyBorder="1" applyAlignment="1" applyProtection="1">
      <alignment horizontal="left"/>
    </xf>
    <xf numFmtId="173" fontId="19" fillId="3" borderId="8" xfId="25" applyNumberFormat="1" applyFont="1" applyFill="1" applyBorder="1" applyAlignment="1" applyProtection="1">
      <alignment horizontal="left"/>
    </xf>
    <xf numFmtId="3" fontId="18" fillId="0" borderId="0" xfId="0" applyNumberFormat="1" applyFont="1" applyAlignment="1" applyProtection="1">
      <alignment horizontal="right" vertical="top"/>
    </xf>
    <xf numFmtId="0" fontId="19" fillId="0" borderId="0" xfId="0" applyFont="1" applyBorder="1" applyAlignment="1" applyProtection="1">
      <alignment horizontal="left"/>
    </xf>
    <xf numFmtId="0" fontId="19" fillId="3" borderId="9" xfId="0" applyFont="1" applyFill="1" applyBorder="1" applyAlignment="1" applyProtection="1">
      <alignment horizontal="left" vertical="top" wrapText="1"/>
    </xf>
    <xf numFmtId="1" fontId="18" fillId="0" borderId="11" xfId="0" applyNumberFormat="1" applyFont="1" applyFill="1" applyBorder="1" applyAlignment="1" applyProtection="1">
      <alignment horizontal="left"/>
    </xf>
    <xf numFmtId="0" fontId="0" fillId="0" borderId="36" xfId="0" applyBorder="1" applyAlignment="1" applyProtection="1">
      <alignment wrapText="1"/>
    </xf>
    <xf numFmtId="0" fontId="0" fillId="0" borderId="35" xfId="0" applyBorder="1" applyAlignment="1" applyProtection="1">
      <alignment wrapText="1"/>
    </xf>
    <xf numFmtId="173" fontId="19" fillId="0" borderId="0" xfId="25" applyNumberFormat="1" applyFont="1" applyFill="1" applyBorder="1" applyAlignment="1" applyProtection="1">
      <alignment horizontal="left"/>
    </xf>
    <xf numFmtId="37" fontId="18" fillId="0" borderId="7" xfId="0" applyNumberFormat="1" applyFont="1" applyFill="1" applyBorder="1" applyAlignment="1" applyProtection="1">
      <alignment horizontal="left"/>
    </xf>
    <xf numFmtId="37" fontId="18" fillId="0" borderId="10" xfId="0" applyNumberFormat="1" applyFont="1" applyFill="1" applyBorder="1" applyAlignment="1" applyProtection="1">
      <alignment horizontal="left"/>
    </xf>
    <xf numFmtId="0" fontId="19" fillId="3" borderId="6" xfId="0" applyNumberFormat="1" applyFont="1" applyFill="1" applyBorder="1" applyAlignment="1" applyProtection="1">
      <alignment horizontal="left"/>
    </xf>
    <xf numFmtId="3" fontId="19" fillId="0" borderId="11" xfId="26" applyNumberFormat="1" applyFont="1" applyFill="1" applyBorder="1" applyAlignment="1" applyProtection="1">
      <alignment horizontal="right" vertical="top"/>
    </xf>
    <xf numFmtId="173" fontId="19" fillId="3" borderId="10" xfId="25" applyNumberFormat="1" applyFont="1" applyFill="1" applyBorder="1" applyAlignment="1" applyProtection="1">
      <alignment horizontal="left"/>
    </xf>
    <xf numFmtId="0" fontId="28" fillId="0" borderId="0" xfId="0" applyFont="1" applyBorder="1" applyAlignment="1" applyProtection="1">
      <alignment vertical="top" wrapText="1"/>
    </xf>
    <xf numFmtId="0" fontId="28" fillId="0" borderId="0" xfId="0" applyFont="1" applyBorder="1" applyAlignment="1" applyProtection="1"/>
    <xf numFmtId="177" fontId="18" fillId="0" borderId="0" xfId="26" applyNumberFormat="1" applyFont="1" applyFill="1" applyBorder="1" applyAlignment="1" applyProtection="1"/>
    <xf numFmtId="0" fontId="28" fillId="0" borderId="36" xfId="0" applyFont="1" applyBorder="1" applyAlignment="1" applyProtection="1">
      <alignment vertical="top" wrapText="1"/>
    </xf>
    <xf numFmtId="0" fontId="28" fillId="0" borderId="36" xfId="0" applyFont="1" applyBorder="1" applyAlignment="1" applyProtection="1"/>
    <xf numFmtId="0" fontId="18" fillId="0" borderId="0" xfId="0" applyFont="1" applyFill="1" applyAlignment="1" applyProtection="1"/>
    <xf numFmtId="0" fontId="6" fillId="0" borderId="0" xfId="0" applyFont="1" applyAlignment="1" applyProtection="1">
      <alignment horizontal="right" vertical="top"/>
    </xf>
    <xf numFmtId="0" fontId="7" fillId="0" borderId="0" xfId="0" applyNumberFormat="1" applyFont="1" applyAlignment="1" applyProtection="1"/>
    <xf numFmtId="0" fontId="6" fillId="0" borderId="0" xfId="0" applyFont="1" applyBorder="1" applyAlignment="1" applyProtection="1">
      <alignment vertical="top"/>
    </xf>
    <xf numFmtId="0" fontId="6" fillId="0" borderId="0" xfId="0" applyFont="1" applyAlignment="1" applyProtection="1">
      <alignment horizontal="left"/>
    </xf>
    <xf numFmtId="37" fontId="19" fillId="3" borderId="23" xfId="0" applyNumberFormat="1" applyFont="1" applyFill="1" applyBorder="1" applyAlignment="1" applyProtection="1">
      <alignment horizontal="center" vertical="center"/>
    </xf>
    <xf numFmtId="37" fontId="19" fillId="3" borderId="23" xfId="0" applyNumberFormat="1" applyFont="1" applyFill="1" applyBorder="1" applyAlignment="1" applyProtection="1">
      <alignment horizontal="center" vertical="center" wrapText="1"/>
    </xf>
    <xf numFmtId="0" fontId="18" fillId="0" borderId="0" xfId="0" applyFont="1" applyAlignment="1" applyProtection="1">
      <alignment horizontal="left" vertical="center"/>
    </xf>
    <xf numFmtId="37" fontId="19" fillId="3" borderId="19" xfId="0" applyNumberFormat="1" applyFont="1" applyFill="1" applyBorder="1" applyAlignment="1" applyProtection="1">
      <alignment horizontal="center" vertical="center"/>
    </xf>
    <xf numFmtId="0" fontId="19" fillId="3" borderId="3" xfId="0" applyFont="1" applyFill="1" applyBorder="1" applyAlignment="1" applyProtection="1">
      <alignment horizontal="center" vertical="center"/>
    </xf>
    <xf numFmtId="0" fontId="19" fillId="0" borderId="0" xfId="0" applyFont="1" applyBorder="1" applyAlignment="1" applyProtection="1">
      <alignment horizontal="right"/>
    </xf>
    <xf numFmtId="37" fontId="19" fillId="0" borderId="0" xfId="0" applyNumberFormat="1" applyFont="1" applyBorder="1" applyAlignment="1" applyProtection="1">
      <alignment horizontal="center" vertical="top"/>
    </xf>
    <xf numFmtId="3" fontId="19" fillId="0" borderId="0" xfId="0" applyNumberFormat="1" applyFont="1" applyBorder="1" applyAlignment="1" applyProtection="1">
      <alignment horizontal="right"/>
    </xf>
    <xf numFmtId="172" fontId="18" fillId="0" borderId="0" xfId="0" applyNumberFormat="1" applyFont="1" applyProtection="1"/>
    <xf numFmtId="37" fontId="18" fillId="0" borderId="35" xfId="0" applyNumberFormat="1" applyFont="1" applyFill="1" applyBorder="1" applyProtection="1"/>
    <xf numFmtId="37" fontId="19" fillId="3" borderId="6" xfId="0" applyNumberFormat="1" applyFont="1" applyFill="1" applyBorder="1" applyProtection="1"/>
    <xf numFmtId="0" fontId="18" fillId="0" borderId="26" xfId="0" applyFont="1" applyBorder="1" applyProtection="1"/>
    <xf numFmtId="0" fontId="19" fillId="0" borderId="0" xfId="0" applyNumberFormat="1" applyFont="1" applyBorder="1" applyAlignment="1" applyProtection="1">
      <alignment horizontal="left" vertical="center"/>
    </xf>
    <xf numFmtId="37" fontId="19" fillId="3" borderId="2" xfId="0" applyNumberFormat="1" applyFont="1" applyFill="1" applyBorder="1" applyAlignment="1" applyProtection="1">
      <alignment horizontal="center" vertical="center"/>
    </xf>
    <xf numFmtId="37" fontId="18" fillId="0" borderId="0" xfId="0" applyNumberFormat="1" applyFont="1" applyProtection="1"/>
    <xf numFmtId="37" fontId="19" fillId="3" borderId="23" xfId="0" applyNumberFormat="1" applyFont="1" applyFill="1" applyBorder="1" applyAlignment="1" applyProtection="1">
      <alignment horizontal="right" vertical="center"/>
    </xf>
    <xf numFmtId="0" fontId="19" fillId="3" borderId="12" xfId="0" applyFont="1" applyFill="1" applyBorder="1" applyAlignment="1" applyProtection="1">
      <alignment horizontal="right" vertical="center"/>
    </xf>
    <xf numFmtId="0" fontId="19" fillId="3" borderId="33" xfId="0" applyFont="1" applyFill="1" applyBorder="1" applyAlignment="1" applyProtection="1">
      <alignment horizontal="right" vertical="center"/>
    </xf>
    <xf numFmtId="37" fontId="19" fillId="3" borderId="37" xfId="0" applyNumberFormat="1" applyFont="1" applyFill="1" applyBorder="1" applyAlignment="1" applyProtection="1">
      <alignment horizontal="center" vertical="center"/>
    </xf>
    <xf numFmtId="0" fontId="19" fillId="5" borderId="0" xfId="0" applyNumberFormat="1" applyFont="1" applyFill="1" applyBorder="1" applyAlignment="1" applyProtection="1">
      <alignment horizontal="left"/>
    </xf>
    <xf numFmtId="37" fontId="19" fillId="5" borderId="0" xfId="0" applyNumberFormat="1" applyFont="1" applyFill="1" applyBorder="1" applyAlignment="1" applyProtection="1">
      <alignment horizontal="right"/>
    </xf>
    <xf numFmtId="173" fontId="18" fillId="5" borderId="0" xfId="24" applyFont="1" applyFill="1" applyBorder="1" applyAlignment="1" applyProtection="1"/>
    <xf numFmtId="0" fontId="15" fillId="5" borderId="0" xfId="0" applyFont="1" applyFill="1" applyBorder="1" applyProtection="1"/>
    <xf numFmtId="37" fontId="19" fillId="5" borderId="0" xfId="0" applyNumberFormat="1" applyFont="1" applyFill="1" applyBorder="1" applyProtection="1"/>
    <xf numFmtId="170" fontId="31" fillId="5" borderId="0" xfId="27" applyNumberFormat="1" applyFont="1" applyFill="1" applyBorder="1" applyAlignment="1" applyProtection="1"/>
    <xf numFmtId="37" fontId="19" fillId="3" borderId="12" xfId="0" applyNumberFormat="1" applyFont="1" applyFill="1" applyBorder="1" applyAlignment="1" applyProtection="1">
      <alignment horizontal="center" vertical="center"/>
    </xf>
    <xf numFmtId="0" fontId="19" fillId="0" borderId="0" xfId="0" applyFont="1" applyBorder="1" applyAlignment="1" applyProtection="1">
      <alignment horizontal="left" vertical="top" wrapText="1"/>
    </xf>
    <xf numFmtId="37" fontId="19" fillId="0" borderId="0" xfId="0" applyNumberFormat="1" applyFont="1" applyBorder="1" applyAlignment="1" applyProtection="1">
      <alignment horizontal="right" vertical="top"/>
    </xf>
    <xf numFmtId="0" fontId="18" fillId="0" borderId="8" xfId="0" applyNumberFormat="1" applyFont="1" applyFill="1" applyBorder="1" applyAlignment="1" applyProtection="1">
      <alignment horizontal="left"/>
    </xf>
    <xf numFmtId="1" fontId="18" fillId="0" borderId="6" xfId="0" applyNumberFormat="1" applyFont="1" applyBorder="1" applyAlignment="1" applyProtection="1">
      <alignment horizontal="center"/>
    </xf>
    <xf numFmtId="37" fontId="19" fillId="3" borderId="28" xfId="0" applyNumberFormat="1" applyFont="1" applyFill="1" applyBorder="1" applyProtection="1"/>
    <xf numFmtId="0" fontId="20" fillId="0" borderId="0" xfId="0" applyNumberFormat="1" applyFont="1" applyBorder="1" applyAlignment="1" applyProtection="1">
      <alignment horizontal="left"/>
    </xf>
    <xf numFmtId="37" fontId="18" fillId="0" borderId="0" xfId="0" applyNumberFormat="1" applyFont="1" applyBorder="1" applyAlignment="1" applyProtection="1"/>
    <xf numFmtId="178" fontId="19" fillId="3" borderId="6" xfId="0" applyNumberFormat="1" applyFont="1" applyFill="1" applyBorder="1" applyAlignment="1" applyProtection="1">
      <alignment horizontal="left"/>
    </xf>
    <xf numFmtId="1" fontId="18" fillId="0" borderId="9" xfId="0" applyNumberFormat="1" applyFont="1" applyBorder="1" applyAlignment="1" applyProtection="1">
      <alignment horizontal="center"/>
    </xf>
    <xf numFmtId="0" fontId="20" fillId="0" borderId="0" xfId="0" applyNumberFormat="1" applyFont="1" applyFill="1" applyBorder="1" applyAlignment="1" applyProtection="1">
      <alignment horizontal="left"/>
    </xf>
    <xf numFmtId="166" fontId="18" fillId="0" borderId="0" xfId="0" applyNumberFormat="1" applyFont="1" applyFill="1" applyBorder="1" applyAlignment="1" applyProtection="1">
      <alignment horizontal="center"/>
    </xf>
    <xf numFmtId="3" fontId="18" fillId="0" borderId="0" xfId="0" applyNumberFormat="1" applyFont="1" applyBorder="1" applyAlignment="1" applyProtection="1">
      <alignment horizontal="right" vertical="center"/>
    </xf>
    <xf numFmtId="0" fontId="19" fillId="3" borderId="6" xfId="0" applyNumberFormat="1" applyFont="1" applyFill="1" applyBorder="1" applyAlignment="1" applyProtection="1">
      <alignment horizontal="left" wrapText="1"/>
    </xf>
    <xf numFmtId="0" fontId="18" fillId="0" borderId="7" xfId="0" applyFont="1" applyFill="1" applyBorder="1" applyAlignment="1" applyProtection="1"/>
    <xf numFmtId="0" fontId="18" fillId="0" borderId="8" xfId="0" applyFont="1" applyFill="1" applyBorder="1" applyAlignment="1" applyProtection="1">
      <alignment wrapText="1"/>
    </xf>
    <xf numFmtId="0" fontId="18" fillId="0" borderId="8" xfId="0" applyFont="1" applyBorder="1" applyAlignment="1" applyProtection="1"/>
    <xf numFmtId="0" fontId="18" fillId="0" borderId="10" xfId="0" applyFont="1" applyBorder="1" applyAlignment="1" applyProtection="1"/>
    <xf numFmtId="0" fontId="18" fillId="0" borderId="36" xfId="0" applyFont="1" applyFill="1" applyBorder="1" applyAlignment="1" applyProtection="1"/>
    <xf numFmtId="0" fontId="18" fillId="0" borderId="36" xfId="0" applyFont="1" applyFill="1" applyBorder="1" applyAlignment="1" applyProtection="1">
      <alignment wrapText="1"/>
    </xf>
    <xf numFmtId="0" fontId="18" fillId="0" borderId="35" xfId="0" applyFont="1" applyFill="1" applyBorder="1" applyAlignment="1" applyProtection="1"/>
    <xf numFmtId="0" fontId="19" fillId="3" borderId="8" xfId="0" applyFont="1" applyFill="1" applyBorder="1" applyAlignment="1" applyProtection="1">
      <alignment wrapText="1"/>
    </xf>
    <xf numFmtId="0" fontId="18" fillId="3" borderId="8" xfId="0" applyFont="1" applyFill="1" applyBorder="1" applyAlignment="1" applyProtection="1"/>
    <xf numFmtId="0" fontId="18" fillId="3" borderId="10" xfId="0" applyFont="1" applyFill="1" applyBorder="1" applyAlignment="1" applyProtection="1"/>
    <xf numFmtId="0" fontId="18" fillId="0" borderId="0" xfId="0" applyNumberFormat="1" applyFont="1" applyAlignment="1" applyProtection="1">
      <alignment horizontal="left"/>
    </xf>
    <xf numFmtId="2" fontId="19" fillId="3" borderId="19" xfId="0" applyNumberFormat="1" applyFont="1" applyFill="1" applyBorder="1" applyAlignment="1" applyProtection="1">
      <alignment horizontal="center"/>
    </xf>
    <xf numFmtId="1" fontId="19" fillId="3" borderId="3" xfId="0" applyNumberFormat="1" applyFont="1" applyFill="1" applyBorder="1" applyAlignment="1" applyProtection="1">
      <alignment horizontal="center"/>
    </xf>
    <xf numFmtId="1" fontId="19" fillId="3" borderId="37" xfId="0" applyNumberFormat="1" applyFont="1" applyFill="1" applyBorder="1" applyAlignment="1" applyProtection="1">
      <alignment horizontal="center"/>
    </xf>
    <xf numFmtId="0" fontId="18" fillId="0" borderId="0" xfId="0" applyFont="1" applyAlignment="1" applyProtection="1">
      <alignment horizontal="center"/>
    </xf>
    <xf numFmtId="37" fontId="19" fillId="0" borderId="39" xfId="0" applyNumberFormat="1" applyFont="1" applyBorder="1" applyProtection="1"/>
    <xf numFmtId="37" fontId="19" fillId="3" borderId="46" xfId="0" applyNumberFormat="1" applyFont="1" applyFill="1" applyBorder="1" applyAlignment="1" applyProtection="1">
      <alignment horizontal="center" vertical="top"/>
    </xf>
    <xf numFmtId="37" fontId="19" fillId="3" borderId="47" xfId="0" applyNumberFormat="1" applyFont="1" applyFill="1" applyBorder="1" applyAlignment="1" applyProtection="1">
      <alignment horizontal="center"/>
    </xf>
    <xf numFmtId="37" fontId="19" fillId="3" borderId="48" xfId="0" applyNumberFormat="1" applyFont="1" applyFill="1" applyBorder="1" applyAlignment="1" applyProtection="1">
      <alignment horizontal="center"/>
    </xf>
    <xf numFmtId="37" fontId="19" fillId="0" borderId="0" xfId="0" applyNumberFormat="1" applyFont="1" applyBorder="1" applyProtection="1"/>
    <xf numFmtId="37" fontId="19" fillId="0" borderId="25" xfId="0" applyNumberFormat="1" applyFont="1" applyFill="1" applyBorder="1" applyAlignment="1" applyProtection="1">
      <alignment horizontal="center" vertical="top"/>
    </xf>
    <xf numFmtId="37" fontId="19" fillId="0" borderId="25" xfId="0" applyNumberFormat="1" applyFont="1" applyFill="1" applyBorder="1" applyAlignment="1" applyProtection="1">
      <alignment horizontal="center"/>
    </xf>
    <xf numFmtId="0" fontId="18" fillId="0" borderId="0" xfId="0" applyFont="1" applyBorder="1" applyAlignment="1" applyProtection="1">
      <alignment horizontal="center"/>
    </xf>
    <xf numFmtId="37" fontId="18" fillId="0" borderId="7" xfId="0" applyNumberFormat="1" applyFont="1" applyBorder="1" applyProtection="1"/>
    <xf numFmtId="37" fontId="19" fillId="0" borderId="8" xfId="0" applyNumberFormat="1" applyFont="1" applyFill="1" applyBorder="1" applyAlignment="1" applyProtection="1">
      <alignment horizontal="center"/>
    </xf>
    <xf numFmtId="37" fontId="18" fillId="0" borderId="7" xfId="0" applyNumberFormat="1" applyFont="1" applyFill="1" applyBorder="1" applyAlignment="1" applyProtection="1">
      <alignment vertical="top" wrapText="1"/>
    </xf>
    <xf numFmtId="165" fontId="18" fillId="0" borderId="6" xfId="0" applyNumberFormat="1" applyFont="1" applyFill="1" applyBorder="1" applyProtection="1"/>
    <xf numFmtId="37" fontId="18" fillId="0" borderId="7" xfId="0" applyNumberFormat="1" applyFont="1" applyBorder="1" applyAlignment="1" applyProtection="1">
      <alignment horizontal="left" vertical="top" wrapText="1"/>
    </xf>
    <xf numFmtId="37" fontId="19" fillId="0" borderId="49" xfId="0" applyNumberFormat="1" applyFont="1" applyFill="1" applyBorder="1" applyAlignment="1" applyProtection="1">
      <alignment horizontal="center"/>
    </xf>
    <xf numFmtId="37" fontId="18" fillId="0" borderId="6" xfId="0" applyNumberFormat="1" applyFont="1" applyBorder="1" applyProtection="1"/>
    <xf numFmtId="165" fontId="18" fillId="0" borderId="6" xfId="0" applyNumberFormat="1" applyFont="1" applyBorder="1" applyProtection="1"/>
    <xf numFmtId="37" fontId="18" fillId="0" borderId="10" xfId="0" applyNumberFormat="1" applyFont="1" applyBorder="1" applyProtection="1"/>
    <xf numFmtId="37" fontId="18" fillId="0" borderId="0" xfId="0" applyNumberFormat="1" applyFont="1" applyBorder="1" applyProtection="1"/>
    <xf numFmtId="165" fontId="18" fillId="0" borderId="0" xfId="0" applyNumberFormat="1" applyFont="1" applyBorder="1" applyProtection="1"/>
    <xf numFmtId="3" fontId="18" fillId="0" borderId="0" xfId="0" applyNumberFormat="1" applyFont="1" applyBorder="1" applyAlignment="1" applyProtection="1">
      <alignment horizontal="center"/>
    </xf>
    <xf numFmtId="37" fontId="18" fillId="0" borderId="27" xfId="0" applyNumberFormat="1" applyFont="1" applyBorder="1" applyProtection="1"/>
    <xf numFmtId="0" fontId="20" fillId="0" borderId="0" xfId="0" applyFont="1" applyFill="1" applyProtection="1"/>
    <xf numFmtId="0" fontId="19" fillId="0" borderId="0" xfId="0" applyNumberFormat="1" applyFont="1" applyAlignment="1" applyProtection="1">
      <alignment horizontal="center"/>
    </xf>
    <xf numFmtId="0" fontId="25" fillId="0" borderId="0" xfId="0" applyFont="1" applyProtection="1"/>
    <xf numFmtId="0" fontId="25" fillId="0" borderId="0" xfId="0" applyFont="1" applyBorder="1" applyProtection="1"/>
    <xf numFmtId="3" fontId="18" fillId="0" borderId="0" xfId="0" applyNumberFormat="1" applyFont="1" applyAlignment="1" applyProtection="1"/>
    <xf numFmtId="0" fontId="19" fillId="0" borderId="39" xfId="0" applyNumberFormat="1" applyFont="1" applyBorder="1" applyAlignment="1" applyProtection="1">
      <alignment horizontal="center" vertical="center"/>
    </xf>
    <xf numFmtId="3" fontId="14" fillId="3" borderId="31" xfId="0" applyNumberFormat="1" applyFont="1" applyFill="1" applyBorder="1" applyAlignment="1" applyProtection="1">
      <alignment horizontal="center" vertical="center"/>
    </xf>
    <xf numFmtId="3" fontId="14" fillId="3" borderId="23" xfId="0" applyNumberFormat="1" applyFont="1" applyFill="1" applyBorder="1" applyAlignment="1" applyProtection="1">
      <alignment horizontal="center" vertical="center"/>
    </xf>
    <xf numFmtId="0" fontId="14" fillId="3" borderId="23" xfId="0" applyFont="1" applyFill="1" applyBorder="1" applyAlignment="1" applyProtection="1">
      <alignment horizontal="center" vertical="center"/>
    </xf>
    <xf numFmtId="0" fontId="25" fillId="0" borderId="0" xfId="0" applyFont="1" applyAlignment="1" applyProtection="1">
      <alignment horizontal="right" vertical="center"/>
    </xf>
    <xf numFmtId="0" fontId="18" fillId="0" borderId="0" xfId="0" applyFont="1" applyAlignment="1" applyProtection="1">
      <alignment horizontal="right" vertical="center"/>
    </xf>
    <xf numFmtId="0" fontId="18" fillId="0" borderId="0" xfId="0" applyFont="1" applyAlignment="1" applyProtection="1">
      <alignment horizontal="center" vertical="center"/>
    </xf>
    <xf numFmtId="3" fontId="14" fillId="3" borderId="33" xfId="0" applyNumberFormat="1" applyFont="1" applyFill="1" applyBorder="1" applyAlignment="1" applyProtection="1">
      <alignment horizontal="center" vertical="center"/>
    </xf>
    <xf numFmtId="3" fontId="14" fillId="3" borderId="12" xfId="0" applyNumberFormat="1" applyFont="1" applyFill="1" applyBorder="1" applyAlignment="1" applyProtection="1">
      <alignment horizontal="center" vertical="center"/>
    </xf>
    <xf numFmtId="185" fontId="14" fillId="3" borderId="12" xfId="0" applyNumberFormat="1" applyFont="1" applyFill="1" applyBorder="1" applyAlignment="1" applyProtection="1">
      <alignment horizontal="center" vertical="center"/>
    </xf>
    <xf numFmtId="3" fontId="14" fillId="3" borderId="26" xfId="0" applyNumberFormat="1" applyFont="1" applyFill="1" applyBorder="1" applyAlignment="1" applyProtection="1">
      <alignment horizontal="center" vertical="center"/>
    </xf>
    <xf numFmtId="3" fontId="14" fillId="3" borderId="3" xfId="0" applyNumberFormat="1" applyFont="1" applyFill="1" applyBorder="1" applyAlignment="1" applyProtection="1">
      <alignment horizontal="center" vertical="center"/>
    </xf>
    <xf numFmtId="0" fontId="14" fillId="3" borderId="12" xfId="0" applyFont="1" applyFill="1" applyBorder="1" applyAlignment="1" applyProtection="1">
      <alignment horizontal="center" vertical="center"/>
    </xf>
    <xf numFmtId="0" fontId="19" fillId="0" borderId="0" xfId="0" applyNumberFormat="1" applyFont="1" applyAlignment="1" applyProtection="1">
      <alignment horizontal="center" vertical="center"/>
    </xf>
    <xf numFmtId="0" fontId="25" fillId="0" borderId="0" xfId="0" applyFont="1" applyAlignment="1" applyProtection="1">
      <alignment vertical="center"/>
    </xf>
    <xf numFmtId="3" fontId="19" fillId="0" borderId="0" xfId="0" applyNumberFormat="1" applyFont="1" applyProtection="1"/>
    <xf numFmtId="3" fontId="18" fillId="0" borderId="0" xfId="0" applyNumberFormat="1" applyFont="1" applyAlignment="1" applyProtection="1">
      <alignment horizontal="left"/>
    </xf>
    <xf numFmtId="170" fontId="25" fillId="0" borderId="0" xfId="0" applyNumberFormat="1" applyFont="1" applyBorder="1" applyProtection="1"/>
    <xf numFmtId="170" fontId="18" fillId="0" borderId="0" xfId="0" applyNumberFormat="1" applyFont="1" applyProtection="1"/>
    <xf numFmtId="37" fontId="14" fillId="3" borderId="6" xfId="0" applyNumberFormat="1" applyFont="1" applyFill="1" applyBorder="1" applyProtection="1"/>
    <xf numFmtId="0" fontId="14" fillId="3" borderId="7" xfId="0" applyFont="1" applyFill="1" applyBorder="1" applyAlignment="1" applyProtection="1"/>
    <xf numFmtId="0" fontId="14" fillId="3" borderId="8" xfId="0" applyFont="1" applyFill="1" applyBorder="1" applyAlignment="1" applyProtection="1"/>
    <xf numFmtId="173" fontId="14" fillId="3" borderId="8" xfId="27" applyFont="1" applyBorder="1" applyProtection="1"/>
    <xf numFmtId="170" fontId="22" fillId="0" borderId="0" xfId="27" applyNumberFormat="1" applyFont="1" applyFill="1" applyBorder="1" applyProtection="1"/>
    <xf numFmtId="170" fontId="18" fillId="0" borderId="0" xfId="0" applyNumberFormat="1" applyFont="1" applyBorder="1" applyProtection="1"/>
    <xf numFmtId="0" fontId="18" fillId="0" borderId="0" xfId="0" applyNumberFormat="1" applyFont="1" applyBorder="1" applyAlignment="1" applyProtection="1">
      <alignment horizontal="left"/>
    </xf>
    <xf numFmtId="37" fontId="19" fillId="0" borderId="0" xfId="0" applyNumberFormat="1" applyFont="1" applyBorder="1" applyAlignment="1" applyProtection="1">
      <alignment horizontal="right"/>
    </xf>
    <xf numFmtId="0" fontId="18" fillId="0" borderId="8" xfId="0" applyFont="1" applyFill="1" applyBorder="1" applyProtection="1"/>
    <xf numFmtId="0" fontId="18" fillId="0" borderId="8" xfId="0" applyFont="1" applyFill="1" applyBorder="1" applyAlignment="1" applyProtection="1">
      <alignment horizontal="left"/>
    </xf>
    <xf numFmtId="3" fontId="18" fillId="0" borderId="8" xfId="0" applyNumberFormat="1" applyFont="1" applyFill="1" applyBorder="1" applyAlignment="1" applyProtection="1">
      <alignment horizontal="center"/>
    </xf>
    <xf numFmtId="170" fontId="18" fillId="0" borderId="10" xfId="0" applyNumberFormat="1" applyFont="1" applyFill="1" applyBorder="1" applyAlignment="1" applyProtection="1">
      <alignment horizontal="left"/>
    </xf>
    <xf numFmtId="170" fontId="25" fillId="0" borderId="0" xfId="0" applyNumberFormat="1" applyFont="1" applyProtection="1"/>
    <xf numFmtId="0" fontId="18" fillId="0" borderId="8" xfId="0" applyFont="1" applyFill="1" applyBorder="1" applyAlignment="1" applyProtection="1"/>
    <xf numFmtId="170" fontId="18" fillId="0" borderId="10" xfId="0" applyNumberFormat="1" applyFont="1" applyFill="1" applyBorder="1" applyAlignment="1" applyProtection="1"/>
    <xf numFmtId="170" fontId="19" fillId="3" borderId="10" xfId="0" applyNumberFormat="1" applyFont="1" applyFill="1" applyBorder="1" applyAlignment="1" applyProtection="1">
      <alignment horizontal="left"/>
    </xf>
    <xf numFmtId="170" fontId="19" fillId="0" borderId="0" xfId="0" applyNumberFormat="1" applyFont="1" applyProtection="1"/>
    <xf numFmtId="170" fontId="22" fillId="0" borderId="0" xfId="0" applyNumberFormat="1" applyFont="1" applyProtection="1"/>
    <xf numFmtId="0" fontId="19" fillId="0" borderId="0" xfId="0" applyNumberFormat="1" applyFont="1" applyBorder="1" applyAlignment="1" applyProtection="1">
      <alignment horizontal="center"/>
    </xf>
    <xf numFmtId="0" fontId="19" fillId="3" borderId="19" xfId="0" applyFont="1" applyFill="1" applyBorder="1" applyAlignment="1" applyProtection="1">
      <alignment horizontal="left" vertical="center"/>
    </xf>
    <xf numFmtId="0" fontId="19" fillId="3" borderId="37" xfId="0" applyFont="1" applyFill="1" applyBorder="1" applyAlignment="1" applyProtection="1">
      <alignment horizontal="left" vertical="center"/>
    </xf>
    <xf numFmtId="0" fontId="18" fillId="3" borderId="37" xfId="0" applyFont="1" applyFill="1" applyBorder="1" applyAlignment="1" applyProtection="1">
      <alignment horizontal="left"/>
    </xf>
    <xf numFmtId="0" fontId="18" fillId="3" borderId="37" xfId="0" applyFont="1" applyFill="1" applyBorder="1" applyProtection="1"/>
    <xf numFmtId="173" fontId="18" fillId="3" borderId="37" xfId="0" applyNumberFormat="1" applyFont="1" applyFill="1" applyBorder="1" applyProtection="1"/>
    <xf numFmtId="3" fontId="18" fillId="3" borderId="37" xfId="0" applyNumberFormat="1" applyFont="1" applyFill="1" applyBorder="1" applyAlignment="1" applyProtection="1">
      <alignment horizontal="center"/>
    </xf>
    <xf numFmtId="3" fontId="18" fillId="3" borderId="20" xfId="0" applyNumberFormat="1" applyFont="1" applyFill="1" applyBorder="1" applyAlignment="1" applyProtection="1">
      <alignment horizontal="center"/>
    </xf>
    <xf numFmtId="0" fontId="19" fillId="3" borderId="3" xfId="0" applyFont="1" applyFill="1" applyBorder="1" applyAlignment="1" applyProtection="1">
      <alignment horizontal="right" vertical="center"/>
    </xf>
    <xf numFmtId="0" fontId="19" fillId="3" borderId="23" xfId="0" applyFont="1" applyFill="1" applyBorder="1" applyAlignment="1" applyProtection="1">
      <alignment horizontal="right" vertical="center"/>
    </xf>
    <xf numFmtId="173" fontId="18" fillId="0" borderId="0" xfId="0" applyNumberFormat="1" applyFont="1" applyBorder="1" applyProtection="1"/>
    <xf numFmtId="0" fontId="19" fillId="0" borderId="0" xfId="0" applyFont="1" applyFill="1" applyBorder="1" applyAlignment="1" applyProtection="1">
      <alignment horizontal="right" vertical="center"/>
    </xf>
    <xf numFmtId="3" fontId="19" fillId="0" borderId="0" xfId="0" applyNumberFormat="1" applyFont="1" applyBorder="1" applyAlignment="1" applyProtection="1"/>
    <xf numFmtId="173" fontId="25" fillId="0" borderId="0" xfId="0" applyNumberFormat="1" applyFont="1" applyBorder="1" applyProtection="1"/>
    <xf numFmtId="3" fontId="19" fillId="3" borderId="31" xfId="0" applyNumberFormat="1" applyFont="1" applyFill="1" applyBorder="1" applyAlignment="1" applyProtection="1">
      <alignment horizontal="center" vertical="center"/>
    </xf>
    <xf numFmtId="3" fontId="19" fillId="3" borderId="23" xfId="0" applyNumberFormat="1" applyFont="1" applyFill="1" applyBorder="1" applyAlignment="1" applyProtection="1">
      <alignment horizontal="center" vertical="center"/>
    </xf>
    <xf numFmtId="3" fontId="19" fillId="3" borderId="33" xfId="0" applyNumberFormat="1" applyFont="1" applyFill="1" applyBorder="1" applyAlignment="1" applyProtection="1">
      <alignment horizontal="center" vertical="center"/>
    </xf>
    <xf numFmtId="3" fontId="19" fillId="3" borderId="12" xfId="0" applyNumberFormat="1" applyFont="1" applyFill="1" applyBorder="1" applyAlignment="1" applyProtection="1">
      <alignment horizontal="center" vertical="center"/>
    </xf>
    <xf numFmtId="3" fontId="19" fillId="3" borderId="26" xfId="0" applyNumberFormat="1" applyFont="1" applyFill="1" applyBorder="1" applyAlignment="1" applyProtection="1">
      <alignment horizontal="center" vertical="center"/>
    </xf>
    <xf numFmtId="3" fontId="19" fillId="3" borderId="3" xfId="0" applyNumberFormat="1" applyFont="1" applyFill="1" applyBorder="1" applyAlignment="1" applyProtection="1">
      <alignment horizontal="center" vertical="center"/>
    </xf>
    <xf numFmtId="0" fontId="45" fillId="0" borderId="0" xfId="0" applyFont="1" applyFill="1" applyBorder="1" applyAlignment="1" applyProtection="1">
      <alignment vertical="center"/>
    </xf>
    <xf numFmtId="0" fontId="2" fillId="0" borderId="0" xfId="21" applyFont="1" applyProtection="1"/>
    <xf numFmtId="0" fontId="4" fillId="13" borderId="0" xfId="21" applyFont="1" applyFill="1" applyProtection="1"/>
    <xf numFmtId="0" fontId="18" fillId="13" borderId="0" xfId="23" applyFont="1" applyFill="1" applyBorder="1" applyAlignment="1" applyProtection="1">
      <alignment vertical="distributed"/>
    </xf>
    <xf numFmtId="3" fontId="4" fillId="13" borderId="0" xfId="21" applyNumberFormat="1" applyFont="1" applyFill="1" applyProtection="1"/>
    <xf numFmtId="3" fontId="18" fillId="13" borderId="0" xfId="23" applyNumberFormat="1" applyFont="1" applyFill="1" applyBorder="1" applyAlignment="1" applyProtection="1">
      <alignment vertical="distributed"/>
    </xf>
    <xf numFmtId="0" fontId="1" fillId="13" borderId="0" xfId="21" applyFill="1" applyBorder="1" applyProtection="1"/>
    <xf numFmtId="3" fontId="1" fillId="13" borderId="0" xfId="21" applyNumberFormat="1" applyFill="1" applyProtection="1"/>
    <xf numFmtId="0" fontId="4" fillId="0" borderId="0" xfId="0" applyFont="1" applyAlignment="1"/>
    <xf numFmtId="0" fontId="0" fillId="0" borderId="0" xfId="0" applyAlignment="1"/>
    <xf numFmtId="0" fontId="18" fillId="0" borderId="0" xfId="0" applyFont="1" applyAlignment="1"/>
    <xf numFmtId="0" fontId="20" fillId="0" borderId="0" xfId="0" applyFont="1" applyBorder="1" applyAlignment="1" applyProtection="1">
      <alignment wrapText="1"/>
    </xf>
    <xf numFmtId="173" fontId="18" fillId="0" borderId="7" xfId="24" applyFont="1" applyFill="1" applyBorder="1" applyAlignment="1" applyProtection="1">
      <protection locked="0"/>
    </xf>
    <xf numFmtId="0" fontId="20" fillId="0" borderId="0" xfId="0" applyFont="1" applyFill="1" applyBorder="1" applyAlignment="1" applyProtection="1">
      <alignment horizontal="left" vertical="top" wrapText="1"/>
    </xf>
    <xf numFmtId="0" fontId="19" fillId="0" borderId="0" xfId="0" applyFont="1" applyBorder="1" applyProtection="1"/>
    <xf numFmtId="0" fontId="19" fillId="0" borderId="0" xfId="0" applyFont="1" applyProtection="1"/>
    <xf numFmtId="0" fontId="19" fillId="3" borderId="3" xfId="0" applyFont="1" applyFill="1" applyBorder="1" applyAlignment="1" applyProtection="1">
      <alignment vertical="center" wrapText="1"/>
    </xf>
    <xf numFmtId="0" fontId="19" fillId="3" borderId="3" xfId="0" applyFont="1" applyFill="1" applyBorder="1" applyAlignment="1" applyProtection="1">
      <alignment horizontal="center" vertical="center" wrapText="1"/>
    </xf>
    <xf numFmtId="168" fontId="19" fillId="3" borderId="31" xfId="0" applyNumberFormat="1" applyFont="1" applyFill="1" applyBorder="1" applyAlignment="1" applyProtection="1">
      <alignment horizontal="center"/>
    </xf>
    <xf numFmtId="49" fontId="19" fillId="3" borderId="33" xfId="0" applyNumberFormat="1" applyFont="1" applyFill="1" applyBorder="1" applyAlignment="1" applyProtection="1">
      <alignment horizontal="center"/>
    </xf>
    <xf numFmtId="168" fontId="19" fillId="3" borderId="23" xfId="0" applyNumberFormat="1" applyFont="1" applyFill="1" applyBorder="1" applyAlignment="1" applyProtection="1">
      <alignment horizontal="center" vertical="center" wrapText="1"/>
    </xf>
    <xf numFmtId="168" fontId="19" fillId="3" borderId="12" xfId="0" applyNumberFormat="1" applyFont="1" applyFill="1" applyBorder="1" applyAlignment="1" applyProtection="1">
      <alignment horizontal="center" vertical="center" wrapText="1"/>
    </xf>
    <xf numFmtId="178" fontId="18" fillId="0" borderId="0" xfId="0" applyNumberFormat="1" applyFont="1" applyFill="1" applyBorder="1" applyAlignment="1" applyProtection="1">
      <alignment horizontal="right" vertical="center"/>
    </xf>
    <xf numFmtId="0" fontId="47" fillId="0" borderId="0" xfId="0" applyFont="1" applyFill="1" applyProtection="1"/>
    <xf numFmtId="0" fontId="0" fillId="0" borderId="0" xfId="0" applyFill="1" applyBorder="1" applyProtection="1"/>
    <xf numFmtId="0" fontId="20" fillId="0" borderId="0" xfId="0" applyFont="1" applyFill="1" applyBorder="1" applyAlignment="1" applyProtection="1">
      <alignment horizontal="justify" vertical="top" wrapText="1"/>
    </xf>
    <xf numFmtId="0" fontId="20" fillId="0" borderId="0" xfId="0" applyFont="1" applyFill="1" applyAlignment="1" applyProtection="1">
      <alignment horizontal="justify" vertical="top" wrapText="1"/>
    </xf>
    <xf numFmtId="168" fontId="18" fillId="0" borderId="0" xfId="0" applyNumberFormat="1" applyFont="1" applyFill="1" applyProtection="1"/>
    <xf numFmtId="0" fontId="18" fillId="0" borderId="51" xfId="0" applyNumberFormat="1" applyFont="1" applyBorder="1" applyAlignment="1" applyProtection="1">
      <alignment horizontal="right" vertical="top"/>
    </xf>
    <xf numFmtId="37" fontId="19" fillId="0" borderId="38" xfId="0" applyNumberFormat="1" applyFont="1" applyBorder="1" applyAlignment="1" applyProtection="1">
      <alignment vertical="center"/>
    </xf>
    <xf numFmtId="37" fontId="19" fillId="3" borderId="3" xfId="0" applyNumberFormat="1" applyFont="1" applyFill="1" applyBorder="1" applyAlignment="1" applyProtection="1">
      <alignment horizontal="right" vertical="top"/>
    </xf>
    <xf numFmtId="0" fontId="28" fillId="10" borderId="0" xfId="0" applyFont="1" applyFill="1" applyBorder="1" applyAlignment="1" applyProtection="1">
      <alignment vertical="top" wrapText="1"/>
    </xf>
    <xf numFmtId="0" fontId="19" fillId="10" borderId="0" xfId="19" applyFont="1" applyFill="1" applyBorder="1" applyAlignment="1" applyProtection="1">
      <alignment horizontal="left" vertical="center"/>
    </xf>
    <xf numFmtId="0" fontId="18" fillId="10" borderId="0" xfId="0" applyFont="1" applyFill="1" applyProtection="1"/>
    <xf numFmtId="178" fontId="15" fillId="0" borderId="0" xfId="0" applyNumberFormat="1" applyFont="1" applyProtection="1"/>
    <xf numFmtId="10" fontId="18" fillId="0" borderId="9" xfId="14" quotePrefix="1" applyNumberFormat="1" applyFont="1" applyFill="1" applyBorder="1" applyAlignment="1" applyProtection="1">
      <alignment horizontal="center"/>
    </xf>
    <xf numFmtId="0" fontId="18" fillId="0" borderId="7" xfId="0" applyFont="1" applyBorder="1" applyProtection="1">
      <protection hidden="1"/>
    </xf>
    <xf numFmtId="0" fontId="18" fillId="12" borderId="6" xfId="23" applyFont="1" applyFill="1" applyBorder="1" applyAlignment="1" applyProtection="1">
      <alignment vertical="distributed"/>
    </xf>
    <xf numFmtId="0" fontId="1" fillId="12" borderId="0" xfId="21" applyFill="1" applyBorder="1" applyProtection="1"/>
    <xf numFmtId="0" fontId="18" fillId="14" borderId="6" xfId="23" applyFont="1" applyFill="1" applyBorder="1" applyAlignment="1" applyProtection="1">
      <alignment vertical="distributed"/>
    </xf>
    <xf numFmtId="0" fontId="1" fillId="14" borderId="0" xfId="21" applyFill="1" applyBorder="1" applyProtection="1"/>
    <xf numFmtId="3" fontId="1" fillId="14" borderId="0" xfId="21" applyNumberFormat="1" applyFill="1" applyProtection="1"/>
    <xf numFmtId="0" fontId="18" fillId="14" borderId="0" xfId="23" applyFont="1" applyFill="1" applyBorder="1" applyProtection="1"/>
    <xf numFmtId="0" fontId="1" fillId="14" borderId="0" xfId="21" applyFont="1" applyFill="1" applyProtection="1"/>
    <xf numFmtId="180" fontId="18" fillId="0" borderId="0" xfId="0" applyNumberFormat="1" applyFont="1" applyBorder="1" applyAlignment="1" applyProtection="1">
      <alignment vertical="center"/>
      <protection hidden="1"/>
    </xf>
    <xf numFmtId="0" fontId="18" fillId="0" borderId="0" xfId="0" applyFont="1" applyBorder="1" applyAlignment="1" applyProtection="1">
      <alignment horizontal="left" wrapText="1"/>
    </xf>
    <xf numFmtId="0" fontId="18" fillId="0" borderId="24" xfId="0" applyFont="1" applyBorder="1" applyAlignment="1" applyProtection="1">
      <alignment horizontal="left"/>
    </xf>
    <xf numFmtId="184" fontId="11" fillId="0" borderId="6" xfId="3" applyNumberFormat="1" applyFill="1" applyBorder="1" applyAlignment="1" applyProtection="1">
      <alignment horizontal="left" vertical="center"/>
      <protection locked="0"/>
    </xf>
    <xf numFmtId="184" fontId="18" fillId="0" borderId="6" xfId="0" applyNumberFormat="1" applyFont="1" applyFill="1" applyBorder="1" applyAlignment="1" applyProtection="1">
      <alignment horizontal="left" vertical="center"/>
      <protection locked="0"/>
    </xf>
    <xf numFmtId="37" fontId="18" fillId="0" borderId="7" xfId="0" applyNumberFormat="1" applyFont="1" applyFill="1" applyBorder="1" applyAlignment="1" applyProtection="1">
      <alignment horizontal="left" vertical="center"/>
      <protection locked="0"/>
    </xf>
    <xf numFmtId="37" fontId="18" fillId="0" borderId="8" xfId="0" applyNumberFormat="1" applyFont="1" applyFill="1" applyBorder="1" applyAlignment="1" applyProtection="1">
      <alignment horizontal="left" vertical="center"/>
      <protection locked="0"/>
    </xf>
    <xf numFmtId="37" fontId="18" fillId="0" borderId="10" xfId="0" applyNumberFormat="1" applyFont="1" applyFill="1" applyBorder="1" applyAlignment="1" applyProtection="1">
      <alignment horizontal="left" vertical="center"/>
      <protection locked="0"/>
    </xf>
    <xf numFmtId="0" fontId="19" fillId="0" borderId="24" xfId="0" applyFont="1" applyBorder="1" applyAlignment="1" applyProtection="1">
      <alignment horizontal="center" wrapText="1"/>
    </xf>
    <xf numFmtId="37" fontId="11" fillId="0" borderId="6" xfId="3" applyNumberFormat="1" applyFill="1" applyBorder="1" applyAlignment="1" applyProtection="1">
      <alignment horizontal="left" vertical="center"/>
      <protection locked="0"/>
    </xf>
    <xf numFmtId="37" fontId="18" fillId="0" borderId="6" xfId="0" applyNumberFormat="1" applyFont="1" applyFill="1" applyBorder="1" applyAlignment="1" applyProtection="1">
      <alignment horizontal="left" vertical="center"/>
      <protection locked="0"/>
    </xf>
    <xf numFmtId="0" fontId="18" fillId="0" borderId="0" xfId="0" applyFont="1" applyBorder="1" applyAlignment="1" applyProtection="1">
      <alignment horizontal="left" vertical="top" wrapText="1"/>
    </xf>
    <xf numFmtId="182" fontId="19" fillId="0" borderId="7" xfId="0" applyNumberFormat="1" applyFont="1" applyBorder="1" applyAlignment="1" applyProtection="1">
      <alignment horizontal="center" wrapText="1"/>
    </xf>
    <xf numFmtId="182" fontId="0" fillId="0" borderId="8" xfId="0" applyNumberFormat="1" applyBorder="1" applyAlignment="1" applyProtection="1">
      <alignment horizontal="center" wrapText="1"/>
    </xf>
    <xf numFmtId="182" fontId="0" fillId="0" borderId="10" xfId="0" applyNumberFormat="1" applyBorder="1" applyAlignment="1" applyProtection="1">
      <alignment horizontal="center" wrapText="1"/>
    </xf>
    <xf numFmtId="37" fontId="18" fillId="0" borderId="7" xfId="0" applyNumberFormat="1" applyFont="1" applyFill="1" applyBorder="1" applyAlignment="1" applyProtection="1">
      <alignment horizontal="left" vertical="center"/>
    </xf>
    <xf numFmtId="37" fontId="18" fillId="0" borderId="8" xfId="0" applyNumberFormat="1" applyFont="1" applyFill="1" applyBorder="1" applyAlignment="1" applyProtection="1">
      <alignment horizontal="left" vertical="center"/>
    </xf>
    <xf numFmtId="37" fontId="18" fillId="0" borderId="10" xfId="0" applyNumberFormat="1" applyFont="1" applyFill="1" applyBorder="1" applyAlignment="1" applyProtection="1">
      <alignment horizontal="left" vertical="center"/>
    </xf>
    <xf numFmtId="37" fontId="11" fillId="0" borderId="7" xfId="3" applyNumberFormat="1" applyFill="1" applyBorder="1" applyAlignment="1" applyProtection="1">
      <alignment horizontal="left" vertical="center"/>
      <protection locked="0"/>
    </xf>
    <xf numFmtId="0" fontId="19" fillId="0" borderId="42" xfId="0" applyFont="1" applyBorder="1" applyAlignment="1" applyProtection="1">
      <alignment horizontal="left" vertical="center"/>
    </xf>
    <xf numFmtId="0" fontId="19" fillId="0" borderId="24" xfId="0" applyFont="1" applyBorder="1" applyAlignment="1" applyProtection="1">
      <alignment horizontal="left" vertical="center"/>
    </xf>
    <xf numFmtId="0" fontId="19" fillId="0" borderId="49" xfId="0" applyFont="1" applyBorder="1" applyAlignment="1" applyProtection="1">
      <alignment horizontal="left" vertical="center"/>
    </xf>
    <xf numFmtId="0" fontId="18" fillId="0" borderId="11" xfId="0" applyFont="1" applyBorder="1" applyAlignment="1" applyProtection="1">
      <alignment horizontal="left" vertical="center"/>
    </xf>
    <xf numFmtId="0" fontId="18" fillId="0" borderId="36" xfId="0" applyFont="1" applyBorder="1" applyAlignment="1" applyProtection="1">
      <alignment horizontal="left" vertical="center"/>
    </xf>
    <xf numFmtId="0" fontId="18" fillId="0" borderId="35" xfId="0" applyFont="1" applyBorder="1" applyAlignment="1" applyProtection="1">
      <alignment horizontal="left" vertical="center"/>
    </xf>
    <xf numFmtId="0" fontId="18" fillId="0" borderId="42" xfId="0" applyFont="1" applyBorder="1" applyAlignment="1" applyProtection="1">
      <alignment horizontal="left" vertical="center"/>
    </xf>
    <xf numFmtId="0" fontId="18" fillId="0" borderId="24" xfId="0" applyFont="1" applyBorder="1" applyAlignment="1" applyProtection="1">
      <alignment horizontal="left" vertical="center"/>
    </xf>
    <xf numFmtId="0" fontId="18" fillId="0" borderId="49" xfId="0" applyFont="1" applyBorder="1" applyAlignment="1" applyProtection="1">
      <alignment horizontal="left" vertical="center"/>
    </xf>
    <xf numFmtId="0" fontId="18" fillId="0" borderId="0" xfId="0" applyFont="1" applyBorder="1" applyAlignment="1" applyProtection="1">
      <alignment horizontal="justify" vertical="top" wrapText="1"/>
    </xf>
    <xf numFmtId="0" fontId="19" fillId="0" borderId="6" xfId="0" applyFont="1" applyBorder="1" applyAlignment="1" applyProtection="1">
      <alignment horizontal="left" vertical="center"/>
    </xf>
    <xf numFmtId="49" fontId="18" fillId="0" borderId="7" xfId="0" applyNumberFormat="1" applyFont="1" applyFill="1" applyBorder="1" applyAlignment="1" applyProtection="1">
      <alignment horizontal="left" vertical="center"/>
      <protection locked="0"/>
    </xf>
    <xf numFmtId="49" fontId="18" fillId="0" borderId="8" xfId="0" applyNumberFormat="1" applyFont="1" applyFill="1" applyBorder="1" applyAlignment="1" applyProtection="1">
      <alignment horizontal="left" vertical="center"/>
      <protection locked="0"/>
    </xf>
    <xf numFmtId="49" fontId="18" fillId="0" borderId="10" xfId="0" applyNumberFormat="1" applyFont="1" applyFill="1" applyBorder="1" applyAlignment="1" applyProtection="1">
      <alignment horizontal="left" vertical="center"/>
      <protection locked="0"/>
    </xf>
    <xf numFmtId="0" fontId="19" fillId="0" borderId="0" xfId="0" applyFont="1" applyBorder="1" applyAlignment="1" applyProtection="1">
      <alignment horizontal="left" vertical="center" wrapText="1"/>
    </xf>
    <xf numFmtId="0" fontId="18" fillId="0" borderId="7" xfId="0" applyFont="1" applyBorder="1" applyAlignment="1" applyProtection="1">
      <alignment horizontal="center" vertical="center"/>
    </xf>
    <xf numFmtId="0" fontId="18" fillId="0" borderId="8" xfId="0" applyFont="1" applyBorder="1" applyAlignment="1" applyProtection="1">
      <alignment horizontal="center" vertical="center"/>
    </xf>
    <xf numFmtId="0" fontId="18" fillId="0" borderId="7" xfId="0" applyFont="1" applyBorder="1" applyAlignment="1" applyProtection="1">
      <alignment horizontal="left" vertical="center"/>
    </xf>
    <xf numFmtId="0" fontId="18" fillId="0" borderId="8" xfId="0" applyFont="1" applyBorder="1" applyAlignment="1" applyProtection="1">
      <alignment horizontal="left" vertical="center"/>
    </xf>
    <xf numFmtId="0" fontId="18" fillId="0" borderId="10" xfId="0" applyFont="1" applyBorder="1" applyAlignment="1" applyProtection="1">
      <alignment horizontal="left" vertical="center"/>
    </xf>
    <xf numFmtId="0" fontId="18" fillId="0" borderId="6" xfId="0" applyFont="1" applyBorder="1" applyAlignment="1" applyProtection="1">
      <alignment horizontal="left" vertical="center"/>
    </xf>
    <xf numFmtId="0" fontId="22" fillId="3" borderId="24" xfId="19" applyFont="1" applyFill="1" applyBorder="1" applyAlignment="1" applyProtection="1">
      <alignment horizontal="left" vertical="center"/>
    </xf>
    <xf numFmtId="0" fontId="25" fillId="3" borderId="24" xfId="0" applyFont="1" applyFill="1" applyBorder="1" applyAlignment="1" applyProtection="1">
      <alignment vertical="center"/>
    </xf>
    <xf numFmtId="0" fontId="25" fillId="3" borderId="49" xfId="0" applyFont="1" applyFill="1" applyBorder="1" applyAlignment="1" applyProtection="1">
      <alignment vertical="center"/>
    </xf>
    <xf numFmtId="1" fontId="18" fillId="0" borderId="7" xfId="0" applyNumberFormat="1" applyFont="1" applyFill="1" applyBorder="1" applyAlignment="1" applyProtection="1">
      <alignment vertical="center"/>
      <protection locked="0"/>
    </xf>
    <xf numFmtId="1" fontId="18" fillId="0" borderId="10" xfId="0" applyNumberFormat="1" applyFont="1" applyFill="1" applyBorder="1" applyAlignment="1" applyProtection="1">
      <alignment vertical="center"/>
      <protection locked="0"/>
    </xf>
    <xf numFmtId="0" fontId="18" fillId="0" borderId="0" xfId="0" applyFont="1" applyBorder="1" applyAlignment="1" applyProtection="1">
      <alignment horizontal="justify" wrapText="1"/>
    </xf>
    <xf numFmtId="37" fontId="18" fillId="0" borderId="42" xfId="0" applyNumberFormat="1" applyFont="1" applyFill="1" applyBorder="1" applyAlignment="1" applyProtection="1">
      <alignment horizontal="left" vertical="center"/>
      <protection locked="0"/>
    </xf>
    <xf numFmtId="37" fontId="18" fillId="0" borderId="24" xfId="0" applyNumberFormat="1" applyFont="1" applyFill="1" applyBorder="1" applyAlignment="1" applyProtection="1">
      <alignment horizontal="left" vertical="center"/>
      <protection locked="0"/>
    </xf>
    <xf numFmtId="37" fontId="18" fillId="0" borderId="49" xfId="0" applyNumberFormat="1" applyFont="1" applyFill="1" applyBorder="1" applyAlignment="1" applyProtection="1">
      <alignment horizontal="left" vertical="center"/>
      <protection locked="0"/>
    </xf>
    <xf numFmtId="37" fontId="18" fillId="0" borderId="11" xfId="0" applyNumberFormat="1" applyFont="1" applyFill="1" applyBorder="1" applyAlignment="1" applyProtection="1">
      <alignment horizontal="left" vertical="center"/>
      <protection locked="0"/>
    </xf>
    <xf numFmtId="37" fontId="18" fillId="0" borderId="36" xfId="0" applyNumberFormat="1" applyFont="1" applyFill="1" applyBorder="1" applyAlignment="1" applyProtection="1">
      <alignment horizontal="left" vertical="center"/>
      <protection locked="0"/>
    </xf>
    <xf numFmtId="37" fontId="18" fillId="0" borderId="35" xfId="0" applyNumberFormat="1" applyFont="1" applyFill="1" applyBorder="1" applyAlignment="1" applyProtection="1">
      <alignment horizontal="left" vertical="center"/>
      <protection locked="0"/>
    </xf>
    <xf numFmtId="14" fontId="19" fillId="0" borderId="7" xfId="0" applyNumberFormat="1" applyFont="1" applyBorder="1" applyAlignment="1" applyProtection="1">
      <alignment horizontal="center" wrapText="1"/>
    </xf>
    <xf numFmtId="14" fontId="19" fillId="0" borderId="8" xfId="0" applyNumberFormat="1" applyFont="1" applyBorder="1" applyAlignment="1" applyProtection="1">
      <alignment horizontal="center" wrapText="1"/>
    </xf>
    <xf numFmtId="14" fontId="19" fillId="0" borderId="10" xfId="0" applyNumberFormat="1" applyFont="1" applyBorder="1" applyAlignment="1" applyProtection="1">
      <alignment horizontal="center" wrapText="1"/>
    </xf>
    <xf numFmtId="0" fontId="20" fillId="0" borderId="0" xfId="0" applyFont="1" applyBorder="1" applyAlignment="1" applyProtection="1">
      <alignment horizontal="left" wrapText="1"/>
    </xf>
    <xf numFmtId="173" fontId="19" fillId="0" borderId="19" xfId="27" applyFont="1" applyFill="1" applyBorder="1" applyAlignment="1" applyProtection="1">
      <alignment horizontal="right" vertical="center"/>
    </xf>
    <xf numFmtId="173" fontId="19" fillId="0" borderId="37" xfId="27" applyFont="1" applyFill="1" applyBorder="1" applyAlignment="1" applyProtection="1">
      <alignment horizontal="right" vertical="center"/>
    </xf>
    <xf numFmtId="173" fontId="19" fillId="0" borderId="20" xfId="27" applyFont="1" applyFill="1" applyBorder="1" applyAlignment="1" applyProtection="1">
      <alignment horizontal="right" vertical="center"/>
    </xf>
    <xf numFmtId="15" fontId="18" fillId="0" borderId="7" xfId="0" quotePrefix="1" applyNumberFormat="1" applyFont="1" applyFill="1" applyBorder="1" applyAlignment="1" applyProtection="1">
      <alignment horizontal="right" vertical="center"/>
      <protection locked="0"/>
    </xf>
    <xf numFmtId="15" fontId="18" fillId="0" borderId="8" xfId="0" quotePrefix="1" applyNumberFormat="1" applyFont="1" applyFill="1" applyBorder="1" applyAlignment="1" applyProtection="1">
      <alignment horizontal="right" vertical="center"/>
      <protection locked="0"/>
    </xf>
    <xf numFmtId="37" fontId="18" fillId="0" borderId="7" xfId="0" applyNumberFormat="1" applyFont="1" applyFill="1" applyBorder="1" applyAlignment="1" applyProtection="1">
      <alignment horizontal="right" vertical="center"/>
      <protection locked="0"/>
    </xf>
    <xf numFmtId="37" fontId="18" fillId="0" borderId="8" xfId="0" applyNumberFormat="1" applyFont="1" applyFill="1" applyBorder="1" applyAlignment="1" applyProtection="1">
      <alignment horizontal="right" vertical="center"/>
      <protection locked="0"/>
    </xf>
    <xf numFmtId="173" fontId="19" fillId="0" borderId="7" xfId="27" applyFont="1" applyFill="1" applyBorder="1" applyAlignment="1" applyProtection="1">
      <alignment horizontal="right" vertical="center"/>
    </xf>
    <xf numFmtId="173" fontId="19" fillId="0" borderId="8" xfId="27" applyFont="1" applyFill="1" applyBorder="1" applyAlignment="1" applyProtection="1">
      <alignment horizontal="right" vertical="center"/>
    </xf>
    <xf numFmtId="173" fontId="19" fillId="0" borderId="10" xfId="27" applyFont="1" applyFill="1" applyBorder="1" applyAlignment="1" applyProtection="1">
      <alignment horizontal="right" vertical="center"/>
    </xf>
    <xf numFmtId="0" fontId="18" fillId="0" borderId="0" xfId="0" applyFont="1" applyFill="1" applyAlignment="1" applyProtection="1">
      <alignment wrapText="1"/>
      <protection hidden="1"/>
    </xf>
    <xf numFmtId="0" fontId="18" fillId="0" borderId="0" xfId="0" applyNumberFormat="1" applyFont="1" applyFill="1" applyAlignment="1" applyProtection="1">
      <alignment horizontal="left" vertical="top" wrapText="1"/>
      <protection hidden="1"/>
    </xf>
    <xf numFmtId="0" fontId="18" fillId="0" borderId="0" xfId="0" applyNumberFormat="1" applyFont="1" applyBorder="1" applyAlignment="1" applyProtection="1">
      <alignment horizontal="left" vertical="justify" wrapText="1" readingOrder="1"/>
      <protection hidden="1"/>
    </xf>
    <xf numFmtId="0" fontId="19" fillId="0" borderId="0" xfId="0" applyNumberFormat="1" applyFont="1" applyBorder="1" applyAlignment="1" applyProtection="1">
      <alignment horizontal="left" vertical="justify" wrapText="1" readingOrder="1"/>
      <protection hidden="1"/>
    </xf>
    <xf numFmtId="0" fontId="18" fillId="0" borderId="0" xfId="0" applyNumberFormat="1" applyFont="1" applyFill="1" applyBorder="1" applyAlignment="1" applyProtection="1">
      <alignment horizontal="left" vertical="top" wrapText="1" readingOrder="1"/>
      <protection hidden="1"/>
    </xf>
    <xf numFmtId="0" fontId="18" fillId="0" borderId="0" xfId="0" applyNumberFormat="1" applyFont="1" applyFill="1" applyBorder="1" applyAlignment="1" applyProtection="1">
      <alignment horizontal="left" vertical="justify" wrapText="1" readingOrder="1"/>
      <protection hidden="1"/>
    </xf>
    <xf numFmtId="0" fontId="19" fillId="0" borderId="0" xfId="0" applyNumberFormat="1" applyFont="1" applyFill="1" applyAlignment="1" applyProtection="1">
      <alignment horizontal="justify"/>
      <protection hidden="1"/>
    </xf>
    <xf numFmtId="168" fontId="19" fillId="3" borderId="23" xfId="0" applyNumberFormat="1" applyFont="1" applyFill="1" applyBorder="1" applyAlignment="1" applyProtection="1">
      <alignment horizontal="center" vertical="center"/>
      <protection hidden="1"/>
    </xf>
    <xf numFmtId="168" fontId="19" fillId="3" borderId="2" xfId="0" applyNumberFormat="1" applyFont="1" applyFill="1" applyBorder="1" applyAlignment="1" applyProtection="1">
      <alignment horizontal="center" vertical="center"/>
      <protection hidden="1"/>
    </xf>
    <xf numFmtId="0" fontId="0" fillId="0" borderId="12" xfId="0" applyBorder="1" applyAlignment="1" applyProtection="1">
      <alignment vertical="center"/>
      <protection hidden="1"/>
    </xf>
    <xf numFmtId="0" fontId="19" fillId="3" borderId="37" xfId="0" applyNumberFormat="1" applyFont="1" applyFill="1" applyBorder="1" applyAlignment="1" applyProtection="1">
      <alignment horizontal="center"/>
      <protection hidden="1"/>
    </xf>
    <xf numFmtId="0" fontId="19" fillId="3" borderId="20" xfId="0" applyNumberFormat="1" applyFont="1" applyFill="1" applyBorder="1" applyAlignment="1" applyProtection="1">
      <alignment horizontal="center"/>
      <protection hidden="1"/>
    </xf>
    <xf numFmtId="168" fontId="19" fillId="3" borderId="19" xfId="0" applyNumberFormat="1" applyFont="1" applyFill="1" applyBorder="1" applyAlignment="1" applyProtection="1">
      <alignment horizontal="center"/>
      <protection hidden="1"/>
    </xf>
    <xf numFmtId="168" fontId="19" fillId="3" borderId="20" xfId="0" applyNumberFormat="1" applyFont="1" applyFill="1" applyBorder="1" applyAlignment="1" applyProtection="1">
      <alignment horizontal="center"/>
      <protection hidden="1"/>
    </xf>
    <xf numFmtId="0" fontId="20" fillId="0" borderId="0" xfId="0" applyFont="1" applyAlignment="1" applyProtection="1">
      <alignment horizontal="left" vertical="top" wrapText="1"/>
      <protection hidden="1"/>
    </xf>
    <xf numFmtId="180" fontId="18" fillId="5" borderId="7" xfId="4" applyNumberFormat="1" applyFont="1" applyFill="1" applyBorder="1" applyProtection="1"/>
    <xf numFmtId="180" fontId="18" fillId="5" borderId="8" xfId="4" applyNumberFormat="1" applyFont="1" applyFill="1" applyBorder="1" applyProtection="1"/>
    <xf numFmtId="180" fontId="18" fillId="5" borderId="10" xfId="4" applyNumberFormat="1" applyFont="1" applyFill="1" applyBorder="1" applyProtection="1"/>
    <xf numFmtId="0" fontId="20" fillId="5" borderId="36" xfId="0" applyFont="1" applyFill="1" applyBorder="1" applyAlignment="1" applyProtection="1">
      <alignment wrapText="1"/>
      <protection hidden="1"/>
    </xf>
    <xf numFmtId="0" fontId="20" fillId="5" borderId="0" xfId="0" applyFont="1" applyFill="1" applyBorder="1" applyAlignment="1" applyProtection="1">
      <alignment wrapText="1"/>
      <protection hidden="1"/>
    </xf>
    <xf numFmtId="0" fontId="20" fillId="0" borderId="0" xfId="0" applyFont="1" applyFill="1" applyAlignment="1" applyProtection="1">
      <alignment horizontal="left" vertical="top" wrapText="1"/>
      <protection hidden="1"/>
    </xf>
    <xf numFmtId="0" fontId="19" fillId="0" borderId="0" xfId="19" applyFont="1" applyFill="1" applyBorder="1" applyAlignment="1" applyProtection="1">
      <alignment horizontal="left" vertical="center"/>
      <protection hidden="1"/>
    </xf>
    <xf numFmtId="0" fontId="0" fillId="0" borderId="0" xfId="0" applyAlignment="1"/>
    <xf numFmtId="0" fontId="19" fillId="3" borderId="7" xfId="23" applyFont="1" applyFill="1" applyBorder="1" applyAlignment="1" applyProtection="1">
      <alignment horizontal="left" vertical="top"/>
    </xf>
    <xf numFmtId="0" fontId="19" fillId="3" borderId="10" xfId="23" applyFont="1" applyFill="1" applyBorder="1" applyAlignment="1" applyProtection="1">
      <alignment horizontal="left" vertical="top"/>
    </xf>
    <xf numFmtId="0" fontId="20" fillId="0" borderId="36" xfId="0" applyFont="1" applyBorder="1" applyAlignment="1" applyProtection="1">
      <alignment horizontal="justify" vertical="top" wrapText="1"/>
    </xf>
    <xf numFmtId="0" fontId="20" fillId="0" borderId="0" xfId="0" applyFont="1" applyBorder="1" applyAlignment="1" applyProtection="1">
      <alignment horizontal="justify" vertical="top" wrapText="1"/>
    </xf>
    <xf numFmtId="0" fontId="20" fillId="0" borderId="36" xfId="0" applyFont="1" applyBorder="1" applyAlignment="1" applyProtection="1">
      <alignment horizontal="left" vertical="top" wrapText="1"/>
    </xf>
    <xf numFmtId="0" fontId="20" fillId="0" borderId="0" xfId="0" applyFont="1" applyBorder="1" applyAlignment="1" applyProtection="1">
      <alignment horizontal="left" vertical="top" wrapText="1"/>
    </xf>
    <xf numFmtId="0" fontId="20" fillId="0" borderId="36" xfId="0" applyFont="1" applyBorder="1" applyAlignment="1" applyProtection="1">
      <alignment wrapText="1"/>
    </xf>
    <xf numFmtId="0" fontId="20" fillId="0" borderId="0" xfId="0" applyFont="1" applyBorder="1" applyAlignment="1" applyProtection="1">
      <alignment wrapText="1"/>
    </xf>
    <xf numFmtId="168" fontId="19" fillId="3" borderId="23" xfId="0" applyNumberFormat="1" applyFont="1" applyFill="1" applyBorder="1" applyAlignment="1" applyProtection="1">
      <alignment horizontal="center" vertical="center" wrapText="1"/>
    </xf>
    <xf numFmtId="168" fontId="19" fillId="3" borderId="12" xfId="0" applyNumberFormat="1" applyFont="1" applyFill="1" applyBorder="1" applyAlignment="1" applyProtection="1">
      <alignment horizontal="center" vertical="center" wrapText="1"/>
    </xf>
    <xf numFmtId="0" fontId="19" fillId="0" borderId="0" xfId="19" applyFont="1" applyFill="1" applyBorder="1" applyAlignment="1" applyProtection="1">
      <alignment horizontal="left" vertical="center"/>
    </xf>
    <xf numFmtId="0" fontId="0" fillId="0" borderId="0" xfId="0" applyAlignment="1" applyProtection="1"/>
    <xf numFmtId="0" fontId="20" fillId="0" borderId="0" xfId="23" applyFont="1" applyBorder="1" applyAlignment="1" applyProtection="1">
      <alignment wrapText="1"/>
    </xf>
    <xf numFmtId="0" fontId="37" fillId="0" borderId="0" xfId="23" applyFont="1" applyBorder="1" applyAlignment="1" applyProtection="1">
      <alignment wrapText="1"/>
    </xf>
    <xf numFmtId="0" fontId="20" fillId="0" borderId="0" xfId="23" applyFont="1" applyBorder="1" applyAlignment="1" applyProtection="1">
      <alignment horizontal="left" vertical="distributed"/>
    </xf>
    <xf numFmtId="0" fontId="20" fillId="0" borderId="0" xfId="23" applyFont="1" applyBorder="1" applyAlignment="1" applyProtection="1">
      <alignment horizontal="left" wrapText="1"/>
    </xf>
    <xf numFmtId="0" fontId="20" fillId="0" borderId="36" xfId="23" applyFont="1" applyBorder="1" applyAlignment="1" applyProtection="1">
      <alignment horizontal="left" wrapText="1"/>
    </xf>
    <xf numFmtId="0" fontId="0" fillId="0" borderId="0" xfId="0" applyAlignment="1" applyProtection="1">
      <alignment wrapText="1"/>
    </xf>
    <xf numFmtId="0" fontId="18" fillId="0" borderId="0" xfId="19" applyFont="1" applyFill="1" applyBorder="1" applyAlignment="1" applyProtection="1">
      <alignment horizontal="left" vertical="center" wrapText="1"/>
    </xf>
    <xf numFmtId="1" fontId="19" fillId="3" borderId="7" xfId="23" applyNumberFormat="1" applyFont="1" applyFill="1" applyBorder="1" applyAlignment="1" applyProtection="1">
      <alignment horizontal="left" vertical="distributed"/>
    </xf>
    <xf numFmtId="0" fontId="0" fillId="0" borderId="10" xfId="0" applyBorder="1" applyAlignment="1" applyProtection="1">
      <alignment horizontal="left" vertical="distributed"/>
    </xf>
    <xf numFmtId="0" fontId="19" fillId="3" borderId="37" xfId="0" applyFont="1" applyFill="1" applyBorder="1" applyAlignment="1" applyProtection="1">
      <alignment horizontal="center"/>
      <protection hidden="1"/>
    </xf>
    <xf numFmtId="0" fontId="0" fillId="0" borderId="37" xfId="0" applyBorder="1" applyAlignment="1">
      <alignment horizontal="center"/>
    </xf>
    <xf numFmtId="0" fontId="0" fillId="0" borderId="20" xfId="0" applyBorder="1" applyAlignment="1">
      <alignment horizontal="center"/>
    </xf>
    <xf numFmtId="168" fontId="19" fillId="3" borderId="3" xfId="0" applyNumberFormat="1" applyFont="1" applyFill="1" applyBorder="1" applyAlignment="1" applyProtection="1">
      <alignment horizontal="center"/>
      <protection hidden="1"/>
    </xf>
    <xf numFmtId="168" fontId="19" fillId="3" borderId="37" xfId="0" applyNumberFormat="1" applyFont="1" applyFill="1" applyBorder="1" applyAlignment="1" applyProtection="1">
      <alignment horizontal="center"/>
      <protection hidden="1"/>
    </xf>
    <xf numFmtId="3" fontId="18" fillId="0" borderId="7" xfId="24" applyNumberFormat="1" applyFont="1" applyFill="1" applyBorder="1" applyAlignment="1" applyProtection="1">
      <protection locked="0"/>
    </xf>
    <xf numFmtId="3" fontId="18" fillId="0" borderId="10" xfId="24" applyNumberFormat="1" applyFont="1" applyFill="1" applyBorder="1" applyAlignment="1" applyProtection="1">
      <protection locked="0"/>
    </xf>
    <xf numFmtId="178" fontId="20" fillId="0" borderId="0" xfId="0" applyNumberFormat="1" applyFont="1" applyFill="1" applyBorder="1" applyAlignment="1" applyProtection="1">
      <alignment horizontal="left" wrapText="1"/>
      <protection hidden="1"/>
    </xf>
    <xf numFmtId="0" fontId="18" fillId="0" borderId="7" xfId="0" applyFont="1" applyBorder="1" applyProtection="1">
      <protection hidden="1"/>
    </xf>
    <xf numFmtId="0" fontId="18" fillId="0" borderId="10" xfId="0" applyFont="1" applyBorder="1" applyProtection="1">
      <protection hidden="1"/>
    </xf>
    <xf numFmtId="0" fontId="18" fillId="0" borderId="7" xfId="0" applyFont="1" applyBorder="1" applyAlignment="1" applyProtection="1">
      <alignment vertical="top"/>
      <protection hidden="1"/>
    </xf>
    <xf numFmtId="0" fontId="0" fillId="0" borderId="10" xfId="0" applyBorder="1" applyAlignment="1">
      <alignment vertical="top"/>
    </xf>
    <xf numFmtId="0" fontId="19" fillId="3" borderId="19" xfId="0" applyFont="1" applyFill="1" applyBorder="1" applyAlignment="1" applyProtection="1">
      <alignment horizontal="center"/>
      <protection hidden="1"/>
    </xf>
    <xf numFmtId="3" fontId="19" fillId="3" borderId="7" xfId="0" applyNumberFormat="1" applyFont="1" applyFill="1" applyBorder="1" applyAlignment="1" applyProtection="1">
      <protection hidden="1"/>
    </xf>
    <xf numFmtId="0" fontId="19" fillId="3" borderId="10" xfId="0" applyFont="1" applyFill="1" applyBorder="1" applyAlignment="1" applyProtection="1">
      <protection hidden="1"/>
    </xf>
    <xf numFmtId="0" fontId="19" fillId="3" borderId="7" xfId="0" applyFont="1" applyFill="1" applyBorder="1" applyAlignment="1" applyProtection="1">
      <protection hidden="1"/>
    </xf>
    <xf numFmtId="0" fontId="0" fillId="0" borderId="10" xfId="0" applyBorder="1" applyAlignment="1"/>
    <xf numFmtId="3" fontId="19" fillId="3" borderId="10" xfId="0" applyNumberFormat="1" applyFont="1" applyFill="1" applyBorder="1" applyAlignment="1" applyProtection="1">
      <protection hidden="1"/>
    </xf>
    <xf numFmtId="0" fontId="19" fillId="3" borderId="43" xfId="0" applyFont="1" applyFill="1" applyBorder="1" applyProtection="1">
      <protection hidden="1"/>
    </xf>
    <xf numFmtId="0" fontId="19" fillId="3" borderId="44" xfId="0" applyFont="1" applyFill="1" applyBorder="1" applyProtection="1">
      <protection hidden="1"/>
    </xf>
    <xf numFmtId="0" fontId="19" fillId="3" borderId="50" xfId="0" applyFont="1" applyFill="1" applyBorder="1" applyProtection="1">
      <protection hidden="1"/>
    </xf>
    <xf numFmtId="0" fontId="0" fillId="0" borderId="0" xfId="0" applyAlignment="1">
      <alignment vertical="center"/>
    </xf>
    <xf numFmtId="0" fontId="20" fillId="0" borderId="0" xfId="0" applyFont="1" applyBorder="1" applyAlignment="1" applyProtection="1">
      <alignment wrapText="1"/>
      <protection hidden="1"/>
    </xf>
    <xf numFmtId="0" fontId="20" fillId="0" borderId="36" xfId="0" applyFont="1" applyFill="1" applyBorder="1" applyAlignment="1" applyProtection="1">
      <alignment wrapText="1"/>
      <protection hidden="1"/>
    </xf>
    <xf numFmtId="0" fontId="20" fillId="0" borderId="0" xfId="0" applyFont="1" applyFill="1" applyBorder="1" applyAlignment="1" applyProtection="1">
      <alignment wrapText="1"/>
      <protection hidden="1"/>
    </xf>
    <xf numFmtId="173" fontId="18" fillId="0" borderId="7" xfId="24" applyFont="1" applyFill="1" applyBorder="1" applyAlignment="1" applyProtection="1"/>
    <xf numFmtId="173" fontId="18" fillId="0" borderId="10" xfId="24" applyFont="1" applyFill="1" applyBorder="1" applyAlignment="1" applyProtection="1"/>
    <xf numFmtId="0" fontId="18" fillId="0" borderId="36" xfId="0" applyFont="1" applyBorder="1" applyAlignment="1" applyProtection="1">
      <alignment horizontal="left" wrapText="1"/>
      <protection hidden="1"/>
    </xf>
    <xf numFmtId="0" fontId="18" fillId="0" borderId="0" xfId="0" applyFont="1" applyAlignment="1" applyProtection="1">
      <alignment horizontal="left" wrapText="1"/>
      <protection hidden="1"/>
    </xf>
    <xf numFmtId="3" fontId="19" fillId="3" borderId="7" xfId="0" applyNumberFormat="1" applyFont="1" applyFill="1" applyBorder="1" applyAlignment="1" applyProtection="1"/>
    <xf numFmtId="0" fontId="0" fillId="0" borderId="10" xfId="0" applyBorder="1" applyAlignment="1" applyProtection="1"/>
    <xf numFmtId="173" fontId="18" fillId="0" borderId="7" xfId="24" applyFont="1" applyFill="1" applyBorder="1" applyAlignment="1" applyProtection="1">
      <protection locked="0"/>
    </xf>
    <xf numFmtId="173" fontId="18" fillId="0" borderId="10" xfId="24" applyFont="1" applyFill="1" applyBorder="1" applyAlignment="1" applyProtection="1">
      <protection locked="0"/>
    </xf>
    <xf numFmtId="0" fontId="18" fillId="0" borderId="0" xfId="0" applyFont="1" applyAlignment="1" applyProtection="1">
      <alignment wrapText="1"/>
      <protection hidden="1"/>
    </xf>
    <xf numFmtId="0" fontId="14" fillId="3" borderId="23" xfId="0" applyFont="1" applyFill="1" applyBorder="1" applyAlignment="1" applyProtection="1">
      <alignment horizontal="center" vertical="center" wrapText="1"/>
      <protection hidden="1"/>
    </xf>
    <xf numFmtId="0" fontId="0" fillId="0" borderId="2" xfId="0" applyBorder="1" applyAlignment="1">
      <alignment horizontal="center" vertical="center"/>
    </xf>
    <xf numFmtId="0" fontId="0" fillId="0" borderId="12" xfId="0" applyBorder="1" applyAlignment="1">
      <alignment horizontal="center" vertical="center"/>
    </xf>
    <xf numFmtId="0" fontId="18" fillId="0" borderId="0" xfId="0" applyFont="1" applyBorder="1" applyAlignment="1" applyProtection="1">
      <alignment horizontal="left" wrapText="1"/>
      <protection hidden="1"/>
    </xf>
    <xf numFmtId="0" fontId="19" fillId="0" borderId="36" xfId="0" applyFont="1" applyFill="1" applyBorder="1" applyAlignment="1" applyProtection="1">
      <alignment horizontal="left"/>
      <protection hidden="1"/>
    </xf>
    <xf numFmtId="173" fontId="18" fillId="0" borderId="52" xfId="24" applyFont="1" applyFill="1" applyBorder="1" applyAlignment="1" applyProtection="1">
      <alignment wrapText="1"/>
      <protection locked="0"/>
    </xf>
    <xf numFmtId="173" fontId="18" fillId="0" borderId="51" xfId="24" applyFont="1" applyFill="1" applyBorder="1" applyAlignment="1" applyProtection="1">
      <alignment wrapText="1"/>
      <protection locked="0"/>
    </xf>
    <xf numFmtId="0" fontId="0" fillId="0" borderId="51" xfId="0" applyBorder="1" applyAlignment="1">
      <alignment wrapText="1"/>
    </xf>
    <xf numFmtId="0" fontId="0" fillId="0" borderId="53" xfId="0" applyBorder="1" applyAlignment="1">
      <alignment wrapText="1"/>
    </xf>
    <xf numFmtId="0" fontId="0" fillId="0" borderId="27" xfId="0" applyBorder="1" applyAlignment="1">
      <alignment wrapText="1"/>
    </xf>
    <xf numFmtId="0" fontId="0" fillId="0" borderId="0" xfId="0" applyAlignment="1">
      <alignment wrapText="1"/>
    </xf>
    <xf numFmtId="0" fontId="0" fillId="0" borderId="30" xfId="0" applyBorder="1" applyAlignment="1">
      <alignment wrapText="1"/>
    </xf>
    <xf numFmtId="0" fontId="0" fillId="0" borderId="42" xfId="0" applyBorder="1" applyAlignment="1">
      <alignment wrapText="1"/>
    </xf>
    <xf numFmtId="0" fontId="0" fillId="0" borderId="24" xfId="0" applyBorder="1" applyAlignment="1">
      <alignment wrapText="1"/>
    </xf>
    <xf numFmtId="0" fontId="0" fillId="0" borderId="49" xfId="0" applyBorder="1" applyAlignment="1">
      <alignment wrapText="1"/>
    </xf>
    <xf numFmtId="0" fontId="19" fillId="3" borderId="19" xfId="0" applyFont="1" applyFill="1" applyBorder="1" applyAlignment="1" applyProtection="1">
      <alignment horizontal="center" vertical="top" wrapText="1"/>
      <protection hidden="1"/>
    </xf>
    <xf numFmtId="0" fontId="19" fillId="3" borderId="37" xfId="0" applyFont="1" applyFill="1" applyBorder="1" applyAlignment="1" applyProtection="1">
      <alignment horizontal="center" vertical="top" wrapText="1"/>
      <protection hidden="1"/>
    </xf>
    <xf numFmtId="0" fontId="19" fillId="3" borderId="20" xfId="0" applyFont="1" applyFill="1" applyBorder="1" applyAlignment="1" applyProtection="1">
      <alignment horizontal="center" vertical="top" wrapText="1"/>
      <protection hidden="1"/>
    </xf>
    <xf numFmtId="0" fontId="18" fillId="0" borderId="7" xfId="0" applyFont="1" applyBorder="1" applyAlignment="1" applyProtection="1">
      <alignment horizontal="left"/>
      <protection hidden="1"/>
    </xf>
    <xf numFmtId="0" fontId="19" fillId="0" borderId="0" xfId="0" applyFont="1" applyAlignment="1" applyProtection="1">
      <alignment wrapText="1"/>
      <protection hidden="1"/>
    </xf>
    <xf numFmtId="0" fontId="0" fillId="0" borderId="0" xfId="0" applyBorder="1" applyAlignment="1">
      <alignment wrapText="1"/>
    </xf>
    <xf numFmtId="0" fontId="14" fillId="3" borderId="23" xfId="0" applyFont="1" applyFill="1" applyBorder="1" applyAlignment="1" applyProtection="1">
      <alignment horizontal="center" vertical="top" wrapText="1"/>
      <protection hidden="1"/>
    </xf>
    <xf numFmtId="0" fontId="14" fillId="3" borderId="12" xfId="0" applyFont="1" applyFill="1" applyBorder="1" applyAlignment="1" applyProtection="1">
      <alignment horizontal="center" vertical="top" wrapText="1"/>
      <protection hidden="1"/>
    </xf>
    <xf numFmtId="0" fontId="19" fillId="3" borderId="31" xfId="0" applyFont="1" applyFill="1" applyBorder="1" applyAlignment="1" applyProtection="1">
      <alignment horizontal="center" vertical="top" wrapText="1"/>
      <protection hidden="1"/>
    </xf>
    <xf numFmtId="0" fontId="0" fillId="0" borderId="32" xfId="0" applyBorder="1" applyAlignment="1">
      <alignment horizontal="center"/>
    </xf>
    <xf numFmtId="0" fontId="19" fillId="3" borderId="33" xfId="0" applyFont="1" applyFill="1" applyBorder="1" applyAlignment="1" applyProtection="1">
      <alignment horizontal="center" vertical="top" wrapText="1"/>
      <protection hidden="1"/>
    </xf>
    <xf numFmtId="0" fontId="0" fillId="0" borderId="34" xfId="0" applyBorder="1" applyAlignment="1">
      <alignment horizontal="center"/>
    </xf>
    <xf numFmtId="0" fontId="14" fillId="3" borderId="2" xfId="0" applyFont="1" applyFill="1" applyBorder="1" applyAlignment="1" applyProtection="1">
      <alignment horizontal="center" vertical="center" wrapText="1"/>
      <protection hidden="1"/>
    </xf>
    <xf numFmtId="0" fontId="14" fillId="3" borderId="12" xfId="0" applyFont="1" applyFill="1" applyBorder="1" applyAlignment="1" applyProtection="1">
      <alignment horizontal="center" vertical="center" wrapText="1"/>
      <protection hidden="1"/>
    </xf>
    <xf numFmtId="3" fontId="19" fillId="3" borderId="10" xfId="0" applyNumberFormat="1" applyFont="1" applyFill="1" applyBorder="1" applyAlignment="1" applyProtection="1"/>
    <xf numFmtId="0" fontId="19" fillId="3" borderId="7" xfId="0" applyFont="1" applyFill="1" applyBorder="1" applyAlignment="1" applyProtection="1">
      <alignment horizontal="left"/>
      <protection hidden="1"/>
    </xf>
    <xf numFmtId="0" fontId="19" fillId="3" borderId="8" xfId="0" applyFont="1" applyFill="1" applyBorder="1" applyAlignment="1" applyProtection="1">
      <alignment horizontal="left"/>
      <protection hidden="1"/>
    </xf>
    <xf numFmtId="0" fontId="19" fillId="3" borderId="10" xfId="0" applyFont="1" applyFill="1" applyBorder="1" applyAlignment="1" applyProtection="1">
      <alignment horizontal="left"/>
      <protection hidden="1"/>
    </xf>
    <xf numFmtId="0" fontId="18" fillId="0" borderId="6" xfId="0" applyFont="1" applyBorder="1" applyAlignment="1" applyProtection="1">
      <alignment horizontal="left"/>
      <protection hidden="1"/>
    </xf>
    <xf numFmtId="0" fontId="19" fillId="3" borderId="6" xfId="0" applyFont="1" applyFill="1" applyBorder="1" applyAlignment="1" applyProtection="1">
      <alignment horizontal="left"/>
      <protection hidden="1"/>
    </xf>
    <xf numFmtId="0" fontId="18" fillId="0" borderId="9" xfId="0" applyFont="1" applyBorder="1" applyAlignment="1" applyProtection="1">
      <alignment horizontal="left"/>
      <protection hidden="1"/>
    </xf>
    <xf numFmtId="37" fontId="19" fillId="3" borderId="19" xfId="0" applyNumberFormat="1" applyFont="1" applyFill="1" applyBorder="1" applyAlignment="1" applyProtection="1">
      <alignment horizontal="left" vertical="center"/>
    </xf>
    <xf numFmtId="37" fontId="19" fillId="3" borderId="37" xfId="0" applyNumberFormat="1" applyFont="1" applyFill="1" applyBorder="1" applyAlignment="1" applyProtection="1">
      <alignment horizontal="left" vertical="center"/>
    </xf>
    <xf numFmtId="0" fontId="19" fillId="0" borderId="36" xfId="19" applyFont="1" applyFill="1" applyBorder="1" applyAlignment="1" applyProtection="1">
      <alignment horizontal="left" vertical="center" wrapText="1"/>
    </xf>
    <xf numFmtId="0" fontId="19" fillId="0" borderId="0" xfId="19" applyFont="1" applyFill="1" applyBorder="1" applyAlignment="1" applyProtection="1">
      <alignment horizontal="left" vertical="center" wrapText="1"/>
    </xf>
    <xf numFmtId="0" fontId="20" fillId="0" borderId="0" xfId="0" applyFont="1" applyFill="1" applyBorder="1" applyAlignment="1" applyProtection="1">
      <alignment horizontal="left" vertical="top" wrapText="1"/>
    </xf>
    <xf numFmtId="0" fontId="18" fillId="0" borderId="11" xfId="0" applyFont="1" applyBorder="1" applyAlignment="1" applyProtection="1">
      <alignment horizontal="left"/>
    </xf>
    <xf numFmtId="0" fontId="18" fillId="0" borderId="36" xfId="0" applyFont="1" applyBorder="1" applyAlignment="1" applyProtection="1">
      <alignment horizontal="left"/>
    </xf>
    <xf numFmtId="0" fontId="18" fillId="0" borderId="35" xfId="0" applyFont="1" applyBorder="1" applyAlignment="1" applyProtection="1">
      <alignment horizontal="left"/>
    </xf>
    <xf numFmtId="37" fontId="19" fillId="0" borderId="24" xfId="0" applyNumberFormat="1" applyFont="1" applyBorder="1" applyAlignment="1" applyProtection="1">
      <alignment horizontal="left"/>
    </xf>
    <xf numFmtId="0" fontId="18" fillId="0" borderId="7" xfId="0" applyFont="1" applyBorder="1" applyAlignment="1" applyProtection="1">
      <alignment horizontal="left"/>
    </xf>
    <xf numFmtId="0" fontId="18" fillId="0" borderId="10" xfId="0" applyFont="1" applyBorder="1" applyAlignment="1" applyProtection="1">
      <alignment horizontal="left"/>
    </xf>
    <xf numFmtId="0" fontId="19" fillId="3" borderId="7" xfId="0" applyFont="1" applyFill="1" applyBorder="1" applyAlignment="1" applyProtection="1">
      <alignment horizontal="left"/>
    </xf>
    <xf numFmtId="0" fontId="19" fillId="3" borderId="8" xfId="0" applyFont="1" applyFill="1" applyBorder="1" applyAlignment="1" applyProtection="1">
      <alignment horizontal="left"/>
    </xf>
    <xf numFmtId="0" fontId="19" fillId="3" borderId="10" xfId="0" applyFont="1" applyFill="1" applyBorder="1" applyAlignment="1" applyProtection="1">
      <alignment horizontal="left"/>
    </xf>
    <xf numFmtId="3" fontId="19" fillId="3" borderId="7" xfId="26" applyNumberFormat="1" applyFont="1" applyFill="1" applyBorder="1" applyAlignment="1" applyProtection="1">
      <alignment horizontal="left" vertical="top"/>
    </xf>
    <xf numFmtId="3" fontId="19" fillId="3" borderId="8" xfId="26" applyNumberFormat="1" applyFont="1" applyFill="1" applyBorder="1" applyAlignment="1" applyProtection="1">
      <alignment horizontal="left" vertical="top"/>
    </xf>
    <xf numFmtId="3" fontId="19" fillId="3" borderId="10" xfId="26" applyNumberFormat="1" applyFont="1" applyFill="1" applyBorder="1" applyAlignment="1" applyProtection="1">
      <alignment horizontal="left" vertical="top"/>
    </xf>
    <xf numFmtId="0" fontId="20" fillId="0" borderId="0" xfId="0" applyNumberFormat="1" applyFont="1" applyBorder="1" applyAlignment="1" applyProtection="1">
      <alignment horizontal="left" vertical="top" wrapText="1"/>
    </xf>
    <xf numFmtId="0" fontId="18" fillId="0" borderId="11" xfId="0" applyFont="1" applyBorder="1" applyAlignment="1" applyProtection="1">
      <alignment horizontal="left" vertical="distributed" wrapText="1"/>
    </xf>
    <xf numFmtId="0" fontId="1" fillId="0" borderId="35" xfId="0" applyFont="1" applyBorder="1" applyAlignment="1" applyProtection="1">
      <alignment horizontal="left" vertical="distributed" wrapText="1"/>
    </xf>
    <xf numFmtId="0" fontId="1" fillId="0" borderId="42" xfId="0" applyFont="1" applyBorder="1" applyAlignment="1" applyProtection="1">
      <alignment horizontal="left" vertical="distributed" wrapText="1"/>
    </xf>
    <xf numFmtId="0" fontId="1" fillId="0" borderId="49" xfId="0" applyFont="1" applyBorder="1" applyAlignment="1" applyProtection="1">
      <alignment horizontal="left" vertical="distributed" wrapText="1"/>
    </xf>
    <xf numFmtId="3" fontId="18" fillId="0" borderId="9" xfId="24" applyNumberFormat="1" applyFont="1" applyFill="1" applyBorder="1" applyAlignment="1" applyProtection="1">
      <alignment horizontal="right" vertical="top"/>
      <protection locked="0"/>
    </xf>
    <xf numFmtId="3" fontId="0" fillId="0" borderId="28" xfId="0" applyNumberFormat="1" applyBorder="1" applyAlignment="1" applyProtection="1">
      <alignment horizontal="right" vertical="top"/>
      <protection locked="0"/>
    </xf>
    <xf numFmtId="0" fontId="18" fillId="0" borderId="8" xfId="0" applyFont="1" applyBorder="1" applyAlignment="1" applyProtection="1">
      <alignment horizontal="left"/>
    </xf>
    <xf numFmtId="173" fontId="18" fillId="0" borderId="7" xfId="24" applyFont="1" applyFill="1" applyBorder="1" applyAlignment="1" applyProtection="1">
      <alignment horizontal="left"/>
      <protection locked="0"/>
    </xf>
    <xf numFmtId="0" fontId="0" fillId="0" borderId="8" xfId="0" applyBorder="1" applyAlignment="1" applyProtection="1">
      <alignment horizontal="left"/>
      <protection locked="0"/>
    </xf>
    <xf numFmtId="37" fontId="19" fillId="3" borderId="20" xfId="0" applyNumberFormat="1" applyFont="1" applyFill="1" applyBorder="1" applyAlignment="1" applyProtection="1">
      <alignment horizontal="left" vertical="center"/>
    </xf>
    <xf numFmtId="0" fontId="19" fillId="3" borderId="9" xfId="0" applyFont="1" applyFill="1" applyBorder="1" applyAlignment="1" applyProtection="1">
      <alignment horizontal="left" vertical="top" wrapText="1"/>
    </xf>
    <xf numFmtId="0" fontId="28" fillId="0" borderId="28" xfId="0" applyFont="1" applyBorder="1" applyAlignment="1" applyProtection="1">
      <alignment horizontal="left" vertical="top" wrapText="1"/>
    </xf>
    <xf numFmtId="0" fontId="0" fillId="0" borderId="35" xfId="0" applyBorder="1" applyAlignment="1" applyProtection="1">
      <alignment horizontal="left" vertical="distributed" wrapText="1"/>
    </xf>
    <xf numFmtId="0" fontId="0" fillId="0" borderId="42" xfId="0" applyBorder="1" applyAlignment="1" applyProtection="1">
      <alignment horizontal="left" vertical="distributed" wrapText="1"/>
    </xf>
    <xf numFmtId="0" fontId="0" fillId="0" borderId="49" xfId="0" applyBorder="1" applyAlignment="1" applyProtection="1">
      <alignment horizontal="left" vertical="distributed" wrapText="1"/>
    </xf>
    <xf numFmtId="0" fontId="19" fillId="0" borderId="27" xfId="0" applyFont="1" applyBorder="1" applyProtection="1"/>
    <xf numFmtId="0" fontId="19" fillId="0" borderId="0" xfId="0" applyFont="1" applyBorder="1" applyProtection="1"/>
    <xf numFmtId="0" fontId="19" fillId="0" borderId="0" xfId="0" applyFont="1" applyProtection="1"/>
    <xf numFmtId="0" fontId="19" fillId="3" borderId="23" xfId="0" applyFont="1" applyFill="1" applyBorder="1" applyAlignment="1" applyProtection="1">
      <alignment horizontal="center" vertical="top"/>
    </xf>
    <xf numFmtId="0" fontId="19" fillId="3" borderId="12" xfId="0" applyFont="1" applyFill="1" applyBorder="1" applyAlignment="1" applyProtection="1">
      <alignment horizontal="center" vertical="top"/>
    </xf>
    <xf numFmtId="3" fontId="19" fillId="3" borderId="19" xfId="0" applyNumberFormat="1" applyFont="1" applyFill="1" applyBorder="1" applyAlignment="1" applyProtection="1">
      <alignment horizontal="left" vertical="top" wrapText="1"/>
    </xf>
    <xf numFmtId="3" fontId="19" fillId="3" borderId="37" xfId="0" applyNumberFormat="1" applyFont="1" applyFill="1" applyBorder="1" applyAlignment="1" applyProtection="1">
      <alignment horizontal="left" vertical="top" wrapText="1"/>
    </xf>
    <xf numFmtId="3" fontId="18" fillId="9" borderId="7" xfId="24" applyNumberFormat="1" applyFont="1" applyFill="1" applyBorder="1" applyAlignment="1" applyProtection="1">
      <alignment horizontal="center" vertical="top"/>
      <protection locked="0"/>
    </xf>
    <xf numFmtId="3" fontId="18" fillId="9" borderId="8" xfId="24" applyNumberFormat="1" applyFont="1" applyFill="1" applyBorder="1" applyAlignment="1" applyProtection="1">
      <alignment horizontal="center" vertical="top"/>
      <protection locked="0"/>
    </xf>
    <xf numFmtId="0" fontId="19" fillId="3" borderId="7" xfId="0" applyFont="1" applyFill="1" applyBorder="1" applyAlignment="1" applyProtection="1">
      <alignment horizontal="left" vertical="top" wrapText="1"/>
    </xf>
    <xf numFmtId="0" fontId="19" fillId="3" borderId="8" xfId="0" applyFont="1" applyFill="1" applyBorder="1" applyAlignment="1" applyProtection="1">
      <alignment horizontal="left" vertical="top" wrapText="1"/>
    </xf>
    <xf numFmtId="0" fontId="19" fillId="3" borderId="10" xfId="0" applyFont="1" applyFill="1" applyBorder="1" applyAlignment="1" applyProtection="1">
      <alignment horizontal="left" vertical="top" wrapText="1"/>
    </xf>
    <xf numFmtId="37" fontId="18" fillId="0" borderId="0" xfId="0" applyNumberFormat="1" applyFont="1" applyBorder="1" applyAlignment="1" applyProtection="1">
      <protection hidden="1"/>
    </xf>
    <xf numFmtId="37" fontId="20" fillId="0" borderId="0" xfId="0" applyNumberFormat="1" applyFont="1" applyFill="1" applyBorder="1" applyAlignment="1" applyProtection="1">
      <alignment wrapText="1"/>
    </xf>
    <xf numFmtId="37" fontId="18" fillId="0" borderId="7" xfId="0" applyNumberFormat="1" applyFont="1" applyFill="1" applyBorder="1" applyProtection="1"/>
    <xf numFmtId="37" fontId="18" fillId="0" borderId="8" xfId="0" applyNumberFormat="1" applyFont="1" applyFill="1" applyBorder="1" applyProtection="1"/>
    <xf numFmtId="37" fontId="18" fillId="0" borderId="10" xfId="0" applyNumberFormat="1" applyFont="1" applyFill="1" applyBorder="1" applyProtection="1"/>
    <xf numFmtId="37" fontId="19" fillId="3" borderId="7" xfId="0" applyNumberFormat="1" applyFont="1" applyFill="1" applyBorder="1" applyProtection="1"/>
    <xf numFmtId="37" fontId="19" fillId="3" borderId="8" xfId="0" applyNumberFormat="1" applyFont="1" applyFill="1" applyBorder="1" applyProtection="1"/>
    <xf numFmtId="37" fontId="19" fillId="3" borderId="10" xfId="0" applyNumberFormat="1" applyFont="1" applyFill="1" applyBorder="1" applyProtection="1"/>
    <xf numFmtId="0" fontId="18" fillId="0" borderId="27" xfId="22" applyFont="1" applyBorder="1" applyAlignment="1" applyProtection="1">
      <alignment horizontal="center"/>
      <protection hidden="1"/>
    </xf>
    <xf numFmtId="0" fontId="18" fillId="3" borderId="9" xfId="18" applyFont="1" applyFill="1" applyBorder="1" applyAlignment="1" applyProtection="1">
      <alignment horizontal="center" vertical="center"/>
      <protection hidden="1"/>
    </xf>
    <xf numFmtId="0" fontId="18" fillId="3" borderId="29" xfId="18" applyFont="1" applyFill="1" applyBorder="1" applyAlignment="1" applyProtection="1">
      <alignment horizontal="center" vertical="center"/>
      <protection hidden="1"/>
    </xf>
    <xf numFmtId="0" fontId="18" fillId="3" borderId="28" xfId="18" applyFont="1" applyFill="1" applyBorder="1" applyAlignment="1" applyProtection="1">
      <alignment horizontal="center" vertical="center"/>
      <protection hidden="1"/>
    </xf>
    <xf numFmtId="0" fontId="18" fillId="0" borderId="6" xfId="22" applyFont="1" applyBorder="1" applyAlignment="1" applyProtection="1">
      <alignment vertical="center" wrapText="1"/>
      <protection hidden="1"/>
    </xf>
    <xf numFmtId="0" fontId="18" fillId="10" borderId="6" xfId="22" applyFont="1" applyFill="1" applyBorder="1" applyAlignment="1" applyProtection="1">
      <alignment vertical="center" wrapText="1"/>
      <protection hidden="1"/>
    </xf>
    <xf numFmtId="0" fontId="18" fillId="0" borderId="23" xfId="22" applyFont="1" applyFill="1" applyBorder="1" applyAlignment="1" applyProtection="1">
      <alignment horizontal="center" vertical="center" wrapText="1"/>
    </xf>
    <xf numFmtId="0" fontId="18" fillId="0" borderId="2" xfId="22" applyFont="1" applyFill="1" applyBorder="1" applyAlignment="1" applyProtection="1">
      <alignment horizontal="center" vertical="center" wrapText="1"/>
    </xf>
    <xf numFmtId="0" fontId="18" fillId="0" borderId="12" xfId="22" applyFont="1" applyFill="1" applyBorder="1" applyAlignment="1" applyProtection="1">
      <alignment horizontal="center" vertical="center" wrapText="1"/>
    </xf>
    <xf numFmtId="0" fontId="18" fillId="0" borderId="3" xfId="22" applyFont="1" applyFill="1" applyBorder="1" applyAlignment="1" applyProtection="1">
      <alignment horizontal="center" vertical="center" wrapText="1"/>
    </xf>
    <xf numFmtId="0" fontId="18" fillId="3" borderId="19" xfId="22" applyFont="1" applyFill="1" applyBorder="1" applyAlignment="1" applyProtection="1">
      <alignment horizontal="center"/>
    </xf>
    <xf numFmtId="0" fontId="18" fillId="3" borderId="37" xfId="22" applyFont="1" applyFill="1" applyBorder="1" applyAlignment="1" applyProtection="1">
      <alignment horizontal="center"/>
    </xf>
    <xf numFmtId="0" fontId="18" fillId="3" borderId="20" xfId="22" applyFont="1" applyFill="1" applyBorder="1" applyAlignment="1" applyProtection="1">
      <alignment horizontal="center"/>
    </xf>
    <xf numFmtId="0" fontId="15" fillId="0" borderId="3" xfId="22" applyFont="1" applyBorder="1" applyAlignment="1" applyProtection="1">
      <alignment horizontal="center"/>
    </xf>
    <xf numFmtId="0" fontId="18" fillId="5" borderId="6" xfId="22" applyFont="1" applyFill="1" applyBorder="1" applyAlignment="1" applyProtection="1">
      <alignment vertical="center" wrapText="1"/>
      <protection hidden="1"/>
    </xf>
    <xf numFmtId="0" fontId="18" fillId="0" borderId="9" xfId="22" applyFont="1" applyBorder="1" applyAlignment="1" applyProtection="1">
      <alignment vertical="center" wrapText="1"/>
      <protection hidden="1"/>
    </xf>
    <xf numFmtId="0" fontId="18" fillId="0" borderId="29" xfId="22" applyFont="1" applyBorder="1" applyAlignment="1" applyProtection="1">
      <alignment vertical="center" wrapText="1"/>
      <protection hidden="1"/>
    </xf>
    <xf numFmtId="0" fontId="18" fillId="0" borderId="28" xfId="22" applyFont="1" applyBorder="1" applyAlignment="1" applyProtection="1">
      <alignment vertical="center" wrapText="1"/>
      <protection hidden="1"/>
    </xf>
    <xf numFmtId="0" fontId="18" fillId="0" borderId="29" xfId="0" applyFont="1" applyBorder="1" applyAlignment="1" applyProtection="1">
      <alignment vertical="center" wrapText="1"/>
      <protection hidden="1"/>
    </xf>
    <xf numFmtId="0" fontId="18" fillId="0" borderId="28" xfId="0" applyFont="1" applyBorder="1" applyAlignment="1" applyProtection="1">
      <alignment vertical="center" wrapText="1"/>
      <protection hidden="1"/>
    </xf>
    <xf numFmtId="0" fontId="18" fillId="3" borderId="9" xfId="22" applyFont="1" applyFill="1" applyBorder="1" applyAlignment="1" applyProtection="1">
      <alignment horizontal="center" vertical="center"/>
      <protection hidden="1"/>
    </xf>
    <xf numFmtId="0" fontId="18" fillId="3" borderId="29" xfId="22" applyFont="1" applyFill="1" applyBorder="1" applyAlignment="1" applyProtection="1">
      <alignment horizontal="center" vertical="center"/>
      <protection hidden="1"/>
    </xf>
    <xf numFmtId="0" fontId="18" fillId="3" borderId="28" xfId="22" applyFont="1" applyFill="1" applyBorder="1" applyAlignment="1" applyProtection="1">
      <alignment horizontal="center" vertical="center"/>
      <protection hidden="1"/>
    </xf>
    <xf numFmtId="0" fontId="18" fillId="0" borderId="9" xfId="22" applyFont="1" applyFill="1" applyBorder="1" applyAlignment="1" applyProtection="1">
      <alignment vertical="center" wrapText="1"/>
      <protection hidden="1"/>
    </xf>
    <xf numFmtId="0" fontId="18" fillId="0" borderId="29" xfId="0" applyFont="1" applyFill="1" applyBorder="1" applyAlignment="1" applyProtection="1">
      <alignment vertical="center" wrapText="1"/>
      <protection hidden="1"/>
    </xf>
    <xf numFmtId="0" fontId="18" fillId="0" borderId="28" xfId="0" applyFont="1" applyFill="1" applyBorder="1" applyAlignment="1" applyProtection="1">
      <alignment vertical="center" wrapText="1"/>
      <protection hidden="1"/>
    </xf>
    <xf numFmtId="0" fontId="15" fillId="0" borderId="23" xfId="22" applyFont="1" applyBorder="1" applyProtection="1"/>
    <xf numFmtId="0" fontId="15" fillId="0" borderId="2" xfId="22" applyFont="1" applyBorder="1" applyProtection="1"/>
    <xf numFmtId="0" fontId="15" fillId="0" borderId="12" xfId="22" applyFont="1" applyBorder="1" applyProtection="1"/>
    <xf numFmtId="0" fontId="15" fillId="0" borderId="23" xfId="22" applyFont="1" applyBorder="1" applyAlignment="1" applyProtection="1">
      <alignment horizontal="center"/>
    </xf>
    <xf numFmtId="0" fontId="15" fillId="0" borderId="2" xfId="22" applyFont="1" applyBorder="1" applyAlignment="1" applyProtection="1">
      <alignment horizontal="center"/>
    </xf>
    <xf numFmtId="0" fontId="15" fillId="0" borderId="12" xfId="22" applyFont="1" applyBorder="1" applyAlignment="1" applyProtection="1">
      <alignment horizontal="center"/>
    </xf>
    <xf numFmtId="0" fontId="19" fillId="3" borderId="20" xfId="0" applyFont="1" applyFill="1" applyBorder="1" applyAlignment="1" applyProtection="1">
      <alignment horizontal="center"/>
      <protection hidden="1"/>
    </xf>
    <xf numFmtId="0" fontId="19" fillId="0" borderId="0" xfId="0" applyFont="1" applyBorder="1" applyAlignment="1" applyProtection="1">
      <alignment horizontal="left" vertical="center" wrapText="1"/>
      <protection hidden="1"/>
    </xf>
    <xf numFmtId="0" fontId="18" fillId="0" borderId="0" xfId="0" applyFont="1" applyBorder="1" applyAlignment="1" applyProtection="1">
      <alignment horizontal="left" vertical="top" wrapText="1"/>
      <protection hidden="1"/>
    </xf>
    <xf numFmtId="0" fontId="18" fillId="0" borderId="0" xfId="0" applyFont="1" applyAlignment="1" applyProtection="1">
      <alignment horizontal="left" vertical="top" wrapText="1"/>
      <protection hidden="1"/>
    </xf>
    <xf numFmtId="0" fontId="18" fillId="0" borderId="0" xfId="0" applyFont="1" applyBorder="1" applyAlignment="1" applyProtection="1">
      <alignment horizontal="justify" vertical="top" wrapText="1"/>
      <protection hidden="1"/>
    </xf>
    <xf numFmtId="0" fontId="18" fillId="0" borderId="0" xfId="0" applyFont="1" applyBorder="1" applyAlignment="1" applyProtection="1">
      <alignment horizontal="justify" wrapText="1"/>
      <protection hidden="1"/>
    </xf>
    <xf numFmtId="0" fontId="19" fillId="0" borderId="0" xfId="0" applyNumberFormat="1" applyFont="1" applyBorder="1" applyAlignment="1" applyProtection="1">
      <alignment horizontal="left" vertical="top" wrapText="1"/>
      <protection hidden="1"/>
    </xf>
    <xf numFmtId="0" fontId="18" fillId="0" borderId="0" xfId="0" applyNumberFormat="1" applyFont="1" applyAlignment="1" applyProtection="1">
      <alignment horizontal="left" vertical="top" wrapText="1"/>
      <protection hidden="1"/>
    </xf>
    <xf numFmtId="0" fontId="15" fillId="0" borderId="0" xfId="0" applyFont="1" applyAlignment="1" applyProtection="1">
      <alignment horizontal="left" vertical="top" wrapText="1"/>
      <protection hidden="1"/>
    </xf>
    <xf numFmtId="0" fontId="18" fillId="0" borderId="0" xfId="0" applyNumberFormat="1" applyFont="1" applyAlignment="1" applyProtection="1">
      <alignment horizontal="left" wrapText="1"/>
      <protection hidden="1"/>
    </xf>
    <xf numFmtId="0" fontId="20" fillId="0" borderId="0" xfId="0" applyFont="1" applyAlignment="1" applyProtection="1">
      <alignment wrapText="1"/>
      <protection hidden="1"/>
    </xf>
    <xf numFmtId="0" fontId="20" fillId="0" borderId="0" xfId="0" applyFont="1" applyFill="1" applyBorder="1" applyAlignment="1" applyProtection="1">
      <alignment horizontal="left" vertical="center" wrapText="1"/>
    </xf>
    <xf numFmtId="0" fontId="18" fillId="0" borderId="7" xfId="0" applyFont="1" applyBorder="1" applyAlignment="1" applyProtection="1"/>
    <xf numFmtId="37" fontId="19" fillId="3" borderId="31" xfId="0" applyNumberFormat="1" applyFont="1" applyFill="1" applyBorder="1" applyAlignment="1" applyProtection="1">
      <alignment horizontal="center" vertical="center" wrapText="1"/>
    </xf>
    <xf numFmtId="0" fontId="18" fillId="3" borderId="32" xfId="0" applyFont="1" applyFill="1" applyBorder="1" applyAlignment="1" applyProtection="1">
      <alignment horizontal="center" vertical="center" wrapText="1"/>
    </xf>
    <xf numFmtId="37" fontId="19" fillId="3" borderId="51" xfId="0" applyNumberFormat="1" applyFont="1" applyFill="1" applyBorder="1" applyAlignment="1" applyProtection="1">
      <alignment horizontal="center" vertical="center" wrapText="1"/>
    </xf>
    <xf numFmtId="37" fontId="19" fillId="3" borderId="31" xfId="0" applyNumberFormat="1" applyFont="1" applyFill="1" applyBorder="1" applyAlignment="1" applyProtection="1">
      <alignment horizontal="center" vertical="center"/>
    </xf>
    <xf numFmtId="37" fontId="19" fillId="3" borderId="51" xfId="0" applyNumberFormat="1" applyFont="1" applyFill="1" applyBorder="1" applyAlignment="1" applyProtection="1">
      <alignment horizontal="center" vertical="center"/>
    </xf>
    <xf numFmtId="37" fontId="19" fillId="3" borderId="32" xfId="0" applyNumberFormat="1" applyFont="1" applyFill="1" applyBorder="1" applyAlignment="1" applyProtection="1">
      <alignment horizontal="center" vertical="center"/>
    </xf>
    <xf numFmtId="37" fontId="19" fillId="3" borderId="33" xfId="0" applyNumberFormat="1" applyFont="1" applyFill="1" applyBorder="1" applyAlignment="1" applyProtection="1">
      <alignment horizontal="center" vertical="center"/>
    </xf>
    <xf numFmtId="37" fontId="19" fillId="3" borderId="26" xfId="0" applyNumberFormat="1" applyFont="1" applyFill="1" applyBorder="1" applyAlignment="1" applyProtection="1">
      <alignment horizontal="center" vertical="center"/>
    </xf>
    <xf numFmtId="37" fontId="19" fillId="3" borderId="34" xfId="0" applyNumberFormat="1" applyFont="1" applyFill="1" applyBorder="1" applyAlignment="1" applyProtection="1">
      <alignment horizontal="center" vertical="center"/>
    </xf>
    <xf numFmtId="0" fontId="18" fillId="0" borderId="7" xfId="0" applyNumberFormat="1" applyFont="1" applyFill="1" applyBorder="1" applyAlignment="1" applyProtection="1">
      <alignment horizontal="left"/>
    </xf>
    <xf numFmtId="0" fontId="18" fillId="0" borderId="8" xfId="0" applyNumberFormat="1" applyFont="1" applyFill="1" applyBorder="1" applyAlignment="1" applyProtection="1">
      <alignment horizontal="left"/>
    </xf>
    <xf numFmtId="0" fontId="18" fillId="0" borderId="35" xfId="0" applyNumberFormat="1" applyFont="1" applyFill="1" applyBorder="1" applyAlignment="1" applyProtection="1">
      <alignment horizontal="left"/>
    </xf>
    <xf numFmtId="37" fontId="19" fillId="0" borderId="0" xfId="0" applyNumberFormat="1" applyFont="1" applyAlignment="1" applyProtection="1">
      <alignment vertical="top" wrapText="1"/>
    </xf>
    <xf numFmtId="0" fontId="15" fillId="0" borderId="0" xfId="0" applyFont="1" applyAlignment="1" applyProtection="1">
      <alignment vertical="top" wrapText="1"/>
    </xf>
    <xf numFmtId="0" fontId="15" fillId="0" borderId="24" xfId="0" applyFont="1" applyBorder="1" applyAlignment="1" applyProtection="1">
      <alignment vertical="top" wrapText="1"/>
    </xf>
    <xf numFmtId="37" fontId="19" fillId="0" borderId="39" xfId="0" applyNumberFormat="1" applyFont="1" applyBorder="1" applyAlignment="1" applyProtection="1">
      <alignment horizontal="left" vertical="top" wrapText="1"/>
    </xf>
    <xf numFmtId="0" fontId="15" fillId="0" borderId="39" xfId="0" applyFont="1" applyBorder="1" applyAlignment="1" applyProtection="1">
      <alignment horizontal="left" vertical="top" wrapText="1"/>
    </xf>
    <xf numFmtId="37" fontId="19" fillId="0" borderId="0" xfId="0" applyNumberFormat="1" applyFont="1" applyAlignment="1" applyProtection="1">
      <alignment horizontal="left" vertical="top" wrapText="1"/>
    </xf>
    <xf numFmtId="0" fontId="15" fillId="0" borderId="0" xfId="0" applyFont="1" applyAlignment="1" applyProtection="1">
      <alignment horizontal="left" vertical="top" wrapText="1"/>
    </xf>
    <xf numFmtId="0" fontId="19" fillId="0" borderId="39" xfId="0" applyFont="1" applyBorder="1" applyAlignment="1" applyProtection="1">
      <alignment vertical="top" wrapText="1"/>
    </xf>
    <xf numFmtId="0" fontId="15" fillId="0" borderId="39" xfId="0" applyFont="1" applyBorder="1" applyAlignment="1" applyProtection="1">
      <alignment vertical="top" wrapText="1"/>
    </xf>
    <xf numFmtId="0" fontId="19" fillId="0" borderId="0" xfId="0" applyFont="1" applyAlignment="1" applyProtection="1">
      <alignment horizontal="left" vertical="top" wrapText="1"/>
    </xf>
    <xf numFmtId="173" fontId="20" fillId="0" borderId="6" xfId="24" applyFont="1" applyFill="1" applyBorder="1" applyAlignment="1" applyProtection="1">
      <alignment horizontal="right"/>
    </xf>
    <xf numFmtId="173" fontId="20" fillId="0" borderId="6" xfId="24" applyFont="1" applyFill="1" applyBorder="1" applyAlignment="1" applyProtection="1"/>
    <xf numFmtId="3" fontId="19" fillId="3" borderId="19" xfId="0" applyNumberFormat="1" applyFont="1" applyFill="1" applyBorder="1" applyAlignment="1" applyProtection="1">
      <alignment horizontal="center" vertical="center" wrapText="1"/>
    </xf>
    <xf numFmtId="0" fontId="18" fillId="3" borderId="37" xfId="0" applyFont="1" applyFill="1" applyBorder="1" applyAlignment="1" applyProtection="1">
      <alignment horizontal="center" vertical="center" wrapText="1"/>
    </xf>
    <xf numFmtId="0" fontId="18" fillId="3" borderId="20" xfId="0" applyFont="1" applyFill="1" applyBorder="1" applyAlignment="1" applyProtection="1">
      <alignment horizontal="center" vertical="center" wrapText="1"/>
    </xf>
    <xf numFmtId="3" fontId="19" fillId="3" borderId="37" xfId="0" applyNumberFormat="1" applyFont="1" applyFill="1" applyBorder="1" applyAlignment="1" applyProtection="1">
      <alignment horizontal="center" vertical="center" wrapText="1"/>
    </xf>
    <xf numFmtId="3" fontId="19" fillId="3" borderId="20" xfId="0" applyNumberFormat="1" applyFont="1" applyFill="1" applyBorder="1" applyAlignment="1" applyProtection="1">
      <alignment horizontal="center" vertical="center" wrapText="1"/>
    </xf>
    <xf numFmtId="0" fontId="18" fillId="0" borderId="0" xfId="0" applyFont="1" applyBorder="1" applyAlignment="1" applyProtection="1">
      <alignment horizontal="center"/>
    </xf>
    <xf numFmtId="0" fontId="18" fillId="0" borderId="0" xfId="0" applyFont="1" applyBorder="1" applyAlignment="1" applyProtection="1"/>
    <xf numFmtId="3" fontId="14" fillId="3" borderId="19" xfId="0" applyNumberFormat="1" applyFont="1" applyFill="1" applyBorder="1" applyAlignment="1" applyProtection="1">
      <alignment horizontal="center" vertical="center" wrapText="1"/>
    </xf>
    <xf numFmtId="3" fontId="14" fillId="3" borderId="37" xfId="0" applyNumberFormat="1" applyFont="1" applyFill="1" applyBorder="1" applyAlignment="1" applyProtection="1">
      <alignment horizontal="center" vertical="center" wrapText="1"/>
    </xf>
    <xf numFmtId="3" fontId="14" fillId="3" borderId="20" xfId="0" applyNumberFormat="1" applyFont="1" applyFill="1" applyBorder="1" applyAlignment="1" applyProtection="1">
      <alignment horizontal="center" vertical="center" wrapText="1"/>
    </xf>
    <xf numFmtId="0" fontId="20" fillId="3" borderId="37" xfId="0" applyFont="1" applyFill="1" applyBorder="1" applyAlignment="1" applyProtection="1">
      <alignment horizontal="center" vertical="center" wrapText="1"/>
    </xf>
    <xf numFmtId="0" fontId="20" fillId="3" borderId="20" xfId="0" applyFont="1" applyFill="1" applyBorder="1" applyAlignment="1" applyProtection="1">
      <alignment horizontal="center" vertical="center" wrapText="1"/>
    </xf>
  </cellXfs>
  <cellStyles count="33">
    <cellStyle name="Custom - Opmaakprofiel8" xfId="1"/>
    <cellStyle name="Data   - Opmaakprofiel2" xfId="2"/>
    <cellStyle name="Hyperlink" xfId="3" builtinId="8"/>
    <cellStyle name="Komma" xfId="4" builtinId="3"/>
    <cellStyle name="Labels - Opmaakprofiel3" xfId="5"/>
    <cellStyle name="Normal - Opmaakprofiel1" xfId="6"/>
    <cellStyle name="Normal - Opmaakprofiel2" xfId="7"/>
    <cellStyle name="Normal - Opmaakprofiel3" xfId="8"/>
    <cellStyle name="Normal - Opmaakprofiel4" xfId="9"/>
    <cellStyle name="Normal - Opmaakprofiel5" xfId="10"/>
    <cellStyle name="Normal - Opmaakprofiel6" xfId="11"/>
    <cellStyle name="Normal - Opmaakprofiel7" xfId="12"/>
    <cellStyle name="Normal - Opmaakprofiel8" xfId="13"/>
    <cellStyle name="Procent" xfId="14" builtinId="5"/>
    <cellStyle name="Reset  - Opmaakprofiel7" xfId="15"/>
    <cellStyle name="Standaard" xfId="0" builtinId="0"/>
    <cellStyle name="Standaard_010-020 Productieafspraken 2010 voorlopige nacalculatie 2009" xfId="16"/>
    <cellStyle name="Standaard_020 Nacalculatie 2007 in de maak" xfId="17"/>
    <cellStyle name="Standaard_APZ Nacalculatie1998" xfId="18"/>
    <cellStyle name="Standaard_Concept nac 2004 ent II" xfId="19"/>
    <cellStyle name="Standaard_Map1" xfId="20"/>
    <cellStyle name="Standaard_Map1_1" xfId="21"/>
    <cellStyle name="Standaard_Nacalculatieformulier 2002" xfId="22"/>
    <cellStyle name="Standaard_productieafsprakenformulier 2007 categoraal epilepsie radiotherapeutische centra versie 16-1" xfId="23"/>
    <cellStyle name="Tabelstandaard" xfId="24"/>
    <cellStyle name="Tabelstandaard financieel" xfId="25"/>
    <cellStyle name="Tabelstandaard negatief" xfId="26"/>
    <cellStyle name="Tabelstandaard Totaal" xfId="27"/>
    <cellStyle name="Tabelstandaard Totaal Negatief" xfId="28"/>
    <cellStyle name="Table  - Opmaakprofiel6" xfId="29"/>
    <cellStyle name="Title  - Opmaakprofiel1" xfId="30"/>
    <cellStyle name="TotCol - Opmaakprofiel5" xfId="31"/>
    <cellStyle name="TotRow - Opmaakprofiel4" xfId="32"/>
  </cellStyles>
  <dxfs count="128">
    <dxf>
      <font>
        <condense val="0"/>
        <extend val="0"/>
        <color indexed="9"/>
      </font>
      <fill>
        <patternFill>
          <bgColor indexed="10"/>
        </patternFill>
      </fill>
    </dxf>
    <dxf>
      <fill>
        <patternFill>
          <bgColor indexed="47"/>
        </patternFill>
      </fill>
    </dxf>
    <dxf>
      <font>
        <condense val="0"/>
        <extend val="0"/>
        <color indexed="9"/>
      </font>
      <fill>
        <patternFill>
          <bgColor indexed="10"/>
        </patternFill>
      </fill>
    </dxf>
    <dxf>
      <fill>
        <patternFill>
          <bgColor indexed="47"/>
        </patternFill>
      </fill>
    </dxf>
    <dxf>
      <font>
        <condense val="0"/>
        <extend val="0"/>
        <color indexed="9"/>
      </font>
      <fill>
        <patternFill patternType="none">
          <bgColor indexed="65"/>
        </patternFill>
      </fill>
      <border>
        <left/>
        <right/>
        <top/>
        <bottom/>
      </border>
    </dxf>
    <dxf>
      <fill>
        <patternFill>
          <bgColor indexed="47"/>
        </patternFill>
      </fill>
    </dxf>
    <dxf>
      <font>
        <condense val="0"/>
        <extend val="0"/>
        <color indexed="9"/>
      </font>
      <fill>
        <patternFill>
          <bgColor indexed="10"/>
        </patternFill>
      </fill>
    </dxf>
    <dxf>
      <font>
        <condense val="0"/>
        <extend val="0"/>
        <color auto="1"/>
      </font>
    </dxf>
    <dxf>
      <fill>
        <patternFill>
          <bgColor indexed="47"/>
        </patternFill>
      </fill>
    </dxf>
    <dxf>
      <font>
        <condense val="0"/>
        <extend val="0"/>
        <color indexed="9"/>
      </font>
      <fill>
        <patternFill>
          <bgColor indexed="10"/>
        </patternFill>
      </fill>
    </dxf>
    <dxf>
      <fill>
        <patternFill>
          <bgColor indexed="47"/>
        </patternFill>
      </fill>
    </dxf>
    <dxf>
      <fill>
        <patternFill>
          <bgColor indexed="47"/>
        </patternFill>
      </fill>
    </dxf>
    <dxf>
      <font>
        <condense val="0"/>
        <extend val="0"/>
        <color indexed="9"/>
      </font>
      <fill>
        <patternFill>
          <bgColor indexed="10"/>
        </patternFill>
      </fill>
    </dxf>
    <dxf>
      <fill>
        <patternFill>
          <bgColor indexed="47"/>
        </patternFill>
      </fill>
    </dxf>
    <dxf>
      <fill>
        <patternFill>
          <bgColor indexed="47"/>
        </patternFill>
      </fill>
    </dxf>
    <dxf>
      <font>
        <condense val="0"/>
        <extend val="0"/>
        <color indexed="9"/>
      </font>
      <fill>
        <patternFill>
          <bgColor indexed="10"/>
        </patternFill>
      </fill>
    </dxf>
    <dxf>
      <fill>
        <patternFill>
          <bgColor indexed="47"/>
        </patternFill>
      </fill>
    </dxf>
    <dxf>
      <fill>
        <patternFill>
          <bgColor indexed="47"/>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ill>
        <patternFill>
          <bgColor indexed="47"/>
        </patternFill>
      </fill>
    </dxf>
    <dxf>
      <font>
        <condense val="0"/>
        <extend val="0"/>
        <color indexed="9"/>
      </font>
    </dxf>
    <dxf>
      <font>
        <condense val="0"/>
        <extend val="0"/>
        <color indexed="9"/>
      </font>
      <fill>
        <patternFill>
          <bgColor indexed="10"/>
        </patternFill>
      </fill>
    </dxf>
    <dxf>
      <font>
        <condense val="0"/>
        <extend val="0"/>
        <color indexed="9"/>
      </font>
      <fill>
        <patternFill>
          <bgColor indexed="10"/>
        </patternFill>
      </fill>
    </dxf>
    <dxf>
      <fill>
        <patternFill>
          <bgColor indexed="47"/>
        </patternFill>
      </fill>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fill>
        <patternFill>
          <bgColor indexed="9"/>
        </patternFill>
      </fill>
    </dxf>
    <dxf>
      <font>
        <condense val="0"/>
        <extend val="0"/>
        <color indexed="43"/>
      </font>
    </dxf>
    <dxf>
      <font>
        <condense val="0"/>
        <extend val="0"/>
        <color indexed="43"/>
      </font>
    </dxf>
    <dxf>
      <fill>
        <patternFill>
          <bgColor indexed="47"/>
        </patternFill>
      </fill>
    </dxf>
    <dxf>
      <font>
        <condense val="0"/>
        <extend val="0"/>
        <color indexed="9"/>
      </font>
      <fill>
        <patternFill>
          <bgColor indexed="10"/>
        </patternFill>
      </fill>
    </dxf>
    <dxf>
      <fill>
        <patternFill>
          <bgColor indexed="47"/>
        </patternFill>
      </fill>
    </dxf>
    <dxf>
      <font>
        <b/>
        <i val="0"/>
        <u val="none"/>
        <color theme="0"/>
      </font>
      <fill>
        <patternFill patternType="solid">
          <bgColor rgb="FFFF0000"/>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ont>
        <condense val="0"/>
        <extend val="0"/>
        <color indexed="9"/>
      </font>
      <fill>
        <patternFill>
          <bgColor indexed="10"/>
        </patternFill>
      </fill>
    </dxf>
    <dxf>
      <fill>
        <patternFill>
          <bgColor indexed="47"/>
        </patternFill>
      </fill>
    </dxf>
    <dxf>
      <font>
        <condense val="0"/>
        <extend val="0"/>
        <color indexed="43"/>
      </font>
    </dxf>
    <dxf>
      <font>
        <condense val="0"/>
        <extend val="0"/>
        <color indexed="9"/>
      </font>
      <fill>
        <patternFill>
          <bgColor indexed="10"/>
        </patternFill>
      </fill>
    </dxf>
    <dxf>
      <font>
        <condense val="0"/>
        <extend val="0"/>
        <color indexed="9"/>
      </font>
      <fill>
        <patternFill>
          <bgColor indexed="10"/>
        </patternFill>
      </fill>
    </dxf>
    <dxf>
      <fill>
        <patternFill>
          <bgColor indexed="47"/>
        </patternFill>
      </fill>
    </dxf>
    <dxf>
      <font>
        <condense val="0"/>
        <extend val="0"/>
        <color indexed="43"/>
      </font>
      <fill>
        <patternFill>
          <bgColor indexed="9"/>
        </patternFill>
      </fill>
    </dxf>
    <dxf>
      <font>
        <condense val="0"/>
        <extend val="0"/>
        <color indexed="43"/>
      </font>
    </dxf>
    <dxf>
      <font>
        <condense val="0"/>
        <extend val="0"/>
        <color indexed="43"/>
      </font>
    </dxf>
    <dxf>
      <font>
        <condense val="0"/>
        <extend val="0"/>
        <color indexed="43"/>
      </font>
    </dxf>
    <dxf>
      <font>
        <condense val="0"/>
        <extend val="0"/>
        <color indexed="43"/>
      </font>
      <fill>
        <patternFill>
          <bgColor indexed="9"/>
        </patternFill>
      </fill>
    </dxf>
    <dxf>
      <font>
        <condense val="0"/>
        <extend val="0"/>
        <color indexed="43"/>
      </font>
      <fill>
        <patternFill>
          <bgColor indexed="9"/>
        </patternFill>
      </fill>
    </dxf>
    <dxf>
      <fill>
        <patternFill>
          <bgColor indexed="47"/>
        </patternFill>
      </fill>
    </dxf>
    <dxf>
      <fill>
        <patternFill>
          <bgColor indexed="47"/>
        </patternFill>
      </fill>
    </dxf>
    <dxf>
      <font>
        <condense val="0"/>
        <extend val="0"/>
        <color indexed="43"/>
      </font>
      <fill>
        <patternFill>
          <bgColor indexed="9"/>
        </patternFill>
      </fill>
    </dxf>
    <dxf>
      <font>
        <condense val="0"/>
        <extend val="0"/>
        <color indexed="43"/>
      </font>
    </dxf>
    <dxf>
      <font>
        <condense val="0"/>
        <extend val="0"/>
        <color indexed="43"/>
      </font>
    </dxf>
    <dxf>
      <font>
        <condense val="0"/>
        <extend val="0"/>
        <color indexed="43"/>
      </font>
    </dxf>
    <dxf>
      <fill>
        <patternFill>
          <bgColor indexed="47"/>
        </patternFill>
      </fill>
    </dxf>
    <dxf>
      <font>
        <condense val="0"/>
        <extend val="0"/>
        <color indexed="43"/>
      </font>
    </dxf>
    <dxf>
      <font>
        <condense val="0"/>
        <extend val="0"/>
        <color indexed="43"/>
      </font>
    </dxf>
    <dxf>
      <fill>
        <patternFill>
          <bgColor indexed="47"/>
        </patternFill>
      </fill>
    </dxf>
    <dxf>
      <font>
        <condense val="0"/>
        <extend val="0"/>
        <color indexed="43"/>
      </font>
    </dxf>
    <dxf>
      <font>
        <condense val="0"/>
        <extend val="0"/>
        <color indexed="43"/>
      </font>
    </dxf>
    <dxf>
      <font>
        <condense val="0"/>
        <extend val="0"/>
        <color indexed="43"/>
      </font>
    </dxf>
    <dxf>
      <font>
        <condense val="0"/>
        <extend val="0"/>
        <color indexed="43"/>
      </font>
      <fill>
        <patternFill>
          <bgColor indexed="9"/>
        </patternFill>
      </fill>
    </dxf>
    <dxf>
      <font>
        <condense val="0"/>
        <extend val="0"/>
        <color indexed="43"/>
      </font>
      <fill>
        <patternFill>
          <bgColor indexed="9"/>
        </patternFill>
      </fill>
    </dxf>
    <dxf>
      <font>
        <condense val="0"/>
        <extend val="0"/>
        <color indexed="43"/>
      </font>
    </dxf>
    <dxf>
      <font>
        <condense val="0"/>
        <extend val="0"/>
        <color indexed="43"/>
      </font>
    </dxf>
    <dxf>
      <fill>
        <patternFill>
          <bgColor indexed="47"/>
        </patternFill>
      </fill>
    </dxf>
    <dxf>
      <font>
        <condense val="0"/>
        <extend val="0"/>
        <color indexed="43"/>
      </font>
    </dxf>
    <dxf>
      <font>
        <condense val="0"/>
        <extend val="0"/>
        <color indexed="43"/>
      </font>
      <fill>
        <patternFill>
          <bgColor indexed="9"/>
        </patternFill>
      </fill>
    </dxf>
    <dxf>
      <font>
        <condense val="0"/>
        <extend val="0"/>
        <color indexed="43"/>
      </font>
      <fill>
        <patternFill>
          <bgColor indexed="9"/>
        </patternFill>
      </fill>
    </dxf>
    <dxf>
      <font>
        <condense val="0"/>
        <extend val="0"/>
        <color indexed="43"/>
      </font>
    </dxf>
    <dxf>
      <font>
        <condense val="0"/>
        <extend val="0"/>
        <color indexed="43"/>
      </font>
    </dxf>
    <dxf>
      <fill>
        <patternFill>
          <bgColor indexed="47"/>
        </patternFill>
      </fill>
    </dxf>
    <dxf>
      <font>
        <condense val="0"/>
        <extend val="0"/>
        <color indexed="43"/>
      </font>
    </dxf>
    <dxf>
      <fill>
        <patternFill>
          <bgColor indexed="47"/>
        </patternFill>
      </fill>
    </dxf>
    <dxf>
      <font>
        <condense val="0"/>
        <extend val="0"/>
        <color indexed="43"/>
      </font>
    </dxf>
    <dxf>
      <font>
        <condense val="0"/>
        <extend val="0"/>
        <color indexed="43"/>
      </font>
      <fill>
        <patternFill>
          <bgColor indexed="9"/>
        </patternFill>
      </fill>
    </dxf>
    <dxf>
      <font>
        <condense val="0"/>
        <extend val="0"/>
        <color indexed="43"/>
      </font>
    </dxf>
    <dxf>
      <font>
        <condense val="0"/>
        <extend val="0"/>
        <color indexed="43"/>
      </font>
    </dxf>
    <dxf>
      <font>
        <condense val="0"/>
        <extend val="0"/>
        <color indexed="43"/>
      </font>
    </dxf>
    <dxf>
      <fill>
        <patternFill>
          <bgColor indexed="47"/>
        </patternFill>
      </fill>
    </dxf>
    <dxf>
      <font>
        <condense val="0"/>
        <extend val="0"/>
        <color indexed="43"/>
      </font>
    </dxf>
    <dxf>
      <fill>
        <patternFill>
          <bgColor indexed="47"/>
        </patternFill>
      </fill>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ill>
        <patternFill>
          <bgColor indexed="47"/>
        </patternFill>
      </fill>
    </dxf>
    <dxf>
      <fill>
        <patternFill>
          <bgColor indexed="47"/>
        </patternFill>
      </fill>
    </dxf>
    <dxf>
      <font>
        <condense val="0"/>
        <extend val="0"/>
        <color indexed="43"/>
      </font>
    </dxf>
    <dxf>
      <font>
        <condense val="0"/>
        <extend val="0"/>
        <color indexed="43"/>
      </font>
      <fill>
        <patternFill>
          <bgColor indexed="9"/>
        </patternFill>
      </fill>
    </dxf>
    <dxf>
      <font>
        <condense val="0"/>
        <extend val="0"/>
        <color indexed="9"/>
      </font>
      <fill>
        <patternFill>
          <bgColor indexed="10"/>
        </patternFill>
      </fill>
    </dxf>
    <dxf>
      <font>
        <condense val="0"/>
        <extend val="0"/>
        <color indexed="43"/>
      </font>
      <fill>
        <patternFill>
          <bgColor indexed="9"/>
        </patternFill>
      </fill>
    </dxf>
    <dxf>
      <font>
        <condense val="0"/>
        <extend val="0"/>
        <color indexed="43"/>
      </font>
      <fill>
        <patternFill>
          <bgColor indexed="9"/>
        </patternFill>
      </fill>
    </dxf>
    <dxf>
      <font>
        <condense val="0"/>
        <extend val="0"/>
        <color indexed="9"/>
      </font>
      <fill>
        <patternFill>
          <bgColor indexed="10"/>
        </patternFill>
      </fill>
    </dxf>
    <dxf>
      <font>
        <condense val="0"/>
        <extend val="0"/>
        <color indexed="43"/>
      </font>
      <fill>
        <patternFill>
          <bgColor indexed="9"/>
        </patternFill>
      </fill>
    </dxf>
    <dxf>
      <font>
        <condense val="0"/>
        <extend val="0"/>
        <color indexed="43"/>
      </font>
    </dxf>
    <dxf>
      <font>
        <condense val="0"/>
        <extend val="0"/>
        <color indexed="43"/>
      </font>
      <fill>
        <patternFill>
          <bgColor indexed="9"/>
        </patternFill>
      </fill>
    </dxf>
    <dxf>
      <fill>
        <patternFill>
          <bgColor indexed="47"/>
        </patternFill>
      </fill>
    </dxf>
    <dxf>
      <font>
        <condense val="0"/>
        <extend val="0"/>
        <color indexed="43"/>
      </font>
    </dxf>
    <dxf>
      <fill>
        <patternFill>
          <bgColor indexed="47"/>
        </patternFill>
      </fill>
    </dxf>
    <dxf>
      <fill>
        <patternFill>
          <bgColor indexed="47"/>
        </patternFill>
      </fill>
    </dxf>
    <dxf>
      <font>
        <condense val="0"/>
        <extend val="0"/>
        <color indexed="43"/>
      </font>
    </dxf>
    <dxf>
      <font>
        <b/>
        <i val="0"/>
        <condense val="0"/>
        <extend val="0"/>
        <color indexed="10"/>
      </font>
    </dxf>
    <dxf>
      <font>
        <b/>
        <i val="0"/>
        <condense val="0"/>
        <extend val="0"/>
        <color indexed="10"/>
      </font>
    </dxf>
    <dxf>
      <font>
        <b val="0"/>
        <i val="0"/>
        <strike val="0"/>
        <condense val="0"/>
        <extend val="0"/>
        <color indexed="43"/>
      </font>
    </dxf>
    <dxf>
      <font>
        <strike val="0"/>
        <condense val="0"/>
        <extend val="0"/>
        <color indexed="43"/>
      </font>
    </dxf>
    <dxf>
      <fill>
        <patternFill>
          <bgColor indexed="47"/>
        </patternFill>
      </fill>
    </dxf>
    <dxf>
      <font>
        <condense val="0"/>
        <extend val="0"/>
        <color indexed="9"/>
      </font>
      <fill>
        <patternFill>
          <bgColor indexed="10"/>
        </patternFill>
      </fill>
    </dxf>
    <dxf>
      <font>
        <condense val="0"/>
        <extend val="0"/>
        <color indexed="43"/>
      </font>
      <fill>
        <patternFill>
          <bgColor indexed="9"/>
        </patternFill>
      </fill>
    </dxf>
    <dxf>
      <font>
        <condense val="0"/>
        <extend val="0"/>
        <color indexed="43"/>
      </font>
      <fill>
        <patternFill>
          <bgColor indexed="9"/>
        </patternFill>
      </fill>
    </dxf>
    <dxf>
      <font>
        <condense val="0"/>
        <extend val="0"/>
        <color indexed="43"/>
      </font>
    </dxf>
    <dxf>
      <fill>
        <patternFill>
          <bgColor indexed="47"/>
        </patternFill>
      </fill>
    </dxf>
    <dxf>
      <font>
        <condense val="0"/>
        <extend val="0"/>
        <color indexed="9"/>
      </font>
      <fill>
        <patternFill>
          <bgColor indexed="10"/>
        </patternFill>
      </fill>
    </dxf>
    <dxf>
      <fill>
        <patternFill>
          <bgColor indexed="47"/>
        </patternFill>
      </fill>
    </dxf>
    <dxf>
      <fill>
        <patternFill>
          <bgColor indexed="47"/>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E2DCD3"/>
      <rgbColor rgb="0099CCFF"/>
      <rgbColor rgb="00FF99CC"/>
      <rgbColor rgb="00CC99FF"/>
      <rgbColor rgb="00D7DCEF"/>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trlProps/ctrlProp1.xml><?xml version="1.0" encoding="utf-8"?>
<formControlPr xmlns="http://schemas.microsoft.com/office/spreadsheetml/2009/9/main" objectType="CheckBox" checked="Checked" fmlaLink="$D$27"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Radio" firstButton="1" lockText="1"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firstButton="1"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CheckBox" checked="Checked" fmlaLink="$D$24" lockText="1" noThreeD="1"/>
</file>

<file path=xl/ctrlProps/ctrlProp129.xml><?xml version="1.0" encoding="utf-8"?>
<formControlPr xmlns="http://schemas.microsoft.com/office/spreadsheetml/2009/9/main" objectType="CheckBox" checked="Checked" fmlaLink="$D$24"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firstButton="1"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firstButton="1"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checked="Checked" fmlaLink="$D$27" lockText="1" noThreeD="1"/>
</file>

<file path=xl/ctrlProps/ctrlProp20.xml><?xml version="1.0" encoding="utf-8"?>
<formControlPr xmlns="http://schemas.microsoft.com/office/spreadsheetml/2009/9/main" objectType="Radio" firstButton="1"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firstButton="1"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firstButton="1"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firstButton="1" lockText="1" noThreeD="1"/>
</file>

<file path=xl/ctrlProps/ctrlProp3.xml><?xml version="1.0" encoding="utf-8"?>
<formControlPr xmlns="http://schemas.microsoft.com/office/spreadsheetml/2009/9/main" objectType="Radio" firstButton="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firstButton="1"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firstButton="1"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firstButton="1"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firstButton="1"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firstButton="1"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firstButton="1"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firstButton="1"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firstButton="1"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firstButton="1"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firstButton="1"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firstButton="1"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firstButton="1"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firstButton="1"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firstButton="1"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firstButton="1" lockText="1" noThreeD="1"/>
</file>

<file path=xl/ctrlProps/ctrlProp90.xml><?xml version="1.0" encoding="utf-8"?>
<formControlPr xmlns="http://schemas.microsoft.com/office/spreadsheetml/2009/9/main" objectType="Radio" firstButton="1"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firstButton="1"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wmf"/></Relationships>
</file>

<file path=xl/drawings/_rels/drawing11.xml.rels><?xml version="1.0" encoding="UTF-8" standalone="yes"?>
<Relationships xmlns="http://schemas.openxmlformats.org/package/2006/relationships"><Relationship Id="rId2" Type="http://schemas.openxmlformats.org/officeDocument/2006/relationships/image" Target="file:///X:\Algemeen\Clipart\Ctg\LogoKop.eps" TargetMode="External"/><Relationship Id="rId1" Type="http://schemas.openxmlformats.org/officeDocument/2006/relationships/image" Target="../media/image5.wmf"/></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wmf"/></Relationships>
</file>

<file path=xl/drawings/_rels/drawing3.xml.rels><?xml version="1.0" encoding="UTF-8" standalone="yes"?>
<Relationships xmlns="http://schemas.openxmlformats.org/package/2006/relationships"><Relationship Id="rId1" Type="http://schemas.openxmlformats.org/officeDocument/2006/relationships/image" Target="../media/image3.w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457200</xdr:colOff>
          <xdr:row>24</xdr:row>
          <xdr:rowOff>133350</xdr:rowOff>
        </xdr:from>
        <xdr:to>
          <xdr:col>3</xdr:col>
          <xdr:colOff>228600</xdr:colOff>
          <xdr:row>26</xdr:row>
          <xdr:rowOff>28575</xdr:rowOff>
        </xdr:to>
        <xdr:sp macro="" textlink="">
          <xdr:nvSpPr>
            <xdr:cNvPr id="55305" name="Check Box 9" hidden="1">
              <a:extLst>
                <a:ext uri="{63B3BB69-23CF-44E3-9099-C40C66FF867C}">
                  <a14:compatExt spid="_x0000_s553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457200</xdr:colOff>
          <xdr:row>24</xdr:row>
          <xdr:rowOff>133350</xdr:rowOff>
        </xdr:from>
        <xdr:to>
          <xdr:col>3</xdr:col>
          <xdr:colOff>228600</xdr:colOff>
          <xdr:row>26</xdr:row>
          <xdr:rowOff>28575</xdr:rowOff>
        </xdr:to>
        <xdr:sp macro="" textlink="">
          <xdr:nvSpPr>
            <xdr:cNvPr id="55327" name="Check Box 31" hidden="1">
              <a:extLst>
                <a:ext uri="{63B3BB69-23CF-44E3-9099-C40C66FF867C}">
                  <a14:compatExt spid="_x0000_s55327"/>
                </a:ext>
              </a:extLst>
            </xdr:cNvPr>
            <xdr:cNvSpPr/>
          </xdr:nvSpPr>
          <xdr:spPr>
            <a:xfrm>
              <a:off x="0" y="0"/>
              <a:ext cx="0" cy="0"/>
            </a:xfrm>
            <a:prstGeom prst="rect">
              <a:avLst/>
            </a:prstGeom>
          </xdr:spPr>
        </xdr:sp>
        <xdr:clientData fLocksWithSheet="0"/>
      </xdr:twoCellAnchor>
    </mc:Choice>
    <mc:Fallback/>
  </mc:AlternateContent>
  <xdr:twoCellAnchor>
    <xdr:from>
      <xdr:col>11</xdr:col>
      <xdr:colOff>247650</xdr:colOff>
      <xdr:row>2</xdr:row>
      <xdr:rowOff>0</xdr:rowOff>
    </xdr:from>
    <xdr:to>
      <xdr:col>14</xdr:col>
      <xdr:colOff>200025</xdr:colOff>
      <xdr:row>6</xdr:row>
      <xdr:rowOff>133350</xdr:rowOff>
    </xdr:to>
    <xdr:pic>
      <xdr:nvPicPr>
        <xdr:cNvPr id="55459" name="Picture 44" descr="01 nza logo pms 100mm PMS 463 [bas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9500" y="419100"/>
          <a:ext cx="18097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grpSp>
      <xdr:nvGrpSpPr>
        <xdr:cNvPr id="103337" name="Group 1"/>
        <xdr:cNvGrpSpPr>
          <a:grpSpLocks/>
        </xdr:cNvGrpSpPr>
      </xdr:nvGrpSpPr>
      <xdr:grpSpPr bwMode="auto">
        <a:xfrm>
          <a:off x="9391650" y="0"/>
          <a:ext cx="0" cy="0"/>
          <a:chOff x="769" y="35"/>
          <a:chExt cx="110" cy="41"/>
        </a:xfrm>
      </xdr:grpSpPr>
      <xdr:sp macro="" textlink="">
        <xdr:nvSpPr>
          <xdr:cNvPr id="103353" name="Rectangle 2"/>
          <xdr:cNvSpPr>
            <a:spLocks noChangeArrowheads="1"/>
          </xdr:cNvSpPr>
        </xdr:nvSpPr>
        <xdr:spPr bwMode="auto">
          <a:xfrm>
            <a:off x="790" y="55"/>
            <a:ext cx="89" cy="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03354" name="Rectangle 3"/>
          <xdr:cNvSpPr>
            <a:spLocks noChangeArrowheads="1"/>
          </xdr:cNvSpPr>
        </xdr:nvSpPr>
        <xdr:spPr bwMode="auto">
          <a:xfrm>
            <a:off x="769" y="47"/>
            <a:ext cx="21" cy="1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FFFFFF" mc:Ignorable="a14" a14:legacySpreadsheetColorIndex="9"/>
                </a:solidFill>
                <a:miter lim="800000"/>
                <a:headEnd/>
                <a:tailEnd/>
              </a14:hiddenLine>
            </a:ext>
          </a:extLst>
        </xdr:spPr>
      </xdr:sp>
      <xdr:pic>
        <xdr:nvPicPr>
          <xdr:cNvPr id="103355" name="Picture 4" descr="BriefVervol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 y="35"/>
            <a:ext cx="83" cy="39"/>
          </a:xfrm>
          <a:prstGeom prst="rect">
            <a:avLst/>
          </a:prstGeom>
          <a:noFill/>
          <a:ln>
            <a:noFill/>
          </a:ln>
          <a:extLst>
            <a:ext uri="{909E8E84-426E-40DD-AFC4-6F175D3DCCD1}">
              <a14:hiddenFill xmlns:a14="http://schemas.microsoft.com/office/drawing/2010/main">
                <a:solidFill>
                  <a:srgbClr val="FFFFFF">
                    <a:alpha val="50195"/>
                  </a:srgbClr>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3356" name="Rectangle 5"/>
          <xdr:cNvSpPr>
            <a:spLocks noChangeArrowheads="1"/>
          </xdr:cNvSpPr>
        </xdr:nvSpPr>
        <xdr:spPr bwMode="auto">
          <a:xfrm>
            <a:off x="834" y="35"/>
            <a:ext cx="39" cy="1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FFFF" mc:Ignorable="a14" a14:legacySpreadsheetColorIndex="9"/>
            </a:solidFill>
            <a:miter lim="800000"/>
            <a:headEnd/>
            <a:tailEnd/>
          </a:ln>
        </xdr:spPr>
      </xdr:sp>
    </xdr:grpSp>
    <xdr:clientData/>
  </xdr:twoCellAnchor>
  <xdr:twoCellAnchor>
    <xdr:from>
      <xdr:col>7</xdr:col>
      <xdr:colOff>0</xdr:colOff>
      <xdr:row>0</xdr:row>
      <xdr:rowOff>0</xdr:rowOff>
    </xdr:from>
    <xdr:to>
      <xdr:col>7</xdr:col>
      <xdr:colOff>0</xdr:colOff>
      <xdr:row>0</xdr:row>
      <xdr:rowOff>0</xdr:rowOff>
    </xdr:to>
    <xdr:grpSp>
      <xdr:nvGrpSpPr>
        <xdr:cNvPr id="103338" name="Group 6"/>
        <xdr:cNvGrpSpPr>
          <a:grpSpLocks/>
        </xdr:cNvGrpSpPr>
      </xdr:nvGrpSpPr>
      <xdr:grpSpPr bwMode="auto">
        <a:xfrm>
          <a:off x="9391650" y="0"/>
          <a:ext cx="0" cy="0"/>
          <a:chOff x="769" y="35"/>
          <a:chExt cx="110" cy="41"/>
        </a:xfrm>
      </xdr:grpSpPr>
      <xdr:sp macro="" textlink="">
        <xdr:nvSpPr>
          <xdr:cNvPr id="103349" name="Rectangle 7"/>
          <xdr:cNvSpPr>
            <a:spLocks noChangeArrowheads="1"/>
          </xdr:cNvSpPr>
        </xdr:nvSpPr>
        <xdr:spPr bwMode="auto">
          <a:xfrm>
            <a:off x="790" y="55"/>
            <a:ext cx="89" cy="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03350" name="Rectangle 8"/>
          <xdr:cNvSpPr>
            <a:spLocks noChangeArrowheads="1"/>
          </xdr:cNvSpPr>
        </xdr:nvSpPr>
        <xdr:spPr bwMode="auto">
          <a:xfrm>
            <a:off x="769" y="47"/>
            <a:ext cx="21" cy="1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FFFFFF" mc:Ignorable="a14" a14:legacySpreadsheetColorIndex="9"/>
                </a:solidFill>
                <a:miter lim="800000"/>
                <a:headEnd/>
                <a:tailEnd/>
              </a14:hiddenLine>
            </a:ext>
          </a:extLst>
        </xdr:spPr>
      </xdr:sp>
      <xdr:pic>
        <xdr:nvPicPr>
          <xdr:cNvPr id="103351" name="Picture 9" descr="BriefVervol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 y="35"/>
            <a:ext cx="83" cy="39"/>
          </a:xfrm>
          <a:prstGeom prst="rect">
            <a:avLst/>
          </a:prstGeom>
          <a:noFill/>
          <a:ln>
            <a:noFill/>
          </a:ln>
          <a:extLst>
            <a:ext uri="{909E8E84-426E-40DD-AFC4-6F175D3DCCD1}">
              <a14:hiddenFill xmlns:a14="http://schemas.microsoft.com/office/drawing/2010/main">
                <a:solidFill>
                  <a:srgbClr val="FFFFFF">
                    <a:alpha val="50195"/>
                  </a:srgbClr>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3352" name="Rectangle 10"/>
          <xdr:cNvSpPr>
            <a:spLocks noChangeArrowheads="1"/>
          </xdr:cNvSpPr>
        </xdr:nvSpPr>
        <xdr:spPr bwMode="auto">
          <a:xfrm>
            <a:off x="834" y="35"/>
            <a:ext cx="39" cy="1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FFFF" mc:Ignorable="a14" a14:legacySpreadsheetColorIndex="9"/>
            </a:solidFill>
            <a:miter lim="800000"/>
            <a:headEnd/>
            <a:tailEnd/>
          </a:ln>
        </xdr:spPr>
      </xdr:sp>
    </xdr:grpSp>
    <xdr:clientData/>
  </xdr:twoCellAnchor>
  <xdr:twoCellAnchor>
    <xdr:from>
      <xdr:col>0</xdr:col>
      <xdr:colOff>0</xdr:colOff>
      <xdr:row>28</xdr:row>
      <xdr:rowOff>0</xdr:rowOff>
    </xdr:from>
    <xdr:to>
      <xdr:col>0</xdr:col>
      <xdr:colOff>0</xdr:colOff>
      <xdr:row>28</xdr:row>
      <xdr:rowOff>0</xdr:rowOff>
    </xdr:to>
    <xdr:grpSp>
      <xdr:nvGrpSpPr>
        <xdr:cNvPr id="103339" name="Group 28"/>
        <xdr:cNvGrpSpPr>
          <a:grpSpLocks/>
        </xdr:cNvGrpSpPr>
      </xdr:nvGrpSpPr>
      <xdr:grpSpPr bwMode="auto">
        <a:xfrm>
          <a:off x="0" y="4533900"/>
          <a:ext cx="0" cy="0"/>
          <a:chOff x="769" y="35"/>
          <a:chExt cx="110" cy="41"/>
        </a:xfrm>
      </xdr:grpSpPr>
      <xdr:sp macro="" textlink="">
        <xdr:nvSpPr>
          <xdr:cNvPr id="103345" name="Rectangle 29"/>
          <xdr:cNvSpPr>
            <a:spLocks noChangeArrowheads="1"/>
          </xdr:cNvSpPr>
        </xdr:nvSpPr>
        <xdr:spPr bwMode="auto">
          <a:xfrm>
            <a:off x="790" y="55"/>
            <a:ext cx="89" cy="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03346" name="Rectangle 30"/>
          <xdr:cNvSpPr>
            <a:spLocks noChangeArrowheads="1"/>
          </xdr:cNvSpPr>
        </xdr:nvSpPr>
        <xdr:spPr bwMode="auto">
          <a:xfrm>
            <a:off x="769" y="47"/>
            <a:ext cx="21" cy="1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FFFFFF" mc:Ignorable="a14" a14:legacySpreadsheetColorIndex="9"/>
                </a:solidFill>
                <a:miter lim="800000"/>
                <a:headEnd/>
                <a:tailEnd/>
              </a14:hiddenLine>
            </a:ext>
          </a:extLst>
        </xdr:spPr>
      </xdr:sp>
      <xdr:pic>
        <xdr:nvPicPr>
          <xdr:cNvPr id="103347" name="Picture 31" descr="BriefVervol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 y="35"/>
            <a:ext cx="83" cy="39"/>
          </a:xfrm>
          <a:prstGeom prst="rect">
            <a:avLst/>
          </a:prstGeom>
          <a:noFill/>
          <a:ln>
            <a:noFill/>
          </a:ln>
          <a:extLst>
            <a:ext uri="{909E8E84-426E-40DD-AFC4-6F175D3DCCD1}">
              <a14:hiddenFill xmlns:a14="http://schemas.microsoft.com/office/drawing/2010/main">
                <a:solidFill>
                  <a:srgbClr val="FFFFFF">
                    <a:alpha val="50195"/>
                  </a:srgbClr>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3348" name="Rectangle 32"/>
          <xdr:cNvSpPr>
            <a:spLocks noChangeArrowheads="1"/>
          </xdr:cNvSpPr>
        </xdr:nvSpPr>
        <xdr:spPr bwMode="auto">
          <a:xfrm>
            <a:off x="834" y="35"/>
            <a:ext cx="39" cy="1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FFFF" mc:Ignorable="a14" a14:legacySpreadsheetColorIndex="9"/>
            </a:solidFill>
            <a:miter lim="800000"/>
            <a:headEnd/>
            <a:tailEnd/>
          </a:ln>
        </xdr:spPr>
      </xdr:sp>
    </xdr:grpSp>
    <xdr:clientData/>
  </xdr:twoCellAnchor>
  <xdr:twoCellAnchor>
    <xdr:from>
      <xdr:col>0</xdr:col>
      <xdr:colOff>0</xdr:colOff>
      <xdr:row>28</xdr:row>
      <xdr:rowOff>0</xdr:rowOff>
    </xdr:from>
    <xdr:to>
      <xdr:col>0</xdr:col>
      <xdr:colOff>0</xdr:colOff>
      <xdr:row>28</xdr:row>
      <xdr:rowOff>0</xdr:rowOff>
    </xdr:to>
    <xdr:grpSp>
      <xdr:nvGrpSpPr>
        <xdr:cNvPr id="103340" name="Group 33"/>
        <xdr:cNvGrpSpPr>
          <a:grpSpLocks/>
        </xdr:cNvGrpSpPr>
      </xdr:nvGrpSpPr>
      <xdr:grpSpPr bwMode="auto">
        <a:xfrm>
          <a:off x="0" y="4533900"/>
          <a:ext cx="0" cy="0"/>
          <a:chOff x="769" y="35"/>
          <a:chExt cx="110" cy="41"/>
        </a:xfrm>
      </xdr:grpSpPr>
      <xdr:sp macro="" textlink="">
        <xdr:nvSpPr>
          <xdr:cNvPr id="103341" name="Rectangle 34"/>
          <xdr:cNvSpPr>
            <a:spLocks noChangeArrowheads="1"/>
          </xdr:cNvSpPr>
        </xdr:nvSpPr>
        <xdr:spPr bwMode="auto">
          <a:xfrm>
            <a:off x="790" y="55"/>
            <a:ext cx="89" cy="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03342" name="Rectangle 35"/>
          <xdr:cNvSpPr>
            <a:spLocks noChangeArrowheads="1"/>
          </xdr:cNvSpPr>
        </xdr:nvSpPr>
        <xdr:spPr bwMode="auto">
          <a:xfrm>
            <a:off x="769" y="47"/>
            <a:ext cx="21" cy="1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FFFFFF" mc:Ignorable="a14" a14:legacySpreadsheetColorIndex="9"/>
                </a:solidFill>
                <a:miter lim="800000"/>
                <a:headEnd/>
                <a:tailEnd/>
              </a14:hiddenLine>
            </a:ext>
          </a:extLst>
        </xdr:spPr>
      </xdr:sp>
      <xdr:pic>
        <xdr:nvPicPr>
          <xdr:cNvPr id="103343" name="Picture 36" descr="BriefVervol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 y="35"/>
            <a:ext cx="83" cy="39"/>
          </a:xfrm>
          <a:prstGeom prst="rect">
            <a:avLst/>
          </a:prstGeom>
          <a:noFill/>
          <a:ln>
            <a:noFill/>
          </a:ln>
          <a:extLst>
            <a:ext uri="{909E8E84-426E-40DD-AFC4-6F175D3DCCD1}">
              <a14:hiddenFill xmlns:a14="http://schemas.microsoft.com/office/drawing/2010/main">
                <a:solidFill>
                  <a:srgbClr val="FFFFFF">
                    <a:alpha val="50195"/>
                  </a:srgbClr>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3344" name="Rectangle 37"/>
          <xdr:cNvSpPr>
            <a:spLocks noChangeArrowheads="1"/>
          </xdr:cNvSpPr>
        </xdr:nvSpPr>
        <xdr:spPr bwMode="auto">
          <a:xfrm>
            <a:off x="834" y="35"/>
            <a:ext cx="39" cy="1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FFFF" mc:Ignorable="a14" a14:legacySpreadsheetColorIndex="9"/>
            </a:solidFill>
            <a:miter lim="800000"/>
            <a:headEnd/>
            <a:tailEnd/>
          </a:ln>
        </xdr:spPr>
      </xdr:sp>
    </xdr:grpSp>
    <xdr:clientData/>
  </xdr:twoCellAnchor>
  <mc:AlternateContent xmlns:mc="http://schemas.openxmlformats.org/markup-compatibility/2006">
    <mc:Choice xmlns:a14="http://schemas.microsoft.com/office/drawing/2010/main" Requires="a14">
      <xdr:twoCellAnchor>
        <xdr:from>
          <xdr:col>5</xdr:col>
          <xdr:colOff>666750</xdr:colOff>
          <xdr:row>0</xdr:row>
          <xdr:rowOff>133350</xdr:rowOff>
        </xdr:from>
        <xdr:to>
          <xdr:col>6</xdr:col>
          <xdr:colOff>771525</xdr:colOff>
          <xdr:row>1</xdr:row>
          <xdr:rowOff>133350</xdr:rowOff>
        </xdr:to>
        <xdr:sp macro="" textlink="">
          <xdr:nvSpPr>
            <xdr:cNvPr id="77865" name="Object 41" hidden="1">
              <a:extLst>
                <a:ext uri="{63B3BB69-23CF-44E3-9099-C40C66FF867C}">
                  <a14:compatExt spid="_x0000_s77865"/>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11</xdr:col>
      <xdr:colOff>0</xdr:colOff>
      <xdr:row>35</xdr:row>
      <xdr:rowOff>0</xdr:rowOff>
    </xdr:from>
    <xdr:to>
      <xdr:col>11</xdr:col>
      <xdr:colOff>0</xdr:colOff>
      <xdr:row>35</xdr:row>
      <xdr:rowOff>0</xdr:rowOff>
    </xdr:to>
    <xdr:grpSp>
      <xdr:nvGrpSpPr>
        <xdr:cNvPr id="104152" name="Group 71"/>
        <xdr:cNvGrpSpPr>
          <a:grpSpLocks/>
        </xdr:cNvGrpSpPr>
      </xdr:nvGrpSpPr>
      <xdr:grpSpPr bwMode="auto">
        <a:xfrm>
          <a:off x="12430125" y="5553075"/>
          <a:ext cx="0" cy="0"/>
          <a:chOff x="790" y="4"/>
          <a:chExt cx="90" cy="54"/>
        </a:xfrm>
      </xdr:grpSpPr>
      <xdr:sp macro="" textlink="">
        <xdr:nvSpPr>
          <xdr:cNvPr id="104165" name="Rectangle 72"/>
          <xdr:cNvSpPr>
            <a:spLocks noChangeArrowheads="1"/>
          </xdr:cNvSpPr>
        </xdr:nvSpPr>
        <xdr:spPr bwMode="auto">
          <a:xfrm>
            <a:off x="790" y="8"/>
            <a:ext cx="90" cy="16"/>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FFFF" mc:Ignorable="a14" a14:legacySpreadsheetColorIndex="9"/>
            </a:solidFill>
            <a:miter lim="800000"/>
            <a:headEnd/>
            <a:tailEnd/>
          </a:ln>
        </xdr:spPr>
      </xdr:sp>
      <xdr:pic>
        <xdr:nvPicPr>
          <xdr:cNvPr id="104166" name="Picture 73" descr="X:\Algemeen\Clipart\Ctg\LogoKop.eps"/>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92" y="4"/>
            <a:ext cx="87" cy="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alpha val="50195"/>
                  </a:srgbClr>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554" name="Text Box 74"/>
          <xdr:cNvSpPr txBox="1">
            <a:spLocks noChangeArrowheads="1"/>
          </xdr:cNvSpPr>
        </xdr:nvSpPr>
        <xdr:spPr bwMode="auto">
          <a:xfrm>
            <a:off x="12430125" y="55530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nl-NL" sz="900" b="1" i="0" u="none" strike="noStrike" baseline="0">
                <a:solidFill>
                  <a:srgbClr val="000000"/>
                </a:solidFill>
                <a:latin typeface="Arial"/>
                <a:cs typeface="Arial"/>
              </a:rPr>
              <a:t>17</a:t>
            </a:r>
            <a:endParaRPr lang="nl-NL"/>
          </a:p>
        </xdr:txBody>
      </xdr:sp>
    </xdr:grpSp>
    <xdr:clientData/>
  </xdr:twoCellAnchor>
  <xdr:twoCellAnchor>
    <xdr:from>
      <xdr:col>11</xdr:col>
      <xdr:colOff>0</xdr:colOff>
      <xdr:row>35</xdr:row>
      <xdr:rowOff>0</xdr:rowOff>
    </xdr:from>
    <xdr:to>
      <xdr:col>11</xdr:col>
      <xdr:colOff>0</xdr:colOff>
      <xdr:row>35</xdr:row>
      <xdr:rowOff>0</xdr:rowOff>
    </xdr:to>
    <xdr:grpSp>
      <xdr:nvGrpSpPr>
        <xdr:cNvPr id="104153" name="Group 75"/>
        <xdr:cNvGrpSpPr>
          <a:grpSpLocks/>
        </xdr:cNvGrpSpPr>
      </xdr:nvGrpSpPr>
      <xdr:grpSpPr bwMode="auto">
        <a:xfrm>
          <a:off x="12430125" y="5553075"/>
          <a:ext cx="0" cy="0"/>
          <a:chOff x="790" y="4"/>
          <a:chExt cx="90" cy="54"/>
        </a:xfrm>
      </xdr:grpSpPr>
      <xdr:sp macro="" textlink="">
        <xdr:nvSpPr>
          <xdr:cNvPr id="104162" name="Rectangle 76"/>
          <xdr:cNvSpPr>
            <a:spLocks noChangeArrowheads="1"/>
          </xdr:cNvSpPr>
        </xdr:nvSpPr>
        <xdr:spPr bwMode="auto">
          <a:xfrm>
            <a:off x="790" y="8"/>
            <a:ext cx="90" cy="16"/>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FFFF" mc:Ignorable="a14" a14:legacySpreadsheetColorIndex="9"/>
            </a:solidFill>
            <a:miter lim="800000"/>
            <a:headEnd/>
            <a:tailEnd/>
          </a:ln>
        </xdr:spPr>
      </xdr:sp>
      <xdr:pic>
        <xdr:nvPicPr>
          <xdr:cNvPr id="104163" name="Picture 77" descr="X:\Algemeen\Clipart\Ctg\LogoKop.eps"/>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92" y="4"/>
            <a:ext cx="87" cy="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alpha val="50195"/>
                  </a:srgbClr>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558" name="Text Box 78"/>
          <xdr:cNvSpPr txBox="1">
            <a:spLocks noChangeArrowheads="1"/>
          </xdr:cNvSpPr>
        </xdr:nvSpPr>
        <xdr:spPr bwMode="auto">
          <a:xfrm>
            <a:off x="12430125" y="55530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nl-NL" sz="900" b="1" i="0" u="none" strike="noStrike" baseline="0">
                <a:solidFill>
                  <a:srgbClr val="000000"/>
                </a:solidFill>
                <a:latin typeface="Arial"/>
                <a:cs typeface="Arial"/>
              </a:rPr>
              <a:t>17</a:t>
            </a:r>
            <a:endParaRPr lang="nl-NL"/>
          </a:p>
        </xdr:txBody>
      </xdr:sp>
    </xdr:grpSp>
    <xdr:clientData/>
  </xdr:twoCellAnchor>
  <xdr:twoCellAnchor>
    <xdr:from>
      <xdr:col>13</xdr:col>
      <xdr:colOff>0</xdr:colOff>
      <xdr:row>35</xdr:row>
      <xdr:rowOff>0</xdr:rowOff>
    </xdr:from>
    <xdr:to>
      <xdr:col>13</xdr:col>
      <xdr:colOff>0</xdr:colOff>
      <xdr:row>35</xdr:row>
      <xdr:rowOff>0</xdr:rowOff>
    </xdr:to>
    <xdr:grpSp>
      <xdr:nvGrpSpPr>
        <xdr:cNvPr id="104154" name="Group 132"/>
        <xdr:cNvGrpSpPr>
          <a:grpSpLocks/>
        </xdr:cNvGrpSpPr>
      </xdr:nvGrpSpPr>
      <xdr:grpSpPr bwMode="auto">
        <a:xfrm>
          <a:off x="13858875" y="5553075"/>
          <a:ext cx="0" cy="0"/>
          <a:chOff x="790" y="4"/>
          <a:chExt cx="90" cy="54"/>
        </a:xfrm>
      </xdr:grpSpPr>
      <xdr:sp macro="" textlink="">
        <xdr:nvSpPr>
          <xdr:cNvPr id="104159" name="Rectangle 133"/>
          <xdr:cNvSpPr>
            <a:spLocks noChangeArrowheads="1"/>
          </xdr:cNvSpPr>
        </xdr:nvSpPr>
        <xdr:spPr bwMode="auto">
          <a:xfrm>
            <a:off x="790" y="8"/>
            <a:ext cx="90" cy="16"/>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FFFF" mc:Ignorable="a14" a14:legacySpreadsheetColorIndex="9"/>
            </a:solidFill>
            <a:miter lim="800000"/>
            <a:headEnd/>
            <a:tailEnd/>
          </a:ln>
        </xdr:spPr>
      </xdr:sp>
      <xdr:pic>
        <xdr:nvPicPr>
          <xdr:cNvPr id="104160" name="Picture 134" descr="X:\Algemeen\Clipart\Ctg\LogoKop.eps"/>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92" y="4"/>
            <a:ext cx="87" cy="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alpha val="50195"/>
                  </a:srgbClr>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615" name="Text Box 135"/>
          <xdr:cNvSpPr txBox="1">
            <a:spLocks noChangeArrowheads="1"/>
          </xdr:cNvSpPr>
        </xdr:nvSpPr>
        <xdr:spPr bwMode="auto">
          <a:xfrm>
            <a:off x="13858875" y="55530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nl-NL" sz="900" b="1" i="0" u="none" strike="noStrike" baseline="0">
                <a:solidFill>
                  <a:srgbClr val="000000"/>
                </a:solidFill>
                <a:latin typeface="Arial"/>
                <a:cs typeface="Arial"/>
              </a:rPr>
              <a:t>17</a:t>
            </a:r>
            <a:endParaRPr lang="nl-NL"/>
          </a:p>
        </xdr:txBody>
      </xdr:sp>
    </xdr:grpSp>
    <xdr:clientData/>
  </xdr:twoCellAnchor>
  <xdr:twoCellAnchor>
    <xdr:from>
      <xdr:col>13</xdr:col>
      <xdr:colOff>0</xdr:colOff>
      <xdr:row>35</xdr:row>
      <xdr:rowOff>0</xdr:rowOff>
    </xdr:from>
    <xdr:to>
      <xdr:col>13</xdr:col>
      <xdr:colOff>0</xdr:colOff>
      <xdr:row>35</xdr:row>
      <xdr:rowOff>0</xdr:rowOff>
    </xdr:to>
    <xdr:grpSp>
      <xdr:nvGrpSpPr>
        <xdr:cNvPr id="104155" name="Group 136"/>
        <xdr:cNvGrpSpPr>
          <a:grpSpLocks/>
        </xdr:cNvGrpSpPr>
      </xdr:nvGrpSpPr>
      <xdr:grpSpPr bwMode="auto">
        <a:xfrm>
          <a:off x="13858875" y="5553075"/>
          <a:ext cx="0" cy="0"/>
          <a:chOff x="790" y="4"/>
          <a:chExt cx="90" cy="54"/>
        </a:xfrm>
      </xdr:grpSpPr>
      <xdr:sp macro="" textlink="">
        <xdr:nvSpPr>
          <xdr:cNvPr id="104156" name="Rectangle 137"/>
          <xdr:cNvSpPr>
            <a:spLocks noChangeArrowheads="1"/>
          </xdr:cNvSpPr>
        </xdr:nvSpPr>
        <xdr:spPr bwMode="auto">
          <a:xfrm>
            <a:off x="790" y="8"/>
            <a:ext cx="90" cy="16"/>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FFFF" mc:Ignorable="a14" a14:legacySpreadsheetColorIndex="9"/>
            </a:solidFill>
            <a:miter lim="800000"/>
            <a:headEnd/>
            <a:tailEnd/>
          </a:ln>
        </xdr:spPr>
      </xdr:sp>
      <xdr:pic>
        <xdr:nvPicPr>
          <xdr:cNvPr id="104157" name="Picture 138" descr="X:\Algemeen\Clipart\Ctg\LogoKop.eps"/>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92" y="4"/>
            <a:ext cx="87" cy="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alpha val="50195"/>
                  </a:srgbClr>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619" name="Text Box 139"/>
          <xdr:cNvSpPr txBox="1">
            <a:spLocks noChangeArrowheads="1"/>
          </xdr:cNvSpPr>
        </xdr:nvSpPr>
        <xdr:spPr bwMode="auto">
          <a:xfrm>
            <a:off x="13858875" y="55530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nl-NL" sz="900" b="1" i="0" u="none" strike="noStrike" baseline="0">
                <a:solidFill>
                  <a:srgbClr val="000000"/>
                </a:solidFill>
                <a:latin typeface="Arial"/>
                <a:cs typeface="Arial"/>
              </a:rPr>
              <a:t>17</a:t>
            </a:r>
            <a:endParaRPr lang="nl-NL"/>
          </a:p>
        </xdr:txBody>
      </xdr:sp>
    </xdr:grpSp>
    <xdr:clientData/>
  </xdr:twoCellAnchor>
  <mc:AlternateContent xmlns:mc="http://schemas.openxmlformats.org/markup-compatibility/2006">
    <mc:Choice xmlns:a14="http://schemas.microsoft.com/office/drawing/2010/main" Requires="a14">
      <xdr:twoCellAnchor>
        <xdr:from>
          <xdr:col>8</xdr:col>
          <xdr:colOff>723900</xdr:colOff>
          <xdr:row>1</xdr:row>
          <xdr:rowOff>28575</xdr:rowOff>
        </xdr:from>
        <xdr:to>
          <xdr:col>9</xdr:col>
          <xdr:colOff>714375</xdr:colOff>
          <xdr:row>1</xdr:row>
          <xdr:rowOff>190500</xdr:rowOff>
        </xdr:to>
        <xdr:sp macro="" textlink="">
          <xdr:nvSpPr>
            <xdr:cNvPr id="20696" name="Object 216" hidden="1">
              <a:extLst>
                <a:ext uri="{63B3BB69-23CF-44E3-9099-C40C66FF867C}">
                  <a14:compatExt spid="_x0000_s20696"/>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647700</xdr:colOff>
          <xdr:row>1</xdr:row>
          <xdr:rowOff>38100</xdr:rowOff>
        </xdr:from>
        <xdr:to>
          <xdr:col>4</xdr:col>
          <xdr:colOff>809625</xdr:colOff>
          <xdr:row>1</xdr:row>
          <xdr:rowOff>190500</xdr:rowOff>
        </xdr:to>
        <xdr:sp macro="" textlink="">
          <xdr:nvSpPr>
            <xdr:cNvPr id="75784" name="Object 8" hidden="1">
              <a:extLst>
                <a:ext uri="{63B3BB69-23CF-44E3-9099-C40C66FF867C}">
                  <a14:compatExt spid="_x0000_s75784"/>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609600</xdr:colOff>
          <xdr:row>1</xdr:row>
          <xdr:rowOff>0</xdr:rowOff>
        </xdr:from>
        <xdr:to>
          <xdr:col>14</xdr:col>
          <xdr:colOff>914400</xdr:colOff>
          <xdr:row>1</xdr:row>
          <xdr:rowOff>152400</xdr:rowOff>
        </xdr:to>
        <xdr:sp macro="" textlink="">
          <xdr:nvSpPr>
            <xdr:cNvPr id="121858" name="Object 2" hidden="1">
              <a:extLst>
                <a:ext uri="{63B3BB69-23CF-44E3-9099-C40C66FF867C}">
                  <a14:compatExt spid="_x0000_s121858"/>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190500</xdr:colOff>
          <xdr:row>0</xdr:row>
          <xdr:rowOff>152400</xdr:rowOff>
        </xdr:from>
        <xdr:to>
          <xdr:col>10</xdr:col>
          <xdr:colOff>419100</xdr:colOff>
          <xdr:row>1</xdr:row>
          <xdr:rowOff>95250</xdr:rowOff>
        </xdr:to>
        <xdr:sp macro="" textlink="">
          <xdr:nvSpPr>
            <xdr:cNvPr id="101377" name="Object 1" hidden="1">
              <a:extLst>
                <a:ext uri="{63B3BB69-23CF-44E3-9099-C40C66FF867C}">
                  <a14:compatExt spid="_x0000_s101377"/>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6762750</xdr:colOff>
          <xdr:row>68</xdr:row>
          <xdr:rowOff>0</xdr:rowOff>
        </xdr:from>
        <xdr:to>
          <xdr:col>3</xdr:col>
          <xdr:colOff>0</xdr:colOff>
          <xdr:row>68</xdr:row>
          <xdr:rowOff>0</xdr:rowOff>
        </xdr:to>
        <xdr:sp macro="" textlink="">
          <xdr:nvSpPr>
            <xdr:cNvPr id="62839" name="Object 375" hidden="1">
              <a:extLst>
                <a:ext uri="{63B3BB69-23CF-44E3-9099-C40C66FF867C}">
                  <a14:compatExt spid="_x0000_s62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323850</xdr:colOff>
          <xdr:row>1</xdr:row>
          <xdr:rowOff>76200</xdr:rowOff>
        </xdr:from>
        <xdr:to>
          <xdr:col>15</xdr:col>
          <xdr:colOff>57150</xdr:colOff>
          <xdr:row>2</xdr:row>
          <xdr:rowOff>66675</xdr:rowOff>
        </xdr:to>
        <xdr:sp macro="" textlink="">
          <xdr:nvSpPr>
            <xdr:cNvPr id="62864" name="Object 400" hidden="1">
              <a:extLst>
                <a:ext uri="{63B3BB69-23CF-44E3-9099-C40C66FF867C}">
                  <a14:compatExt spid="_x0000_s62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323850</xdr:colOff>
          <xdr:row>1</xdr:row>
          <xdr:rowOff>76200</xdr:rowOff>
        </xdr:from>
        <xdr:to>
          <xdr:col>15</xdr:col>
          <xdr:colOff>57150</xdr:colOff>
          <xdr:row>2</xdr:row>
          <xdr:rowOff>66675</xdr:rowOff>
        </xdr:to>
        <xdr:sp macro="" textlink="">
          <xdr:nvSpPr>
            <xdr:cNvPr id="62865" name="Object 401" hidden="1">
              <a:extLst>
                <a:ext uri="{63B3BB69-23CF-44E3-9099-C40C66FF867C}">
                  <a14:compatExt spid="_x0000_s62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323850</xdr:colOff>
          <xdr:row>2</xdr:row>
          <xdr:rowOff>76200</xdr:rowOff>
        </xdr:from>
        <xdr:to>
          <xdr:col>15</xdr:col>
          <xdr:colOff>57150</xdr:colOff>
          <xdr:row>3</xdr:row>
          <xdr:rowOff>66675</xdr:rowOff>
        </xdr:to>
        <xdr:sp macro="" textlink="">
          <xdr:nvSpPr>
            <xdr:cNvPr id="62866" name="Object 402" hidden="1">
              <a:extLst>
                <a:ext uri="{63B3BB69-23CF-44E3-9099-C40C66FF867C}">
                  <a14:compatExt spid="_x0000_s62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114300</xdr:rowOff>
        </xdr:from>
        <xdr:to>
          <xdr:col>3</xdr:col>
          <xdr:colOff>495300</xdr:colOff>
          <xdr:row>11</xdr:row>
          <xdr:rowOff>28575</xdr:rowOff>
        </xdr:to>
        <xdr:sp macro="" textlink="">
          <xdr:nvSpPr>
            <xdr:cNvPr id="63118" name="Option Button 654" hidden="1">
              <a:extLst>
                <a:ext uri="{63B3BB69-23CF-44E3-9099-C40C66FF867C}">
                  <a14:compatExt spid="_x0000_s631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9</xdr:row>
          <xdr:rowOff>66675</xdr:rowOff>
        </xdr:from>
        <xdr:to>
          <xdr:col>4</xdr:col>
          <xdr:colOff>495300</xdr:colOff>
          <xdr:row>11</xdr:row>
          <xdr:rowOff>85725</xdr:rowOff>
        </xdr:to>
        <xdr:sp macro="" textlink="">
          <xdr:nvSpPr>
            <xdr:cNvPr id="63119" name="Option Button 655" hidden="1">
              <a:extLst>
                <a:ext uri="{63B3BB69-23CF-44E3-9099-C40C66FF867C}">
                  <a14:compatExt spid="_x0000_s631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20</xdr:row>
          <xdr:rowOff>66675</xdr:rowOff>
        </xdr:from>
        <xdr:to>
          <xdr:col>4</xdr:col>
          <xdr:colOff>495300</xdr:colOff>
          <xdr:row>22</xdr:row>
          <xdr:rowOff>85725</xdr:rowOff>
        </xdr:to>
        <xdr:sp macro="" textlink="">
          <xdr:nvSpPr>
            <xdr:cNvPr id="63120" name="Option Button 656" hidden="1">
              <a:extLst>
                <a:ext uri="{63B3BB69-23CF-44E3-9099-C40C66FF867C}">
                  <a14:compatExt spid="_x0000_s631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20</xdr:row>
          <xdr:rowOff>66675</xdr:rowOff>
        </xdr:from>
        <xdr:to>
          <xdr:col>5</xdr:col>
          <xdr:colOff>495300</xdr:colOff>
          <xdr:row>22</xdr:row>
          <xdr:rowOff>85725</xdr:rowOff>
        </xdr:to>
        <xdr:sp macro="" textlink="">
          <xdr:nvSpPr>
            <xdr:cNvPr id="63121" name="Option Button 657" hidden="1">
              <a:extLst>
                <a:ext uri="{63B3BB69-23CF-44E3-9099-C40C66FF867C}">
                  <a14:compatExt spid="_x0000_s63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23</xdr:row>
          <xdr:rowOff>76200</xdr:rowOff>
        </xdr:from>
        <xdr:to>
          <xdr:col>4</xdr:col>
          <xdr:colOff>485775</xdr:colOff>
          <xdr:row>25</xdr:row>
          <xdr:rowOff>95250</xdr:rowOff>
        </xdr:to>
        <xdr:sp macro="" textlink="">
          <xdr:nvSpPr>
            <xdr:cNvPr id="63122" name="Option Button 658" hidden="1">
              <a:extLst>
                <a:ext uri="{63B3BB69-23CF-44E3-9099-C40C66FF867C}">
                  <a14:compatExt spid="_x0000_s63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23</xdr:row>
          <xdr:rowOff>76200</xdr:rowOff>
        </xdr:from>
        <xdr:to>
          <xdr:col>5</xdr:col>
          <xdr:colOff>466725</xdr:colOff>
          <xdr:row>25</xdr:row>
          <xdr:rowOff>95250</xdr:rowOff>
        </xdr:to>
        <xdr:sp macro="" textlink="">
          <xdr:nvSpPr>
            <xdr:cNvPr id="63123" name="Option Button 659" hidden="1">
              <a:extLst>
                <a:ext uri="{63B3BB69-23CF-44E3-9099-C40C66FF867C}">
                  <a14:compatExt spid="_x0000_s631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50</xdr:row>
          <xdr:rowOff>114300</xdr:rowOff>
        </xdr:from>
        <xdr:to>
          <xdr:col>3</xdr:col>
          <xdr:colOff>495300</xdr:colOff>
          <xdr:row>52</xdr:row>
          <xdr:rowOff>28575</xdr:rowOff>
        </xdr:to>
        <xdr:sp macro="" textlink="">
          <xdr:nvSpPr>
            <xdr:cNvPr id="63124" name="Option Button 660" hidden="1">
              <a:extLst>
                <a:ext uri="{63B3BB69-23CF-44E3-9099-C40C66FF867C}">
                  <a14:compatExt spid="_x0000_s631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50</xdr:row>
          <xdr:rowOff>66675</xdr:rowOff>
        </xdr:from>
        <xdr:to>
          <xdr:col>4</xdr:col>
          <xdr:colOff>495300</xdr:colOff>
          <xdr:row>52</xdr:row>
          <xdr:rowOff>85725</xdr:rowOff>
        </xdr:to>
        <xdr:sp macro="" textlink="">
          <xdr:nvSpPr>
            <xdr:cNvPr id="63125" name="Option Button 661" hidden="1">
              <a:extLst>
                <a:ext uri="{63B3BB69-23CF-44E3-9099-C40C66FF867C}">
                  <a14:compatExt spid="_x0000_s631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59</xdr:row>
          <xdr:rowOff>114300</xdr:rowOff>
        </xdr:from>
        <xdr:to>
          <xdr:col>3</xdr:col>
          <xdr:colOff>495300</xdr:colOff>
          <xdr:row>61</xdr:row>
          <xdr:rowOff>28575</xdr:rowOff>
        </xdr:to>
        <xdr:sp macro="" textlink="">
          <xdr:nvSpPr>
            <xdr:cNvPr id="63126" name="Option Button 662" hidden="1">
              <a:extLst>
                <a:ext uri="{63B3BB69-23CF-44E3-9099-C40C66FF867C}">
                  <a14:compatExt spid="_x0000_s631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59</xdr:row>
          <xdr:rowOff>66675</xdr:rowOff>
        </xdr:from>
        <xdr:to>
          <xdr:col>4</xdr:col>
          <xdr:colOff>495300</xdr:colOff>
          <xdr:row>61</xdr:row>
          <xdr:rowOff>85725</xdr:rowOff>
        </xdr:to>
        <xdr:sp macro="" textlink="">
          <xdr:nvSpPr>
            <xdr:cNvPr id="63127" name="Option Button 663" hidden="1">
              <a:extLst>
                <a:ext uri="{63B3BB69-23CF-44E3-9099-C40C66FF867C}">
                  <a14:compatExt spid="_x0000_s631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59</xdr:row>
          <xdr:rowOff>66675</xdr:rowOff>
        </xdr:from>
        <xdr:to>
          <xdr:col>5</xdr:col>
          <xdr:colOff>495300</xdr:colOff>
          <xdr:row>61</xdr:row>
          <xdr:rowOff>85725</xdr:rowOff>
        </xdr:to>
        <xdr:sp macro="" textlink="">
          <xdr:nvSpPr>
            <xdr:cNvPr id="63128" name="Option Button 664" hidden="1">
              <a:extLst>
                <a:ext uri="{63B3BB69-23CF-44E3-9099-C40C66FF867C}">
                  <a14:compatExt spid="_x0000_s631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62</xdr:row>
          <xdr:rowOff>76200</xdr:rowOff>
        </xdr:from>
        <xdr:to>
          <xdr:col>4</xdr:col>
          <xdr:colOff>466725</xdr:colOff>
          <xdr:row>64</xdr:row>
          <xdr:rowOff>95250</xdr:rowOff>
        </xdr:to>
        <xdr:sp macro="" textlink="">
          <xdr:nvSpPr>
            <xdr:cNvPr id="63129" name="Option Button 665" hidden="1">
              <a:extLst>
                <a:ext uri="{63B3BB69-23CF-44E3-9099-C40C66FF867C}">
                  <a14:compatExt spid="_x0000_s631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62</xdr:row>
          <xdr:rowOff>114300</xdr:rowOff>
        </xdr:from>
        <xdr:to>
          <xdr:col>3</xdr:col>
          <xdr:colOff>495300</xdr:colOff>
          <xdr:row>64</xdr:row>
          <xdr:rowOff>28575</xdr:rowOff>
        </xdr:to>
        <xdr:sp macro="" textlink="">
          <xdr:nvSpPr>
            <xdr:cNvPr id="63130" name="Option Button 666" hidden="1">
              <a:extLst>
                <a:ext uri="{63B3BB69-23CF-44E3-9099-C40C66FF867C}">
                  <a14:compatExt spid="_x0000_s631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62</xdr:row>
          <xdr:rowOff>66675</xdr:rowOff>
        </xdr:from>
        <xdr:to>
          <xdr:col>5</xdr:col>
          <xdr:colOff>495300</xdr:colOff>
          <xdr:row>64</xdr:row>
          <xdr:rowOff>85725</xdr:rowOff>
        </xdr:to>
        <xdr:sp macro="" textlink="">
          <xdr:nvSpPr>
            <xdr:cNvPr id="63131" name="Option Button 667" hidden="1">
              <a:extLst>
                <a:ext uri="{63B3BB69-23CF-44E3-9099-C40C66FF867C}">
                  <a14:compatExt spid="_x0000_s631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68</xdr:row>
          <xdr:rowOff>114300</xdr:rowOff>
        </xdr:from>
        <xdr:to>
          <xdr:col>3</xdr:col>
          <xdr:colOff>495300</xdr:colOff>
          <xdr:row>70</xdr:row>
          <xdr:rowOff>28575</xdr:rowOff>
        </xdr:to>
        <xdr:sp macro="" textlink="">
          <xdr:nvSpPr>
            <xdr:cNvPr id="63132" name="Option Button 668" hidden="1">
              <a:extLst>
                <a:ext uri="{63B3BB69-23CF-44E3-9099-C40C66FF867C}">
                  <a14:compatExt spid="_x0000_s631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68</xdr:row>
          <xdr:rowOff>66675</xdr:rowOff>
        </xdr:from>
        <xdr:to>
          <xdr:col>4</xdr:col>
          <xdr:colOff>495300</xdr:colOff>
          <xdr:row>70</xdr:row>
          <xdr:rowOff>85725</xdr:rowOff>
        </xdr:to>
        <xdr:sp macro="" textlink="">
          <xdr:nvSpPr>
            <xdr:cNvPr id="63133" name="Option Button 669" hidden="1">
              <a:extLst>
                <a:ext uri="{63B3BB69-23CF-44E3-9099-C40C66FF867C}">
                  <a14:compatExt spid="_x0000_s631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68</xdr:row>
          <xdr:rowOff>66675</xdr:rowOff>
        </xdr:from>
        <xdr:to>
          <xdr:col>5</xdr:col>
          <xdr:colOff>495300</xdr:colOff>
          <xdr:row>70</xdr:row>
          <xdr:rowOff>85725</xdr:rowOff>
        </xdr:to>
        <xdr:sp macro="" textlink="">
          <xdr:nvSpPr>
            <xdr:cNvPr id="63134" name="Option Button 670" hidden="1">
              <a:extLst>
                <a:ext uri="{63B3BB69-23CF-44E3-9099-C40C66FF867C}">
                  <a14:compatExt spid="_x0000_s631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71</xdr:row>
          <xdr:rowOff>114300</xdr:rowOff>
        </xdr:from>
        <xdr:to>
          <xdr:col>3</xdr:col>
          <xdr:colOff>495300</xdr:colOff>
          <xdr:row>73</xdr:row>
          <xdr:rowOff>28575</xdr:rowOff>
        </xdr:to>
        <xdr:sp macro="" textlink="">
          <xdr:nvSpPr>
            <xdr:cNvPr id="63135" name="Option Button 671" hidden="1">
              <a:extLst>
                <a:ext uri="{63B3BB69-23CF-44E3-9099-C40C66FF867C}">
                  <a14:compatExt spid="_x0000_s631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71</xdr:row>
          <xdr:rowOff>66675</xdr:rowOff>
        </xdr:from>
        <xdr:to>
          <xdr:col>4</xdr:col>
          <xdr:colOff>495300</xdr:colOff>
          <xdr:row>73</xdr:row>
          <xdr:rowOff>85725</xdr:rowOff>
        </xdr:to>
        <xdr:sp macro="" textlink="">
          <xdr:nvSpPr>
            <xdr:cNvPr id="63136" name="Option Button 672" hidden="1">
              <a:extLst>
                <a:ext uri="{63B3BB69-23CF-44E3-9099-C40C66FF867C}">
                  <a14:compatExt spid="_x0000_s631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71</xdr:row>
          <xdr:rowOff>66675</xdr:rowOff>
        </xdr:from>
        <xdr:to>
          <xdr:col>5</xdr:col>
          <xdr:colOff>495300</xdr:colOff>
          <xdr:row>73</xdr:row>
          <xdr:rowOff>85725</xdr:rowOff>
        </xdr:to>
        <xdr:sp macro="" textlink="">
          <xdr:nvSpPr>
            <xdr:cNvPr id="63137" name="Option Button 673" hidden="1">
              <a:extLst>
                <a:ext uri="{63B3BB69-23CF-44E3-9099-C40C66FF867C}">
                  <a14:compatExt spid="_x0000_s631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77</xdr:row>
          <xdr:rowOff>114300</xdr:rowOff>
        </xdr:from>
        <xdr:to>
          <xdr:col>3</xdr:col>
          <xdr:colOff>495300</xdr:colOff>
          <xdr:row>78</xdr:row>
          <xdr:rowOff>123825</xdr:rowOff>
        </xdr:to>
        <xdr:sp macro="" textlink="">
          <xdr:nvSpPr>
            <xdr:cNvPr id="63140" name="Option Button 676" hidden="1">
              <a:extLst>
                <a:ext uri="{63B3BB69-23CF-44E3-9099-C40C66FF867C}">
                  <a14:compatExt spid="_x0000_s631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77</xdr:row>
          <xdr:rowOff>66675</xdr:rowOff>
        </xdr:from>
        <xdr:to>
          <xdr:col>4</xdr:col>
          <xdr:colOff>495300</xdr:colOff>
          <xdr:row>79</xdr:row>
          <xdr:rowOff>9525</xdr:rowOff>
        </xdr:to>
        <xdr:sp macro="" textlink="">
          <xdr:nvSpPr>
            <xdr:cNvPr id="63141" name="Option Button 677" hidden="1">
              <a:extLst>
                <a:ext uri="{63B3BB69-23CF-44E3-9099-C40C66FF867C}">
                  <a14:compatExt spid="_x0000_s631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77</xdr:row>
          <xdr:rowOff>66675</xdr:rowOff>
        </xdr:from>
        <xdr:to>
          <xdr:col>5</xdr:col>
          <xdr:colOff>495300</xdr:colOff>
          <xdr:row>79</xdr:row>
          <xdr:rowOff>9525</xdr:rowOff>
        </xdr:to>
        <xdr:sp macro="" textlink="">
          <xdr:nvSpPr>
            <xdr:cNvPr id="63142" name="Option Button 678" hidden="1">
              <a:extLst>
                <a:ext uri="{63B3BB69-23CF-44E3-9099-C40C66FF867C}">
                  <a14:compatExt spid="_x0000_s631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80</xdr:row>
          <xdr:rowOff>114300</xdr:rowOff>
        </xdr:from>
        <xdr:to>
          <xdr:col>3</xdr:col>
          <xdr:colOff>495300</xdr:colOff>
          <xdr:row>81</xdr:row>
          <xdr:rowOff>123825</xdr:rowOff>
        </xdr:to>
        <xdr:sp macro="" textlink="">
          <xdr:nvSpPr>
            <xdr:cNvPr id="63143" name="Option Button 679" hidden="1">
              <a:extLst>
                <a:ext uri="{63B3BB69-23CF-44E3-9099-C40C66FF867C}">
                  <a14:compatExt spid="_x0000_s631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80</xdr:row>
          <xdr:rowOff>66675</xdr:rowOff>
        </xdr:from>
        <xdr:to>
          <xdr:col>4</xdr:col>
          <xdr:colOff>495300</xdr:colOff>
          <xdr:row>82</xdr:row>
          <xdr:rowOff>0</xdr:rowOff>
        </xdr:to>
        <xdr:sp macro="" textlink="">
          <xdr:nvSpPr>
            <xdr:cNvPr id="63144" name="Option Button 680" hidden="1">
              <a:extLst>
                <a:ext uri="{63B3BB69-23CF-44E3-9099-C40C66FF867C}">
                  <a14:compatExt spid="_x0000_s631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80</xdr:row>
          <xdr:rowOff>66675</xdr:rowOff>
        </xdr:from>
        <xdr:to>
          <xdr:col>5</xdr:col>
          <xdr:colOff>495300</xdr:colOff>
          <xdr:row>82</xdr:row>
          <xdr:rowOff>0</xdr:rowOff>
        </xdr:to>
        <xdr:sp macro="" textlink="">
          <xdr:nvSpPr>
            <xdr:cNvPr id="63145" name="Option Button 681" hidden="1">
              <a:extLst>
                <a:ext uri="{63B3BB69-23CF-44E3-9099-C40C66FF867C}">
                  <a14:compatExt spid="_x0000_s63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18</xdr:row>
          <xdr:rowOff>0</xdr:rowOff>
        </xdr:from>
        <xdr:to>
          <xdr:col>3</xdr:col>
          <xdr:colOff>447675</xdr:colOff>
          <xdr:row>19</xdr:row>
          <xdr:rowOff>76200</xdr:rowOff>
        </xdr:to>
        <xdr:sp macro="" textlink="">
          <xdr:nvSpPr>
            <xdr:cNvPr id="63146" name="Option Button 682" hidden="1">
              <a:extLst>
                <a:ext uri="{63B3BB69-23CF-44E3-9099-C40C66FF867C}">
                  <a14:compatExt spid="_x0000_s63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18</xdr:row>
          <xdr:rowOff>0</xdr:rowOff>
        </xdr:from>
        <xdr:to>
          <xdr:col>5</xdr:col>
          <xdr:colOff>495300</xdr:colOff>
          <xdr:row>19</xdr:row>
          <xdr:rowOff>76200</xdr:rowOff>
        </xdr:to>
        <xdr:sp macro="" textlink="">
          <xdr:nvSpPr>
            <xdr:cNvPr id="63147" name="Option Button 683" hidden="1">
              <a:extLst>
                <a:ext uri="{63B3BB69-23CF-44E3-9099-C40C66FF867C}">
                  <a14:compatExt spid="_x0000_s631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17</xdr:row>
          <xdr:rowOff>114300</xdr:rowOff>
        </xdr:from>
        <xdr:to>
          <xdr:col>5</xdr:col>
          <xdr:colOff>438150</xdr:colOff>
          <xdr:row>19</xdr:row>
          <xdr:rowOff>133350</xdr:rowOff>
        </xdr:to>
        <xdr:sp macro="" textlink="">
          <xdr:nvSpPr>
            <xdr:cNvPr id="63148" name="Option Button 684" hidden="1">
              <a:extLst>
                <a:ext uri="{63B3BB69-23CF-44E3-9099-C40C66FF867C}">
                  <a14:compatExt spid="_x0000_s631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114300</xdr:rowOff>
        </xdr:from>
        <xdr:to>
          <xdr:col>3</xdr:col>
          <xdr:colOff>495300</xdr:colOff>
          <xdr:row>11</xdr:row>
          <xdr:rowOff>28575</xdr:rowOff>
        </xdr:to>
        <xdr:sp macro="" textlink="">
          <xdr:nvSpPr>
            <xdr:cNvPr id="63149" name="Option Button 685" hidden="1">
              <a:extLst>
                <a:ext uri="{63B3BB69-23CF-44E3-9099-C40C66FF867C}">
                  <a14:compatExt spid="_x0000_s631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9</xdr:row>
          <xdr:rowOff>66675</xdr:rowOff>
        </xdr:from>
        <xdr:to>
          <xdr:col>4</xdr:col>
          <xdr:colOff>495300</xdr:colOff>
          <xdr:row>11</xdr:row>
          <xdr:rowOff>85725</xdr:rowOff>
        </xdr:to>
        <xdr:sp macro="" textlink="">
          <xdr:nvSpPr>
            <xdr:cNvPr id="63150" name="Option Button 686" hidden="1">
              <a:extLst>
                <a:ext uri="{63B3BB69-23CF-44E3-9099-C40C66FF867C}">
                  <a14:compatExt spid="_x0000_s631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23</xdr:row>
          <xdr:rowOff>114300</xdr:rowOff>
        </xdr:from>
        <xdr:to>
          <xdr:col>3</xdr:col>
          <xdr:colOff>476250</xdr:colOff>
          <xdr:row>25</xdr:row>
          <xdr:rowOff>28575</xdr:rowOff>
        </xdr:to>
        <xdr:sp macro="" textlink="">
          <xdr:nvSpPr>
            <xdr:cNvPr id="63151" name="Option Button 687" hidden="1">
              <a:extLst>
                <a:ext uri="{63B3BB69-23CF-44E3-9099-C40C66FF867C}">
                  <a14:compatExt spid="_x0000_s631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26</xdr:row>
          <xdr:rowOff>114300</xdr:rowOff>
        </xdr:from>
        <xdr:to>
          <xdr:col>3</xdr:col>
          <xdr:colOff>495300</xdr:colOff>
          <xdr:row>28</xdr:row>
          <xdr:rowOff>28575</xdr:rowOff>
        </xdr:to>
        <xdr:sp macro="" textlink="">
          <xdr:nvSpPr>
            <xdr:cNvPr id="63152" name="Option Button 688" hidden="1">
              <a:extLst>
                <a:ext uri="{63B3BB69-23CF-44E3-9099-C40C66FF867C}">
                  <a14:compatExt spid="_x0000_s631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26</xdr:row>
          <xdr:rowOff>66675</xdr:rowOff>
        </xdr:from>
        <xdr:to>
          <xdr:col>4</xdr:col>
          <xdr:colOff>495300</xdr:colOff>
          <xdr:row>28</xdr:row>
          <xdr:rowOff>85725</xdr:rowOff>
        </xdr:to>
        <xdr:sp macro="" textlink="">
          <xdr:nvSpPr>
            <xdr:cNvPr id="63153" name="Option Button 689" hidden="1">
              <a:extLst>
                <a:ext uri="{63B3BB69-23CF-44E3-9099-C40C66FF867C}">
                  <a14:compatExt spid="_x0000_s631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26</xdr:row>
          <xdr:rowOff>66675</xdr:rowOff>
        </xdr:from>
        <xdr:to>
          <xdr:col>5</xdr:col>
          <xdr:colOff>495300</xdr:colOff>
          <xdr:row>28</xdr:row>
          <xdr:rowOff>85725</xdr:rowOff>
        </xdr:to>
        <xdr:sp macro="" textlink="">
          <xdr:nvSpPr>
            <xdr:cNvPr id="63154" name="Option Button 690" hidden="1">
              <a:extLst>
                <a:ext uri="{63B3BB69-23CF-44E3-9099-C40C66FF867C}">
                  <a14:compatExt spid="_x0000_s631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50</xdr:row>
          <xdr:rowOff>114300</xdr:rowOff>
        </xdr:from>
        <xdr:to>
          <xdr:col>3</xdr:col>
          <xdr:colOff>495300</xdr:colOff>
          <xdr:row>52</xdr:row>
          <xdr:rowOff>28575</xdr:rowOff>
        </xdr:to>
        <xdr:sp macro="" textlink="">
          <xdr:nvSpPr>
            <xdr:cNvPr id="63155" name="Option Button 691" hidden="1">
              <a:extLst>
                <a:ext uri="{63B3BB69-23CF-44E3-9099-C40C66FF867C}">
                  <a14:compatExt spid="_x0000_s631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50</xdr:row>
          <xdr:rowOff>66675</xdr:rowOff>
        </xdr:from>
        <xdr:to>
          <xdr:col>4</xdr:col>
          <xdr:colOff>495300</xdr:colOff>
          <xdr:row>52</xdr:row>
          <xdr:rowOff>85725</xdr:rowOff>
        </xdr:to>
        <xdr:sp macro="" textlink="">
          <xdr:nvSpPr>
            <xdr:cNvPr id="63156" name="Option Button 692" hidden="1">
              <a:extLst>
                <a:ext uri="{63B3BB69-23CF-44E3-9099-C40C66FF867C}">
                  <a14:compatExt spid="_x0000_s631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53</xdr:row>
          <xdr:rowOff>114300</xdr:rowOff>
        </xdr:from>
        <xdr:to>
          <xdr:col>3</xdr:col>
          <xdr:colOff>495300</xdr:colOff>
          <xdr:row>55</xdr:row>
          <xdr:rowOff>28575</xdr:rowOff>
        </xdr:to>
        <xdr:sp macro="" textlink="">
          <xdr:nvSpPr>
            <xdr:cNvPr id="63157" name="Option Button 693" hidden="1">
              <a:extLst>
                <a:ext uri="{63B3BB69-23CF-44E3-9099-C40C66FF867C}">
                  <a14:compatExt spid="_x0000_s631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53</xdr:row>
          <xdr:rowOff>66675</xdr:rowOff>
        </xdr:from>
        <xdr:to>
          <xdr:col>4</xdr:col>
          <xdr:colOff>495300</xdr:colOff>
          <xdr:row>55</xdr:row>
          <xdr:rowOff>85725</xdr:rowOff>
        </xdr:to>
        <xdr:sp macro="" textlink="">
          <xdr:nvSpPr>
            <xdr:cNvPr id="63158" name="Option Button 694" hidden="1">
              <a:extLst>
                <a:ext uri="{63B3BB69-23CF-44E3-9099-C40C66FF867C}">
                  <a14:compatExt spid="_x0000_s631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59</xdr:row>
          <xdr:rowOff>66675</xdr:rowOff>
        </xdr:from>
        <xdr:to>
          <xdr:col>4</xdr:col>
          <xdr:colOff>495300</xdr:colOff>
          <xdr:row>61</xdr:row>
          <xdr:rowOff>85725</xdr:rowOff>
        </xdr:to>
        <xdr:sp macro="" textlink="">
          <xdr:nvSpPr>
            <xdr:cNvPr id="63159" name="Option Button 695" hidden="1">
              <a:extLst>
                <a:ext uri="{63B3BB69-23CF-44E3-9099-C40C66FF867C}">
                  <a14:compatExt spid="_x0000_s631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59</xdr:row>
          <xdr:rowOff>66675</xdr:rowOff>
        </xdr:from>
        <xdr:to>
          <xdr:col>5</xdr:col>
          <xdr:colOff>495300</xdr:colOff>
          <xdr:row>61</xdr:row>
          <xdr:rowOff>85725</xdr:rowOff>
        </xdr:to>
        <xdr:sp macro="" textlink="">
          <xdr:nvSpPr>
            <xdr:cNvPr id="63160" name="Option Button 696" hidden="1">
              <a:extLst>
                <a:ext uri="{63B3BB69-23CF-44E3-9099-C40C66FF867C}">
                  <a14:compatExt spid="_x0000_s631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62</xdr:row>
          <xdr:rowOff>114300</xdr:rowOff>
        </xdr:from>
        <xdr:to>
          <xdr:col>3</xdr:col>
          <xdr:colOff>495300</xdr:colOff>
          <xdr:row>64</xdr:row>
          <xdr:rowOff>28575</xdr:rowOff>
        </xdr:to>
        <xdr:sp macro="" textlink="">
          <xdr:nvSpPr>
            <xdr:cNvPr id="63161" name="Option Button 697" hidden="1">
              <a:extLst>
                <a:ext uri="{63B3BB69-23CF-44E3-9099-C40C66FF867C}">
                  <a14:compatExt spid="_x0000_s631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62</xdr:row>
          <xdr:rowOff>66675</xdr:rowOff>
        </xdr:from>
        <xdr:to>
          <xdr:col>5</xdr:col>
          <xdr:colOff>495300</xdr:colOff>
          <xdr:row>64</xdr:row>
          <xdr:rowOff>85725</xdr:rowOff>
        </xdr:to>
        <xdr:sp macro="" textlink="">
          <xdr:nvSpPr>
            <xdr:cNvPr id="63162" name="Option Button 698" hidden="1">
              <a:extLst>
                <a:ext uri="{63B3BB69-23CF-44E3-9099-C40C66FF867C}">
                  <a14:compatExt spid="_x0000_s631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68</xdr:row>
          <xdr:rowOff>66675</xdr:rowOff>
        </xdr:from>
        <xdr:to>
          <xdr:col>4</xdr:col>
          <xdr:colOff>495300</xdr:colOff>
          <xdr:row>70</xdr:row>
          <xdr:rowOff>85725</xdr:rowOff>
        </xdr:to>
        <xdr:sp macro="" textlink="">
          <xdr:nvSpPr>
            <xdr:cNvPr id="63163" name="Option Button 699" hidden="1">
              <a:extLst>
                <a:ext uri="{63B3BB69-23CF-44E3-9099-C40C66FF867C}">
                  <a14:compatExt spid="_x0000_s631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68</xdr:row>
          <xdr:rowOff>66675</xdr:rowOff>
        </xdr:from>
        <xdr:to>
          <xdr:col>5</xdr:col>
          <xdr:colOff>495300</xdr:colOff>
          <xdr:row>70</xdr:row>
          <xdr:rowOff>85725</xdr:rowOff>
        </xdr:to>
        <xdr:sp macro="" textlink="">
          <xdr:nvSpPr>
            <xdr:cNvPr id="63164" name="Option Button 700" hidden="1">
              <a:extLst>
                <a:ext uri="{63B3BB69-23CF-44E3-9099-C40C66FF867C}">
                  <a14:compatExt spid="_x0000_s631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71</xdr:row>
          <xdr:rowOff>114300</xdr:rowOff>
        </xdr:from>
        <xdr:to>
          <xdr:col>3</xdr:col>
          <xdr:colOff>495300</xdr:colOff>
          <xdr:row>73</xdr:row>
          <xdr:rowOff>28575</xdr:rowOff>
        </xdr:to>
        <xdr:sp macro="" textlink="">
          <xdr:nvSpPr>
            <xdr:cNvPr id="63165" name="Option Button 701" hidden="1">
              <a:extLst>
                <a:ext uri="{63B3BB69-23CF-44E3-9099-C40C66FF867C}">
                  <a14:compatExt spid="_x0000_s631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71</xdr:row>
          <xdr:rowOff>66675</xdr:rowOff>
        </xdr:from>
        <xdr:to>
          <xdr:col>4</xdr:col>
          <xdr:colOff>495300</xdr:colOff>
          <xdr:row>73</xdr:row>
          <xdr:rowOff>85725</xdr:rowOff>
        </xdr:to>
        <xdr:sp macro="" textlink="">
          <xdr:nvSpPr>
            <xdr:cNvPr id="63166" name="Option Button 702" hidden="1">
              <a:extLst>
                <a:ext uri="{63B3BB69-23CF-44E3-9099-C40C66FF867C}">
                  <a14:compatExt spid="_x0000_s631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71</xdr:row>
          <xdr:rowOff>66675</xdr:rowOff>
        </xdr:from>
        <xdr:to>
          <xdr:col>5</xdr:col>
          <xdr:colOff>495300</xdr:colOff>
          <xdr:row>73</xdr:row>
          <xdr:rowOff>85725</xdr:rowOff>
        </xdr:to>
        <xdr:sp macro="" textlink="">
          <xdr:nvSpPr>
            <xdr:cNvPr id="63167" name="Option Button 703" hidden="1">
              <a:extLst>
                <a:ext uri="{63B3BB69-23CF-44E3-9099-C40C66FF867C}">
                  <a14:compatExt spid="_x0000_s631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87</xdr:row>
          <xdr:rowOff>114300</xdr:rowOff>
        </xdr:from>
        <xdr:to>
          <xdr:col>3</xdr:col>
          <xdr:colOff>495300</xdr:colOff>
          <xdr:row>89</xdr:row>
          <xdr:rowOff>28575</xdr:rowOff>
        </xdr:to>
        <xdr:sp macro="" textlink="">
          <xdr:nvSpPr>
            <xdr:cNvPr id="63168" name="Option Button 704" hidden="1">
              <a:extLst>
                <a:ext uri="{63B3BB69-23CF-44E3-9099-C40C66FF867C}">
                  <a14:compatExt spid="_x0000_s631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77</xdr:row>
          <xdr:rowOff>114300</xdr:rowOff>
        </xdr:from>
        <xdr:to>
          <xdr:col>3</xdr:col>
          <xdr:colOff>495300</xdr:colOff>
          <xdr:row>78</xdr:row>
          <xdr:rowOff>123825</xdr:rowOff>
        </xdr:to>
        <xdr:sp macro="" textlink="">
          <xdr:nvSpPr>
            <xdr:cNvPr id="63169" name="Option Button 705" hidden="1">
              <a:extLst>
                <a:ext uri="{63B3BB69-23CF-44E3-9099-C40C66FF867C}">
                  <a14:compatExt spid="_x0000_s63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77</xdr:row>
          <xdr:rowOff>66675</xdr:rowOff>
        </xdr:from>
        <xdr:to>
          <xdr:col>4</xdr:col>
          <xdr:colOff>495300</xdr:colOff>
          <xdr:row>79</xdr:row>
          <xdr:rowOff>9525</xdr:rowOff>
        </xdr:to>
        <xdr:sp macro="" textlink="">
          <xdr:nvSpPr>
            <xdr:cNvPr id="63170" name="Option Button 706" hidden="1">
              <a:extLst>
                <a:ext uri="{63B3BB69-23CF-44E3-9099-C40C66FF867C}">
                  <a14:compatExt spid="_x0000_s63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77</xdr:row>
          <xdr:rowOff>66675</xdr:rowOff>
        </xdr:from>
        <xdr:to>
          <xdr:col>5</xdr:col>
          <xdr:colOff>495300</xdr:colOff>
          <xdr:row>79</xdr:row>
          <xdr:rowOff>9525</xdr:rowOff>
        </xdr:to>
        <xdr:sp macro="" textlink="">
          <xdr:nvSpPr>
            <xdr:cNvPr id="63171" name="Option Button 707" hidden="1">
              <a:extLst>
                <a:ext uri="{63B3BB69-23CF-44E3-9099-C40C66FF867C}">
                  <a14:compatExt spid="_x0000_s631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80</xdr:row>
          <xdr:rowOff>66675</xdr:rowOff>
        </xdr:from>
        <xdr:to>
          <xdr:col>4</xdr:col>
          <xdr:colOff>495300</xdr:colOff>
          <xdr:row>82</xdr:row>
          <xdr:rowOff>0</xdr:rowOff>
        </xdr:to>
        <xdr:sp macro="" textlink="">
          <xdr:nvSpPr>
            <xdr:cNvPr id="63172" name="Option Button 708" hidden="1">
              <a:extLst>
                <a:ext uri="{63B3BB69-23CF-44E3-9099-C40C66FF867C}">
                  <a14:compatExt spid="_x0000_s631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80</xdr:row>
          <xdr:rowOff>66675</xdr:rowOff>
        </xdr:from>
        <xdr:to>
          <xdr:col>5</xdr:col>
          <xdr:colOff>495300</xdr:colOff>
          <xdr:row>82</xdr:row>
          <xdr:rowOff>0</xdr:rowOff>
        </xdr:to>
        <xdr:sp macro="" textlink="">
          <xdr:nvSpPr>
            <xdr:cNvPr id="63173" name="Option Button 709" hidden="1">
              <a:extLst>
                <a:ext uri="{63B3BB69-23CF-44E3-9099-C40C66FF867C}">
                  <a14:compatExt spid="_x0000_s631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83</xdr:row>
          <xdr:rowOff>114300</xdr:rowOff>
        </xdr:from>
        <xdr:to>
          <xdr:col>3</xdr:col>
          <xdr:colOff>495300</xdr:colOff>
          <xdr:row>85</xdr:row>
          <xdr:rowOff>28575</xdr:rowOff>
        </xdr:to>
        <xdr:sp macro="" textlink="">
          <xdr:nvSpPr>
            <xdr:cNvPr id="63174" name="Option Button 710" hidden="1">
              <a:extLst>
                <a:ext uri="{63B3BB69-23CF-44E3-9099-C40C66FF867C}">
                  <a14:compatExt spid="_x0000_s631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83</xdr:row>
          <xdr:rowOff>66675</xdr:rowOff>
        </xdr:from>
        <xdr:to>
          <xdr:col>5</xdr:col>
          <xdr:colOff>495300</xdr:colOff>
          <xdr:row>85</xdr:row>
          <xdr:rowOff>85725</xdr:rowOff>
        </xdr:to>
        <xdr:sp macro="" textlink="">
          <xdr:nvSpPr>
            <xdr:cNvPr id="63175" name="Option Button 711" hidden="1">
              <a:extLst>
                <a:ext uri="{63B3BB69-23CF-44E3-9099-C40C66FF867C}">
                  <a14:compatExt spid="_x0000_s631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0</xdr:rowOff>
        </xdr:from>
        <xdr:to>
          <xdr:col>3</xdr:col>
          <xdr:colOff>447675</xdr:colOff>
          <xdr:row>22</xdr:row>
          <xdr:rowOff>76200</xdr:rowOff>
        </xdr:to>
        <xdr:sp macro="" textlink="">
          <xdr:nvSpPr>
            <xdr:cNvPr id="63176" name="Option Button 712" hidden="1">
              <a:extLst>
                <a:ext uri="{63B3BB69-23CF-44E3-9099-C40C66FF867C}">
                  <a14:compatExt spid="_x0000_s631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83</xdr:row>
          <xdr:rowOff>66675</xdr:rowOff>
        </xdr:from>
        <xdr:to>
          <xdr:col>4</xdr:col>
          <xdr:colOff>495300</xdr:colOff>
          <xdr:row>85</xdr:row>
          <xdr:rowOff>85725</xdr:rowOff>
        </xdr:to>
        <xdr:sp macro="" textlink="">
          <xdr:nvSpPr>
            <xdr:cNvPr id="63177" name="Option Button 713" hidden="1">
              <a:extLst>
                <a:ext uri="{63B3BB69-23CF-44E3-9099-C40C66FF867C}">
                  <a14:compatExt spid="_x0000_s631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114300</xdr:rowOff>
        </xdr:from>
        <xdr:to>
          <xdr:col>4</xdr:col>
          <xdr:colOff>495300</xdr:colOff>
          <xdr:row>14</xdr:row>
          <xdr:rowOff>28575</xdr:rowOff>
        </xdr:to>
        <xdr:sp macro="" textlink="">
          <xdr:nvSpPr>
            <xdr:cNvPr id="63178" name="Option Button 714" hidden="1">
              <a:extLst>
                <a:ext uri="{63B3BB69-23CF-44E3-9099-C40C66FF867C}">
                  <a14:compatExt spid="_x0000_s631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114300</xdr:rowOff>
        </xdr:from>
        <xdr:to>
          <xdr:col>4</xdr:col>
          <xdr:colOff>495300</xdr:colOff>
          <xdr:row>14</xdr:row>
          <xdr:rowOff>28575</xdr:rowOff>
        </xdr:to>
        <xdr:sp macro="" textlink="">
          <xdr:nvSpPr>
            <xdr:cNvPr id="63179" name="Option Button 715" hidden="1">
              <a:extLst>
                <a:ext uri="{63B3BB69-23CF-44E3-9099-C40C66FF867C}">
                  <a14:compatExt spid="_x0000_s631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12</xdr:row>
          <xdr:rowOff>66675</xdr:rowOff>
        </xdr:from>
        <xdr:to>
          <xdr:col>3</xdr:col>
          <xdr:colOff>495300</xdr:colOff>
          <xdr:row>14</xdr:row>
          <xdr:rowOff>85725</xdr:rowOff>
        </xdr:to>
        <xdr:sp macro="" textlink="">
          <xdr:nvSpPr>
            <xdr:cNvPr id="63180" name="Option Button 716" hidden="1">
              <a:extLst>
                <a:ext uri="{63B3BB69-23CF-44E3-9099-C40C66FF867C}">
                  <a14:compatExt spid="_x0000_s631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26</xdr:row>
          <xdr:rowOff>114300</xdr:rowOff>
        </xdr:from>
        <xdr:to>
          <xdr:col>3</xdr:col>
          <xdr:colOff>495300</xdr:colOff>
          <xdr:row>28</xdr:row>
          <xdr:rowOff>28575</xdr:rowOff>
        </xdr:to>
        <xdr:sp macro="" textlink="">
          <xdr:nvSpPr>
            <xdr:cNvPr id="63181" name="Option Button 717" hidden="1">
              <a:extLst>
                <a:ext uri="{63B3BB69-23CF-44E3-9099-C40C66FF867C}">
                  <a14:compatExt spid="_x0000_s631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56</xdr:row>
          <xdr:rowOff>114300</xdr:rowOff>
        </xdr:from>
        <xdr:to>
          <xdr:col>4</xdr:col>
          <xdr:colOff>495300</xdr:colOff>
          <xdr:row>58</xdr:row>
          <xdr:rowOff>28575</xdr:rowOff>
        </xdr:to>
        <xdr:sp macro="" textlink="">
          <xdr:nvSpPr>
            <xdr:cNvPr id="63182" name="Option Button 718" hidden="1">
              <a:extLst>
                <a:ext uri="{63B3BB69-23CF-44E3-9099-C40C66FF867C}">
                  <a14:compatExt spid="_x0000_s631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56</xdr:row>
          <xdr:rowOff>66675</xdr:rowOff>
        </xdr:from>
        <xdr:to>
          <xdr:col>3</xdr:col>
          <xdr:colOff>495300</xdr:colOff>
          <xdr:row>58</xdr:row>
          <xdr:rowOff>85725</xdr:rowOff>
        </xdr:to>
        <xdr:sp macro="" textlink="">
          <xdr:nvSpPr>
            <xdr:cNvPr id="63183" name="Option Button 719" hidden="1">
              <a:extLst>
                <a:ext uri="{63B3BB69-23CF-44E3-9099-C40C66FF867C}">
                  <a14:compatExt spid="_x0000_s631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56</xdr:row>
          <xdr:rowOff>66675</xdr:rowOff>
        </xdr:from>
        <xdr:to>
          <xdr:col>3</xdr:col>
          <xdr:colOff>495300</xdr:colOff>
          <xdr:row>58</xdr:row>
          <xdr:rowOff>85725</xdr:rowOff>
        </xdr:to>
        <xdr:sp macro="" textlink="">
          <xdr:nvSpPr>
            <xdr:cNvPr id="63184" name="Option Button 720" hidden="1">
              <a:extLst>
                <a:ext uri="{63B3BB69-23CF-44E3-9099-C40C66FF867C}">
                  <a14:compatExt spid="_x0000_s631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65</xdr:row>
          <xdr:rowOff>114300</xdr:rowOff>
        </xdr:from>
        <xdr:to>
          <xdr:col>3</xdr:col>
          <xdr:colOff>495300</xdr:colOff>
          <xdr:row>67</xdr:row>
          <xdr:rowOff>28575</xdr:rowOff>
        </xdr:to>
        <xdr:sp macro="" textlink="">
          <xdr:nvSpPr>
            <xdr:cNvPr id="63185" name="Option Button 721" hidden="1">
              <a:extLst>
                <a:ext uri="{63B3BB69-23CF-44E3-9099-C40C66FF867C}">
                  <a14:compatExt spid="_x0000_s631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65</xdr:row>
          <xdr:rowOff>66675</xdr:rowOff>
        </xdr:from>
        <xdr:to>
          <xdr:col>4</xdr:col>
          <xdr:colOff>495300</xdr:colOff>
          <xdr:row>67</xdr:row>
          <xdr:rowOff>85725</xdr:rowOff>
        </xdr:to>
        <xdr:sp macro="" textlink="">
          <xdr:nvSpPr>
            <xdr:cNvPr id="63186" name="Option Button 722" hidden="1">
              <a:extLst>
                <a:ext uri="{63B3BB69-23CF-44E3-9099-C40C66FF867C}">
                  <a14:compatExt spid="_x0000_s631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65</xdr:row>
          <xdr:rowOff>66675</xdr:rowOff>
        </xdr:from>
        <xdr:to>
          <xdr:col>5</xdr:col>
          <xdr:colOff>495300</xdr:colOff>
          <xdr:row>67</xdr:row>
          <xdr:rowOff>85725</xdr:rowOff>
        </xdr:to>
        <xdr:sp macro="" textlink="">
          <xdr:nvSpPr>
            <xdr:cNvPr id="63187" name="Option Button 723" hidden="1">
              <a:extLst>
                <a:ext uri="{63B3BB69-23CF-44E3-9099-C40C66FF867C}">
                  <a14:compatExt spid="_x0000_s631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65</xdr:row>
          <xdr:rowOff>114300</xdr:rowOff>
        </xdr:from>
        <xdr:to>
          <xdr:col>3</xdr:col>
          <xdr:colOff>495300</xdr:colOff>
          <xdr:row>67</xdr:row>
          <xdr:rowOff>28575</xdr:rowOff>
        </xdr:to>
        <xdr:sp macro="" textlink="">
          <xdr:nvSpPr>
            <xdr:cNvPr id="63188" name="Option Button 724" hidden="1">
              <a:extLst>
                <a:ext uri="{63B3BB69-23CF-44E3-9099-C40C66FF867C}">
                  <a14:compatExt spid="_x0000_s631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65</xdr:row>
          <xdr:rowOff>66675</xdr:rowOff>
        </xdr:from>
        <xdr:to>
          <xdr:col>4</xdr:col>
          <xdr:colOff>495300</xdr:colOff>
          <xdr:row>67</xdr:row>
          <xdr:rowOff>85725</xdr:rowOff>
        </xdr:to>
        <xdr:sp macro="" textlink="">
          <xdr:nvSpPr>
            <xdr:cNvPr id="63189" name="Option Button 725" hidden="1">
              <a:extLst>
                <a:ext uri="{63B3BB69-23CF-44E3-9099-C40C66FF867C}">
                  <a14:compatExt spid="_x0000_s631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65</xdr:row>
          <xdr:rowOff>66675</xdr:rowOff>
        </xdr:from>
        <xdr:to>
          <xdr:col>5</xdr:col>
          <xdr:colOff>495300</xdr:colOff>
          <xdr:row>67</xdr:row>
          <xdr:rowOff>85725</xdr:rowOff>
        </xdr:to>
        <xdr:sp macro="" textlink="">
          <xdr:nvSpPr>
            <xdr:cNvPr id="63190" name="Option Button 726" hidden="1">
              <a:extLst>
                <a:ext uri="{63B3BB69-23CF-44E3-9099-C40C66FF867C}">
                  <a14:compatExt spid="_x0000_s631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90</xdr:row>
          <xdr:rowOff>114300</xdr:rowOff>
        </xdr:from>
        <xdr:to>
          <xdr:col>3</xdr:col>
          <xdr:colOff>495300</xdr:colOff>
          <xdr:row>92</xdr:row>
          <xdr:rowOff>28575</xdr:rowOff>
        </xdr:to>
        <xdr:sp macro="" textlink="">
          <xdr:nvSpPr>
            <xdr:cNvPr id="63191" name="Option Button 727" hidden="1">
              <a:extLst>
                <a:ext uri="{63B3BB69-23CF-44E3-9099-C40C66FF867C}">
                  <a14:compatExt spid="_x0000_s631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90</xdr:row>
          <xdr:rowOff>66675</xdr:rowOff>
        </xdr:from>
        <xdr:to>
          <xdr:col>5</xdr:col>
          <xdr:colOff>495300</xdr:colOff>
          <xdr:row>92</xdr:row>
          <xdr:rowOff>85725</xdr:rowOff>
        </xdr:to>
        <xdr:sp macro="" textlink="">
          <xdr:nvSpPr>
            <xdr:cNvPr id="63192" name="Option Button 728" hidden="1">
              <a:extLst>
                <a:ext uri="{63B3BB69-23CF-44E3-9099-C40C66FF867C}">
                  <a14:compatExt spid="_x0000_s631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90</xdr:row>
          <xdr:rowOff>66675</xdr:rowOff>
        </xdr:from>
        <xdr:to>
          <xdr:col>4</xdr:col>
          <xdr:colOff>495300</xdr:colOff>
          <xdr:row>92</xdr:row>
          <xdr:rowOff>85725</xdr:rowOff>
        </xdr:to>
        <xdr:sp macro="" textlink="">
          <xdr:nvSpPr>
            <xdr:cNvPr id="63193" name="Option Button 729" hidden="1">
              <a:extLst>
                <a:ext uri="{63B3BB69-23CF-44E3-9099-C40C66FF867C}">
                  <a14:compatExt spid="_x0000_s63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93</xdr:row>
          <xdr:rowOff>114300</xdr:rowOff>
        </xdr:from>
        <xdr:to>
          <xdr:col>3</xdr:col>
          <xdr:colOff>495300</xdr:colOff>
          <xdr:row>95</xdr:row>
          <xdr:rowOff>28575</xdr:rowOff>
        </xdr:to>
        <xdr:sp macro="" textlink="">
          <xdr:nvSpPr>
            <xdr:cNvPr id="63194" name="Option Button 730" hidden="1">
              <a:extLst>
                <a:ext uri="{63B3BB69-23CF-44E3-9099-C40C66FF867C}">
                  <a14:compatExt spid="_x0000_s63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93</xdr:row>
          <xdr:rowOff>66675</xdr:rowOff>
        </xdr:from>
        <xdr:to>
          <xdr:col>5</xdr:col>
          <xdr:colOff>495300</xdr:colOff>
          <xdr:row>95</xdr:row>
          <xdr:rowOff>85725</xdr:rowOff>
        </xdr:to>
        <xdr:sp macro="" textlink="">
          <xdr:nvSpPr>
            <xdr:cNvPr id="63195" name="Option Button 731" hidden="1">
              <a:extLst>
                <a:ext uri="{63B3BB69-23CF-44E3-9099-C40C66FF867C}">
                  <a14:compatExt spid="_x0000_s631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93</xdr:row>
          <xdr:rowOff>66675</xdr:rowOff>
        </xdr:from>
        <xdr:to>
          <xdr:col>4</xdr:col>
          <xdr:colOff>495300</xdr:colOff>
          <xdr:row>95</xdr:row>
          <xdr:rowOff>85725</xdr:rowOff>
        </xdr:to>
        <xdr:sp macro="" textlink="">
          <xdr:nvSpPr>
            <xdr:cNvPr id="63196" name="Option Button 732" hidden="1">
              <a:extLst>
                <a:ext uri="{63B3BB69-23CF-44E3-9099-C40C66FF867C}">
                  <a14:compatExt spid="_x0000_s631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32</xdr:row>
          <xdr:rowOff>123825</xdr:rowOff>
        </xdr:from>
        <xdr:to>
          <xdr:col>3</xdr:col>
          <xdr:colOff>485775</xdr:colOff>
          <xdr:row>34</xdr:row>
          <xdr:rowOff>38100</xdr:rowOff>
        </xdr:to>
        <xdr:sp macro="" textlink="">
          <xdr:nvSpPr>
            <xdr:cNvPr id="63197" name="Option Button 733" hidden="1">
              <a:extLst>
                <a:ext uri="{63B3BB69-23CF-44E3-9099-C40C66FF867C}">
                  <a14:compatExt spid="_x0000_s631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32</xdr:row>
          <xdr:rowOff>104775</xdr:rowOff>
        </xdr:from>
        <xdr:to>
          <xdr:col>4</xdr:col>
          <xdr:colOff>476250</xdr:colOff>
          <xdr:row>34</xdr:row>
          <xdr:rowOff>123825</xdr:rowOff>
        </xdr:to>
        <xdr:sp macro="" textlink="">
          <xdr:nvSpPr>
            <xdr:cNvPr id="63198" name="Option Button 734" hidden="1">
              <a:extLst>
                <a:ext uri="{63B3BB69-23CF-44E3-9099-C40C66FF867C}">
                  <a14:compatExt spid="_x0000_s631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41</xdr:row>
          <xdr:rowOff>114300</xdr:rowOff>
        </xdr:from>
        <xdr:to>
          <xdr:col>3</xdr:col>
          <xdr:colOff>495300</xdr:colOff>
          <xdr:row>43</xdr:row>
          <xdr:rowOff>47625</xdr:rowOff>
        </xdr:to>
        <xdr:sp macro="" textlink="">
          <xdr:nvSpPr>
            <xdr:cNvPr id="63199" name="Option Button 735" hidden="1">
              <a:extLst>
                <a:ext uri="{63B3BB69-23CF-44E3-9099-C40C66FF867C}">
                  <a14:compatExt spid="_x0000_s631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41</xdr:row>
          <xdr:rowOff>66675</xdr:rowOff>
        </xdr:from>
        <xdr:to>
          <xdr:col>4</xdr:col>
          <xdr:colOff>495300</xdr:colOff>
          <xdr:row>43</xdr:row>
          <xdr:rowOff>85725</xdr:rowOff>
        </xdr:to>
        <xdr:sp macro="" textlink="">
          <xdr:nvSpPr>
            <xdr:cNvPr id="63200" name="Option Button 736" hidden="1">
              <a:extLst>
                <a:ext uri="{63B3BB69-23CF-44E3-9099-C40C66FF867C}">
                  <a14:compatExt spid="_x0000_s632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41</xdr:row>
          <xdr:rowOff>114300</xdr:rowOff>
        </xdr:from>
        <xdr:to>
          <xdr:col>3</xdr:col>
          <xdr:colOff>495300</xdr:colOff>
          <xdr:row>43</xdr:row>
          <xdr:rowOff>47625</xdr:rowOff>
        </xdr:to>
        <xdr:sp macro="" textlink="">
          <xdr:nvSpPr>
            <xdr:cNvPr id="63201" name="Option Button 737" hidden="1">
              <a:extLst>
                <a:ext uri="{63B3BB69-23CF-44E3-9099-C40C66FF867C}">
                  <a14:compatExt spid="_x0000_s632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41</xdr:row>
          <xdr:rowOff>66675</xdr:rowOff>
        </xdr:from>
        <xdr:to>
          <xdr:col>4</xdr:col>
          <xdr:colOff>495300</xdr:colOff>
          <xdr:row>43</xdr:row>
          <xdr:rowOff>85725</xdr:rowOff>
        </xdr:to>
        <xdr:sp macro="" textlink="">
          <xdr:nvSpPr>
            <xdr:cNvPr id="63202" name="Option Button 738" hidden="1">
              <a:extLst>
                <a:ext uri="{63B3BB69-23CF-44E3-9099-C40C66FF867C}">
                  <a14:compatExt spid="_x0000_s632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29</xdr:row>
          <xdr:rowOff>114300</xdr:rowOff>
        </xdr:from>
        <xdr:to>
          <xdr:col>3</xdr:col>
          <xdr:colOff>495300</xdr:colOff>
          <xdr:row>31</xdr:row>
          <xdr:rowOff>28575</xdr:rowOff>
        </xdr:to>
        <xdr:sp macro="" textlink="">
          <xdr:nvSpPr>
            <xdr:cNvPr id="63203" name="Option Button 739" hidden="1">
              <a:extLst>
                <a:ext uri="{63B3BB69-23CF-44E3-9099-C40C66FF867C}">
                  <a14:compatExt spid="_x0000_s632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29</xdr:row>
          <xdr:rowOff>66675</xdr:rowOff>
        </xdr:from>
        <xdr:to>
          <xdr:col>4</xdr:col>
          <xdr:colOff>495300</xdr:colOff>
          <xdr:row>31</xdr:row>
          <xdr:rowOff>85725</xdr:rowOff>
        </xdr:to>
        <xdr:sp macro="" textlink="">
          <xdr:nvSpPr>
            <xdr:cNvPr id="63204" name="Option Button 740" hidden="1">
              <a:extLst>
                <a:ext uri="{63B3BB69-23CF-44E3-9099-C40C66FF867C}">
                  <a14:compatExt spid="_x0000_s632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29</xdr:row>
          <xdr:rowOff>66675</xdr:rowOff>
        </xdr:from>
        <xdr:to>
          <xdr:col>5</xdr:col>
          <xdr:colOff>495300</xdr:colOff>
          <xdr:row>31</xdr:row>
          <xdr:rowOff>85725</xdr:rowOff>
        </xdr:to>
        <xdr:sp macro="" textlink="">
          <xdr:nvSpPr>
            <xdr:cNvPr id="63205" name="Option Button 741" hidden="1">
              <a:extLst>
                <a:ext uri="{63B3BB69-23CF-44E3-9099-C40C66FF867C}">
                  <a14:compatExt spid="_x0000_s632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87</xdr:row>
          <xdr:rowOff>114300</xdr:rowOff>
        </xdr:from>
        <xdr:to>
          <xdr:col>4</xdr:col>
          <xdr:colOff>495300</xdr:colOff>
          <xdr:row>89</xdr:row>
          <xdr:rowOff>28575</xdr:rowOff>
        </xdr:to>
        <xdr:sp macro="" textlink="">
          <xdr:nvSpPr>
            <xdr:cNvPr id="63206" name="Option Button 742" hidden="1">
              <a:extLst>
                <a:ext uri="{63B3BB69-23CF-44E3-9099-C40C66FF867C}">
                  <a14:compatExt spid="_x0000_s632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68</xdr:row>
          <xdr:rowOff>0</xdr:rowOff>
        </xdr:from>
        <xdr:to>
          <xdr:col>5</xdr:col>
          <xdr:colOff>295275</xdr:colOff>
          <xdr:row>68</xdr:row>
          <xdr:rowOff>0</xdr:rowOff>
        </xdr:to>
        <xdr:sp macro="" textlink="">
          <xdr:nvSpPr>
            <xdr:cNvPr id="63207" name="Object 743" hidden="1">
              <a:extLst>
                <a:ext uri="{63B3BB69-23CF-44E3-9099-C40C66FF867C}">
                  <a14:compatExt spid="_x0000_s63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35</xdr:row>
          <xdr:rowOff>114300</xdr:rowOff>
        </xdr:from>
        <xdr:to>
          <xdr:col>3</xdr:col>
          <xdr:colOff>495300</xdr:colOff>
          <xdr:row>37</xdr:row>
          <xdr:rowOff>47625</xdr:rowOff>
        </xdr:to>
        <xdr:sp macro="" textlink="">
          <xdr:nvSpPr>
            <xdr:cNvPr id="63208" name="Option Button 744" hidden="1">
              <a:extLst>
                <a:ext uri="{63B3BB69-23CF-44E3-9099-C40C66FF867C}">
                  <a14:compatExt spid="_x0000_s632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35</xdr:row>
          <xdr:rowOff>66675</xdr:rowOff>
        </xdr:from>
        <xdr:to>
          <xdr:col>4</xdr:col>
          <xdr:colOff>495300</xdr:colOff>
          <xdr:row>37</xdr:row>
          <xdr:rowOff>85725</xdr:rowOff>
        </xdr:to>
        <xdr:sp macro="" textlink="">
          <xdr:nvSpPr>
            <xdr:cNvPr id="63209" name="Option Button 745" hidden="1">
              <a:extLst>
                <a:ext uri="{63B3BB69-23CF-44E3-9099-C40C66FF867C}">
                  <a14:compatExt spid="_x0000_s632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35</xdr:row>
          <xdr:rowOff>114300</xdr:rowOff>
        </xdr:from>
        <xdr:to>
          <xdr:col>3</xdr:col>
          <xdr:colOff>495300</xdr:colOff>
          <xdr:row>37</xdr:row>
          <xdr:rowOff>47625</xdr:rowOff>
        </xdr:to>
        <xdr:sp macro="" textlink="">
          <xdr:nvSpPr>
            <xdr:cNvPr id="63210" name="Option Button 746" hidden="1">
              <a:extLst>
                <a:ext uri="{63B3BB69-23CF-44E3-9099-C40C66FF867C}">
                  <a14:compatExt spid="_x0000_s632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35</xdr:row>
          <xdr:rowOff>66675</xdr:rowOff>
        </xdr:from>
        <xdr:to>
          <xdr:col>4</xdr:col>
          <xdr:colOff>495300</xdr:colOff>
          <xdr:row>37</xdr:row>
          <xdr:rowOff>85725</xdr:rowOff>
        </xdr:to>
        <xdr:sp macro="" textlink="">
          <xdr:nvSpPr>
            <xdr:cNvPr id="63211" name="Option Button 747" hidden="1">
              <a:extLst>
                <a:ext uri="{63B3BB69-23CF-44E3-9099-C40C66FF867C}">
                  <a14:compatExt spid="_x0000_s632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38</xdr:row>
          <xdr:rowOff>114300</xdr:rowOff>
        </xdr:from>
        <xdr:to>
          <xdr:col>3</xdr:col>
          <xdr:colOff>495300</xdr:colOff>
          <xdr:row>40</xdr:row>
          <xdr:rowOff>47625</xdr:rowOff>
        </xdr:to>
        <xdr:sp macro="" textlink="">
          <xdr:nvSpPr>
            <xdr:cNvPr id="63212" name="Option Button 748" hidden="1">
              <a:extLst>
                <a:ext uri="{63B3BB69-23CF-44E3-9099-C40C66FF867C}">
                  <a14:compatExt spid="_x0000_s632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38</xdr:row>
          <xdr:rowOff>66675</xdr:rowOff>
        </xdr:from>
        <xdr:to>
          <xdr:col>4</xdr:col>
          <xdr:colOff>495300</xdr:colOff>
          <xdr:row>40</xdr:row>
          <xdr:rowOff>85725</xdr:rowOff>
        </xdr:to>
        <xdr:sp macro="" textlink="">
          <xdr:nvSpPr>
            <xdr:cNvPr id="63213" name="Option Button 749" hidden="1">
              <a:extLst>
                <a:ext uri="{63B3BB69-23CF-44E3-9099-C40C66FF867C}">
                  <a14:compatExt spid="_x0000_s632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38</xdr:row>
          <xdr:rowOff>114300</xdr:rowOff>
        </xdr:from>
        <xdr:to>
          <xdr:col>3</xdr:col>
          <xdr:colOff>495300</xdr:colOff>
          <xdr:row>40</xdr:row>
          <xdr:rowOff>47625</xdr:rowOff>
        </xdr:to>
        <xdr:sp macro="" textlink="">
          <xdr:nvSpPr>
            <xdr:cNvPr id="63214" name="Option Button 750" hidden="1">
              <a:extLst>
                <a:ext uri="{63B3BB69-23CF-44E3-9099-C40C66FF867C}">
                  <a14:compatExt spid="_x0000_s632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38</xdr:row>
          <xdr:rowOff>66675</xdr:rowOff>
        </xdr:from>
        <xdr:to>
          <xdr:col>4</xdr:col>
          <xdr:colOff>495300</xdr:colOff>
          <xdr:row>40</xdr:row>
          <xdr:rowOff>85725</xdr:rowOff>
        </xdr:to>
        <xdr:sp macro="" textlink="">
          <xdr:nvSpPr>
            <xdr:cNvPr id="63215" name="Option Button 751" hidden="1">
              <a:extLst>
                <a:ext uri="{63B3BB69-23CF-44E3-9099-C40C66FF867C}">
                  <a14:compatExt spid="_x0000_s632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45</xdr:row>
          <xdr:rowOff>19050</xdr:rowOff>
        </xdr:from>
        <xdr:to>
          <xdr:col>5</xdr:col>
          <xdr:colOff>304800</xdr:colOff>
          <xdr:row>46</xdr:row>
          <xdr:rowOff>9525</xdr:rowOff>
        </xdr:to>
        <xdr:sp macro="" textlink="">
          <xdr:nvSpPr>
            <xdr:cNvPr id="63216" name="Object 752" hidden="1">
              <a:extLst>
                <a:ext uri="{63B3BB69-23CF-44E3-9099-C40C66FF867C}">
                  <a14:compatExt spid="_x0000_s63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0</xdr:rowOff>
        </xdr:from>
        <xdr:to>
          <xdr:col>5</xdr:col>
          <xdr:colOff>0</xdr:colOff>
          <xdr:row>12</xdr:row>
          <xdr:rowOff>0</xdr:rowOff>
        </xdr:to>
        <xdr:sp macro="" textlink="">
          <xdr:nvSpPr>
            <xdr:cNvPr id="63217" name="Group Box 753" hidden="1">
              <a:extLst>
                <a:ext uri="{63B3BB69-23CF-44E3-9099-C40C66FF867C}">
                  <a14:compatExt spid="_x0000_s63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0</xdr:rowOff>
        </xdr:from>
        <xdr:to>
          <xdr:col>5</xdr:col>
          <xdr:colOff>0</xdr:colOff>
          <xdr:row>15</xdr:row>
          <xdr:rowOff>0</xdr:rowOff>
        </xdr:to>
        <xdr:sp macro="" textlink="">
          <xdr:nvSpPr>
            <xdr:cNvPr id="63218" name="Group Box 754" hidden="1">
              <a:extLst>
                <a:ext uri="{63B3BB69-23CF-44E3-9099-C40C66FF867C}">
                  <a14:compatExt spid="_x0000_s63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6</xdr:col>
          <xdr:colOff>0</xdr:colOff>
          <xdr:row>20</xdr:row>
          <xdr:rowOff>0</xdr:rowOff>
        </xdr:to>
        <xdr:sp macro="" textlink="">
          <xdr:nvSpPr>
            <xdr:cNvPr id="63219" name="Group Box 755" hidden="1">
              <a:extLst>
                <a:ext uri="{63B3BB69-23CF-44E3-9099-C40C66FF867C}">
                  <a14:compatExt spid="_x0000_s63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6</xdr:col>
          <xdr:colOff>0</xdr:colOff>
          <xdr:row>23</xdr:row>
          <xdr:rowOff>0</xdr:rowOff>
        </xdr:to>
        <xdr:sp macro="" textlink="">
          <xdr:nvSpPr>
            <xdr:cNvPr id="63220" name="Group Box 756" hidden="1">
              <a:extLst>
                <a:ext uri="{63B3BB69-23CF-44E3-9099-C40C66FF867C}">
                  <a14:compatExt spid="_x0000_s63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0</xdr:rowOff>
        </xdr:from>
        <xdr:to>
          <xdr:col>6</xdr:col>
          <xdr:colOff>0</xdr:colOff>
          <xdr:row>26</xdr:row>
          <xdr:rowOff>0</xdr:rowOff>
        </xdr:to>
        <xdr:sp macro="" textlink="">
          <xdr:nvSpPr>
            <xdr:cNvPr id="63221" name="Group Box 757" hidden="1">
              <a:extLst>
                <a:ext uri="{63B3BB69-23CF-44E3-9099-C40C66FF867C}">
                  <a14:compatExt spid="_x0000_s63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6</xdr:col>
          <xdr:colOff>0</xdr:colOff>
          <xdr:row>29</xdr:row>
          <xdr:rowOff>0</xdr:rowOff>
        </xdr:to>
        <xdr:sp macro="" textlink="">
          <xdr:nvSpPr>
            <xdr:cNvPr id="63222" name="Group Box 758" hidden="1">
              <a:extLst>
                <a:ext uri="{63B3BB69-23CF-44E3-9099-C40C66FF867C}">
                  <a14:compatExt spid="_x0000_s63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0</xdr:rowOff>
        </xdr:from>
        <xdr:to>
          <xdr:col>6</xdr:col>
          <xdr:colOff>0</xdr:colOff>
          <xdr:row>32</xdr:row>
          <xdr:rowOff>0</xdr:rowOff>
        </xdr:to>
        <xdr:sp macro="" textlink="">
          <xdr:nvSpPr>
            <xdr:cNvPr id="63223" name="Group Box 759" hidden="1">
              <a:extLst>
                <a:ext uri="{63B3BB69-23CF-44E3-9099-C40C66FF867C}">
                  <a14:compatExt spid="_x0000_s63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6</xdr:col>
          <xdr:colOff>0</xdr:colOff>
          <xdr:row>35</xdr:row>
          <xdr:rowOff>0</xdr:rowOff>
        </xdr:to>
        <xdr:sp macro="" textlink="">
          <xdr:nvSpPr>
            <xdr:cNvPr id="63224" name="Group Box 760" hidden="1">
              <a:extLst>
                <a:ext uri="{63B3BB69-23CF-44E3-9099-C40C66FF867C}">
                  <a14:compatExt spid="_x0000_s63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6</xdr:col>
          <xdr:colOff>0</xdr:colOff>
          <xdr:row>38</xdr:row>
          <xdr:rowOff>0</xdr:rowOff>
        </xdr:to>
        <xdr:sp macro="" textlink="">
          <xdr:nvSpPr>
            <xdr:cNvPr id="63225" name="Group Box 761" hidden="1">
              <a:extLst>
                <a:ext uri="{63B3BB69-23CF-44E3-9099-C40C66FF867C}">
                  <a14:compatExt spid="_x0000_s63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6</xdr:col>
          <xdr:colOff>0</xdr:colOff>
          <xdr:row>41</xdr:row>
          <xdr:rowOff>0</xdr:rowOff>
        </xdr:to>
        <xdr:sp macro="" textlink="">
          <xdr:nvSpPr>
            <xdr:cNvPr id="63226" name="Group Box 762" hidden="1">
              <a:extLst>
                <a:ext uri="{63B3BB69-23CF-44E3-9099-C40C66FF867C}">
                  <a14:compatExt spid="_x0000_s63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6</xdr:col>
          <xdr:colOff>0</xdr:colOff>
          <xdr:row>44</xdr:row>
          <xdr:rowOff>0</xdr:rowOff>
        </xdr:to>
        <xdr:sp macro="" textlink="">
          <xdr:nvSpPr>
            <xdr:cNvPr id="63227" name="Group Box 763" hidden="1">
              <a:extLst>
                <a:ext uri="{63B3BB69-23CF-44E3-9099-C40C66FF867C}">
                  <a14:compatExt spid="_x0000_s63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6</xdr:col>
          <xdr:colOff>0</xdr:colOff>
          <xdr:row>53</xdr:row>
          <xdr:rowOff>0</xdr:rowOff>
        </xdr:to>
        <xdr:sp macro="" textlink="">
          <xdr:nvSpPr>
            <xdr:cNvPr id="63228" name="Group Box 764" hidden="1">
              <a:extLst>
                <a:ext uri="{63B3BB69-23CF-44E3-9099-C40C66FF867C}">
                  <a14:compatExt spid="_x0000_s63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6</xdr:col>
          <xdr:colOff>0</xdr:colOff>
          <xdr:row>56</xdr:row>
          <xdr:rowOff>0</xdr:rowOff>
        </xdr:to>
        <xdr:sp macro="" textlink="">
          <xdr:nvSpPr>
            <xdr:cNvPr id="63229" name="Group Box 765" hidden="1">
              <a:extLst>
                <a:ext uri="{63B3BB69-23CF-44E3-9099-C40C66FF867C}">
                  <a14:compatExt spid="_x0000_s63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56</xdr:row>
          <xdr:rowOff>0</xdr:rowOff>
        </xdr:from>
        <xdr:to>
          <xdr:col>6</xdr:col>
          <xdr:colOff>0</xdr:colOff>
          <xdr:row>59</xdr:row>
          <xdr:rowOff>0</xdr:rowOff>
        </xdr:to>
        <xdr:sp macro="" textlink="">
          <xdr:nvSpPr>
            <xdr:cNvPr id="63230" name="Group Box 766" hidden="1">
              <a:extLst>
                <a:ext uri="{63B3BB69-23CF-44E3-9099-C40C66FF867C}">
                  <a14:compatExt spid="_x0000_s63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59</xdr:row>
          <xdr:rowOff>0</xdr:rowOff>
        </xdr:from>
        <xdr:to>
          <xdr:col>6</xdr:col>
          <xdr:colOff>0</xdr:colOff>
          <xdr:row>62</xdr:row>
          <xdr:rowOff>0</xdr:rowOff>
        </xdr:to>
        <xdr:sp macro="" textlink="">
          <xdr:nvSpPr>
            <xdr:cNvPr id="63231" name="Group Box 767" hidden="1">
              <a:extLst>
                <a:ext uri="{63B3BB69-23CF-44E3-9099-C40C66FF867C}">
                  <a14:compatExt spid="_x0000_s63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62</xdr:row>
          <xdr:rowOff>0</xdr:rowOff>
        </xdr:from>
        <xdr:to>
          <xdr:col>6</xdr:col>
          <xdr:colOff>0</xdr:colOff>
          <xdr:row>65</xdr:row>
          <xdr:rowOff>0</xdr:rowOff>
        </xdr:to>
        <xdr:sp macro="" textlink="">
          <xdr:nvSpPr>
            <xdr:cNvPr id="63232" name="Group Box 768" hidden="1">
              <a:extLst>
                <a:ext uri="{63B3BB69-23CF-44E3-9099-C40C66FF867C}">
                  <a14:compatExt spid="_x0000_s63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65</xdr:row>
          <xdr:rowOff>0</xdr:rowOff>
        </xdr:from>
        <xdr:to>
          <xdr:col>6</xdr:col>
          <xdr:colOff>0</xdr:colOff>
          <xdr:row>68</xdr:row>
          <xdr:rowOff>0</xdr:rowOff>
        </xdr:to>
        <xdr:sp macro="" textlink="">
          <xdr:nvSpPr>
            <xdr:cNvPr id="63233" name="Group Box 769" hidden="1">
              <a:extLst>
                <a:ext uri="{63B3BB69-23CF-44E3-9099-C40C66FF867C}">
                  <a14:compatExt spid="_x0000_s63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68</xdr:row>
          <xdr:rowOff>0</xdr:rowOff>
        </xdr:from>
        <xdr:to>
          <xdr:col>6</xdr:col>
          <xdr:colOff>0</xdr:colOff>
          <xdr:row>71</xdr:row>
          <xdr:rowOff>0</xdr:rowOff>
        </xdr:to>
        <xdr:sp macro="" textlink="">
          <xdr:nvSpPr>
            <xdr:cNvPr id="63234" name="Group Box 770" hidden="1">
              <a:extLst>
                <a:ext uri="{63B3BB69-23CF-44E3-9099-C40C66FF867C}">
                  <a14:compatExt spid="_x0000_s63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71</xdr:row>
          <xdr:rowOff>0</xdr:rowOff>
        </xdr:from>
        <xdr:to>
          <xdr:col>6</xdr:col>
          <xdr:colOff>0</xdr:colOff>
          <xdr:row>74</xdr:row>
          <xdr:rowOff>0</xdr:rowOff>
        </xdr:to>
        <xdr:sp macro="" textlink="">
          <xdr:nvSpPr>
            <xdr:cNvPr id="63235" name="Group Box 771" hidden="1">
              <a:extLst>
                <a:ext uri="{63B3BB69-23CF-44E3-9099-C40C66FF867C}">
                  <a14:compatExt spid="_x0000_s63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xdr:row>
          <xdr:rowOff>0</xdr:rowOff>
        </xdr:from>
        <xdr:to>
          <xdr:col>6</xdr:col>
          <xdr:colOff>0</xdr:colOff>
          <xdr:row>80</xdr:row>
          <xdr:rowOff>0</xdr:rowOff>
        </xdr:to>
        <xdr:sp macro="" textlink="">
          <xdr:nvSpPr>
            <xdr:cNvPr id="63237" name="Group Box 773" hidden="1">
              <a:extLst>
                <a:ext uri="{63B3BB69-23CF-44E3-9099-C40C66FF867C}">
                  <a14:compatExt spid="_x0000_s63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80</xdr:row>
          <xdr:rowOff>0</xdr:rowOff>
        </xdr:from>
        <xdr:to>
          <xdr:col>6</xdr:col>
          <xdr:colOff>0</xdr:colOff>
          <xdr:row>83</xdr:row>
          <xdr:rowOff>0</xdr:rowOff>
        </xdr:to>
        <xdr:sp macro="" textlink="">
          <xdr:nvSpPr>
            <xdr:cNvPr id="63238" name="Group Box 774" hidden="1">
              <a:extLst>
                <a:ext uri="{63B3BB69-23CF-44E3-9099-C40C66FF867C}">
                  <a14:compatExt spid="_x0000_s63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83</xdr:row>
          <xdr:rowOff>0</xdr:rowOff>
        </xdr:from>
        <xdr:to>
          <xdr:col>6</xdr:col>
          <xdr:colOff>0</xdr:colOff>
          <xdr:row>86</xdr:row>
          <xdr:rowOff>0</xdr:rowOff>
        </xdr:to>
        <xdr:sp macro="" textlink="">
          <xdr:nvSpPr>
            <xdr:cNvPr id="63239" name="Group Box 775" hidden="1">
              <a:extLst>
                <a:ext uri="{63B3BB69-23CF-44E3-9099-C40C66FF867C}">
                  <a14:compatExt spid="_x0000_s63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87</xdr:row>
          <xdr:rowOff>0</xdr:rowOff>
        </xdr:from>
        <xdr:to>
          <xdr:col>6</xdr:col>
          <xdr:colOff>0</xdr:colOff>
          <xdr:row>90</xdr:row>
          <xdr:rowOff>0</xdr:rowOff>
        </xdr:to>
        <xdr:sp macro="" textlink="">
          <xdr:nvSpPr>
            <xdr:cNvPr id="63240" name="Group Box 776" hidden="1">
              <a:extLst>
                <a:ext uri="{63B3BB69-23CF-44E3-9099-C40C66FF867C}">
                  <a14:compatExt spid="_x0000_s63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93</xdr:row>
          <xdr:rowOff>0</xdr:rowOff>
        </xdr:from>
        <xdr:to>
          <xdr:col>6</xdr:col>
          <xdr:colOff>0</xdr:colOff>
          <xdr:row>96</xdr:row>
          <xdr:rowOff>0</xdr:rowOff>
        </xdr:to>
        <xdr:sp macro="" textlink="">
          <xdr:nvSpPr>
            <xdr:cNvPr id="63241" name="Group Box 777" hidden="1">
              <a:extLst>
                <a:ext uri="{63B3BB69-23CF-44E3-9099-C40C66FF867C}">
                  <a14:compatExt spid="_x0000_s63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90</xdr:row>
          <xdr:rowOff>0</xdr:rowOff>
        </xdr:from>
        <xdr:to>
          <xdr:col>6</xdr:col>
          <xdr:colOff>0</xdr:colOff>
          <xdr:row>93</xdr:row>
          <xdr:rowOff>0</xdr:rowOff>
        </xdr:to>
        <xdr:sp macro="" textlink="">
          <xdr:nvSpPr>
            <xdr:cNvPr id="63242" name="Group Box 778" hidden="1">
              <a:extLst>
                <a:ext uri="{63B3BB69-23CF-44E3-9099-C40C66FF867C}">
                  <a14:compatExt spid="_x0000_s63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7572375</xdr:colOff>
          <xdr:row>1</xdr:row>
          <xdr:rowOff>19050</xdr:rowOff>
        </xdr:from>
        <xdr:to>
          <xdr:col>5</xdr:col>
          <xdr:colOff>200025</xdr:colOff>
          <xdr:row>2</xdr:row>
          <xdr:rowOff>19050</xdr:rowOff>
        </xdr:to>
        <xdr:sp macro="" textlink="">
          <xdr:nvSpPr>
            <xdr:cNvPr id="63243" name="Object 779" hidden="1">
              <a:extLst>
                <a:ext uri="{63B3BB69-23CF-44E3-9099-C40C66FF867C}">
                  <a14:compatExt spid="_x0000_s63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74</xdr:row>
          <xdr:rowOff>114300</xdr:rowOff>
        </xdr:from>
        <xdr:to>
          <xdr:col>3</xdr:col>
          <xdr:colOff>495300</xdr:colOff>
          <xdr:row>75</xdr:row>
          <xdr:rowOff>142875</xdr:rowOff>
        </xdr:to>
        <xdr:sp macro="" textlink="">
          <xdr:nvSpPr>
            <xdr:cNvPr id="63244" name="Option Button 780" hidden="1">
              <a:extLst>
                <a:ext uri="{63B3BB69-23CF-44E3-9099-C40C66FF867C}">
                  <a14:compatExt spid="_x0000_s632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74</xdr:row>
          <xdr:rowOff>66675</xdr:rowOff>
        </xdr:from>
        <xdr:to>
          <xdr:col>4</xdr:col>
          <xdr:colOff>495300</xdr:colOff>
          <xdr:row>76</xdr:row>
          <xdr:rowOff>28575</xdr:rowOff>
        </xdr:to>
        <xdr:sp macro="" textlink="">
          <xdr:nvSpPr>
            <xdr:cNvPr id="63245" name="Option Button 781" hidden="1">
              <a:extLst>
                <a:ext uri="{63B3BB69-23CF-44E3-9099-C40C66FF867C}">
                  <a14:compatExt spid="_x0000_s632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74</xdr:row>
          <xdr:rowOff>114300</xdr:rowOff>
        </xdr:from>
        <xdr:to>
          <xdr:col>3</xdr:col>
          <xdr:colOff>495300</xdr:colOff>
          <xdr:row>75</xdr:row>
          <xdr:rowOff>142875</xdr:rowOff>
        </xdr:to>
        <xdr:sp macro="" textlink="">
          <xdr:nvSpPr>
            <xdr:cNvPr id="63247" name="Option Button 783" hidden="1">
              <a:extLst>
                <a:ext uri="{63B3BB69-23CF-44E3-9099-C40C66FF867C}">
                  <a14:compatExt spid="_x0000_s632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74</xdr:row>
          <xdr:rowOff>66675</xdr:rowOff>
        </xdr:from>
        <xdr:to>
          <xdr:col>4</xdr:col>
          <xdr:colOff>495300</xdr:colOff>
          <xdr:row>76</xdr:row>
          <xdr:rowOff>28575</xdr:rowOff>
        </xdr:to>
        <xdr:sp macro="" textlink="">
          <xdr:nvSpPr>
            <xdr:cNvPr id="63248" name="Option Button 784" hidden="1">
              <a:extLst>
                <a:ext uri="{63B3BB69-23CF-44E3-9099-C40C66FF867C}">
                  <a14:compatExt spid="_x0000_s632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74</xdr:row>
          <xdr:rowOff>0</xdr:rowOff>
        </xdr:from>
        <xdr:to>
          <xdr:col>6</xdr:col>
          <xdr:colOff>0</xdr:colOff>
          <xdr:row>77</xdr:row>
          <xdr:rowOff>0</xdr:rowOff>
        </xdr:to>
        <xdr:sp macro="" textlink="">
          <xdr:nvSpPr>
            <xdr:cNvPr id="63250" name="Group Box 786" hidden="1">
              <a:extLst>
                <a:ext uri="{63B3BB69-23CF-44E3-9099-C40C66FF867C}">
                  <a14:compatExt spid="_x0000_s63250"/>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152400</xdr:colOff>
          <xdr:row>1</xdr:row>
          <xdr:rowOff>9525</xdr:rowOff>
        </xdr:from>
        <xdr:to>
          <xdr:col>6</xdr:col>
          <xdr:colOff>714375</xdr:colOff>
          <xdr:row>1</xdr:row>
          <xdr:rowOff>152400</xdr:rowOff>
        </xdr:to>
        <xdr:sp macro="" textlink="">
          <xdr:nvSpPr>
            <xdr:cNvPr id="85008" name="Object 16" hidden="1">
              <a:extLst>
                <a:ext uri="{63B3BB69-23CF-44E3-9099-C40C66FF867C}">
                  <a14:compatExt spid="_x0000_s85008"/>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457200</xdr:colOff>
          <xdr:row>21</xdr:row>
          <xdr:rowOff>133350</xdr:rowOff>
        </xdr:from>
        <xdr:to>
          <xdr:col>3</xdr:col>
          <xdr:colOff>228600</xdr:colOff>
          <xdr:row>23</xdr:row>
          <xdr:rowOff>47625</xdr:rowOff>
        </xdr:to>
        <xdr:sp macro="" textlink="">
          <xdr:nvSpPr>
            <xdr:cNvPr id="87041" name="Check Box 1" hidden="1">
              <a:extLst>
                <a:ext uri="{63B3BB69-23CF-44E3-9099-C40C66FF867C}">
                  <a14:compatExt spid="_x0000_s870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457200</xdr:colOff>
          <xdr:row>21</xdr:row>
          <xdr:rowOff>133350</xdr:rowOff>
        </xdr:from>
        <xdr:to>
          <xdr:col>3</xdr:col>
          <xdr:colOff>228600</xdr:colOff>
          <xdr:row>23</xdr:row>
          <xdr:rowOff>47625</xdr:rowOff>
        </xdr:to>
        <xdr:sp macro="" textlink="">
          <xdr:nvSpPr>
            <xdr:cNvPr id="87042" name="Check Box 2" hidden="1">
              <a:extLst>
                <a:ext uri="{63B3BB69-23CF-44E3-9099-C40C66FF867C}">
                  <a14:compatExt spid="_x0000_s87042"/>
                </a:ext>
              </a:extLst>
            </xdr:cNvPr>
            <xdr:cNvSpPr/>
          </xdr:nvSpPr>
          <xdr:spPr>
            <a:xfrm>
              <a:off x="0" y="0"/>
              <a:ext cx="0" cy="0"/>
            </a:xfrm>
            <a:prstGeom prst="rect">
              <a:avLst/>
            </a:prstGeom>
          </xdr:spPr>
        </xdr:sp>
        <xdr:clientData fLocksWithSheet="0"/>
      </xdr:twoCellAnchor>
    </mc:Choice>
    <mc:Fallback/>
  </mc:AlternateContent>
  <xdr:twoCellAnchor>
    <xdr:from>
      <xdr:col>11</xdr:col>
      <xdr:colOff>247650</xdr:colOff>
      <xdr:row>2</xdr:row>
      <xdr:rowOff>0</xdr:rowOff>
    </xdr:from>
    <xdr:to>
      <xdr:col>14</xdr:col>
      <xdr:colOff>200025</xdr:colOff>
      <xdr:row>6</xdr:row>
      <xdr:rowOff>133350</xdr:rowOff>
    </xdr:to>
    <xdr:pic>
      <xdr:nvPicPr>
        <xdr:cNvPr id="87140" name="Picture 3" descr="01 nza logo pms 100mm PMS 463 [bas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975" y="419100"/>
          <a:ext cx="18097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457200</xdr:colOff>
          <xdr:row>0</xdr:row>
          <xdr:rowOff>0</xdr:rowOff>
        </xdr:from>
        <xdr:to>
          <xdr:col>4</xdr:col>
          <xdr:colOff>47625</xdr:colOff>
          <xdr:row>0</xdr:row>
          <xdr:rowOff>0</xdr:rowOff>
        </xdr:to>
        <xdr:sp macro="" textlink="">
          <xdr:nvSpPr>
            <xdr:cNvPr id="88065" name="Object 1" hidden="1">
              <a:extLst>
                <a:ext uri="{63B3BB69-23CF-44E3-9099-C40C66FF867C}">
                  <a14:compatExt spid="_x0000_s88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447675</xdr:colOff>
          <xdr:row>0</xdr:row>
          <xdr:rowOff>0</xdr:rowOff>
        </xdr:from>
        <xdr:to>
          <xdr:col>4</xdr:col>
          <xdr:colOff>38100</xdr:colOff>
          <xdr:row>0</xdr:row>
          <xdr:rowOff>0</xdr:rowOff>
        </xdr:to>
        <xdr:sp macro="" textlink="">
          <xdr:nvSpPr>
            <xdr:cNvPr id="88066" name="Object 2" hidden="1">
              <a:extLst>
                <a:ext uri="{63B3BB69-23CF-44E3-9099-C40C66FF867C}">
                  <a14:compatExt spid="_x0000_s88066"/>
                </a:ext>
              </a:extLst>
            </xdr:cNvPr>
            <xdr:cNvSpPr/>
          </xdr:nvSpPr>
          <xdr:spPr>
            <a:xfrm>
              <a:off x="0" y="0"/>
              <a:ext cx="0" cy="0"/>
            </a:xfrm>
            <a:prstGeom prst="rect">
              <a:avLst/>
            </a:prstGeom>
          </xdr:spPr>
        </xdr:sp>
        <xdr:clientData/>
      </xdr:twoCellAnchor>
    </mc:Choice>
    <mc:Fallback/>
  </mc:AlternateContent>
  <xdr:twoCellAnchor>
    <xdr:from>
      <xdr:col>12</xdr:col>
      <xdr:colOff>581025</xdr:colOff>
      <xdr:row>75</xdr:row>
      <xdr:rowOff>142875</xdr:rowOff>
    </xdr:from>
    <xdr:to>
      <xdr:col>12</xdr:col>
      <xdr:colOff>581025</xdr:colOff>
      <xdr:row>78</xdr:row>
      <xdr:rowOff>28575</xdr:rowOff>
    </xdr:to>
    <xdr:grpSp>
      <xdr:nvGrpSpPr>
        <xdr:cNvPr id="88554" name="Group 3"/>
        <xdr:cNvGrpSpPr>
          <a:grpSpLocks/>
        </xdr:cNvGrpSpPr>
      </xdr:nvGrpSpPr>
      <xdr:grpSpPr bwMode="auto">
        <a:xfrm>
          <a:off x="14230350" y="24526875"/>
          <a:ext cx="0" cy="314325"/>
          <a:chOff x="769" y="35"/>
          <a:chExt cx="110" cy="41"/>
        </a:xfrm>
      </xdr:grpSpPr>
      <xdr:sp macro="" textlink="">
        <xdr:nvSpPr>
          <xdr:cNvPr id="88555" name="Rectangle 4"/>
          <xdr:cNvSpPr>
            <a:spLocks noChangeArrowheads="1"/>
          </xdr:cNvSpPr>
        </xdr:nvSpPr>
        <xdr:spPr bwMode="auto">
          <a:xfrm>
            <a:off x="790" y="55"/>
            <a:ext cx="89" cy="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88556" name="Rectangle 5"/>
          <xdr:cNvSpPr>
            <a:spLocks noChangeArrowheads="1"/>
          </xdr:cNvSpPr>
        </xdr:nvSpPr>
        <xdr:spPr bwMode="auto">
          <a:xfrm>
            <a:off x="769" y="47"/>
            <a:ext cx="21" cy="1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FFFFFF" mc:Ignorable="a14" a14:legacySpreadsheetColorIndex="9"/>
                </a:solidFill>
                <a:miter lim="800000"/>
                <a:headEnd/>
                <a:tailEnd/>
              </a14:hiddenLine>
            </a:ext>
          </a:extLst>
        </xdr:spPr>
      </xdr:sp>
      <xdr:pic>
        <xdr:nvPicPr>
          <xdr:cNvPr id="88557" name="Picture 6" descr="BriefVervol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 y="35"/>
            <a:ext cx="83" cy="39"/>
          </a:xfrm>
          <a:prstGeom prst="rect">
            <a:avLst/>
          </a:prstGeom>
          <a:noFill/>
          <a:ln>
            <a:noFill/>
          </a:ln>
          <a:extLst>
            <a:ext uri="{909E8E84-426E-40DD-AFC4-6F175D3DCCD1}">
              <a14:hiddenFill xmlns:a14="http://schemas.microsoft.com/office/drawing/2010/main">
                <a:solidFill>
                  <a:srgbClr val="FFFFFF">
                    <a:alpha val="50195"/>
                  </a:srgbClr>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8558" name="Rectangle 7"/>
          <xdr:cNvSpPr>
            <a:spLocks noChangeArrowheads="1"/>
          </xdr:cNvSpPr>
        </xdr:nvSpPr>
        <xdr:spPr bwMode="auto">
          <a:xfrm>
            <a:off x="834" y="35"/>
            <a:ext cx="39" cy="1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FFFF" mc:Ignorable="a14" a14:legacySpreadsheetColorIndex="9"/>
            </a:solidFill>
            <a:miter lim="800000"/>
            <a:headEnd/>
            <a:tailEnd/>
          </a:ln>
        </xdr:spPr>
      </xdr:sp>
    </xdr:grpSp>
    <xdr:clientData/>
  </xdr:twoCellAnchor>
  <mc:AlternateContent xmlns:mc="http://schemas.openxmlformats.org/markup-compatibility/2006">
    <mc:Choice xmlns:a14="http://schemas.microsoft.com/office/drawing/2010/main" Requires="a14">
      <xdr:twoCellAnchor>
        <xdr:from>
          <xdr:col>2</xdr:col>
          <xdr:colOff>333375</xdr:colOff>
          <xdr:row>18</xdr:row>
          <xdr:rowOff>276225</xdr:rowOff>
        </xdr:from>
        <xdr:to>
          <xdr:col>3</xdr:col>
          <xdr:colOff>438150</xdr:colOff>
          <xdr:row>18</xdr:row>
          <xdr:rowOff>419100</xdr:rowOff>
        </xdr:to>
        <xdr:sp macro="" textlink="">
          <xdr:nvSpPr>
            <xdr:cNvPr id="88072" name="Object 8" hidden="1">
              <a:extLst>
                <a:ext uri="{63B3BB69-23CF-44E3-9099-C40C66FF867C}">
                  <a14:compatExt spid="_x0000_s88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276225</xdr:colOff>
          <xdr:row>1</xdr:row>
          <xdr:rowOff>47625</xdr:rowOff>
        </xdr:from>
        <xdr:to>
          <xdr:col>3</xdr:col>
          <xdr:colOff>381000</xdr:colOff>
          <xdr:row>1</xdr:row>
          <xdr:rowOff>190500</xdr:rowOff>
        </xdr:to>
        <xdr:sp macro="" textlink="">
          <xdr:nvSpPr>
            <xdr:cNvPr id="88073" name="Object 9" hidden="1">
              <a:extLst>
                <a:ext uri="{63B3BB69-23CF-44E3-9099-C40C66FF867C}">
                  <a14:compatExt spid="_x0000_s88073"/>
                </a:ext>
              </a:extLst>
            </xdr:cNvPr>
            <xdr:cNvSpPr/>
          </xdr:nvSpPr>
          <xdr:spPr>
            <a:xfrm>
              <a:off x="0" y="0"/>
              <a:ext cx="0" cy="0"/>
            </a:xfrm>
            <a:prstGeom prst="rect">
              <a:avLst/>
            </a:prstGeom>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1590675</xdr:colOff>
          <xdr:row>1</xdr:row>
          <xdr:rowOff>38100</xdr:rowOff>
        </xdr:from>
        <xdr:to>
          <xdr:col>4</xdr:col>
          <xdr:colOff>714375</xdr:colOff>
          <xdr:row>1</xdr:row>
          <xdr:rowOff>180975</xdr:rowOff>
        </xdr:to>
        <xdr:sp macro="" textlink="">
          <xdr:nvSpPr>
            <xdr:cNvPr id="89089" name="Object 1" hidden="1">
              <a:extLst>
                <a:ext uri="{63B3BB69-23CF-44E3-9099-C40C66FF867C}">
                  <a14:compatExt spid="_x0000_s8908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2114550</xdr:colOff>
          <xdr:row>1</xdr:row>
          <xdr:rowOff>0</xdr:rowOff>
        </xdr:from>
        <xdr:to>
          <xdr:col>8</xdr:col>
          <xdr:colOff>266700</xdr:colOff>
          <xdr:row>1</xdr:row>
          <xdr:rowOff>142875</xdr:rowOff>
        </xdr:to>
        <xdr:sp macro="" textlink="">
          <xdr:nvSpPr>
            <xdr:cNvPr id="28690" name="Object 18" hidden="1">
              <a:extLst>
                <a:ext uri="{63B3BB69-23CF-44E3-9099-C40C66FF867C}">
                  <a14:compatExt spid="_x0000_s28690"/>
                </a:ext>
              </a:extLst>
            </xdr:cNvPr>
            <xdr:cNvSpPr/>
          </xdr:nvSpPr>
          <xdr:spPr>
            <a:xfrm>
              <a:off x="0" y="0"/>
              <a:ext cx="0" cy="0"/>
            </a:xfrm>
            <a:prstGeom prst="rect">
              <a:avLst/>
            </a:prstGeom>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409575</xdr:colOff>
          <xdr:row>1</xdr:row>
          <xdr:rowOff>38100</xdr:rowOff>
        </xdr:from>
        <xdr:to>
          <xdr:col>6</xdr:col>
          <xdr:colOff>762000</xdr:colOff>
          <xdr:row>1</xdr:row>
          <xdr:rowOff>180975</xdr:rowOff>
        </xdr:to>
        <xdr:sp macro="" textlink="">
          <xdr:nvSpPr>
            <xdr:cNvPr id="90113" name="Object 1" hidden="1">
              <a:extLst>
                <a:ext uri="{63B3BB69-23CF-44E3-9099-C40C66FF867C}">
                  <a14:compatExt spid="_x0000_s90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428625</xdr:colOff>
          <xdr:row>47</xdr:row>
          <xdr:rowOff>9525</xdr:rowOff>
        </xdr:from>
        <xdr:to>
          <xdr:col>6</xdr:col>
          <xdr:colOff>781050</xdr:colOff>
          <xdr:row>48</xdr:row>
          <xdr:rowOff>0</xdr:rowOff>
        </xdr:to>
        <xdr:sp macro="" textlink="">
          <xdr:nvSpPr>
            <xdr:cNvPr id="90114" name="Object 2" hidden="1">
              <a:extLst>
                <a:ext uri="{63B3BB69-23CF-44E3-9099-C40C66FF867C}">
                  <a14:compatExt spid="_x0000_s90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90</xdr:row>
          <xdr:rowOff>9525</xdr:rowOff>
        </xdr:from>
        <xdr:to>
          <xdr:col>6</xdr:col>
          <xdr:colOff>771525</xdr:colOff>
          <xdr:row>91</xdr:row>
          <xdr:rowOff>0</xdr:rowOff>
        </xdr:to>
        <xdr:sp macro="" textlink="">
          <xdr:nvSpPr>
            <xdr:cNvPr id="90115" name="Object 3" hidden="1">
              <a:extLst>
                <a:ext uri="{63B3BB69-23CF-44E3-9099-C40C66FF867C}">
                  <a14:compatExt spid="_x0000_s90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409575</xdr:colOff>
          <xdr:row>119</xdr:row>
          <xdr:rowOff>19050</xdr:rowOff>
        </xdr:from>
        <xdr:to>
          <xdr:col>6</xdr:col>
          <xdr:colOff>828675</xdr:colOff>
          <xdr:row>120</xdr:row>
          <xdr:rowOff>9525</xdr:rowOff>
        </xdr:to>
        <xdr:sp macro="" textlink="">
          <xdr:nvSpPr>
            <xdr:cNvPr id="90116" name="Object 4" hidden="1">
              <a:extLst>
                <a:ext uri="{63B3BB69-23CF-44E3-9099-C40C66FF867C}">
                  <a14:compatExt spid="_x0000_s90116"/>
                </a:ext>
              </a:extLst>
            </xdr:cNvPr>
            <xdr:cNvSpPr/>
          </xdr:nvSpPr>
          <xdr:spPr>
            <a:xfrm>
              <a:off x="0" y="0"/>
              <a:ext cx="0" cy="0"/>
            </a:xfrm>
            <a:prstGeom prst="rect">
              <a:avLst/>
            </a:prstGeom>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609600</xdr:colOff>
          <xdr:row>78</xdr:row>
          <xdr:rowOff>28575</xdr:rowOff>
        </xdr:from>
        <xdr:to>
          <xdr:col>19</xdr:col>
          <xdr:colOff>485775</xdr:colOff>
          <xdr:row>79</xdr:row>
          <xdr:rowOff>0</xdr:rowOff>
        </xdr:to>
        <xdr:sp macro="" textlink="">
          <xdr:nvSpPr>
            <xdr:cNvPr id="91137" name="Object 1" hidden="1">
              <a:extLst>
                <a:ext uri="{63B3BB69-23CF-44E3-9099-C40C66FF867C}">
                  <a14:compatExt spid="_x0000_s9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647700</xdr:colOff>
          <xdr:row>143</xdr:row>
          <xdr:rowOff>0</xdr:rowOff>
        </xdr:from>
        <xdr:to>
          <xdr:col>19</xdr:col>
          <xdr:colOff>523875</xdr:colOff>
          <xdr:row>144</xdr:row>
          <xdr:rowOff>0</xdr:rowOff>
        </xdr:to>
        <xdr:sp macro="" textlink="">
          <xdr:nvSpPr>
            <xdr:cNvPr id="91138" name="Object 2" hidden="1">
              <a:extLst>
                <a:ext uri="{63B3BB69-23CF-44E3-9099-C40C66FF867C}">
                  <a14:compatExt spid="_x0000_s9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695325</xdr:colOff>
          <xdr:row>1</xdr:row>
          <xdr:rowOff>47625</xdr:rowOff>
        </xdr:from>
        <xdr:to>
          <xdr:col>19</xdr:col>
          <xdr:colOff>571500</xdr:colOff>
          <xdr:row>1</xdr:row>
          <xdr:rowOff>190500</xdr:rowOff>
        </xdr:to>
        <xdr:sp macro="" textlink="">
          <xdr:nvSpPr>
            <xdr:cNvPr id="91139" name="Object 3" hidden="1">
              <a:extLst>
                <a:ext uri="{63B3BB69-23CF-44E3-9099-C40C66FF867C}">
                  <a14:compatExt spid="_x0000_s9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657225</xdr:colOff>
          <xdr:row>44</xdr:row>
          <xdr:rowOff>0</xdr:rowOff>
        </xdr:from>
        <xdr:to>
          <xdr:col>19</xdr:col>
          <xdr:colOff>533400</xdr:colOff>
          <xdr:row>44</xdr:row>
          <xdr:rowOff>152400</xdr:rowOff>
        </xdr:to>
        <xdr:sp macro="" textlink="">
          <xdr:nvSpPr>
            <xdr:cNvPr id="91140" name="Object 4" hidden="1">
              <a:extLst>
                <a:ext uri="{63B3BB69-23CF-44E3-9099-C40C66FF867C}">
                  <a14:compatExt spid="_x0000_s91140"/>
                </a:ext>
              </a:extLst>
            </xdr:cNvPr>
            <xdr:cNvSpPr/>
          </xdr:nvSpPr>
          <xdr:spPr>
            <a:xfrm>
              <a:off x="0" y="0"/>
              <a:ext cx="0" cy="0"/>
            </a:xfrm>
            <a:prstGeom prst="rect">
              <a:avLst/>
            </a:prstGeom>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504825</xdr:colOff>
          <xdr:row>1</xdr:row>
          <xdr:rowOff>38100</xdr:rowOff>
        </xdr:from>
        <xdr:to>
          <xdr:col>4</xdr:col>
          <xdr:colOff>857250</xdr:colOff>
          <xdr:row>1</xdr:row>
          <xdr:rowOff>180975</xdr:rowOff>
        </xdr:to>
        <xdr:sp macro="" textlink="">
          <xdr:nvSpPr>
            <xdr:cNvPr id="92161" name="Object 1" hidden="1">
              <a:extLst>
                <a:ext uri="{63B3BB69-23CF-44E3-9099-C40C66FF867C}">
                  <a14:compatExt spid="_x0000_s92161"/>
                </a:ext>
              </a:extLst>
            </xdr:cNvPr>
            <xdr:cNvSpPr/>
          </xdr:nvSpPr>
          <xdr:spPr>
            <a:xfrm>
              <a:off x="0" y="0"/>
              <a:ext cx="0" cy="0"/>
            </a:xfrm>
            <a:prstGeom prst="rect">
              <a:avLst/>
            </a:prstGeom>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371475</xdr:colOff>
          <xdr:row>1</xdr:row>
          <xdr:rowOff>38100</xdr:rowOff>
        </xdr:from>
        <xdr:to>
          <xdr:col>4</xdr:col>
          <xdr:colOff>276225</xdr:colOff>
          <xdr:row>1</xdr:row>
          <xdr:rowOff>180975</xdr:rowOff>
        </xdr:to>
        <xdr:sp macro="" textlink="">
          <xdr:nvSpPr>
            <xdr:cNvPr id="94209" name="Object 1" hidden="1">
              <a:extLst>
                <a:ext uri="{63B3BB69-23CF-44E3-9099-C40C66FF867C}">
                  <a14:compatExt spid="_x0000_s9420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10</xdr:col>
      <xdr:colOff>581025</xdr:colOff>
      <xdr:row>61</xdr:row>
      <xdr:rowOff>142875</xdr:rowOff>
    </xdr:from>
    <xdr:to>
      <xdr:col>10</xdr:col>
      <xdr:colOff>581025</xdr:colOff>
      <xdr:row>64</xdr:row>
      <xdr:rowOff>28575</xdr:rowOff>
    </xdr:to>
    <xdr:grpSp>
      <xdr:nvGrpSpPr>
        <xdr:cNvPr id="27229" name="Group 105"/>
        <xdr:cNvGrpSpPr>
          <a:grpSpLocks/>
        </xdr:cNvGrpSpPr>
      </xdr:nvGrpSpPr>
      <xdr:grpSpPr bwMode="auto">
        <a:xfrm>
          <a:off x="13163550" y="10458450"/>
          <a:ext cx="0" cy="314325"/>
          <a:chOff x="769" y="35"/>
          <a:chExt cx="110" cy="41"/>
        </a:xfrm>
      </xdr:grpSpPr>
      <xdr:sp macro="" textlink="">
        <xdr:nvSpPr>
          <xdr:cNvPr id="27230" name="Rectangle 106"/>
          <xdr:cNvSpPr>
            <a:spLocks noChangeArrowheads="1"/>
          </xdr:cNvSpPr>
        </xdr:nvSpPr>
        <xdr:spPr bwMode="auto">
          <a:xfrm>
            <a:off x="790" y="55"/>
            <a:ext cx="89" cy="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7231" name="Rectangle 107"/>
          <xdr:cNvSpPr>
            <a:spLocks noChangeArrowheads="1"/>
          </xdr:cNvSpPr>
        </xdr:nvSpPr>
        <xdr:spPr bwMode="auto">
          <a:xfrm>
            <a:off x="769" y="47"/>
            <a:ext cx="21" cy="1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FFFFFF" mc:Ignorable="a14" a14:legacySpreadsheetColorIndex="9"/>
                </a:solidFill>
                <a:miter lim="800000"/>
                <a:headEnd/>
                <a:tailEnd/>
              </a14:hiddenLine>
            </a:ext>
          </a:extLst>
        </xdr:spPr>
      </xdr:sp>
      <xdr:pic>
        <xdr:nvPicPr>
          <xdr:cNvPr id="27232" name="Picture 108" descr="BriefVervol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 y="35"/>
            <a:ext cx="83" cy="39"/>
          </a:xfrm>
          <a:prstGeom prst="rect">
            <a:avLst/>
          </a:prstGeom>
          <a:noFill/>
          <a:ln>
            <a:noFill/>
          </a:ln>
          <a:extLst>
            <a:ext uri="{909E8E84-426E-40DD-AFC4-6F175D3DCCD1}">
              <a14:hiddenFill xmlns:a14="http://schemas.microsoft.com/office/drawing/2010/main">
                <a:solidFill>
                  <a:srgbClr val="FFFFFF">
                    <a:alpha val="50195"/>
                  </a:srgbClr>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233" name="Rectangle 109"/>
          <xdr:cNvSpPr>
            <a:spLocks noChangeArrowheads="1"/>
          </xdr:cNvSpPr>
        </xdr:nvSpPr>
        <xdr:spPr bwMode="auto">
          <a:xfrm>
            <a:off x="834" y="35"/>
            <a:ext cx="39" cy="1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FFFF" mc:Ignorable="a14" a14:legacySpreadsheetColorIndex="9"/>
            </a:solidFill>
            <a:miter lim="800000"/>
            <a:headEnd/>
            <a:tailEnd/>
          </a:ln>
        </xdr:spPr>
      </xdr:sp>
    </xdr:grpSp>
    <xdr:clientData/>
  </xdr:twoCellAnchor>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381000</xdr:colOff>
          <xdr:row>47</xdr:row>
          <xdr:rowOff>0</xdr:rowOff>
        </xdr:to>
        <xdr:sp macro="" textlink="">
          <xdr:nvSpPr>
            <xdr:cNvPr id="26735" name="Object 111" hidden="1">
              <a:extLst>
                <a:ext uri="{63B3BB69-23CF-44E3-9099-C40C66FF867C}">
                  <a14:compatExt spid="_x0000_s26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35</xdr:row>
          <xdr:rowOff>0</xdr:rowOff>
        </xdr:from>
        <xdr:to>
          <xdr:col>1</xdr:col>
          <xdr:colOff>323850</xdr:colOff>
          <xdr:row>35</xdr:row>
          <xdr:rowOff>0</xdr:rowOff>
        </xdr:to>
        <xdr:sp macro="" textlink="">
          <xdr:nvSpPr>
            <xdr:cNvPr id="26737" name="Object 113" hidden="1">
              <a:extLst>
                <a:ext uri="{63B3BB69-23CF-44E3-9099-C40C66FF867C}">
                  <a14:compatExt spid="_x0000_s26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400050</xdr:colOff>
          <xdr:row>1</xdr:row>
          <xdr:rowOff>19050</xdr:rowOff>
        </xdr:from>
        <xdr:to>
          <xdr:col>7</xdr:col>
          <xdr:colOff>38100</xdr:colOff>
          <xdr:row>2</xdr:row>
          <xdr:rowOff>19050</xdr:rowOff>
        </xdr:to>
        <xdr:sp macro="" textlink="">
          <xdr:nvSpPr>
            <xdr:cNvPr id="26739" name="Object 115" hidden="1">
              <a:extLst>
                <a:ext uri="{63B3BB69-23CF-44E3-9099-C40C66FF867C}">
                  <a14:compatExt spid="_x0000_s26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704850</xdr:colOff>
          <xdr:row>34</xdr:row>
          <xdr:rowOff>47625</xdr:rowOff>
        </xdr:from>
        <xdr:to>
          <xdr:col>7</xdr:col>
          <xdr:colOff>295275</xdr:colOff>
          <xdr:row>35</xdr:row>
          <xdr:rowOff>47625</xdr:rowOff>
        </xdr:to>
        <xdr:sp macro="" textlink="">
          <xdr:nvSpPr>
            <xdr:cNvPr id="26743" name="Object 119" hidden="1">
              <a:extLst>
                <a:ext uri="{63B3BB69-23CF-44E3-9099-C40C66FF867C}">
                  <a14:compatExt spid="_x0000_s2674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838200</xdr:colOff>
          <xdr:row>1</xdr:row>
          <xdr:rowOff>38100</xdr:rowOff>
        </xdr:from>
        <xdr:to>
          <xdr:col>9</xdr:col>
          <xdr:colOff>600075</xdr:colOff>
          <xdr:row>1</xdr:row>
          <xdr:rowOff>180975</xdr:rowOff>
        </xdr:to>
        <xdr:sp macro="" textlink="">
          <xdr:nvSpPr>
            <xdr:cNvPr id="66609" name="Object 49" hidden="1">
              <a:extLst>
                <a:ext uri="{63B3BB69-23CF-44E3-9099-C40C66FF867C}">
                  <a14:compatExt spid="_x0000_s66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819150</xdr:colOff>
          <xdr:row>49</xdr:row>
          <xdr:rowOff>28575</xdr:rowOff>
        </xdr:from>
        <xdr:to>
          <xdr:col>9</xdr:col>
          <xdr:colOff>581025</xdr:colOff>
          <xdr:row>49</xdr:row>
          <xdr:rowOff>171450</xdr:rowOff>
        </xdr:to>
        <xdr:sp macro="" textlink="">
          <xdr:nvSpPr>
            <xdr:cNvPr id="66610" name="Object 50" hidden="1">
              <a:extLst>
                <a:ext uri="{63B3BB69-23CF-44E3-9099-C40C66FF867C}">
                  <a14:compatExt spid="_x0000_s66610"/>
                </a:ext>
              </a:extLst>
            </xdr:cNvPr>
            <xdr:cNvSpPr/>
          </xdr:nvSpPr>
          <xdr:spPr>
            <a:xfrm>
              <a:off x="0" y="0"/>
              <a:ext cx="0" cy="0"/>
            </a:xfrm>
            <a:prstGeom prst="rect">
              <a:avLst/>
            </a:prstGeom>
          </xdr:spPr>
        </xdr:sp>
        <xdr:clientData/>
      </xdr:twoCellAnchor>
    </mc:Choice>
    <mc:Fallback/>
  </mc:AlternateContent>
  <xdr:twoCellAnchor>
    <xdr:from>
      <xdr:col>7</xdr:col>
      <xdr:colOff>971550</xdr:colOff>
      <xdr:row>158</xdr:row>
      <xdr:rowOff>0</xdr:rowOff>
    </xdr:from>
    <xdr:to>
      <xdr:col>9</xdr:col>
      <xdr:colOff>523875</xdr:colOff>
      <xdr:row>158</xdr:row>
      <xdr:rowOff>0</xdr:rowOff>
    </xdr:to>
    <xdr:pic>
      <xdr:nvPicPr>
        <xdr:cNvPr id="67480" name="Picture 6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24422100"/>
          <a:ext cx="1457325" cy="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361950</xdr:colOff>
      <xdr:row>131</xdr:row>
      <xdr:rowOff>19050</xdr:rowOff>
    </xdr:from>
    <xdr:to>
      <xdr:col>9</xdr:col>
      <xdr:colOff>276225</xdr:colOff>
      <xdr:row>132</xdr:row>
      <xdr:rowOff>0</xdr:rowOff>
    </xdr:to>
    <xdr:pic>
      <xdr:nvPicPr>
        <xdr:cNvPr id="67481" name="Picture 6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20116800"/>
          <a:ext cx="1781175" cy="123825"/>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mc:AlternateContent xmlns:mc="http://schemas.openxmlformats.org/markup-compatibility/2006">
    <mc:Choice xmlns:a14="http://schemas.microsoft.com/office/drawing/2010/main" Requires="a14">
      <xdr:twoCellAnchor>
        <xdr:from>
          <xdr:col>7</xdr:col>
          <xdr:colOff>819150</xdr:colOff>
          <xdr:row>95</xdr:row>
          <xdr:rowOff>28575</xdr:rowOff>
        </xdr:from>
        <xdr:to>
          <xdr:col>9</xdr:col>
          <xdr:colOff>581025</xdr:colOff>
          <xdr:row>95</xdr:row>
          <xdr:rowOff>171450</xdr:rowOff>
        </xdr:to>
        <xdr:sp macro="" textlink="">
          <xdr:nvSpPr>
            <xdr:cNvPr id="66624" name="Object 64" hidden="1">
              <a:extLst>
                <a:ext uri="{63B3BB69-23CF-44E3-9099-C40C66FF867C}">
                  <a14:compatExt spid="_x0000_s66624"/>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0</xdr:rowOff>
        </xdr:to>
        <xdr:sp macro="" textlink="">
          <xdr:nvSpPr>
            <xdr:cNvPr id="100355" name="Object 3" hidden="1">
              <a:extLst>
                <a:ext uri="{63B3BB69-23CF-44E3-9099-C40C66FF867C}">
                  <a14:compatExt spid="_x0000_s100355"/>
                </a:ext>
              </a:extLst>
            </xdr:cNvPr>
            <xdr:cNvSpPr/>
          </xdr:nvSpPr>
          <xdr:spPr>
            <a:xfrm>
              <a:off x="0" y="0"/>
              <a:ext cx="0" cy="0"/>
            </a:xfrm>
            <a:prstGeom prst="rect">
              <a:avLst/>
            </a:prstGeom>
          </xdr:spPr>
        </xdr:sp>
        <xdr:clientData/>
      </xdr:twoCellAnchor>
    </mc:Choice>
    <mc:Fallback/>
  </mc:AlternateContent>
  <xdr:twoCellAnchor>
    <xdr:from>
      <xdr:col>6</xdr:col>
      <xdr:colOff>0</xdr:colOff>
      <xdr:row>25</xdr:row>
      <xdr:rowOff>0</xdr:rowOff>
    </xdr:from>
    <xdr:to>
      <xdr:col>7</xdr:col>
      <xdr:colOff>0</xdr:colOff>
      <xdr:row>25</xdr:row>
      <xdr:rowOff>0</xdr:rowOff>
    </xdr:to>
    <xdr:pic>
      <xdr:nvPicPr>
        <xdr:cNvPr id="10055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3695700"/>
          <a:ext cx="1028700" cy="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0</xdr:colOff>
      <xdr:row>25</xdr:row>
      <xdr:rowOff>0</xdr:rowOff>
    </xdr:from>
    <xdr:to>
      <xdr:col>7</xdr:col>
      <xdr:colOff>0</xdr:colOff>
      <xdr:row>25</xdr:row>
      <xdr:rowOff>0</xdr:rowOff>
    </xdr:to>
    <xdr:pic>
      <xdr:nvPicPr>
        <xdr:cNvPr id="100553"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3695700"/>
          <a:ext cx="1028700" cy="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0</xdr:rowOff>
        </xdr:to>
        <xdr:sp macro="" textlink="">
          <xdr:nvSpPr>
            <xdr:cNvPr id="100358" name="Object 6" hidden="1">
              <a:extLst>
                <a:ext uri="{63B3BB69-23CF-44E3-9099-C40C66FF867C}">
                  <a14:compatExt spid="_x0000_s100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xdr:row>
          <xdr:rowOff>28575</xdr:rowOff>
        </xdr:from>
        <xdr:to>
          <xdr:col>6</xdr:col>
          <xdr:colOff>600075</xdr:colOff>
          <xdr:row>2</xdr:row>
          <xdr:rowOff>9525</xdr:rowOff>
        </xdr:to>
        <xdr:sp macro="" textlink="">
          <xdr:nvSpPr>
            <xdr:cNvPr id="100359" name="Object 7" hidden="1">
              <a:extLst>
                <a:ext uri="{63B3BB69-23CF-44E3-9099-C40C66FF867C}">
                  <a14:compatExt spid="_x0000_s10035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1</xdr:row>
          <xdr:rowOff>47625</xdr:rowOff>
        </xdr:from>
        <xdr:to>
          <xdr:col>7</xdr:col>
          <xdr:colOff>0</xdr:colOff>
          <xdr:row>2</xdr:row>
          <xdr:rowOff>0</xdr:rowOff>
        </xdr:to>
        <xdr:sp macro="" textlink="">
          <xdr:nvSpPr>
            <xdr:cNvPr id="86017" name="Object 1" hidden="1">
              <a:extLst>
                <a:ext uri="{63B3BB69-23CF-44E3-9099-C40C66FF867C}">
                  <a14:compatExt spid="_x0000_s86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2</xdr:row>
          <xdr:rowOff>47625</xdr:rowOff>
        </xdr:from>
        <xdr:to>
          <xdr:col>9</xdr:col>
          <xdr:colOff>0</xdr:colOff>
          <xdr:row>3</xdr:row>
          <xdr:rowOff>0</xdr:rowOff>
        </xdr:to>
        <xdr:sp macro="" textlink="">
          <xdr:nvSpPr>
            <xdr:cNvPr id="86021" name="Object 5" hidden="1">
              <a:extLst>
                <a:ext uri="{63B3BB69-23CF-44E3-9099-C40C66FF867C}">
                  <a14:compatExt spid="_x0000_s86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64</xdr:row>
          <xdr:rowOff>47625</xdr:rowOff>
        </xdr:from>
        <xdr:to>
          <xdr:col>9</xdr:col>
          <xdr:colOff>0</xdr:colOff>
          <xdr:row>65</xdr:row>
          <xdr:rowOff>0</xdr:rowOff>
        </xdr:to>
        <xdr:sp macro="" textlink="">
          <xdr:nvSpPr>
            <xdr:cNvPr id="86022" name="Object 6" hidden="1">
              <a:extLst>
                <a:ext uri="{63B3BB69-23CF-44E3-9099-C40C66FF867C}">
                  <a14:compatExt spid="_x0000_s86022"/>
                </a:ext>
              </a:extLst>
            </xdr:cNvPr>
            <xdr:cNvSpPr/>
          </xdr:nvSpPr>
          <xdr:spPr>
            <a:xfrm>
              <a:off x="0" y="0"/>
              <a:ext cx="0" cy="0"/>
            </a:xfrm>
            <a:prstGeom prst="rect">
              <a:avLst/>
            </a:prstGeom>
          </xdr:spPr>
        </xdr:sp>
        <xdr:clientData/>
      </xdr:twoCellAnchor>
    </mc:Choice>
    <mc:Fallback/>
  </mc:AlternateContent>
  <xdr:twoCellAnchor>
    <xdr:from>
      <xdr:col>11</xdr:col>
      <xdr:colOff>161925</xdr:colOff>
      <xdr:row>155</xdr:row>
      <xdr:rowOff>0</xdr:rowOff>
    </xdr:from>
    <xdr:to>
      <xdr:col>13</xdr:col>
      <xdr:colOff>590550</xdr:colOff>
      <xdr:row>156</xdr:row>
      <xdr:rowOff>9525</xdr:rowOff>
    </xdr:to>
    <xdr:pic>
      <xdr:nvPicPr>
        <xdr:cNvPr id="86558"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11075" y="26279475"/>
          <a:ext cx="1647825" cy="15240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mc:AlternateContent xmlns:mc="http://schemas.openxmlformats.org/markup-compatibility/2006">
    <mc:Choice xmlns:a14="http://schemas.microsoft.com/office/drawing/2010/main" Requires="a14">
      <xdr:twoCellAnchor>
        <xdr:from>
          <xdr:col>5</xdr:col>
          <xdr:colOff>295275</xdr:colOff>
          <xdr:row>1</xdr:row>
          <xdr:rowOff>9525</xdr:rowOff>
        </xdr:from>
        <xdr:to>
          <xdr:col>7</xdr:col>
          <xdr:colOff>9525</xdr:colOff>
          <xdr:row>2</xdr:row>
          <xdr:rowOff>9525</xdr:rowOff>
        </xdr:to>
        <xdr:sp macro="" textlink="">
          <xdr:nvSpPr>
            <xdr:cNvPr id="86026" name="Object 10" hidden="1">
              <a:extLst>
                <a:ext uri="{63B3BB69-23CF-44E3-9099-C40C66FF867C}">
                  <a14:compatExt spid="_x0000_s86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70</xdr:row>
          <xdr:rowOff>19050</xdr:rowOff>
        </xdr:from>
        <xdr:to>
          <xdr:col>7</xdr:col>
          <xdr:colOff>57150</xdr:colOff>
          <xdr:row>71</xdr:row>
          <xdr:rowOff>19050</xdr:rowOff>
        </xdr:to>
        <xdr:sp macro="" textlink="">
          <xdr:nvSpPr>
            <xdr:cNvPr id="86027" name="Object 11" hidden="1">
              <a:extLst>
                <a:ext uri="{63B3BB69-23CF-44E3-9099-C40C66FF867C}">
                  <a14:compatExt spid="_x0000_s86027"/>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409575</xdr:colOff>
          <xdr:row>38</xdr:row>
          <xdr:rowOff>0</xdr:rowOff>
        </xdr:from>
        <xdr:to>
          <xdr:col>9</xdr:col>
          <xdr:colOff>381000</xdr:colOff>
          <xdr:row>38</xdr:row>
          <xdr:rowOff>0</xdr:rowOff>
        </xdr:to>
        <xdr:sp macro="" textlink="">
          <xdr:nvSpPr>
            <xdr:cNvPr id="72717" name="Object 13" hidden="1">
              <a:extLst>
                <a:ext uri="{63B3BB69-23CF-44E3-9099-C40C66FF867C}">
                  <a14:compatExt spid="_x0000_s72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74</xdr:row>
          <xdr:rowOff>0</xdr:rowOff>
        </xdr:from>
        <xdr:to>
          <xdr:col>0</xdr:col>
          <xdr:colOff>0</xdr:colOff>
          <xdr:row>74</xdr:row>
          <xdr:rowOff>0</xdr:rowOff>
        </xdr:to>
        <xdr:sp macro="" textlink="">
          <xdr:nvSpPr>
            <xdr:cNvPr id="72720" name="Object 16" hidden="1">
              <a:extLst>
                <a:ext uri="{63B3BB69-23CF-44E3-9099-C40C66FF867C}">
                  <a14:compatExt spid="_x0000_s72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66675</xdr:colOff>
          <xdr:row>1</xdr:row>
          <xdr:rowOff>57150</xdr:rowOff>
        </xdr:from>
        <xdr:to>
          <xdr:col>10</xdr:col>
          <xdr:colOff>171450</xdr:colOff>
          <xdr:row>2</xdr:row>
          <xdr:rowOff>0</xdr:rowOff>
        </xdr:to>
        <xdr:sp macro="" textlink="">
          <xdr:nvSpPr>
            <xdr:cNvPr id="72721" name="Object 17" hidden="1">
              <a:extLst>
                <a:ext uri="{63B3BB69-23CF-44E3-9099-C40C66FF867C}">
                  <a14:compatExt spid="_x0000_s72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704850</xdr:colOff>
          <xdr:row>40</xdr:row>
          <xdr:rowOff>0</xdr:rowOff>
        </xdr:from>
        <xdr:to>
          <xdr:col>10</xdr:col>
          <xdr:colOff>95250</xdr:colOff>
          <xdr:row>40</xdr:row>
          <xdr:rowOff>142875</xdr:rowOff>
        </xdr:to>
        <xdr:sp macro="" textlink="">
          <xdr:nvSpPr>
            <xdr:cNvPr id="72722" name="Object 18" hidden="1">
              <a:extLst>
                <a:ext uri="{63B3BB69-23CF-44E3-9099-C40C66FF867C}">
                  <a14:compatExt spid="_x0000_s72722"/>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228600</xdr:colOff>
          <xdr:row>1</xdr:row>
          <xdr:rowOff>19050</xdr:rowOff>
        </xdr:from>
        <xdr:to>
          <xdr:col>7</xdr:col>
          <xdr:colOff>714375</xdr:colOff>
          <xdr:row>1</xdr:row>
          <xdr:rowOff>161925</xdr:rowOff>
        </xdr:to>
        <xdr:sp macro="" textlink="">
          <xdr:nvSpPr>
            <xdr:cNvPr id="93185" name="Object 1" hidden="1">
              <a:extLst>
                <a:ext uri="{63B3BB69-23CF-44E3-9099-C40C66FF867C}">
                  <a14:compatExt spid="_x0000_s93185"/>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428625</xdr:colOff>
          <xdr:row>1</xdr:row>
          <xdr:rowOff>0</xdr:rowOff>
        </xdr:from>
        <xdr:to>
          <xdr:col>14</xdr:col>
          <xdr:colOff>561975</xdr:colOff>
          <xdr:row>1</xdr:row>
          <xdr:rowOff>161925</xdr:rowOff>
        </xdr:to>
        <xdr:sp macro="" textlink="">
          <xdr:nvSpPr>
            <xdr:cNvPr id="74802" name="Object 50" hidden="1">
              <a:extLst>
                <a:ext uri="{63B3BB69-23CF-44E3-9099-C40C66FF867C}">
                  <a14:compatExt spid="_x0000_s7480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image" Target="../media/image2.emf"/><Relationship Id="rId5" Type="http://schemas.openxmlformats.org/officeDocument/2006/relationships/oleObject" Target="../embeddings/oleObject23.bin"/><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image" Target="../media/image2.emf"/><Relationship Id="rId5" Type="http://schemas.openxmlformats.org/officeDocument/2006/relationships/oleObject" Target="../embeddings/oleObject24.bin"/><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image" Target="../media/image2.emf"/><Relationship Id="rId5" Type="http://schemas.openxmlformats.org/officeDocument/2006/relationships/oleObject" Target="../embeddings/oleObject25.bin"/><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23.bin"/><Relationship Id="rId5" Type="http://schemas.openxmlformats.org/officeDocument/2006/relationships/image" Target="../media/image2.emf"/><Relationship Id="rId4" Type="http://schemas.openxmlformats.org/officeDocument/2006/relationships/oleObject" Target="../embeddings/oleObject26.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24.bin"/><Relationship Id="rId5" Type="http://schemas.openxmlformats.org/officeDocument/2006/relationships/image" Target="../media/image2.emf"/><Relationship Id="rId4" Type="http://schemas.openxmlformats.org/officeDocument/2006/relationships/oleObject" Target="../embeddings/oleObject27.bin"/></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6.xml"/><Relationship Id="rId117" Type="http://schemas.openxmlformats.org/officeDocument/2006/relationships/ctrlProp" Target="../ctrlProps/ctrlProp107.xml"/><Relationship Id="rId21" Type="http://schemas.openxmlformats.org/officeDocument/2006/relationships/ctrlProp" Target="../ctrlProps/ctrlProp11.xml"/><Relationship Id="rId42" Type="http://schemas.openxmlformats.org/officeDocument/2006/relationships/ctrlProp" Target="../ctrlProps/ctrlProp32.xml"/><Relationship Id="rId47" Type="http://schemas.openxmlformats.org/officeDocument/2006/relationships/ctrlProp" Target="../ctrlProps/ctrlProp37.xml"/><Relationship Id="rId63" Type="http://schemas.openxmlformats.org/officeDocument/2006/relationships/ctrlProp" Target="../ctrlProps/ctrlProp53.xml"/><Relationship Id="rId68" Type="http://schemas.openxmlformats.org/officeDocument/2006/relationships/ctrlProp" Target="../ctrlProps/ctrlProp58.xml"/><Relationship Id="rId84" Type="http://schemas.openxmlformats.org/officeDocument/2006/relationships/ctrlProp" Target="../ctrlProps/ctrlProp74.xml"/><Relationship Id="rId89" Type="http://schemas.openxmlformats.org/officeDocument/2006/relationships/ctrlProp" Target="../ctrlProps/ctrlProp79.xml"/><Relationship Id="rId112" Type="http://schemas.openxmlformats.org/officeDocument/2006/relationships/ctrlProp" Target="../ctrlProps/ctrlProp102.xml"/><Relationship Id="rId133" Type="http://schemas.openxmlformats.org/officeDocument/2006/relationships/ctrlProp" Target="../ctrlProps/ctrlProp123.xml"/><Relationship Id="rId16" Type="http://schemas.openxmlformats.org/officeDocument/2006/relationships/ctrlProp" Target="../ctrlProps/ctrlProp6.xml"/><Relationship Id="rId107" Type="http://schemas.openxmlformats.org/officeDocument/2006/relationships/ctrlProp" Target="../ctrlProps/ctrlProp97.xml"/><Relationship Id="rId11" Type="http://schemas.openxmlformats.org/officeDocument/2006/relationships/oleObject" Target="../embeddings/oleObject33.bin"/><Relationship Id="rId32" Type="http://schemas.openxmlformats.org/officeDocument/2006/relationships/ctrlProp" Target="../ctrlProps/ctrlProp22.xml"/><Relationship Id="rId37" Type="http://schemas.openxmlformats.org/officeDocument/2006/relationships/ctrlProp" Target="../ctrlProps/ctrlProp27.xml"/><Relationship Id="rId53" Type="http://schemas.openxmlformats.org/officeDocument/2006/relationships/ctrlProp" Target="../ctrlProps/ctrlProp43.xml"/><Relationship Id="rId58" Type="http://schemas.openxmlformats.org/officeDocument/2006/relationships/ctrlProp" Target="../ctrlProps/ctrlProp48.xml"/><Relationship Id="rId74" Type="http://schemas.openxmlformats.org/officeDocument/2006/relationships/ctrlProp" Target="../ctrlProps/ctrlProp64.xml"/><Relationship Id="rId79" Type="http://schemas.openxmlformats.org/officeDocument/2006/relationships/ctrlProp" Target="../ctrlProps/ctrlProp69.xml"/><Relationship Id="rId102" Type="http://schemas.openxmlformats.org/officeDocument/2006/relationships/ctrlProp" Target="../ctrlProps/ctrlProp92.xml"/><Relationship Id="rId123" Type="http://schemas.openxmlformats.org/officeDocument/2006/relationships/ctrlProp" Target="../ctrlProps/ctrlProp113.xml"/><Relationship Id="rId128" Type="http://schemas.openxmlformats.org/officeDocument/2006/relationships/ctrlProp" Target="../ctrlProps/ctrlProp118.xml"/><Relationship Id="rId5" Type="http://schemas.openxmlformats.org/officeDocument/2006/relationships/oleObject" Target="../embeddings/oleObject28.bin"/><Relationship Id="rId90" Type="http://schemas.openxmlformats.org/officeDocument/2006/relationships/ctrlProp" Target="../ctrlProps/ctrlProp80.xml"/><Relationship Id="rId95" Type="http://schemas.openxmlformats.org/officeDocument/2006/relationships/ctrlProp" Target="../ctrlProps/ctrlProp85.xml"/><Relationship Id="rId14" Type="http://schemas.openxmlformats.org/officeDocument/2006/relationships/ctrlProp" Target="../ctrlProps/ctrlProp4.xml"/><Relationship Id="rId22" Type="http://schemas.openxmlformats.org/officeDocument/2006/relationships/ctrlProp" Target="../ctrlProps/ctrlProp12.xml"/><Relationship Id="rId27" Type="http://schemas.openxmlformats.org/officeDocument/2006/relationships/ctrlProp" Target="../ctrlProps/ctrlProp17.xml"/><Relationship Id="rId30" Type="http://schemas.openxmlformats.org/officeDocument/2006/relationships/ctrlProp" Target="../ctrlProps/ctrlProp20.xml"/><Relationship Id="rId35" Type="http://schemas.openxmlformats.org/officeDocument/2006/relationships/ctrlProp" Target="../ctrlProps/ctrlProp25.xml"/><Relationship Id="rId43" Type="http://schemas.openxmlformats.org/officeDocument/2006/relationships/ctrlProp" Target="../ctrlProps/ctrlProp33.xml"/><Relationship Id="rId48" Type="http://schemas.openxmlformats.org/officeDocument/2006/relationships/ctrlProp" Target="../ctrlProps/ctrlProp38.xml"/><Relationship Id="rId56" Type="http://schemas.openxmlformats.org/officeDocument/2006/relationships/ctrlProp" Target="../ctrlProps/ctrlProp46.xml"/><Relationship Id="rId64" Type="http://schemas.openxmlformats.org/officeDocument/2006/relationships/ctrlProp" Target="../ctrlProps/ctrlProp54.xml"/><Relationship Id="rId69" Type="http://schemas.openxmlformats.org/officeDocument/2006/relationships/ctrlProp" Target="../ctrlProps/ctrlProp59.xml"/><Relationship Id="rId77" Type="http://schemas.openxmlformats.org/officeDocument/2006/relationships/ctrlProp" Target="../ctrlProps/ctrlProp67.xml"/><Relationship Id="rId100" Type="http://schemas.openxmlformats.org/officeDocument/2006/relationships/ctrlProp" Target="../ctrlProps/ctrlProp90.xml"/><Relationship Id="rId105" Type="http://schemas.openxmlformats.org/officeDocument/2006/relationships/ctrlProp" Target="../ctrlProps/ctrlProp95.xml"/><Relationship Id="rId113" Type="http://schemas.openxmlformats.org/officeDocument/2006/relationships/ctrlProp" Target="../ctrlProps/ctrlProp103.xml"/><Relationship Id="rId118" Type="http://schemas.openxmlformats.org/officeDocument/2006/relationships/ctrlProp" Target="../ctrlProps/ctrlProp108.xml"/><Relationship Id="rId126" Type="http://schemas.openxmlformats.org/officeDocument/2006/relationships/ctrlProp" Target="../ctrlProps/ctrlProp116.xml"/><Relationship Id="rId134" Type="http://schemas.openxmlformats.org/officeDocument/2006/relationships/ctrlProp" Target="../ctrlProps/ctrlProp124.xml"/><Relationship Id="rId8" Type="http://schemas.openxmlformats.org/officeDocument/2006/relationships/oleObject" Target="../embeddings/oleObject30.bin"/><Relationship Id="rId51" Type="http://schemas.openxmlformats.org/officeDocument/2006/relationships/ctrlProp" Target="../ctrlProps/ctrlProp41.xml"/><Relationship Id="rId72" Type="http://schemas.openxmlformats.org/officeDocument/2006/relationships/ctrlProp" Target="../ctrlProps/ctrlProp62.xml"/><Relationship Id="rId80" Type="http://schemas.openxmlformats.org/officeDocument/2006/relationships/ctrlProp" Target="../ctrlProps/ctrlProp70.xml"/><Relationship Id="rId85" Type="http://schemas.openxmlformats.org/officeDocument/2006/relationships/ctrlProp" Target="../ctrlProps/ctrlProp75.xml"/><Relationship Id="rId93" Type="http://schemas.openxmlformats.org/officeDocument/2006/relationships/ctrlProp" Target="../ctrlProps/ctrlProp83.xml"/><Relationship Id="rId98" Type="http://schemas.openxmlformats.org/officeDocument/2006/relationships/ctrlProp" Target="../ctrlProps/ctrlProp88.xml"/><Relationship Id="rId121" Type="http://schemas.openxmlformats.org/officeDocument/2006/relationships/ctrlProp" Target="../ctrlProps/ctrlProp111.xml"/><Relationship Id="rId3" Type="http://schemas.openxmlformats.org/officeDocument/2006/relationships/drawing" Target="../drawings/drawing15.xml"/><Relationship Id="rId12" Type="http://schemas.openxmlformats.org/officeDocument/2006/relationships/oleObject" Target="../embeddings/oleObject34.bin"/><Relationship Id="rId17" Type="http://schemas.openxmlformats.org/officeDocument/2006/relationships/ctrlProp" Target="../ctrlProps/ctrlProp7.xml"/><Relationship Id="rId25" Type="http://schemas.openxmlformats.org/officeDocument/2006/relationships/ctrlProp" Target="../ctrlProps/ctrlProp15.xml"/><Relationship Id="rId33" Type="http://schemas.openxmlformats.org/officeDocument/2006/relationships/ctrlProp" Target="../ctrlProps/ctrlProp23.xml"/><Relationship Id="rId38" Type="http://schemas.openxmlformats.org/officeDocument/2006/relationships/ctrlProp" Target="../ctrlProps/ctrlProp28.xml"/><Relationship Id="rId46" Type="http://schemas.openxmlformats.org/officeDocument/2006/relationships/ctrlProp" Target="../ctrlProps/ctrlProp36.xml"/><Relationship Id="rId59" Type="http://schemas.openxmlformats.org/officeDocument/2006/relationships/ctrlProp" Target="../ctrlProps/ctrlProp49.xml"/><Relationship Id="rId67" Type="http://schemas.openxmlformats.org/officeDocument/2006/relationships/ctrlProp" Target="../ctrlProps/ctrlProp57.xml"/><Relationship Id="rId103" Type="http://schemas.openxmlformats.org/officeDocument/2006/relationships/ctrlProp" Target="../ctrlProps/ctrlProp93.xml"/><Relationship Id="rId108" Type="http://schemas.openxmlformats.org/officeDocument/2006/relationships/ctrlProp" Target="../ctrlProps/ctrlProp98.xml"/><Relationship Id="rId116" Type="http://schemas.openxmlformats.org/officeDocument/2006/relationships/ctrlProp" Target="../ctrlProps/ctrlProp106.xml"/><Relationship Id="rId124" Type="http://schemas.openxmlformats.org/officeDocument/2006/relationships/ctrlProp" Target="../ctrlProps/ctrlProp114.xml"/><Relationship Id="rId129" Type="http://schemas.openxmlformats.org/officeDocument/2006/relationships/ctrlProp" Target="../ctrlProps/ctrlProp119.xml"/><Relationship Id="rId137" Type="http://schemas.openxmlformats.org/officeDocument/2006/relationships/ctrlProp" Target="../ctrlProps/ctrlProp127.xml"/><Relationship Id="rId20" Type="http://schemas.openxmlformats.org/officeDocument/2006/relationships/ctrlProp" Target="../ctrlProps/ctrlProp10.xml"/><Relationship Id="rId41" Type="http://schemas.openxmlformats.org/officeDocument/2006/relationships/ctrlProp" Target="../ctrlProps/ctrlProp31.xml"/><Relationship Id="rId54" Type="http://schemas.openxmlformats.org/officeDocument/2006/relationships/ctrlProp" Target="../ctrlProps/ctrlProp44.xml"/><Relationship Id="rId62" Type="http://schemas.openxmlformats.org/officeDocument/2006/relationships/ctrlProp" Target="../ctrlProps/ctrlProp52.xml"/><Relationship Id="rId70" Type="http://schemas.openxmlformats.org/officeDocument/2006/relationships/ctrlProp" Target="../ctrlProps/ctrlProp60.xml"/><Relationship Id="rId75" Type="http://schemas.openxmlformats.org/officeDocument/2006/relationships/ctrlProp" Target="../ctrlProps/ctrlProp65.xml"/><Relationship Id="rId83" Type="http://schemas.openxmlformats.org/officeDocument/2006/relationships/ctrlProp" Target="../ctrlProps/ctrlProp73.xml"/><Relationship Id="rId88" Type="http://schemas.openxmlformats.org/officeDocument/2006/relationships/ctrlProp" Target="../ctrlProps/ctrlProp78.xml"/><Relationship Id="rId91" Type="http://schemas.openxmlformats.org/officeDocument/2006/relationships/ctrlProp" Target="../ctrlProps/ctrlProp81.xml"/><Relationship Id="rId96" Type="http://schemas.openxmlformats.org/officeDocument/2006/relationships/ctrlProp" Target="../ctrlProps/ctrlProp86.xml"/><Relationship Id="rId111" Type="http://schemas.openxmlformats.org/officeDocument/2006/relationships/ctrlProp" Target="../ctrlProps/ctrlProp101.xml"/><Relationship Id="rId132" Type="http://schemas.openxmlformats.org/officeDocument/2006/relationships/ctrlProp" Target="../ctrlProps/ctrlProp122.xml"/><Relationship Id="rId1" Type="http://schemas.openxmlformats.org/officeDocument/2006/relationships/printerSettings" Target="../printerSettings/printerSettings25.bin"/><Relationship Id="rId6" Type="http://schemas.openxmlformats.org/officeDocument/2006/relationships/image" Target="../media/image2.emf"/><Relationship Id="rId15" Type="http://schemas.openxmlformats.org/officeDocument/2006/relationships/ctrlProp" Target="../ctrlProps/ctrlProp5.xml"/><Relationship Id="rId23" Type="http://schemas.openxmlformats.org/officeDocument/2006/relationships/ctrlProp" Target="../ctrlProps/ctrlProp13.xml"/><Relationship Id="rId28" Type="http://schemas.openxmlformats.org/officeDocument/2006/relationships/ctrlProp" Target="../ctrlProps/ctrlProp18.xml"/><Relationship Id="rId36" Type="http://schemas.openxmlformats.org/officeDocument/2006/relationships/ctrlProp" Target="../ctrlProps/ctrlProp26.xml"/><Relationship Id="rId49" Type="http://schemas.openxmlformats.org/officeDocument/2006/relationships/ctrlProp" Target="../ctrlProps/ctrlProp39.xml"/><Relationship Id="rId57" Type="http://schemas.openxmlformats.org/officeDocument/2006/relationships/ctrlProp" Target="../ctrlProps/ctrlProp47.xml"/><Relationship Id="rId106" Type="http://schemas.openxmlformats.org/officeDocument/2006/relationships/ctrlProp" Target="../ctrlProps/ctrlProp96.xml"/><Relationship Id="rId114" Type="http://schemas.openxmlformats.org/officeDocument/2006/relationships/ctrlProp" Target="../ctrlProps/ctrlProp104.xml"/><Relationship Id="rId119" Type="http://schemas.openxmlformats.org/officeDocument/2006/relationships/ctrlProp" Target="../ctrlProps/ctrlProp109.xml"/><Relationship Id="rId127" Type="http://schemas.openxmlformats.org/officeDocument/2006/relationships/ctrlProp" Target="../ctrlProps/ctrlProp117.xml"/><Relationship Id="rId10" Type="http://schemas.openxmlformats.org/officeDocument/2006/relationships/oleObject" Target="../embeddings/oleObject32.bin"/><Relationship Id="rId31" Type="http://schemas.openxmlformats.org/officeDocument/2006/relationships/ctrlProp" Target="../ctrlProps/ctrlProp21.xml"/><Relationship Id="rId44" Type="http://schemas.openxmlformats.org/officeDocument/2006/relationships/ctrlProp" Target="../ctrlProps/ctrlProp34.xml"/><Relationship Id="rId52" Type="http://schemas.openxmlformats.org/officeDocument/2006/relationships/ctrlProp" Target="../ctrlProps/ctrlProp42.xml"/><Relationship Id="rId60" Type="http://schemas.openxmlformats.org/officeDocument/2006/relationships/ctrlProp" Target="../ctrlProps/ctrlProp50.xml"/><Relationship Id="rId65" Type="http://schemas.openxmlformats.org/officeDocument/2006/relationships/ctrlProp" Target="../ctrlProps/ctrlProp55.xml"/><Relationship Id="rId73" Type="http://schemas.openxmlformats.org/officeDocument/2006/relationships/ctrlProp" Target="../ctrlProps/ctrlProp63.xml"/><Relationship Id="rId78" Type="http://schemas.openxmlformats.org/officeDocument/2006/relationships/ctrlProp" Target="../ctrlProps/ctrlProp68.xml"/><Relationship Id="rId81" Type="http://schemas.openxmlformats.org/officeDocument/2006/relationships/ctrlProp" Target="../ctrlProps/ctrlProp71.xml"/><Relationship Id="rId86" Type="http://schemas.openxmlformats.org/officeDocument/2006/relationships/ctrlProp" Target="../ctrlProps/ctrlProp76.xml"/><Relationship Id="rId94" Type="http://schemas.openxmlformats.org/officeDocument/2006/relationships/ctrlProp" Target="../ctrlProps/ctrlProp84.xml"/><Relationship Id="rId99" Type="http://schemas.openxmlformats.org/officeDocument/2006/relationships/ctrlProp" Target="../ctrlProps/ctrlProp89.xml"/><Relationship Id="rId101" Type="http://schemas.openxmlformats.org/officeDocument/2006/relationships/ctrlProp" Target="../ctrlProps/ctrlProp91.xml"/><Relationship Id="rId122" Type="http://schemas.openxmlformats.org/officeDocument/2006/relationships/ctrlProp" Target="../ctrlProps/ctrlProp112.xml"/><Relationship Id="rId130" Type="http://schemas.openxmlformats.org/officeDocument/2006/relationships/ctrlProp" Target="../ctrlProps/ctrlProp120.xml"/><Relationship Id="rId135" Type="http://schemas.openxmlformats.org/officeDocument/2006/relationships/ctrlProp" Target="../ctrlProps/ctrlProp125.xml"/><Relationship Id="rId4" Type="http://schemas.openxmlformats.org/officeDocument/2006/relationships/vmlDrawing" Target="../drawings/vmlDrawing15.vml"/><Relationship Id="rId9" Type="http://schemas.openxmlformats.org/officeDocument/2006/relationships/oleObject" Target="../embeddings/oleObject31.bin"/><Relationship Id="rId13" Type="http://schemas.openxmlformats.org/officeDocument/2006/relationships/ctrlProp" Target="../ctrlProps/ctrlProp3.xml"/><Relationship Id="rId18" Type="http://schemas.openxmlformats.org/officeDocument/2006/relationships/ctrlProp" Target="../ctrlProps/ctrlProp8.xml"/><Relationship Id="rId39" Type="http://schemas.openxmlformats.org/officeDocument/2006/relationships/ctrlProp" Target="../ctrlProps/ctrlProp29.xml"/><Relationship Id="rId109" Type="http://schemas.openxmlformats.org/officeDocument/2006/relationships/ctrlProp" Target="../ctrlProps/ctrlProp99.xml"/><Relationship Id="rId34" Type="http://schemas.openxmlformats.org/officeDocument/2006/relationships/ctrlProp" Target="../ctrlProps/ctrlProp24.xml"/><Relationship Id="rId50" Type="http://schemas.openxmlformats.org/officeDocument/2006/relationships/ctrlProp" Target="../ctrlProps/ctrlProp40.xml"/><Relationship Id="rId55" Type="http://schemas.openxmlformats.org/officeDocument/2006/relationships/ctrlProp" Target="../ctrlProps/ctrlProp45.xml"/><Relationship Id="rId76" Type="http://schemas.openxmlformats.org/officeDocument/2006/relationships/ctrlProp" Target="../ctrlProps/ctrlProp66.xml"/><Relationship Id="rId97" Type="http://schemas.openxmlformats.org/officeDocument/2006/relationships/ctrlProp" Target="../ctrlProps/ctrlProp87.xml"/><Relationship Id="rId104" Type="http://schemas.openxmlformats.org/officeDocument/2006/relationships/ctrlProp" Target="../ctrlProps/ctrlProp94.xml"/><Relationship Id="rId120" Type="http://schemas.openxmlformats.org/officeDocument/2006/relationships/ctrlProp" Target="../ctrlProps/ctrlProp110.xml"/><Relationship Id="rId125" Type="http://schemas.openxmlformats.org/officeDocument/2006/relationships/ctrlProp" Target="../ctrlProps/ctrlProp115.xml"/><Relationship Id="rId7" Type="http://schemas.openxmlformats.org/officeDocument/2006/relationships/oleObject" Target="../embeddings/oleObject29.bin"/><Relationship Id="rId71" Type="http://schemas.openxmlformats.org/officeDocument/2006/relationships/ctrlProp" Target="../ctrlProps/ctrlProp61.xml"/><Relationship Id="rId92" Type="http://schemas.openxmlformats.org/officeDocument/2006/relationships/ctrlProp" Target="../ctrlProps/ctrlProp82.xml"/><Relationship Id="rId2" Type="http://schemas.openxmlformats.org/officeDocument/2006/relationships/printerSettings" Target="../printerSettings/printerSettings26.bin"/><Relationship Id="rId29" Type="http://schemas.openxmlformats.org/officeDocument/2006/relationships/ctrlProp" Target="../ctrlProps/ctrlProp19.xml"/><Relationship Id="rId24" Type="http://schemas.openxmlformats.org/officeDocument/2006/relationships/ctrlProp" Target="../ctrlProps/ctrlProp14.xml"/><Relationship Id="rId40" Type="http://schemas.openxmlformats.org/officeDocument/2006/relationships/ctrlProp" Target="../ctrlProps/ctrlProp30.xml"/><Relationship Id="rId45" Type="http://schemas.openxmlformats.org/officeDocument/2006/relationships/ctrlProp" Target="../ctrlProps/ctrlProp35.xml"/><Relationship Id="rId66" Type="http://schemas.openxmlformats.org/officeDocument/2006/relationships/ctrlProp" Target="../ctrlProps/ctrlProp56.xml"/><Relationship Id="rId87" Type="http://schemas.openxmlformats.org/officeDocument/2006/relationships/ctrlProp" Target="../ctrlProps/ctrlProp77.xml"/><Relationship Id="rId110" Type="http://schemas.openxmlformats.org/officeDocument/2006/relationships/ctrlProp" Target="../ctrlProps/ctrlProp100.xml"/><Relationship Id="rId115" Type="http://schemas.openxmlformats.org/officeDocument/2006/relationships/ctrlProp" Target="../ctrlProps/ctrlProp105.xml"/><Relationship Id="rId131" Type="http://schemas.openxmlformats.org/officeDocument/2006/relationships/ctrlProp" Target="../ctrlProps/ctrlProp121.xml"/><Relationship Id="rId136" Type="http://schemas.openxmlformats.org/officeDocument/2006/relationships/ctrlProp" Target="../ctrlProps/ctrlProp126.xml"/><Relationship Id="rId61" Type="http://schemas.openxmlformats.org/officeDocument/2006/relationships/ctrlProp" Target="../ctrlProps/ctrlProp51.xml"/><Relationship Id="rId82" Type="http://schemas.openxmlformats.org/officeDocument/2006/relationships/ctrlProp" Target="../ctrlProps/ctrlProp72.xml"/><Relationship Id="rId19" Type="http://schemas.openxmlformats.org/officeDocument/2006/relationships/ctrlProp" Target="../ctrlProps/ctrlProp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27.bin"/><Relationship Id="rId5" Type="http://schemas.openxmlformats.org/officeDocument/2006/relationships/image" Target="../media/image2.emf"/><Relationship Id="rId4" Type="http://schemas.openxmlformats.org/officeDocument/2006/relationships/oleObject" Target="../embeddings/oleObject35.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28.bin"/><Relationship Id="rId5" Type="http://schemas.openxmlformats.org/officeDocument/2006/relationships/ctrlProp" Target="../ctrlProps/ctrlProp129.xml"/><Relationship Id="rId4" Type="http://schemas.openxmlformats.org/officeDocument/2006/relationships/ctrlProp" Target="../ctrlProps/ctrlProp128.xml"/></Relationships>
</file>

<file path=xl/worksheets/_rels/sheet19.xml.rels><?xml version="1.0" encoding="UTF-8" standalone="yes"?>
<Relationships xmlns="http://schemas.openxmlformats.org/package/2006/relationships"><Relationship Id="rId8" Type="http://schemas.openxmlformats.org/officeDocument/2006/relationships/oleObject" Target="../embeddings/oleObject39.bin"/><Relationship Id="rId3" Type="http://schemas.openxmlformats.org/officeDocument/2006/relationships/vmlDrawing" Target="../drawings/vmlDrawing18.vml"/><Relationship Id="rId7" Type="http://schemas.openxmlformats.org/officeDocument/2006/relationships/oleObject" Target="../embeddings/oleObject38.bin"/><Relationship Id="rId2" Type="http://schemas.openxmlformats.org/officeDocument/2006/relationships/drawing" Target="../drawings/drawing18.xml"/><Relationship Id="rId1" Type="http://schemas.openxmlformats.org/officeDocument/2006/relationships/printerSettings" Target="../printerSettings/printerSettings29.bin"/><Relationship Id="rId6" Type="http://schemas.openxmlformats.org/officeDocument/2006/relationships/oleObject" Target="../embeddings/oleObject37.bin"/><Relationship Id="rId5" Type="http://schemas.openxmlformats.org/officeDocument/2006/relationships/image" Target="../media/image2.emf"/><Relationship Id="rId4" Type="http://schemas.openxmlformats.org/officeDocument/2006/relationships/oleObject" Target="../embeddings/oleObject3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image" Target="../media/image2.emf"/><Relationship Id="rId5" Type="http://schemas.openxmlformats.org/officeDocument/2006/relationships/oleObject" Target="../embeddings/oleObject1.bin"/><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30.bin"/><Relationship Id="rId5" Type="http://schemas.openxmlformats.org/officeDocument/2006/relationships/image" Target="../media/image2.emf"/><Relationship Id="rId4" Type="http://schemas.openxmlformats.org/officeDocument/2006/relationships/oleObject" Target="../embeddings/oleObject4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4.bin"/><Relationship Id="rId3" Type="http://schemas.openxmlformats.org/officeDocument/2006/relationships/vmlDrawing" Target="../drawings/vmlDrawing20.vml"/><Relationship Id="rId7" Type="http://schemas.openxmlformats.org/officeDocument/2006/relationships/oleObject" Target="../embeddings/oleObject43.bin"/><Relationship Id="rId2" Type="http://schemas.openxmlformats.org/officeDocument/2006/relationships/drawing" Target="../drawings/drawing20.xml"/><Relationship Id="rId1" Type="http://schemas.openxmlformats.org/officeDocument/2006/relationships/printerSettings" Target="../printerSettings/printerSettings31.bin"/><Relationship Id="rId6" Type="http://schemas.openxmlformats.org/officeDocument/2006/relationships/oleObject" Target="../embeddings/oleObject42.bin"/><Relationship Id="rId5" Type="http://schemas.openxmlformats.org/officeDocument/2006/relationships/image" Target="../media/image2.emf"/><Relationship Id="rId4" Type="http://schemas.openxmlformats.org/officeDocument/2006/relationships/oleObject" Target="../embeddings/oleObject4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48.bin"/><Relationship Id="rId3" Type="http://schemas.openxmlformats.org/officeDocument/2006/relationships/vmlDrawing" Target="../drawings/vmlDrawing21.vml"/><Relationship Id="rId7" Type="http://schemas.openxmlformats.org/officeDocument/2006/relationships/oleObject" Target="../embeddings/oleObject47.bin"/><Relationship Id="rId2" Type="http://schemas.openxmlformats.org/officeDocument/2006/relationships/drawing" Target="../drawings/drawing21.xml"/><Relationship Id="rId1" Type="http://schemas.openxmlformats.org/officeDocument/2006/relationships/printerSettings" Target="../printerSettings/printerSettings32.bin"/><Relationship Id="rId6" Type="http://schemas.openxmlformats.org/officeDocument/2006/relationships/oleObject" Target="../embeddings/oleObject46.bin"/><Relationship Id="rId5" Type="http://schemas.openxmlformats.org/officeDocument/2006/relationships/image" Target="../media/image2.emf"/><Relationship Id="rId4" Type="http://schemas.openxmlformats.org/officeDocument/2006/relationships/oleObject" Target="../embeddings/oleObject45.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33.bin"/><Relationship Id="rId5" Type="http://schemas.openxmlformats.org/officeDocument/2006/relationships/image" Target="../media/image2.emf"/><Relationship Id="rId4" Type="http://schemas.openxmlformats.org/officeDocument/2006/relationships/oleObject" Target="../embeddings/oleObject49.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34.bin"/><Relationship Id="rId5" Type="http://schemas.openxmlformats.org/officeDocument/2006/relationships/image" Target="../media/image2.emf"/><Relationship Id="rId4" Type="http://schemas.openxmlformats.org/officeDocument/2006/relationships/oleObject" Target="../embeddings/oleObject50.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drawing" Target="../drawings/drawing3.xml"/><Relationship Id="rId7" Type="http://schemas.openxmlformats.org/officeDocument/2006/relationships/oleObject" Target="../embeddings/oleObject3.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image" Target="../media/image2.emf"/><Relationship Id="rId5" Type="http://schemas.openxmlformats.org/officeDocument/2006/relationships/oleObject" Target="../embeddings/oleObject2.bin"/><Relationship Id="rId4" Type="http://schemas.openxmlformats.org/officeDocument/2006/relationships/vmlDrawing" Target="../drawings/vmlDrawing3.vml"/><Relationship Id="rId9" Type="http://schemas.openxmlformats.org/officeDocument/2006/relationships/oleObject" Target="../embeddings/oleObject5.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drawing" Target="../drawings/drawing4.xml"/><Relationship Id="rId7" Type="http://schemas.openxmlformats.org/officeDocument/2006/relationships/oleObject" Target="../embeddings/oleObject7.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image" Target="../media/image2.emf"/><Relationship Id="rId5" Type="http://schemas.openxmlformats.org/officeDocument/2006/relationships/oleObject" Target="../embeddings/oleObject6.bin"/><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oleObject" Target="../embeddings/oleObject11.bin"/><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oleObject" Target="../embeddings/oleObject10.bin"/><Relationship Id="rId5" Type="http://schemas.openxmlformats.org/officeDocument/2006/relationships/image" Target="../media/image2.emf"/><Relationship Id="rId4" Type="http://schemas.openxmlformats.org/officeDocument/2006/relationships/oleObject" Target="../embeddings/oleObject9.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5.bin"/><Relationship Id="rId3" Type="http://schemas.openxmlformats.org/officeDocument/2006/relationships/vmlDrawing" Target="../drawings/vmlDrawing6.vml"/><Relationship Id="rId7" Type="http://schemas.openxmlformats.org/officeDocument/2006/relationships/oleObject" Target="../embeddings/oleObject14.bin"/><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oleObject" Target="../embeddings/oleObject13.bin"/><Relationship Id="rId5" Type="http://schemas.openxmlformats.org/officeDocument/2006/relationships/image" Target="../media/image2.emf"/><Relationship Id="rId4" Type="http://schemas.openxmlformats.org/officeDocument/2006/relationships/oleObject" Target="../embeddings/oleObject12.bin"/><Relationship Id="rId9" Type="http://schemas.openxmlformats.org/officeDocument/2006/relationships/oleObject" Target="../embeddings/oleObject1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9.bin"/><Relationship Id="rId3" Type="http://schemas.openxmlformats.org/officeDocument/2006/relationships/drawing" Target="../drawings/drawing7.xml"/><Relationship Id="rId7" Type="http://schemas.openxmlformats.org/officeDocument/2006/relationships/oleObject" Target="../embeddings/oleObject18.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image" Target="../media/image2.emf"/><Relationship Id="rId5" Type="http://schemas.openxmlformats.org/officeDocument/2006/relationships/oleObject" Target="../embeddings/oleObject17.bin"/><Relationship Id="rId4" Type="http://schemas.openxmlformats.org/officeDocument/2006/relationships/vmlDrawing" Target="../drawings/vmlDrawing7.vml"/><Relationship Id="rId9" Type="http://schemas.openxmlformats.org/officeDocument/2006/relationships/oleObject" Target="../embeddings/oleObject20.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3.bin"/><Relationship Id="rId5" Type="http://schemas.openxmlformats.org/officeDocument/2006/relationships/image" Target="../media/image2.emf"/><Relationship Id="rId4" Type="http://schemas.openxmlformats.org/officeDocument/2006/relationships/oleObject" Target="../embeddings/oleObject21.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image" Target="../media/image2.emf"/><Relationship Id="rId5" Type="http://schemas.openxmlformats.org/officeDocument/2006/relationships/oleObject" Target="../embeddings/oleObject22.bin"/><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pageSetUpPr fitToPage="1"/>
  </sheetPr>
  <dimension ref="A1:U100"/>
  <sheetViews>
    <sheetView showGridLines="0" showZeros="0" tabSelected="1" showOutlineSymbols="0" zoomScaleNormal="100" zoomScaleSheetLayoutView="100" workbookViewId="0">
      <selection activeCell="A18" sqref="A18"/>
    </sheetView>
  </sheetViews>
  <sheetFormatPr defaultRowHeight="12.75" x14ac:dyDescent="0.2"/>
  <cols>
    <col min="1" max="1" width="8.85546875" style="836" customWidth="1"/>
    <col min="2" max="2" width="6.7109375" style="874" customWidth="1"/>
    <col min="3" max="3" width="8.140625" style="836" customWidth="1"/>
    <col min="4" max="4" width="29.7109375" style="836" customWidth="1"/>
    <col min="5" max="5" width="6.7109375" style="836" customWidth="1"/>
    <col min="6" max="6" width="7.28515625" style="836" customWidth="1"/>
    <col min="7" max="7" width="2.7109375" style="836" customWidth="1"/>
    <col min="8" max="8" width="6.7109375" style="836" customWidth="1"/>
    <col min="9" max="9" width="6.7109375" style="874" customWidth="1"/>
    <col min="10" max="10" width="9.85546875" style="874" customWidth="1"/>
    <col min="11" max="11" width="14.28515625" style="874" customWidth="1"/>
    <col min="12" max="12" width="14.42578125" style="874" customWidth="1"/>
    <col min="13" max="14" width="6.7109375" style="836" customWidth="1"/>
    <col min="15" max="17" width="9.140625" style="836"/>
    <col min="18" max="22" width="0" style="836" hidden="1" customWidth="1"/>
    <col min="23" max="16384" width="9.140625" style="836"/>
  </cols>
  <sheetData>
    <row r="1" spans="1:21" s="901" customFormat="1" ht="19.5" x14ac:dyDescent="0.2">
      <c r="A1" s="1186"/>
      <c r="B1" s="898"/>
      <c r="C1" s="898"/>
      <c r="D1" s="898"/>
      <c r="E1" s="899"/>
      <c r="F1" s="899"/>
      <c r="G1" s="899"/>
      <c r="H1" s="899"/>
      <c r="I1" s="900"/>
      <c r="J1" s="900"/>
      <c r="K1" s="900"/>
      <c r="L1" s="900"/>
      <c r="M1" s="899"/>
      <c r="N1" s="899"/>
      <c r="O1" s="899"/>
      <c r="P1" s="899"/>
      <c r="Q1" s="899"/>
      <c r="R1" s="899"/>
    </row>
    <row r="2" spans="1:21" s="887" customFormat="1" ht="18" x14ac:dyDescent="0.25">
      <c r="B2" s="902"/>
      <c r="C2" s="902"/>
      <c r="E2" s="903"/>
      <c r="F2" s="904"/>
      <c r="G2" s="905"/>
      <c r="H2" s="905"/>
      <c r="I2" s="902"/>
      <c r="J2" s="902"/>
      <c r="K2" s="906"/>
      <c r="L2" s="907">
        <f>IF(OR(K4=1996,K4=2000,K4=2004),366,365)</f>
        <v>365</v>
      </c>
      <c r="M2" s="906"/>
      <c r="N2" s="906"/>
      <c r="O2" s="623"/>
      <c r="P2" s="623"/>
      <c r="Q2" s="623"/>
      <c r="R2" s="623"/>
    </row>
    <row r="3" spans="1:21" ht="18" x14ac:dyDescent="0.25">
      <c r="A3" s="908"/>
      <c r="B3" s="909"/>
      <c r="C3" s="435"/>
      <c r="D3" s="910"/>
      <c r="E3" s="435"/>
      <c r="F3" s="435"/>
      <c r="G3" s="623"/>
      <c r="H3" s="435"/>
      <c r="I3" s="909"/>
      <c r="J3" s="909"/>
      <c r="K3" s="909"/>
      <c r="L3" s="909"/>
      <c r="M3" s="435"/>
      <c r="N3" s="435"/>
      <c r="O3" s="435"/>
      <c r="P3" s="435"/>
      <c r="Q3" s="435"/>
      <c r="R3" s="435"/>
    </row>
    <row r="4" spans="1:21" ht="18" x14ac:dyDescent="0.25">
      <c r="A4" s="902" t="s">
        <v>1225</v>
      </c>
      <c r="B4" s="909"/>
      <c r="C4" s="435"/>
      <c r="G4" s="911"/>
      <c r="I4" s="912"/>
      <c r="K4" s="910">
        <v>2012</v>
      </c>
      <c r="L4" s="909"/>
      <c r="M4" s="435"/>
      <c r="N4" s="435"/>
      <c r="O4" s="435"/>
      <c r="P4" s="435"/>
      <c r="Q4" s="435"/>
      <c r="R4" s="435"/>
    </row>
    <row r="5" spans="1:21" x14ac:dyDescent="0.2">
      <c r="A5" s="913" t="s">
        <v>300</v>
      </c>
      <c r="B5" s="909"/>
      <c r="C5" s="435"/>
      <c r="D5" s="435"/>
      <c r="E5" s="435"/>
      <c r="F5" s="435"/>
      <c r="G5" s="623"/>
      <c r="H5" s="435"/>
      <c r="I5" s="909"/>
      <c r="J5" s="909"/>
      <c r="K5" s="909"/>
      <c r="L5" s="909"/>
      <c r="M5" s="435"/>
      <c r="N5" s="435"/>
      <c r="O5" s="435"/>
      <c r="P5" s="435"/>
      <c r="Q5" s="435"/>
      <c r="R5" s="435"/>
    </row>
    <row r="6" spans="1:21" x14ac:dyDescent="0.2">
      <c r="A6" s="1263" t="s">
        <v>301</v>
      </c>
      <c r="B6" s="1263"/>
      <c r="C6" s="1263"/>
      <c r="D6" s="1263"/>
      <c r="E6" s="1263"/>
      <c r="F6" s="1263"/>
      <c r="G6" s="1263"/>
      <c r="H6" s="1263"/>
      <c r="I6" s="1263"/>
      <c r="J6" s="1263"/>
      <c r="K6" s="1263"/>
      <c r="L6" s="909"/>
      <c r="M6" s="435"/>
      <c r="N6" s="435"/>
      <c r="O6" s="435"/>
      <c r="P6" s="435"/>
      <c r="Q6" s="435"/>
      <c r="R6" s="435"/>
    </row>
    <row r="7" spans="1:21" x14ac:dyDescent="0.2">
      <c r="A7" s="1263"/>
      <c r="B7" s="1263"/>
      <c r="C7" s="1263"/>
      <c r="D7" s="1263"/>
      <c r="E7" s="1263"/>
      <c r="F7" s="1263"/>
      <c r="G7" s="1263"/>
      <c r="H7" s="1263"/>
      <c r="I7" s="1263"/>
      <c r="J7" s="1263"/>
      <c r="K7" s="1263"/>
      <c r="L7" s="909"/>
      <c r="M7" s="435"/>
      <c r="N7" s="435"/>
      <c r="O7" s="435"/>
      <c r="P7" s="435"/>
      <c r="Q7" s="435"/>
      <c r="R7" s="435"/>
    </row>
    <row r="8" spans="1:21" s="916" customFormat="1" ht="12.75" customHeight="1" x14ac:dyDescent="0.2">
      <c r="A8" s="325"/>
      <c r="B8" s="325"/>
      <c r="C8" s="325"/>
      <c r="D8" s="325"/>
      <c r="E8" s="914"/>
      <c r="F8" s="915"/>
      <c r="G8" s="325"/>
      <c r="H8" s="315"/>
      <c r="I8" s="315"/>
      <c r="J8" s="315"/>
      <c r="L8" s="917"/>
      <c r="M8" s="918"/>
      <c r="N8" s="918"/>
      <c r="O8" s="315"/>
      <c r="P8" s="315"/>
      <c r="Q8" s="315"/>
      <c r="R8" s="315"/>
    </row>
    <row r="9" spans="1:21" s="916" customFormat="1" ht="12" x14ac:dyDescent="0.2">
      <c r="A9" s="1270" t="str">
        <f>IF(F10&lt;1,"U dient het NZa-nummer in te vullen","")</f>
        <v>U dient het NZa-nummer in te vullen</v>
      </c>
      <c r="B9" s="1271"/>
      <c r="C9" s="1271"/>
      <c r="D9" s="1272"/>
      <c r="E9" s="919" t="s">
        <v>825</v>
      </c>
      <c r="F9" s="920" t="s">
        <v>824</v>
      </c>
      <c r="G9" s="325"/>
      <c r="H9" s="315"/>
      <c r="I9" s="315"/>
      <c r="J9" s="315"/>
      <c r="K9" s="1231"/>
      <c r="L9" s="917"/>
      <c r="M9" s="917"/>
      <c r="N9" s="917"/>
      <c r="O9" s="315"/>
      <c r="P9" s="315"/>
      <c r="Q9" s="315"/>
      <c r="R9" s="315"/>
    </row>
    <row r="10" spans="1:21" s="916" customFormat="1" x14ac:dyDescent="0.2">
      <c r="A10" s="921" t="s">
        <v>649</v>
      </c>
      <c r="B10" s="922"/>
      <c r="C10" s="922"/>
      <c r="D10" s="923"/>
      <c r="E10" s="114">
        <v>10</v>
      </c>
      <c r="F10" s="114"/>
      <c r="G10" s="924">
        <f>(E10*10000)+F10</f>
        <v>100000</v>
      </c>
      <c r="H10" s="315"/>
      <c r="I10" s="315"/>
      <c r="J10" s="315"/>
      <c r="K10" s="1232"/>
      <c r="L10" s="1238"/>
      <c r="M10" s="1238"/>
      <c r="N10" s="1238"/>
      <c r="O10" s="315"/>
      <c r="P10" s="315"/>
      <c r="Q10" s="315"/>
      <c r="R10" s="926">
        <v>10</v>
      </c>
      <c r="S10" s="926">
        <v>100</v>
      </c>
      <c r="T10" s="926">
        <f>R10*10000+S10</f>
        <v>100100</v>
      </c>
      <c r="U10" s="926" t="s">
        <v>392</v>
      </c>
    </row>
    <row r="11" spans="1:21" s="916" customFormat="1" x14ac:dyDescent="0.2">
      <c r="A11" s="921" t="s">
        <v>294</v>
      </c>
      <c r="B11" s="922"/>
      <c r="C11" s="922"/>
      <c r="D11" s="923"/>
      <c r="E11" s="1273"/>
      <c r="F11" s="1274"/>
      <c r="G11" s="325"/>
      <c r="H11" s="315"/>
      <c r="I11" s="315"/>
      <c r="J11" s="315"/>
      <c r="K11" s="925" t="s">
        <v>735</v>
      </c>
      <c r="L11" s="1282">
        <v>41785</v>
      </c>
      <c r="M11" s="1283"/>
      <c r="N11" s="1284"/>
      <c r="O11" s="315"/>
      <c r="P11" s="315"/>
      <c r="Q11" s="315"/>
      <c r="R11" s="926">
        <v>10</v>
      </c>
      <c r="S11" s="926">
        <v>101</v>
      </c>
      <c r="T11" s="926">
        <f t="shared" ref="T11:T74" si="0">R11*10000+S11</f>
        <v>100101</v>
      </c>
      <c r="U11" s="926" t="s">
        <v>393</v>
      </c>
    </row>
    <row r="12" spans="1:21" s="931" customFormat="1" x14ac:dyDescent="0.2">
      <c r="A12" s="927" t="s">
        <v>1231</v>
      </c>
      <c r="B12" s="928"/>
      <c r="C12" s="929"/>
      <c r="D12" s="923"/>
      <c r="E12" s="930"/>
      <c r="F12" s="916"/>
      <c r="G12" s="325"/>
      <c r="H12" s="315"/>
      <c r="I12" s="315"/>
      <c r="J12" s="315"/>
      <c r="K12" s="925" t="s">
        <v>587</v>
      </c>
      <c r="L12" s="1242" t="s">
        <v>584</v>
      </c>
      <c r="M12" s="1243"/>
      <c r="N12" s="1244"/>
      <c r="O12" s="798"/>
      <c r="P12" s="798"/>
      <c r="Q12" s="798"/>
      <c r="R12" s="926">
        <v>10</v>
      </c>
      <c r="S12" s="926">
        <v>102</v>
      </c>
      <c r="T12" s="926">
        <f t="shared" si="0"/>
        <v>100102</v>
      </c>
      <c r="U12" s="926" t="s">
        <v>394</v>
      </c>
    </row>
    <row r="13" spans="1:21" s="931" customFormat="1" x14ac:dyDescent="0.2">
      <c r="B13" s="325"/>
      <c r="C13" s="325"/>
      <c r="D13" s="325"/>
      <c r="E13" s="930"/>
      <c r="F13" s="325"/>
      <c r="G13" s="798"/>
      <c r="H13" s="798"/>
      <c r="I13" s="325"/>
      <c r="J13" s="325"/>
      <c r="K13" s="325"/>
      <c r="L13" s="932"/>
      <c r="M13" s="918"/>
      <c r="N13" s="918"/>
      <c r="O13" s="798"/>
      <c r="P13" s="798"/>
      <c r="Q13" s="798"/>
      <c r="R13" s="926">
        <v>10</v>
      </c>
      <c r="S13" s="926">
        <v>105</v>
      </c>
      <c r="T13" s="926">
        <f t="shared" si="0"/>
        <v>100105</v>
      </c>
      <c r="U13" s="926" t="s">
        <v>395</v>
      </c>
    </row>
    <row r="14" spans="1:21" s="935" customFormat="1" ht="12.75" customHeight="1" thickBot="1" x14ac:dyDescent="0.25">
      <c r="A14" s="933"/>
      <c r="B14" s="933"/>
      <c r="C14" s="933"/>
      <c r="D14" s="934"/>
      <c r="E14" s="933"/>
      <c r="F14" s="933"/>
      <c r="G14" s="933"/>
      <c r="H14" s="933"/>
      <c r="I14" s="933"/>
      <c r="J14" s="933"/>
      <c r="K14" s="933"/>
      <c r="L14" s="933"/>
      <c r="M14" s="933"/>
      <c r="N14" s="933"/>
      <c r="O14" s="798"/>
      <c r="P14" s="798"/>
      <c r="Q14" s="798"/>
      <c r="R14" s="926">
        <v>10</v>
      </c>
      <c r="S14" s="926">
        <v>106</v>
      </c>
      <c r="T14" s="926">
        <f t="shared" si="0"/>
        <v>100106</v>
      </c>
      <c r="U14" s="926" t="s">
        <v>396</v>
      </c>
    </row>
    <row r="15" spans="1:21" s="941" customFormat="1" x14ac:dyDescent="0.2">
      <c r="A15" s="328"/>
      <c r="B15" s="936"/>
      <c r="C15" s="937" t="s">
        <v>770</v>
      </c>
      <c r="D15" s="938"/>
      <c r="E15" s="938"/>
      <c r="F15" s="938"/>
      <c r="G15" s="938"/>
      <c r="H15" s="938"/>
      <c r="I15" s="939"/>
      <c r="J15" s="939"/>
      <c r="K15" s="939"/>
      <c r="L15" s="939"/>
      <c r="M15" s="940"/>
      <c r="N15" s="328"/>
      <c r="O15" s="328"/>
      <c r="P15" s="328"/>
      <c r="Q15" s="328"/>
      <c r="R15" s="926">
        <v>10</v>
      </c>
      <c r="S15" s="926">
        <v>107</v>
      </c>
      <c r="T15" s="926">
        <f t="shared" si="0"/>
        <v>100107</v>
      </c>
      <c r="U15" s="926" t="s">
        <v>397</v>
      </c>
    </row>
    <row r="16" spans="1:21" s="941" customFormat="1" x14ac:dyDescent="0.2">
      <c r="A16" s="328"/>
      <c r="B16" s="942"/>
      <c r="C16" s="328"/>
      <c r="D16" s="798"/>
      <c r="E16" s="798"/>
      <c r="F16" s="798"/>
      <c r="G16" s="798"/>
      <c r="H16" s="798"/>
      <c r="I16" s="325"/>
      <c r="J16" s="325"/>
      <c r="K16" s="325"/>
      <c r="L16" s="325"/>
      <c r="M16" s="943"/>
      <c r="N16" s="328"/>
      <c r="O16" s="328"/>
      <c r="P16" s="328"/>
      <c r="Q16" s="328"/>
      <c r="R16" s="926">
        <v>10</v>
      </c>
      <c r="S16" s="926">
        <v>108</v>
      </c>
      <c r="T16" s="926">
        <f t="shared" si="0"/>
        <v>100108</v>
      </c>
      <c r="U16" s="926" t="s">
        <v>398</v>
      </c>
    </row>
    <row r="17" spans="1:21" s="941" customFormat="1" x14ac:dyDescent="0.2">
      <c r="A17" s="328"/>
      <c r="B17" s="942"/>
      <c r="C17" s="798"/>
      <c r="D17" s="1241" t="s">
        <v>142</v>
      </c>
      <c r="E17" s="1241"/>
      <c r="F17" s="1241"/>
      <c r="G17" s="1241"/>
      <c r="H17" s="1241"/>
      <c r="I17" s="1241"/>
      <c r="J17" s="1241"/>
      <c r="K17" s="1241"/>
      <c r="L17" s="1241"/>
      <c r="M17" s="943"/>
      <c r="N17" s="328"/>
      <c r="O17" s="328"/>
      <c r="P17" s="328"/>
      <c r="Q17" s="328"/>
      <c r="R17" s="944">
        <v>10</v>
      </c>
      <c r="S17" s="944">
        <v>109</v>
      </c>
      <c r="T17" s="944">
        <f t="shared" si="0"/>
        <v>100109</v>
      </c>
      <c r="U17" s="926" t="s">
        <v>399</v>
      </c>
    </row>
    <row r="18" spans="1:21" s="941" customFormat="1" ht="12.75" customHeight="1" x14ac:dyDescent="0.2">
      <c r="A18" s="328"/>
      <c r="B18" s="942"/>
      <c r="C18" s="328"/>
      <c r="D18" s="1241"/>
      <c r="E18" s="1241"/>
      <c r="F18" s="1241"/>
      <c r="G18" s="1241"/>
      <c r="H18" s="1241"/>
      <c r="I18" s="1241"/>
      <c r="J18" s="1241"/>
      <c r="K18" s="1241"/>
      <c r="L18" s="1241"/>
      <c r="M18" s="943"/>
      <c r="N18" s="328"/>
      <c r="O18" s="328"/>
      <c r="P18" s="328"/>
      <c r="Q18" s="328"/>
      <c r="R18" s="926">
        <v>10</v>
      </c>
      <c r="S18" s="926">
        <v>200</v>
      </c>
      <c r="T18" s="926">
        <f t="shared" si="0"/>
        <v>100200</v>
      </c>
      <c r="U18" s="926" t="s">
        <v>400</v>
      </c>
    </row>
    <row r="19" spans="1:21" s="941" customFormat="1" x14ac:dyDescent="0.2">
      <c r="A19" s="328"/>
      <c r="B19" s="942"/>
      <c r="C19" s="798"/>
      <c r="D19" s="1275" t="s">
        <v>850</v>
      </c>
      <c r="E19" s="1275"/>
      <c r="F19" s="1275"/>
      <c r="G19" s="1275"/>
      <c r="H19" s="1275"/>
      <c r="I19" s="1275"/>
      <c r="J19" s="1275"/>
      <c r="K19" s="1275"/>
      <c r="L19" s="1275"/>
      <c r="M19" s="943"/>
      <c r="N19" s="328"/>
      <c r="O19" s="328"/>
      <c r="P19" s="328"/>
      <c r="Q19" s="328"/>
      <c r="R19" s="926">
        <v>10</v>
      </c>
      <c r="S19" s="926">
        <v>201</v>
      </c>
      <c r="T19" s="926">
        <f t="shared" si="0"/>
        <v>100201</v>
      </c>
      <c r="U19" s="926" t="s">
        <v>401</v>
      </c>
    </row>
    <row r="20" spans="1:21" s="941" customFormat="1" ht="12" customHeight="1" x14ac:dyDescent="0.2">
      <c r="A20" s="328"/>
      <c r="B20" s="942"/>
      <c r="C20" s="798"/>
      <c r="D20" s="1275"/>
      <c r="E20" s="1275"/>
      <c r="F20" s="1275"/>
      <c r="G20" s="1275"/>
      <c r="H20" s="1275"/>
      <c r="I20" s="1275"/>
      <c r="J20" s="1275"/>
      <c r="K20" s="1275"/>
      <c r="L20" s="1275"/>
      <c r="M20" s="943"/>
      <c r="N20" s="328"/>
      <c r="O20" s="328"/>
      <c r="P20" s="328"/>
      <c r="Q20" s="328"/>
      <c r="R20" s="926">
        <v>10</v>
      </c>
      <c r="S20" s="926">
        <v>203</v>
      </c>
      <c r="T20" s="926">
        <f t="shared" si="0"/>
        <v>100203</v>
      </c>
      <c r="U20" s="926" t="s">
        <v>402</v>
      </c>
    </row>
    <row r="21" spans="1:21" s="941" customFormat="1" x14ac:dyDescent="0.2">
      <c r="A21" s="328"/>
      <c r="B21" s="942"/>
      <c r="C21" s="798"/>
      <c r="D21" s="1275"/>
      <c r="E21" s="1275"/>
      <c r="F21" s="1275"/>
      <c r="G21" s="1275"/>
      <c r="H21" s="1275"/>
      <c r="I21" s="1275"/>
      <c r="J21" s="1275"/>
      <c r="K21" s="1275"/>
      <c r="L21" s="1275"/>
      <c r="M21" s="943"/>
      <c r="N21" s="328"/>
      <c r="O21" s="328"/>
      <c r="P21" s="328"/>
      <c r="Q21" s="328"/>
      <c r="R21" s="926">
        <v>10</v>
      </c>
      <c r="S21" s="926">
        <v>205</v>
      </c>
      <c r="T21" s="926">
        <f t="shared" si="0"/>
        <v>100205</v>
      </c>
      <c r="U21" s="926" t="s">
        <v>403</v>
      </c>
    </row>
    <row r="22" spans="1:21" s="941" customFormat="1" x14ac:dyDescent="0.2">
      <c r="A22" s="328"/>
      <c r="B22" s="942"/>
      <c r="C22" s="798"/>
      <c r="D22" s="1258" t="s">
        <v>589</v>
      </c>
      <c r="E22" s="1258"/>
      <c r="F22" s="1258"/>
      <c r="G22" s="1258"/>
      <c r="H22" s="1258"/>
      <c r="I22" s="1258"/>
      <c r="J22" s="1258"/>
      <c r="K22" s="1258"/>
      <c r="L22" s="1258"/>
      <c r="M22" s="943"/>
      <c r="N22" s="328"/>
      <c r="O22" s="328"/>
      <c r="P22" s="328"/>
      <c r="Q22" s="328"/>
      <c r="R22" s="926">
        <v>10</v>
      </c>
      <c r="S22" s="926">
        <v>206</v>
      </c>
      <c r="T22" s="926">
        <f t="shared" si="0"/>
        <v>100206</v>
      </c>
      <c r="U22" s="926" t="s">
        <v>404</v>
      </c>
    </row>
    <row r="23" spans="1:21" s="941" customFormat="1" ht="12" customHeight="1" x14ac:dyDescent="0.2">
      <c r="A23" s="328"/>
      <c r="B23" s="942"/>
      <c r="C23" s="798"/>
      <c r="D23" s="1258"/>
      <c r="E23" s="1258"/>
      <c r="F23" s="1258"/>
      <c r="G23" s="1258"/>
      <c r="H23" s="1258"/>
      <c r="I23" s="1258"/>
      <c r="J23" s="1258"/>
      <c r="K23" s="1258"/>
      <c r="L23" s="1258"/>
      <c r="M23" s="943"/>
      <c r="N23" s="328"/>
      <c r="O23" s="328"/>
      <c r="P23" s="798"/>
      <c r="Q23" s="328"/>
      <c r="R23" s="926">
        <v>10</v>
      </c>
      <c r="S23" s="926">
        <v>301</v>
      </c>
      <c r="T23" s="926">
        <f t="shared" si="0"/>
        <v>100301</v>
      </c>
      <c r="U23" s="926" t="s">
        <v>405</v>
      </c>
    </row>
    <row r="24" spans="1:21" s="941" customFormat="1" x14ac:dyDescent="0.2">
      <c r="A24" s="328"/>
      <c r="B24" s="942"/>
      <c r="C24" s="798"/>
      <c r="D24" s="1258"/>
      <c r="E24" s="1258"/>
      <c r="F24" s="1258"/>
      <c r="G24" s="1258"/>
      <c r="H24" s="1258"/>
      <c r="I24" s="1258"/>
      <c r="J24" s="1258"/>
      <c r="K24" s="1258"/>
      <c r="L24" s="1258"/>
      <c r="M24" s="943"/>
      <c r="N24" s="328"/>
      <c r="O24" s="328"/>
      <c r="P24" s="328"/>
      <c r="Q24" s="328"/>
      <c r="R24" s="926">
        <v>10</v>
      </c>
      <c r="S24" s="926">
        <v>303</v>
      </c>
      <c r="T24" s="926">
        <f t="shared" si="0"/>
        <v>100303</v>
      </c>
      <c r="U24" s="926" t="s">
        <v>406</v>
      </c>
    </row>
    <row r="25" spans="1:21" s="941" customFormat="1" x14ac:dyDescent="0.2">
      <c r="A25" s="328"/>
      <c r="B25" s="942"/>
      <c r="C25" s="973"/>
      <c r="D25" s="974"/>
      <c r="E25" s="974"/>
      <c r="F25" s="974"/>
      <c r="G25" s="325"/>
      <c r="H25" s="325"/>
      <c r="I25" s="325"/>
      <c r="J25" s="325"/>
      <c r="K25" s="325"/>
      <c r="L25" s="325"/>
      <c r="M25" s="943"/>
      <c r="N25" s="328"/>
      <c r="O25" s="328"/>
      <c r="P25" s="328"/>
      <c r="Q25" s="328"/>
      <c r="R25" s="926">
        <v>10</v>
      </c>
      <c r="S25" s="926">
        <v>306</v>
      </c>
      <c r="T25" s="926">
        <f t="shared" si="0"/>
        <v>100306</v>
      </c>
      <c r="U25" s="926" t="s">
        <v>407</v>
      </c>
    </row>
    <row r="26" spans="1:21" s="941" customFormat="1" x14ac:dyDescent="0.2">
      <c r="A26" s="328"/>
      <c r="B26" s="942"/>
      <c r="C26" s="973"/>
      <c r="D26" s="975" t="str">
        <f>IF(D27=TRUE,"      Invulvelden gearceerd","      Invulvelden niet gearceerd")</f>
        <v xml:space="preserve">      Invulvelden gearceerd</v>
      </c>
      <c r="E26" s="976"/>
      <c r="F26" s="977"/>
      <c r="G26" s="798"/>
      <c r="H26" s="798"/>
      <c r="I26" s="328"/>
      <c r="J26" s="328"/>
      <c r="K26" s="328"/>
      <c r="L26" s="328"/>
      <c r="M26" s="945"/>
      <c r="N26" s="328"/>
      <c r="O26" s="328"/>
      <c r="P26" s="328"/>
      <c r="Q26" s="328"/>
      <c r="R26" s="926">
        <v>10</v>
      </c>
      <c r="S26" s="926">
        <v>310</v>
      </c>
      <c r="T26" s="926">
        <f t="shared" si="0"/>
        <v>100310</v>
      </c>
      <c r="U26" s="926" t="s">
        <v>408</v>
      </c>
    </row>
    <row r="27" spans="1:21" s="953" customFormat="1" ht="13.5" thickBot="1" x14ac:dyDescent="0.25">
      <c r="A27" s="946"/>
      <c r="B27" s="947"/>
      <c r="C27" s="978"/>
      <c r="D27" s="238" t="b">
        <v>1</v>
      </c>
      <c r="E27" s="979"/>
      <c r="F27" s="979"/>
      <c r="G27" s="948"/>
      <c r="H27" s="948"/>
      <c r="I27" s="949"/>
      <c r="J27" s="950"/>
      <c r="K27" s="950"/>
      <c r="L27" s="951"/>
      <c r="M27" s="952"/>
      <c r="N27" s="946"/>
      <c r="O27" s="946"/>
      <c r="P27" s="946"/>
      <c r="Q27" s="946"/>
      <c r="R27" s="926">
        <v>10</v>
      </c>
      <c r="S27" s="926">
        <v>406</v>
      </c>
      <c r="T27" s="926">
        <f t="shared" si="0"/>
        <v>100406</v>
      </c>
      <c r="U27" s="926" t="s">
        <v>409</v>
      </c>
    </row>
    <row r="28" spans="1:21" s="935" customFormat="1" ht="12.75" customHeight="1" x14ac:dyDescent="0.2">
      <c r="A28" s="328"/>
      <c r="B28" s="315"/>
      <c r="C28" s="328"/>
      <c r="D28" s="328"/>
      <c r="E28" s="328"/>
      <c r="F28" s="328"/>
      <c r="G28" s="798"/>
      <c r="H28" s="798"/>
      <c r="I28" s="325"/>
      <c r="J28" s="325"/>
      <c r="K28" s="954"/>
      <c r="L28" s="325"/>
      <c r="M28" s="918"/>
      <c r="N28" s="918"/>
      <c r="O28" s="798"/>
      <c r="P28" s="798"/>
      <c r="Q28" s="667"/>
      <c r="R28" s="926">
        <v>10</v>
      </c>
      <c r="S28" s="926">
        <v>407</v>
      </c>
      <c r="T28" s="926">
        <f t="shared" si="0"/>
        <v>100407</v>
      </c>
      <c r="U28" s="926" t="s">
        <v>410</v>
      </c>
    </row>
    <row r="29" spans="1:21" s="825" customFormat="1" ht="16.5" customHeight="1" x14ac:dyDescent="0.2">
      <c r="A29" s="318"/>
      <c r="B29" s="318"/>
      <c r="C29" s="318"/>
      <c r="D29" s="318"/>
      <c r="E29" s="318"/>
      <c r="F29" s="318"/>
      <c r="G29" s="318"/>
      <c r="H29" s="318"/>
      <c r="I29" s="318"/>
      <c r="J29" s="318"/>
      <c r="K29" s="318"/>
      <c r="L29" s="318"/>
      <c r="M29" s="318"/>
      <c r="N29" s="318"/>
      <c r="O29" s="318"/>
      <c r="P29" s="318"/>
      <c r="Q29" s="318"/>
      <c r="R29" s="926">
        <v>10</v>
      </c>
      <c r="S29" s="926">
        <v>502</v>
      </c>
      <c r="T29" s="926">
        <f t="shared" si="0"/>
        <v>100502</v>
      </c>
      <c r="U29" s="926" t="s">
        <v>411</v>
      </c>
    </row>
    <row r="30" spans="1:21" s="959" customFormat="1" ht="16.5" customHeight="1" x14ac:dyDescent="0.2">
      <c r="A30" s="955" t="s">
        <v>729</v>
      </c>
      <c r="B30" s="956"/>
      <c r="C30" s="957"/>
      <c r="D30" s="1245" t="e">
        <f>VLOOKUP(G10,T10:X103,2,FALSE)</f>
        <v>#N/A</v>
      </c>
      <c r="E30" s="1246"/>
      <c r="F30" s="1247"/>
      <c r="G30" s="958"/>
      <c r="H30" s="1259" t="s">
        <v>843</v>
      </c>
      <c r="I30" s="1259"/>
      <c r="J30" s="1259"/>
      <c r="K30" s="1235"/>
      <c r="L30" s="1236"/>
      <c r="M30" s="1236"/>
      <c r="N30" s="1237"/>
      <c r="O30" s="958"/>
      <c r="P30" s="958"/>
      <c r="Q30" s="958"/>
      <c r="R30" s="926">
        <v>10</v>
      </c>
      <c r="S30" s="926">
        <v>505</v>
      </c>
      <c r="T30" s="926">
        <f t="shared" si="0"/>
        <v>100505</v>
      </c>
      <c r="U30" s="926" t="s">
        <v>412</v>
      </c>
    </row>
    <row r="31" spans="1:21" s="959" customFormat="1" ht="16.5" customHeight="1" x14ac:dyDescent="0.2">
      <c r="A31" s="921" t="s">
        <v>730</v>
      </c>
      <c r="B31" s="922"/>
      <c r="C31" s="923"/>
      <c r="D31" s="1235"/>
      <c r="E31" s="1236"/>
      <c r="F31" s="1237"/>
      <c r="G31" s="958"/>
      <c r="H31" s="1266" t="s">
        <v>782</v>
      </c>
      <c r="I31" s="1267"/>
      <c r="J31" s="1268"/>
      <c r="K31" s="1235"/>
      <c r="L31" s="1236"/>
      <c r="M31" s="1236"/>
      <c r="N31" s="1237"/>
      <c r="O31" s="958"/>
      <c r="P31" s="958"/>
      <c r="Q31" s="958"/>
      <c r="R31" s="926">
        <v>10</v>
      </c>
      <c r="S31" s="926">
        <v>604</v>
      </c>
      <c r="T31" s="926">
        <f t="shared" si="0"/>
        <v>100604</v>
      </c>
      <c r="U31" s="926" t="s">
        <v>413</v>
      </c>
    </row>
    <row r="32" spans="1:21" s="959" customFormat="1" ht="16.5" customHeight="1" x14ac:dyDescent="0.2">
      <c r="A32" s="960" t="s">
        <v>782</v>
      </c>
      <c r="B32" s="318"/>
      <c r="C32" s="318"/>
      <c r="D32" s="1235"/>
      <c r="E32" s="1236"/>
      <c r="F32" s="1237"/>
      <c r="G32" s="958"/>
      <c r="H32" s="1269" t="s">
        <v>735</v>
      </c>
      <c r="I32" s="1269"/>
      <c r="J32" s="1269"/>
      <c r="K32" s="1234"/>
      <c r="L32" s="1234"/>
      <c r="M32" s="1234"/>
      <c r="N32" s="1234"/>
      <c r="O32" s="958"/>
      <c r="P32" s="958"/>
      <c r="Q32" s="958"/>
      <c r="R32" s="926">
        <v>10</v>
      </c>
      <c r="S32" s="926">
        <v>609</v>
      </c>
      <c r="T32" s="926">
        <f t="shared" si="0"/>
        <v>100609</v>
      </c>
      <c r="U32" s="926" t="s">
        <v>414</v>
      </c>
    </row>
    <row r="33" spans="1:21" s="959" customFormat="1" ht="16.5" customHeight="1" x14ac:dyDescent="0.2">
      <c r="A33" s="921" t="s">
        <v>783</v>
      </c>
      <c r="B33" s="922"/>
      <c r="C33" s="922"/>
      <c r="D33" s="1260"/>
      <c r="E33" s="1261"/>
      <c r="F33" s="1262"/>
      <c r="G33" s="958"/>
      <c r="H33" s="1269" t="s">
        <v>784</v>
      </c>
      <c r="I33" s="1269"/>
      <c r="J33" s="1269"/>
      <c r="K33" s="1239"/>
      <c r="L33" s="1240"/>
      <c r="M33" s="1240"/>
      <c r="N33" s="1240"/>
      <c r="O33" s="958"/>
      <c r="P33" s="958"/>
      <c r="Q33" s="958"/>
      <c r="R33" s="926">
        <v>10</v>
      </c>
      <c r="S33" s="926">
        <v>610</v>
      </c>
      <c r="T33" s="926">
        <f t="shared" si="0"/>
        <v>100610</v>
      </c>
      <c r="U33" s="926" t="s">
        <v>415</v>
      </c>
    </row>
    <row r="34" spans="1:21" s="959" customFormat="1" ht="16.5" customHeight="1" x14ac:dyDescent="0.2">
      <c r="A34" s="921" t="s">
        <v>784</v>
      </c>
      <c r="B34" s="922"/>
      <c r="C34" s="922"/>
      <c r="D34" s="1248"/>
      <c r="E34" s="1236"/>
      <c r="F34" s="1237"/>
      <c r="G34" s="958"/>
      <c r="H34" s="1252" t="s">
        <v>728</v>
      </c>
      <c r="I34" s="1253"/>
      <c r="J34" s="1254"/>
      <c r="K34" s="1279"/>
      <c r="L34" s="1280"/>
      <c r="M34" s="1280"/>
      <c r="N34" s="1281"/>
      <c r="O34" s="958"/>
      <c r="P34" s="958"/>
      <c r="Q34" s="958"/>
      <c r="R34" s="926">
        <v>10</v>
      </c>
      <c r="S34" s="926">
        <v>614</v>
      </c>
      <c r="T34" s="926">
        <f t="shared" si="0"/>
        <v>100614</v>
      </c>
      <c r="U34" s="926" t="s">
        <v>416</v>
      </c>
    </row>
    <row r="35" spans="1:21" s="959" customFormat="1" ht="16.5" customHeight="1" x14ac:dyDescent="0.2">
      <c r="A35" s="961"/>
      <c r="B35" s="922"/>
      <c r="C35" s="962"/>
      <c r="D35" s="1246"/>
      <c r="E35" s="1246"/>
      <c r="F35" s="1246"/>
      <c r="G35" s="958"/>
      <c r="H35" s="1255"/>
      <c r="I35" s="1256"/>
      <c r="J35" s="1257"/>
      <c r="K35" s="1276"/>
      <c r="L35" s="1277"/>
      <c r="M35" s="1277"/>
      <c r="N35" s="1278"/>
      <c r="O35" s="958"/>
      <c r="P35" s="958"/>
      <c r="Q35" s="958"/>
      <c r="R35" s="926">
        <v>10</v>
      </c>
      <c r="S35" s="944">
        <v>616</v>
      </c>
      <c r="T35" s="944">
        <f t="shared" si="0"/>
        <v>100616</v>
      </c>
      <c r="U35" s="944" t="s">
        <v>1205</v>
      </c>
    </row>
    <row r="36" spans="1:21" s="959" customFormat="1" ht="16.5" customHeight="1" x14ac:dyDescent="0.2">
      <c r="A36" s="963" t="s">
        <v>812</v>
      </c>
      <c r="B36" s="922"/>
      <c r="C36" s="922"/>
      <c r="D36" s="922"/>
      <c r="E36" s="922"/>
      <c r="F36" s="923"/>
      <c r="G36" s="958"/>
      <c r="H36" s="1249" t="s">
        <v>844</v>
      </c>
      <c r="I36" s="1250"/>
      <c r="J36" s="1251"/>
      <c r="K36" s="1276"/>
      <c r="L36" s="1277"/>
      <c r="M36" s="1277"/>
      <c r="N36" s="1278"/>
      <c r="O36" s="958"/>
      <c r="P36" s="958"/>
      <c r="Q36" s="958"/>
      <c r="R36" s="926">
        <v>10</v>
      </c>
      <c r="S36" s="926">
        <v>700</v>
      </c>
      <c r="T36" s="926">
        <f t="shared" si="0"/>
        <v>100700</v>
      </c>
      <c r="U36" s="926" t="s">
        <v>417</v>
      </c>
    </row>
    <row r="37" spans="1:21" s="959" customFormat="1" ht="16.5" customHeight="1" x14ac:dyDescent="0.2">
      <c r="A37" s="813"/>
      <c r="B37" s="812" t="s">
        <v>746</v>
      </c>
      <c r="C37" s="812"/>
      <c r="D37" s="812"/>
      <c r="E37" s="812"/>
      <c r="F37" s="970"/>
      <c r="G37" s="958"/>
      <c r="H37" s="1266" t="s">
        <v>782</v>
      </c>
      <c r="I37" s="1267"/>
      <c r="J37" s="1268"/>
      <c r="K37" s="1276"/>
      <c r="L37" s="1277"/>
      <c r="M37" s="1277"/>
      <c r="N37" s="1278"/>
      <c r="O37" s="958"/>
      <c r="P37" s="958"/>
      <c r="Q37" s="958"/>
      <c r="R37" s="926">
        <v>10</v>
      </c>
      <c r="S37" s="926">
        <v>701</v>
      </c>
      <c r="T37" s="926">
        <f t="shared" si="0"/>
        <v>100701</v>
      </c>
      <c r="U37" s="926" t="s">
        <v>418</v>
      </c>
    </row>
    <row r="38" spans="1:21" s="959" customFormat="1" ht="16.5" customHeight="1" x14ac:dyDescent="0.2">
      <c r="A38" s="813"/>
      <c r="B38" s="812"/>
      <c r="C38" s="812"/>
      <c r="D38" s="812"/>
      <c r="E38" s="812"/>
      <c r="F38" s="970"/>
      <c r="G38" s="958"/>
      <c r="H38" s="1266" t="s">
        <v>735</v>
      </c>
      <c r="I38" s="1267"/>
      <c r="J38" s="1268"/>
      <c r="K38" s="1233"/>
      <c r="L38" s="1234"/>
      <c r="M38" s="1234"/>
      <c r="N38" s="1234"/>
      <c r="R38" s="926">
        <v>10</v>
      </c>
      <c r="S38" s="926">
        <v>803</v>
      </c>
      <c r="T38" s="926">
        <f t="shared" si="0"/>
        <v>100803</v>
      </c>
      <c r="U38" s="926" t="s">
        <v>419</v>
      </c>
    </row>
    <row r="39" spans="1:21" s="959" customFormat="1" ht="16.5" customHeight="1" x14ac:dyDescent="0.2">
      <c r="A39" s="813"/>
      <c r="B39" s="812"/>
      <c r="C39" s="812"/>
      <c r="D39" s="812"/>
      <c r="E39" s="812"/>
      <c r="F39" s="971" t="s">
        <v>787</v>
      </c>
      <c r="G39" s="958"/>
      <c r="H39" s="1266" t="s">
        <v>784</v>
      </c>
      <c r="I39" s="1267"/>
      <c r="J39" s="1268"/>
      <c r="K39" s="1248"/>
      <c r="L39" s="1236"/>
      <c r="M39" s="1236"/>
      <c r="N39" s="1236"/>
      <c r="R39" s="926">
        <v>10</v>
      </c>
      <c r="S39" s="926">
        <v>807</v>
      </c>
      <c r="T39" s="926">
        <f t="shared" si="0"/>
        <v>100807</v>
      </c>
      <c r="U39" s="926" t="s">
        <v>420</v>
      </c>
    </row>
    <row r="40" spans="1:21" s="959" customFormat="1" ht="16.5" customHeight="1" x14ac:dyDescent="0.2">
      <c r="A40" s="1289"/>
      <c r="B40" s="1290"/>
      <c r="C40" s="972" t="s">
        <v>785</v>
      </c>
      <c r="D40" s="1291"/>
      <c r="E40" s="1292"/>
      <c r="F40" s="972" t="s">
        <v>786</v>
      </c>
      <c r="G40" s="958"/>
      <c r="H40" s="1252" t="s">
        <v>728</v>
      </c>
      <c r="I40" s="1253"/>
      <c r="J40" s="1254"/>
      <c r="K40" s="1279"/>
      <c r="L40" s="1280"/>
      <c r="M40" s="1280"/>
      <c r="N40" s="1281"/>
      <c r="R40" s="926">
        <v>10</v>
      </c>
      <c r="S40" s="926">
        <v>900</v>
      </c>
      <c r="T40" s="926">
        <f t="shared" si="0"/>
        <v>100900</v>
      </c>
      <c r="U40" s="926" t="s">
        <v>421</v>
      </c>
    </row>
    <row r="41" spans="1:21" s="959" customFormat="1" ht="16.5" customHeight="1" x14ac:dyDescent="0.2">
      <c r="A41" s="958"/>
      <c r="B41" s="958"/>
      <c r="C41" s="958"/>
      <c r="D41" s="958"/>
      <c r="E41" s="958"/>
      <c r="F41" s="958"/>
      <c r="G41" s="958"/>
      <c r="H41" s="1255"/>
      <c r="I41" s="1256"/>
      <c r="J41" s="1257"/>
      <c r="K41" s="1276"/>
      <c r="L41" s="1277"/>
      <c r="M41" s="1277"/>
      <c r="N41" s="1278"/>
      <c r="O41" s="958"/>
      <c r="P41" s="958"/>
      <c r="Q41" s="958"/>
      <c r="R41" s="926">
        <v>10</v>
      </c>
      <c r="S41" s="926">
        <v>901</v>
      </c>
      <c r="T41" s="926">
        <f t="shared" si="0"/>
        <v>100901</v>
      </c>
      <c r="U41" s="926" t="s">
        <v>422</v>
      </c>
    </row>
    <row r="42" spans="1:21" s="964" customFormat="1" ht="12.75" customHeight="1" x14ac:dyDescent="0.2">
      <c r="A42" s="836"/>
      <c r="B42" s="874"/>
      <c r="C42" s="836"/>
      <c r="D42" s="836"/>
      <c r="E42" s="836"/>
      <c r="F42" s="836"/>
      <c r="G42" s="836"/>
      <c r="H42" s="684"/>
      <c r="I42" s="684"/>
      <c r="J42" s="684"/>
      <c r="K42" s="684"/>
      <c r="L42" s="684"/>
      <c r="M42" s="684"/>
      <c r="N42" s="684"/>
      <c r="O42" s="315"/>
      <c r="P42" s="315"/>
      <c r="Q42" s="315"/>
      <c r="R42" s="926">
        <v>10</v>
      </c>
      <c r="S42" s="926">
        <v>906</v>
      </c>
      <c r="T42" s="926">
        <f t="shared" si="0"/>
        <v>100906</v>
      </c>
      <c r="U42" s="926" t="s">
        <v>423</v>
      </c>
    </row>
    <row r="43" spans="1:21" ht="16.5" customHeight="1" x14ac:dyDescent="0.2">
      <c r="A43" s="965" t="s">
        <v>919</v>
      </c>
      <c r="B43" s="966"/>
      <c r="C43" s="966"/>
      <c r="D43" s="966"/>
      <c r="E43" s="966"/>
      <c r="F43" s="966"/>
      <c r="G43" s="966"/>
      <c r="H43" s="958"/>
      <c r="I43" s="958"/>
      <c r="J43" s="958"/>
      <c r="K43" s="958"/>
      <c r="L43" s="1286">
        <f>'4 overzicht mutaties'!E24</f>
        <v>0</v>
      </c>
      <c r="M43" s="1287"/>
      <c r="N43" s="1288"/>
      <c r="R43" s="926">
        <v>10</v>
      </c>
      <c r="S43" s="926">
        <v>910</v>
      </c>
      <c r="T43" s="926">
        <f t="shared" si="0"/>
        <v>100910</v>
      </c>
      <c r="U43" s="926" t="s">
        <v>424</v>
      </c>
    </row>
    <row r="44" spans="1:21" ht="16.5" customHeight="1" x14ac:dyDescent="0.2">
      <c r="A44" s="965" t="s">
        <v>1178</v>
      </c>
      <c r="B44" s="913"/>
      <c r="C44" s="958"/>
      <c r="D44" s="318"/>
      <c r="E44" s="967"/>
      <c r="F44" s="958"/>
      <c r="G44" s="958"/>
      <c r="H44" s="958"/>
      <c r="I44" s="958"/>
      <c r="J44" s="958"/>
      <c r="K44" s="958"/>
      <c r="L44" s="1286">
        <f>'4 overzicht mutaties'!E33</f>
        <v>0</v>
      </c>
      <c r="M44" s="1287"/>
      <c r="N44" s="1288"/>
      <c r="R44" s="926">
        <v>10</v>
      </c>
      <c r="S44" s="926">
        <v>911</v>
      </c>
      <c r="T44" s="926">
        <f t="shared" si="0"/>
        <v>100911</v>
      </c>
      <c r="U44" s="926" t="s">
        <v>425</v>
      </c>
    </row>
    <row r="45" spans="1:21" ht="16.5" customHeight="1" x14ac:dyDescent="0.2">
      <c r="A45" s="965"/>
      <c r="B45" s="913"/>
      <c r="C45" s="958"/>
      <c r="D45" s="318"/>
      <c r="E45" s="967"/>
      <c r="F45" s="958"/>
      <c r="G45" s="958"/>
      <c r="H45" s="958"/>
      <c r="I45" s="958"/>
      <c r="J45" s="958"/>
      <c r="K45" s="958"/>
      <c r="L45" s="791"/>
      <c r="M45" s="791"/>
      <c r="N45" s="791"/>
      <c r="R45" s="944">
        <v>10</v>
      </c>
      <c r="S45" s="944">
        <v>912</v>
      </c>
      <c r="T45" s="944">
        <f t="shared" si="0"/>
        <v>100912</v>
      </c>
      <c r="U45" s="926" t="s">
        <v>422</v>
      </c>
    </row>
    <row r="46" spans="1:21" ht="16.5" customHeight="1" x14ac:dyDescent="0.2">
      <c r="A46" s="965"/>
      <c r="B46" s="913"/>
      <c r="C46" s="958"/>
      <c r="D46" s="318"/>
      <c r="E46" s="967"/>
      <c r="F46" s="958"/>
      <c r="G46" s="958"/>
      <c r="H46" s="1264" t="s">
        <v>115</v>
      </c>
      <c r="I46" s="1265"/>
      <c r="J46" s="1265"/>
      <c r="K46" s="1265"/>
      <c r="L46" s="1293">
        <f>'4 overzicht mutaties'!E40</f>
        <v>0</v>
      </c>
      <c r="M46" s="1294"/>
      <c r="N46" s="1295"/>
      <c r="R46" s="926">
        <v>10</v>
      </c>
      <c r="S46" s="926">
        <v>1004</v>
      </c>
      <c r="T46" s="926">
        <f t="shared" si="0"/>
        <v>101004</v>
      </c>
      <c r="U46" s="926" t="s">
        <v>426</v>
      </c>
    </row>
    <row r="47" spans="1:21" ht="16.5" customHeight="1" x14ac:dyDescent="0.2">
      <c r="A47" s="965"/>
      <c r="B47" s="913"/>
      <c r="C47" s="958"/>
      <c r="D47" s="318"/>
      <c r="E47" s="967"/>
      <c r="F47" s="958"/>
      <c r="G47" s="958"/>
      <c r="H47" s="1264" t="s">
        <v>116</v>
      </c>
      <c r="I47" s="1265"/>
      <c r="J47" s="1265"/>
      <c r="K47" s="1265"/>
      <c r="L47" s="1293">
        <f>'4 overzicht mutaties'!E41</f>
        <v>0</v>
      </c>
      <c r="M47" s="1294"/>
      <c r="N47" s="1295"/>
      <c r="R47" s="926">
        <v>10</v>
      </c>
      <c r="S47" s="926">
        <v>1005</v>
      </c>
      <c r="T47" s="926">
        <f t="shared" si="0"/>
        <v>101005</v>
      </c>
      <c r="U47" s="926" t="s">
        <v>427</v>
      </c>
    </row>
    <row r="48" spans="1:21" ht="13.5" thickBot="1" x14ac:dyDescent="0.25">
      <c r="A48" s="965"/>
      <c r="B48" s="913"/>
      <c r="C48" s="958"/>
      <c r="D48" s="318"/>
      <c r="E48" s="967"/>
      <c r="F48" s="958"/>
      <c r="G48" s="958"/>
      <c r="H48" s="318"/>
      <c r="I48" s="318"/>
      <c r="J48" s="318"/>
      <c r="K48" s="318"/>
      <c r="L48" s="836"/>
      <c r="R48" s="926">
        <v>10</v>
      </c>
      <c r="S48" s="926">
        <v>1100</v>
      </c>
      <c r="T48" s="926">
        <f t="shared" si="0"/>
        <v>101100</v>
      </c>
      <c r="U48" s="926" t="s">
        <v>428</v>
      </c>
    </row>
    <row r="49" spans="1:21" ht="13.5" thickBot="1" x14ac:dyDescent="0.25">
      <c r="A49" s="821" t="s">
        <v>1185</v>
      </c>
      <c r="B49" s="325"/>
      <c r="C49" s="325"/>
      <c r="D49" s="325"/>
      <c r="E49" s="325"/>
      <c r="F49" s="34"/>
      <c r="G49" s="315"/>
      <c r="H49" s="958"/>
      <c r="I49" s="958"/>
      <c r="J49" s="958"/>
      <c r="K49" s="958"/>
      <c r="L49" s="836"/>
      <c r="R49" s="926">
        <v>10</v>
      </c>
      <c r="S49" s="926">
        <v>1101</v>
      </c>
      <c r="T49" s="926">
        <f t="shared" si="0"/>
        <v>101101</v>
      </c>
      <c r="U49" s="926" t="s">
        <v>429</v>
      </c>
    </row>
    <row r="50" spans="1:21" x14ac:dyDescent="0.2">
      <c r="A50" s="356"/>
      <c r="B50" s="315"/>
      <c r="C50" s="328"/>
      <c r="D50" s="328"/>
      <c r="E50" s="328"/>
      <c r="F50" s="328"/>
      <c r="G50" s="328"/>
      <c r="H50" s="958"/>
      <c r="I50" s="958"/>
      <c r="J50" s="958"/>
      <c r="K50" s="958"/>
      <c r="L50" s="958"/>
      <c r="M50" s="958"/>
      <c r="N50" s="958"/>
      <c r="R50" s="926">
        <v>10</v>
      </c>
      <c r="S50" s="926">
        <v>1102</v>
      </c>
      <c r="T50" s="926">
        <f t="shared" si="0"/>
        <v>101102</v>
      </c>
      <c r="U50" s="926" t="s">
        <v>430</v>
      </c>
    </row>
    <row r="51" spans="1:21" ht="19.5" customHeight="1" x14ac:dyDescent="0.2">
      <c r="A51" s="1285" t="s">
        <v>1206</v>
      </c>
      <c r="B51" s="1285"/>
      <c r="C51" s="1285"/>
      <c r="D51" s="1285"/>
      <c r="E51" s="1285"/>
      <c r="F51" s="1285"/>
      <c r="G51" s="1285"/>
      <c r="H51" s="1285"/>
      <c r="I51" s="1285"/>
      <c r="J51" s="1285"/>
      <c r="K51" s="1285"/>
      <c r="L51" s="1285"/>
      <c r="M51" s="1285"/>
      <c r="N51" s="1285"/>
      <c r="R51" s="926">
        <v>10</v>
      </c>
      <c r="S51" s="926">
        <v>1208</v>
      </c>
      <c r="T51" s="926">
        <f t="shared" si="0"/>
        <v>101208</v>
      </c>
      <c r="U51" s="926" t="s">
        <v>431</v>
      </c>
    </row>
    <row r="52" spans="1:21" x14ac:dyDescent="0.2">
      <c r="A52" s="1285"/>
      <c r="B52" s="1285"/>
      <c r="C52" s="1285"/>
      <c r="D52" s="1285"/>
      <c r="E52" s="1285"/>
      <c r="F52" s="1285"/>
      <c r="G52" s="1285"/>
      <c r="H52" s="1285"/>
      <c r="I52" s="1285"/>
      <c r="J52" s="1285"/>
      <c r="K52" s="1285"/>
      <c r="L52" s="1285"/>
      <c r="M52" s="1285"/>
      <c r="N52" s="1285"/>
      <c r="R52" s="926">
        <v>10</v>
      </c>
      <c r="S52" s="926">
        <v>1209</v>
      </c>
      <c r="T52" s="926">
        <f t="shared" si="0"/>
        <v>101209</v>
      </c>
      <c r="U52" s="926" t="s">
        <v>432</v>
      </c>
    </row>
    <row r="53" spans="1:21" x14ac:dyDescent="0.2">
      <c r="R53" s="926">
        <v>10</v>
      </c>
      <c r="S53" s="926">
        <v>1210</v>
      </c>
      <c r="T53" s="926">
        <f t="shared" si="0"/>
        <v>101210</v>
      </c>
      <c r="U53" s="926" t="s">
        <v>433</v>
      </c>
    </row>
    <row r="54" spans="1:21" x14ac:dyDescent="0.2">
      <c r="R54" s="926">
        <v>10</v>
      </c>
      <c r="S54" s="926">
        <v>1300</v>
      </c>
      <c r="T54" s="926">
        <f t="shared" si="0"/>
        <v>101300</v>
      </c>
      <c r="U54" s="926" t="s">
        <v>434</v>
      </c>
    </row>
    <row r="55" spans="1:21" x14ac:dyDescent="0.2">
      <c r="R55" s="926">
        <v>10</v>
      </c>
      <c r="S55" s="926">
        <v>1307</v>
      </c>
      <c r="T55" s="926">
        <f t="shared" si="0"/>
        <v>101307</v>
      </c>
      <c r="U55" s="926" t="s">
        <v>435</v>
      </c>
    </row>
    <row r="56" spans="1:21" x14ac:dyDescent="0.2">
      <c r="R56" s="926">
        <v>10</v>
      </c>
      <c r="S56" s="926">
        <v>1316</v>
      </c>
      <c r="T56" s="926">
        <f t="shared" si="0"/>
        <v>101316</v>
      </c>
      <c r="U56" s="926" t="s">
        <v>440</v>
      </c>
    </row>
    <row r="57" spans="1:21" x14ac:dyDescent="0.2">
      <c r="R57" s="926">
        <v>10</v>
      </c>
      <c r="S57" s="926">
        <v>1317</v>
      </c>
      <c r="T57" s="926">
        <f t="shared" si="0"/>
        <v>101317</v>
      </c>
      <c r="U57" s="926" t="s">
        <v>441</v>
      </c>
    </row>
    <row r="58" spans="1:21" x14ac:dyDescent="0.2">
      <c r="R58" s="926">
        <v>10</v>
      </c>
      <c r="S58" s="926">
        <v>1318</v>
      </c>
      <c r="T58" s="926">
        <f t="shared" si="0"/>
        <v>101318</v>
      </c>
      <c r="U58" s="926" t="s">
        <v>442</v>
      </c>
    </row>
    <row r="59" spans="1:21" x14ac:dyDescent="0.2">
      <c r="R59" s="926">
        <v>10</v>
      </c>
      <c r="S59" s="926">
        <v>1320</v>
      </c>
      <c r="T59" s="926">
        <f t="shared" si="0"/>
        <v>101320</v>
      </c>
      <c r="U59" s="926" t="s">
        <v>443</v>
      </c>
    </row>
    <row r="60" spans="1:21" x14ac:dyDescent="0.2">
      <c r="R60" s="926">
        <v>10</v>
      </c>
      <c r="S60" s="926">
        <v>1321</v>
      </c>
      <c r="T60" s="926">
        <f t="shared" si="0"/>
        <v>101321</v>
      </c>
      <c r="U60" s="926" t="s">
        <v>444</v>
      </c>
    </row>
    <row r="61" spans="1:21" x14ac:dyDescent="0.2">
      <c r="R61" s="926">
        <v>10</v>
      </c>
      <c r="S61" s="926">
        <v>1322</v>
      </c>
      <c r="T61" s="926">
        <f t="shared" si="0"/>
        <v>101322</v>
      </c>
      <c r="U61" s="926" t="s">
        <v>445</v>
      </c>
    </row>
    <row r="62" spans="1:21" x14ac:dyDescent="0.2">
      <c r="R62" s="926">
        <v>10</v>
      </c>
      <c r="S62" s="926">
        <v>1401</v>
      </c>
      <c r="T62" s="926">
        <f t="shared" si="0"/>
        <v>101401</v>
      </c>
      <c r="U62" s="926" t="s">
        <v>446</v>
      </c>
    </row>
    <row r="63" spans="1:21" x14ac:dyDescent="0.2">
      <c r="R63" s="926">
        <v>10</v>
      </c>
      <c r="S63" s="926">
        <v>1403</v>
      </c>
      <c r="T63" s="926">
        <f t="shared" si="0"/>
        <v>101403</v>
      </c>
      <c r="U63" s="926" t="s">
        <v>447</v>
      </c>
    </row>
    <row r="64" spans="1:21" x14ac:dyDescent="0.2">
      <c r="R64" s="926">
        <v>10</v>
      </c>
      <c r="S64" s="926">
        <v>1502</v>
      </c>
      <c r="T64" s="926">
        <f t="shared" si="0"/>
        <v>101502</v>
      </c>
      <c r="U64" s="926" t="s">
        <v>448</v>
      </c>
    </row>
    <row r="65" spans="18:21" x14ac:dyDescent="0.2">
      <c r="R65" s="926">
        <v>10</v>
      </c>
      <c r="S65" s="926">
        <v>1508</v>
      </c>
      <c r="T65" s="926">
        <f t="shared" si="0"/>
        <v>101508</v>
      </c>
      <c r="U65" s="926" t="s">
        <v>449</v>
      </c>
    </row>
    <row r="66" spans="18:21" x14ac:dyDescent="0.2">
      <c r="R66" s="926">
        <v>10</v>
      </c>
      <c r="S66" s="926">
        <v>1511</v>
      </c>
      <c r="T66" s="926">
        <f t="shared" si="0"/>
        <v>101511</v>
      </c>
      <c r="U66" s="926" t="s">
        <v>450</v>
      </c>
    </row>
    <row r="67" spans="18:21" x14ac:dyDescent="0.2">
      <c r="R67" s="926">
        <v>10</v>
      </c>
      <c r="S67" s="926">
        <v>1515</v>
      </c>
      <c r="T67" s="926">
        <f t="shared" si="0"/>
        <v>101515</v>
      </c>
      <c r="U67" s="926" t="s">
        <v>451</v>
      </c>
    </row>
    <row r="68" spans="18:21" x14ac:dyDescent="0.2">
      <c r="R68" s="926">
        <v>10</v>
      </c>
      <c r="S68" s="926">
        <v>1516</v>
      </c>
      <c r="T68" s="926">
        <f t="shared" si="0"/>
        <v>101516</v>
      </c>
      <c r="U68" s="926" t="s">
        <v>452</v>
      </c>
    </row>
    <row r="69" spans="18:21" x14ac:dyDescent="0.2">
      <c r="R69" s="926">
        <v>10</v>
      </c>
      <c r="S69" s="926">
        <v>1602</v>
      </c>
      <c r="T69" s="926">
        <f t="shared" si="0"/>
        <v>101602</v>
      </c>
      <c r="U69" s="926" t="s">
        <v>453</v>
      </c>
    </row>
    <row r="70" spans="18:21" x14ac:dyDescent="0.2">
      <c r="R70" s="926">
        <v>10</v>
      </c>
      <c r="S70" s="926">
        <v>1700</v>
      </c>
      <c r="T70" s="926">
        <f t="shared" si="0"/>
        <v>101700</v>
      </c>
      <c r="U70" s="926" t="s">
        <v>454</v>
      </c>
    </row>
    <row r="71" spans="18:21" x14ac:dyDescent="0.2">
      <c r="R71" s="926">
        <v>10</v>
      </c>
      <c r="S71" s="926">
        <v>1705</v>
      </c>
      <c r="T71" s="926">
        <f t="shared" si="0"/>
        <v>101705</v>
      </c>
      <c r="U71" s="926" t="s">
        <v>455</v>
      </c>
    </row>
    <row r="72" spans="18:21" x14ac:dyDescent="0.2">
      <c r="R72" s="926">
        <v>10</v>
      </c>
      <c r="S72" s="926">
        <v>1707</v>
      </c>
      <c r="T72" s="926">
        <f t="shared" si="0"/>
        <v>101707</v>
      </c>
      <c r="U72" s="926" t="s">
        <v>456</v>
      </c>
    </row>
    <row r="73" spans="18:21" x14ac:dyDescent="0.2">
      <c r="R73" s="926">
        <v>10</v>
      </c>
      <c r="S73" s="926">
        <v>1708</v>
      </c>
      <c r="T73" s="926">
        <f t="shared" si="0"/>
        <v>101708</v>
      </c>
      <c r="U73" s="926" t="s">
        <v>457</v>
      </c>
    </row>
    <row r="74" spans="18:21" x14ac:dyDescent="0.2">
      <c r="R74" s="926">
        <v>10</v>
      </c>
      <c r="S74" s="926">
        <v>1712</v>
      </c>
      <c r="T74" s="926">
        <f t="shared" si="0"/>
        <v>101712</v>
      </c>
      <c r="U74" s="926" t="s">
        <v>458</v>
      </c>
    </row>
    <row r="75" spans="18:21" x14ac:dyDescent="0.2">
      <c r="R75" s="926">
        <v>10</v>
      </c>
      <c r="S75" s="926">
        <v>1714</v>
      </c>
      <c r="T75" s="926">
        <f t="shared" ref="T75:T99" si="1">R75*10000+S75</f>
        <v>101714</v>
      </c>
      <c r="U75" s="926" t="s">
        <v>459</v>
      </c>
    </row>
    <row r="76" spans="18:21" x14ac:dyDescent="0.2">
      <c r="R76" s="926">
        <v>10</v>
      </c>
      <c r="S76" s="926">
        <v>1715</v>
      </c>
      <c r="T76" s="926">
        <f t="shared" si="1"/>
        <v>101715</v>
      </c>
      <c r="U76" s="926" t="s">
        <v>460</v>
      </c>
    </row>
    <row r="77" spans="18:21" x14ac:dyDescent="0.2">
      <c r="R77" s="926">
        <v>10</v>
      </c>
      <c r="S77" s="926">
        <v>1716</v>
      </c>
      <c r="T77" s="926">
        <f t="shared" si="1"/>
        <v>101716</v>
      </c>
      <c r="U77" s="926" t="s">
        <v>461</v>
      </c>
    </row>
    <row r="78" spans="18:21" x14ac:dyDescent="0.2">
      <c r="R78" s="926">
        <v>10</v>
      </c>
      <c r="S78" s="926">
        <v>1803</v>
      </c>
      <c r="T78" s="926">
        <f t="shared" si="1"/>
        <v>101803</v>
      </c>
      <c r="U78" s="926" t="s">
        <v>462</v>
      </c>
    </row>
    <row r="79" spans="18:21" x14ac:dyDescent="0.2">
      <c r="R79" s="926">
        <v>10</v>
      </c>
      <c r="S79" s="926">
        <v>1808</v>
      </c>
      <c r="T79" s="926">
        <f t="shared" si="1"/>
        <v>101808</v>
      </c>
      <c r="U79" s="926" t="s">
        <v>463</v>
      </c>
    </row>
    <row r="80" spans="18:21" x14ac:dyDescent="0.2">
      <c r="R80" s="926">
        <v>10</v>
      </c>
      <c r="S80" s="926">
        <v>1900</v>
      </c>
      <c r="T80" s="926">
        <f t="shared" si="1"/>
        <v>101900</v>
      </c>
      <c r="U80" s="926" t="s">
        <v>464</v>
      </c>
    </row>
    <row r="81" spans="18:21" x14ac:dyDescent="0.2">
      <c r="R81" s="926">
        <v>10</v>
      </c>
      <c r="S81" s="926">
        <v>1902</v>
      </c>
      <c r="T81" s="926">
        <f t="shared" si="1"/>
        <v>101902</v>
      </c>
      <c r="U81" s="926" t="s">
        <v>465</v>
      </c>
    </row>
    <row r="82" spans="18:21" x14ac:dyDescent="0.2">
      <c r="R82" s="926">
        <v>10</v>
      </c>
      <c r="S82" s="926">
        <v>1906</v>
      </c>
      <c r="T82" s="926">
        <f t="shared" si="1"/>
        <v>101906</v>
      </c>
      <c r="U82" s="926" t="s">
        <v>466</v>
      </c>
    </row>
    <row r="83" spans="18:21" x14ac:dyDescent="0.2">
      <c r="R83" s="944">
        <v>10</v>
      </c>
      <c r="S83" s="944">
        <v>1907</v>
      </c>
      <c r="T83" s="944">
        <f t="shared" si="1"/>
        <v>101907</v>
      </c>
      <c r="U83" s="944" t="s">
        <v>467</v>
      </c>
    </row>
    <row r="84" spans="18:21" x14ac:dyDescent="0.2">
      <c r="R84" s="926">
        <v>10</v>
      </c>
      <c r="S84" s="926">
        <v>2000</v>
      </c>
      <c r="T84" s="926">
        <f t="shared" si="1"/>
        <v>102000</v>
      </c>
      <c r="U84" s="926" t="s">
        <v>468</v>
      </c>
    </row>
    <row r="85" spans="18:21" x14ac:dyDescent="0.2">
      <c r="R85" s="926">
        <v>10</v>
      </c>
      <c r="S85" s="926">
        <v>2006</v>
      </c>
      <c r="T85" s="926">
        <f t="shared" si="1"/>
        <v>102006</v>
      </c>
      <c r="U85" s="926" t="s">
        <v>469</v>
      </c>
    </row>
    <row r="86" spans="18:21" x14ac:dyDescent="0.2">
      <c r="R86" s="926">
        <v>10</v>
      </c>
      <c r="S86" s="926">
        <v>2009</v>
      </c>
      <c r="T86" s="926">
        <f t="shared" si="1"/>
        <v>102009</v>
      </c>
      <c r="U86" s="926" t="s">
        <v>470</v>
      </c>
    </row>
    <row r="87" spans="18:21" x14ac:dyDescent="0.2">
      <c r="R87" s="926">
        <v>10</v>
      </c>
      <c r="S87" s="926">
        <v>2101</v>
      </c>
      <c r="T87" s="926">
        <f t="shared" si="1"/>
        <v>102101</v>
      </c>
      <c r="U87" s="926" t="s">
        <v>471</v>
      </c>
    </row>
    <row r="88" spans="18:21" x14ac:dyDescent="0.2">
      <c r="R88" s="926">
        <v>10</v>
      </c>
      <c r="S88" s="926">
        <v>2103</v>
      </c>
      <c r="T88" s="926">
        <f t="shared" si="1"/>
        <v>102103</v>
      </c>
      <c r="U88" s="926" t="s">
        <v>472</v>
      </c>
    </row>
    <row r="89" spans="18:21" x14ac:dyDescent="0.2">
      <c r="R89" s="926">
        <v>10</v>
      </c>
      <c r="S89" s="926">
        <v>2211</v>
      </c>
      <c r="T89" s="926">
        <f t="shared" si="1"/>
        <v>102211</v>
      </c>
      <c r="U89" s="926" t="s">
        <v>473</v>
      </c>
    </row>
    <row r="90" spans="18:21" x14ac:dyDescent="0.2">
      <c r="R90" s="926">
        <v>10</v>
      </c>
      <c r="S90" s="926">
        <v>2214</v>
      </c>
      <c r="T90" s="926">
        <f t="shared" si="1"/>
        <v>102214</v>
      </c>
      <c r="U90" s="926" t="s">
        <v>474</v>
      </c>
    </row>
    <row r="91" spans="18:21" x14ac:dyDescent="0.2">
      <c r="R91" s="926">
        <v>10</v>
      </c>
      <c r="S91" s="926">
        <v>2301</v>
      </c>
      <c r="T91" s="926">
        <f t="shared" si="1"/>
        <v>102301</v>
      </c>
      <c r="U91" s="926" t="s">
        <v>475</v>
      </c>
    </row>
    <row r="92" spans="18:21" x14ac:dyDescent="0.2">
      <c r="R92" s="926">
        <v>10</v>
      </c>
      <c r="S92" s="926">
        <v>2304</v>
      </c>
      <c r="T92" s="926">
        <f t="shared" si="1"/>
        <v>102304</v>
      </c>
      <c r="U92" s="926" t="s">
        <v>476</v>
      </c>
    </row>
    <row r="93" spans="18:21" x14ac:dyDescent="0.2">
      <c r="R93" s="926">
        <v>10</v>
      </c>
      <c r="S93" s="926">
        <v>2306</v>
      </c>
      <c r="T93" s="926">
        <f t="shared" si="1"/>
        <v>102306</v>
      </c>
      <c r="U93" s="926" t="s">
        <v>477</v>
      </c>
    </row>
    <row r="94" spans="18:21" x14ac:dyDescent="0.2">
      <c r="R94" s="926">
        <v>10</v>
      </c>
      <c r="S94" s="926">
        <v>2307</v>
      </c>
      <c r="T94" s="926">
        <f t="shared" si="1"/>
        <v>102307</v>
      </c>
      <c r="U94" s="926" t="s">
        <v>478</v>
      </c>
    </row>
    <row r="95" spans="18:21" x14ac:dyDescent="0.2">
      <c r="R95" s="926">
        <v>10</v>
      </c>
      <c r="S95" s="926">
        <v>2400</v>
      </c>
      <c r="T95" s="926">
        <f t="shared" si="1"/>
        <v>102400</v>
      </c>
      <c r="U95" s="926" t="s">
        <v>479</v>
      </c>
    </row>
    <row r="96" spans="18:21" x14ac:dyDescent="0.2">
      <c r="R96" s="926">
        <v>10</v>
      </c>
      <c r="S96" s="926">
        <v>2403</v>
      </c>
      <c r="T96" s="926">
        <f t="shared" si="1"/>
        <v>102403</v>
      </c>
      <c r="U96" s="926" t="s">
        <v>480</v>
      </c>
    </row>
    <row r="97" spans="18:21" x14ac:dyDescent="0.2">
      <c r="R97" s="926">
        <v>10</v>
      </c>
      <c r="S97" s="926">
        <v>2404</v>
      </c>
      <c r="T97" s="926">
        <f t="shared" si="1"/>
        <v>102404</v>
      </c>
      <c r="U97" s="926" t="s">
        <v>481</v>
      </c>
    </row>
    <row r="98" spans="18:21" x14ac:dyDescent="0.2">
      <c r="R98" s="926">
        <v>10</v>
      </c>
      <c r="S98" s="926">
        <v>2505</v>
      </c>
      <c r="T98" s="926">
        <f t="shared" si="1"/>
        <v>102505</v>
      </c>
      <c r="U98" s="926" t="s">
        <v>482</v>
      </c>
    </row>
    <row r="99" spans="18:21" ht="13.5" thickBot="1" x14ac:dyDescent="0.25">
      <c r="R99" s="968">
        <v>10</v>
      </c>
      <c r="S99" s="968">
        <v>2507</v>
      </c>
      <c r="T99" s="968">
        <f t="shared" si="1"/>
        <v>102507</v>
      </c>
      <c r="U99" s="968" t="s">
        <v>483</v>
      </c>
    </row>
    <row r="100" spans="18:21" x14ac:dyDescent="0.2">
      <c r="R100" s="969">
        <v>11</v>
      </c>
      <c r="S100" s="969">
        <v>1700</v>
      </c>
      <c r="T100" s="969">
        <v>111700</v>
      </c>
      <c r="U100" s="969" t="s">
        <v>484</v>
      </c>
    </row>
  </sheetData>
  <sheetProtection password="CA39" sheet="1" objects="1" scenarios="1"/>
  <customSheetViews>
    <customSheetView guid="{52EB1485-ECFC-4D16-B893-125E4D85986E}" scale="86" showPageBreaks="1" showGridLines="0" fitToPage="1" printArea="1" showRuler="0">
      <pane ySplit="3" topLeftCell="A4" activePane="bottomLeft" state="frozen"/>
      <selection pane="bottomLeft" activeCell="L10" sqref="L10:N10"/>
      <pageMargins left="0.39370078740157483" right="0.39370078740157483" top="0.39370078740157483" bottom="0.39370078740157483" header="0.51181102362204722" footer="0.51181102362204722"/>
      <pageSetup paperSize="9" orientation="landscape" horizontalDpi="300" verticalDpi="300" r:id="rId1"/>
      <headerFooter alignWithMargins="0"/>
    </customSheetView>
  </customSheetViews>
  <mergeCells count="44">
    <mergeCell ref="A51:N52"/>
    <mergeCell ref="H39:J39"/>
    <mergeCell ref="K39:N39"/>
    <mergeCell ref="H40:J41"/>
    <mergeCell ref="K40:N41"/>
    <mergeCell ref="L43:N43"/>
    <mergeCell ref="L44:N44"/>
    <mergeCell ref="A40:B40"/>
    <mergeCell ref="D40:E40"/>
    <mergeCell ref="L46:N46"/>
    <mergeCell ref="L47:N47"/>
    <mergeCell ref="H47:K47"/>
    <mergeCell ref="A6:K7"/>
    <mergeCell ref="H46:K46"/>
    <mergeCell ref="H38:J38"/>
    <mergeCell ref="H37:J37"/>
    <mergeCell ref="H33:J33"/>
    <mergeCell ref="D31:F31"/>
    <mergeCell ref="H32:J32"/>
    <mergeCell ref="H31:J31"/>
    <mergeCell ref="A9:D9"/>
    <mergeCell ref="E11:F11"/>
    <mergeCell ref="D19:L21"/>
    <mergeCell ref="K37:N37"/>
    <mergeCell ref="K34:N35"/>
    <mergeCell ref="K36:N36"/>
    <mergeCell ref="K32:N32"/>
    <mergeCell ref="L11:N11"/>
    <mergeCell ref="K38:N38"/>
    <mergeCell ref="D32:F32"/>
    <mergeCell ref="L10:N10"/>
    <mergeCell ref="K30:N30"/>
    <mergeCell ref="K33:N33"/>
    <mergeCell ref="D17:L18"/>
    <mergeCell ref="L12:N12"/>
    <mergeCell ref="D30:F30"/>
    <mergeCell ref="D34:F34"/>
    <mergeCell ref="K31:N31"/>
    <mergeCell ref="H36:J36"/>
    <mergeCell ref="H34:J35"/>
    <mergeCell ref="D22:L24"/>
    <mergeCell ref="H30:J30"/>
    <mergeCell ref="D33:F33"/>
    <mergeCell ref="D35:F35"/>
  </mergeCells>
  <phoneticPr fontId="12" type="noConversion"/>
  <conditionalFormatting sqref="F49 D26:E26 E10:F11 A37:F40 K30:K40 D31:D34">
    <cfRule type="expression" dxfId="127" priority="1" stopIfTrue="1">
      <formula>$D$27=TRUE</formula>
    </cfRule>
  </conditionalFormatting>
  <conditionalFormatting sqref="B50:F50 D43:E49 F43:F48 K48:K50 L50:N50">
    <cfRule type="expression" dxfId="126" priority="2" stopIfTrue="1">
      <formula>$D$36=TRUE</formula>
    </cfRule>
  </conditionalFormatting>
  <conditionalFormatting sqref="A9:D9">
    <cfRule type="expression" dxfId="125" priority="3" stopIfTrue="1">
      <formula>$F$10=0</formula>
    </cfRule>
  </conditionalFormatting>
  <dataValidations count="2">
    <dataValidation type="list" allowBlank="1" showInputMessage="1" showErrorMessage="1" errorTitle="Onjuiste invoer" error="Voor hier uw NZa-nummer in" sqref="E10">
      <formula1>$R$99:$R$100</formula1>
    </dataValidation>
    <dataValidation type="list" allowBlank="1" showInputMessage="1" showErrorMessage="1" errorTitle="Onjuiste invoer" error="Voor hier uw NZA-nummer in." sqref="F10">
      <formula1>$S$10:$S$99</formula1>
    </dataValidation>
  </dataValidations>
  <pageMargins left="0.39370078740157483" right="0.39370078740157483" top="0.39370078740157483" bottom="0.39370078740157483" header="0.51181102362204722" footer="0.51181102362204722"/>
  <pageSetup paperSize="9" scale="95" orientation="landscape" cellComments="asDisplayed" r:id="rId2"/>
  <headerFooter alignWithMargins="0"/>
  <cellWatches>
    <cellWatch r="A4"/>
  </cellWatches>
  <drawing r:id="rId3"/>
  <legacyDrawing r:id="rId4"/>
  <mc:AlternateContent xmlns:mc="http://schemas.openxmlformats.org/markup-compatibility/2006">
    <mc:Choice Requires="x14">
      <controls>
        <mc:AlternateContent xmlns:mc="http://schemas.openxmlformats.org/markup-compatibility/2006">
          <mc:Choice Requires="x14">
            <control shapeId="55305" r:id="rId5" name="Check Box 9">
              <controlPr locked="0" defaultSize="0" autoFill="0" autoLine="0" autoPict="0">
                <anchor moveWithCells="1">
                  <from>
                    <xdr:col>2</xdr:col>
                    <xdr:colOff>457200</xdr:colOff>
                    <xdr:row>24</xdr:row>
                    <xdr:rowOff>133350</xdr:rowOff>
                  </from>
                  <to>
                    <xdr:col>3</xdr:col>
                    <xdr:colOff>228600</xdr:colOff>
                    <xdr:row>26</xdr:row>
                    <xdr:rowOff>28575</xdr:rowOff>
                  </to>
                </anchor>
              </controlPr>
            </control>
          </mc:Choice>
        </mc:AlternateContent>
        <mc:AlternateContent xmlns:mc="http://schemas.openxmlformats.org/markup-compatibility/2006">
          <mc:Choice Requires="x14">
            <control shapeId="55327" r:id="rId6" name="Check Box 31">
              <controlPr locked="0" defaultSize="0" autoFill="0" autoLine="0" autoPict="0">
                <anchor moveWithCells="1">
                  <from>
                    <xdr:col>2</xdr:col>
                    <xdr:colOff>457200</xdr:colOff>
                    <xdr:row>24</xdr:row>
                    <xdr:rowOff>133350</xdr:rowOff>
                  </from>
                  <to>
                    <xdr:col>3</xdr:col>
                    <xdr:colOff>228600</xdr:colOff>
                    <xdr:row>26</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5">
    <pageSetUpPr autoPageBreaks="0"/>
  </sheetPr>
  <dimension ref="A1:R53"/>
  <sheetViews>
    <sheetView showGridLines="0" showZeros="0" showOutlineSymbols="0" zoomScaleNormal="100" zoomScaleSheetLayoutView="100" workbookViewId="0">
      <selection activeCell="A12" sqref="A12"/>
    </sheetView>
  </sheetViews>
  <sheetFormatPr defaultRowHeight="12.75" customHeight="1" x14ac:dyDescent="0.2"/>
  <cols>
    <col min="1" max="1" width="6.28515625" style="22" customWidth="1"/>
    <col min="2" max="2" width="53" style="21" customWidth="1"/>
    <col min="3" max="5" width="15.7109375" style="21" customWidth="1"/>
    <col min="6" max="6" width="18.7109375" style="21" customWidth="1"/>
    <col min="7" max="7" width="15.7109375" style="21" customWidth="1"/>
    <col min="8" max="16384" width="9.140625" style="21"/>
  </cols>
  <sheetData>
    <row r="1" spans="1:18" ht="12.75" customHeight="1" x14ac:dyDescent="0.2">
      <c r="A1" s="51"/>
      <c r="B1" s="31"/>
      <c r="C1" s="772"/>
      <c r="D1" s="31"/>
      <c r="E1" s="31"/>
      <c r="F1" s="31"/>
      <c r="G1" s="31"/>
      <c r="H1" s="31"/>
      <c r="I1" s="31"/>
      <c r="J1" s="55"/>
      <c r="K1" s="55"/>
      <c r="L1" s="55"/>
      <c r="M1" s="55"/>
      <c r="N1" s="55"/>
      <c r="O1" s="55"/>
      <c r="P1" s="55"/>
      <c r="Q1" s="55"/>
      <c r="R1" s="55"/>
    </row>
    <row r="2" spans="1:18" ht="12.75" customHeight="1" x14ac:dyDescent="0.2">
      <c r="A2" s="71" t="str">
        <f>inhoud!A2</f>
        <v>Vaststelling Transitiebedrag 2012</v>
      </c>
      <c r="B2" s="40"/>
      <c r="G2" s="42">
        <f>'2 afschrijv. instandhoud. '!P2+1</f>
        <v>16</v>
      </c>
      <c r="H2" s="55"/>
      <c r="I2" s="103"/>
      <c r="J2" s="31"/>
      <c r="K2" s="31"/>
      <c r="L2" s="31"/>
      <c r="M2" s="31"/>
      <c r="N2" s="31"/>
      <c r="O2" s="55"/>
      <c r="P2" s="55"/>
      <c r="Q2" s="55"/>
      <c r="R2" s="55"/>
    </row>
    <row r="3" spans="1:18" ht="12.75" customHeight="1" x14ac:dyDescent="0.2">
      <c r="A3" s="1317" t="str">
        <f>IF(Voorblad!$F$10&lt;1,"Vul het NZa-nummer in op het voorblad","")</f>
        <v>Vul het NZa-nummer in op het voorblad</v>
      </c>
      <c r="B3" s="1318"/>
      <c r="C3" s="1318"/>
      <c r="D3" s="1318"/>
      <c r="E3" s="631" t="b">
        <f>Voorblad!D27</f>
        <v>1</v>
      </c>
      <c r="F3" s="36"/>
      <c r="G3" s="36"/>
      <c r="H3" s="48"/>
      <c r="I3" s="55"/>
      <c r="J3" s="55"/>
      <c r="K3" s="55"/>
      <c r="L3" s="55"/>
      <c r="M3" s="55"/>
      <c r="N3" s="55"/>
      <c r="O3" s="55"/>
      <c r="P3" s="55"/>
      <c r="Q3" s="55"/>
      <c r="R3" s="55"/>
    </row>
    <row r="4" spans="1:18" ht="12.75" customHeight="1" x14ac:dyDescent="0.2">
      <c r="A4" s="108" t="s">
        <v>228</v>
      </c>
      <c r="B4" s="128" t="s">
        <v>815</v>
      </c>
      <c r="C4" s="128"/>
      <c r="D4" s="128"/>
      <c r="E4" s="55"/>
      <c r="F4" s="55"/>
      <c r="G4" s="55"/>
      <c r="H4" s="55"/>
      <c r="I4" s="55"/>
      <c r="J4" s="55"/>
      <c r="K4" s="55"/>
      <c r="L4" s="55"/>
      <c r="M4" s="55"/>
      <c r="N4" s="55"/>
      <c r="O4" s="55"/>
      <c r="P4" s="55"/>
      <c r="Q4" s="55"/>
      <c r="R4" s="55"/>
    </row>
    <row r="5" spans="1:18" ht="12.75" customHeight="1" x14ac:dyDescent="0.2">
      <c r="A5" s="58"/>
      <c r="B5" s="55"/>
      <c r="C5" s="55"/>
      <c r="D5" s="55"/>
      <c r="E5" s="55"/>
      <c r="F5" s="55"/>
      <c r="G5" s="55"/>
      <c r="H5" s="43"/>
      <c r="I5" s="55"/>
      <c r="J5" s="55"/>
      <c r="K5" s="55"/>
      <c r="L5" s="55"/>
      <c r="M5" s="55"/>
      <c r="N5" s="55"/>
      <c r="O5" s="55"/>
      <c r="P5" s="55"/>
      <c r="Q5" s="55"/>
      <c r="R5" s="55"/>
    </row>
    <row r="6" spans="1:18" ht="12.75" customHeight="1" x14ac:dyDescent="0.2">
      <c r="A6" s="128" t="s">
        <v>935</v>
      </c>
      <c r="C6" s="128"/>
      <c r="D6" s="128"/>
      <c r="E6" s="128"/>
      <c r="F6" s="128"/>
      <c r="G6" s="128"/>
      <c r="H6" s="55"/>
      <c r="I6" s="55"/>
      <c r="J6" s="55"/>
      <c r="K6" s="55"/>
      <c r="L6" s="55"/>
      <c r="M6" s="55"/>
      <c r="N6" s="55"/>
      <c r="O6" s="55"/>
      <c r="P6" s="55"/>
      <c r="Q6" s="55"/>
      <c r="R6" s="55"/>
    </row>
    <row r="7" spans="1:18" ht="12.75" customHeight="1" x14ac:dyDescent="0.2">
      <c r="A7" s="56">
        <f>(100*G2)+1</f>
        <v>1601</v>
      </c>
      <c r="B7" s="1407" t="s">
        <v>849</v>
      </c>
      <c r="C7" s="1407"/>
      <c r="D7" s="1407"/>
      <c r="E7" s="1407"/>
      <c r="F7" s="1407"/>
      <c r="G7" s="262">
        <f>0.1*G10</f>
        <v>0</v>
      </c>
      <c r="H7" s="55"/>
      <c r="I7" s="55"/>
      <c r="J7" s="55"/>
      <c r="K7" s="55"/>
      <c r="L7" s="55"/>
      <c r="M7" s="55"/>
      <c r="N7" s="55"/>
      <c r="O7" s="55"/>
      <c r="P7" s="55"/>
      <c r="Q7" s="55"/>
      <c r="R7" s="55"/>
    </row>
    <row r="8" spans="1:18" s="165" customFormat="1" ht="12.75" customHeight="1" x14ac:dyDescent="0.2">
      <c r="A8" s="63">
        <f>A7+1</f>
        <v>1602</v>
      </c>
      <c r="B8" s="1409" t="s">
        <v>856</v>
      </c>
      <c r="C8" s="1409"/>
      <c r="D8" s="1409"/>
      <c r="E8" s="1409"/>
      <c r="F8" s="1409"/>
      <c r="G8" s="262">
        <f>G22</f>
        <v>0</v>
      </c>
      <c r="H8" s="55"/>
      <c r="I8" s="55"/>
      <c r="J8" s="55"/>
      <c r="K8" s="128"/>
      <c r="L8" s="128"/>
      <c r="M8" s="128"/>
      <c r="N8" s="128"/>
      <c r="O8" s="128"/>
      <c r="P8" s="128"/>
      <c r="Q8" s="128"/>
      <c r="R8" s="128"/>
    </row>
    <row r="9" spans="1:18" ht="12.75" customHeight="1" x14ac:dyDescent="0.2">
      <c r="A9" s="56">
        <f>A8+1</f>
        <v>1603</v>
      </c>
      <c r="B9" s="1408" t="s">
        <v>816</v>
      </c>
      <c r="C9" s="1408"/>
      <c r="D9" s="1408"/>
      <c r="E9" s="1408"/>
      <c r="F9" s="1408"/>
      <c r="G9" s="269">
        <f>G7-G8</f>
        <v>0</v>
      </c>
      <c r="H9" s="55"/>
      <c r="I9" s="55"/>
      <c r="J9" s="55"/>
      <c r="K9" s="55"/>
      <c r="L9" s="55"/>
      <c r="M9" s="55"/>
      <c r="N9" s="55"/>
      <c r="O9" s="55"/>
      <c r="P9" s="55"/>
      <c r="Q9" s="55"/>
      <c r="R9" s="55"/>
    </row>
    <row r="10" spans="1:18" ht="12.75" customHeight="1" x14ac:dyDescent="0.2">
      <c r="A10" s="56">
        <f>A9+1</f>
        <v>1604</v>
      </c>
      <c r="B10" s="1407" t="s">
        <v>817</v>
      </c>
      <c r="C10" s="1407"/>
      <c r="D10" s="1407"/>
      <c r="E10" s="1407"/>
      <c r="F10" s="1407"/>
      <c r="G10" s="61"/>
      <c r="H10" s="55"/>
      <c r="I10" s="55"/>
      <c r="J10" s="55"/>
      <c r="K10" s="55"/>
      <c r="L10" s="55"/>
      <c r="M10" s="55"/>
      <c r="N10" s="55"/>
      <c r="O10" s="55"/>
      <c r="P10" s="55"/>
      <c r="Q10" s="55"/>
      <c r="R10" s="55"/>
    </row>
    <row r="11" spans="1:18" ht="12.75" customHeight="1" x14ac:dyDescent="0.2">
      <c r="A11" s="56">
        <f>A10+1</f>
        <v>1605</v>
      </c>
      <c r="B11" s="1407" t="str">
        <f>CONCATENATE("10 * berekende investeringsruimte ",Voorblad!K4)</f>
        <v>10 * berekende investeringsruimte 2012</v>
      </c>
      <c r="C11" s="1407"/>
      <c r="D11" s="1407"/>
      <c r="E11" s="1407"/>
      <c r="F11" s="1407"/>
      <c r="G11" s="61"/>
      <c r="H11" s="128"/>
      <c r="I11" s="128"/>
      <c r="J11" s="128"/>
      <c r="K11" s="55"/>
      <c r="L11" s="55"/>
      <c r="M11" s="55"/>
      <c r="N11" s="55"/>
      <c r="O11" s="55"/>
      <c r="P11" s="55"/>
      <c r="Q11" s="55"/>
      <c r="R11" s="55"/>
    </row>
    <row r="12" spans="1:18" ht="12.75" customHeight="1" x14ac:dyDescent="0.2">
      <c r="A12" s="56">
        <f>A11+1</f>
        <v>1606</v>
      </c>
      <c r="B12" s="1408" t="s">
        <v>818</v>
      </c>
      <c r="C12" s="1408"/>
      <c r="D12" s="1408"/>
      <c r="E12" s="1408"/>
      <c r="F12" s="1408"/>
      <c r="G12" s="270">
        <f>IF(G11=0,0,G10/G11)</f>
        <v>0</v>
      </c>
      <c r="H12" s="55"/>
      <c r="I12" s="55"/>
      <c r="J12" s="55"/>
      <c r="K12" s="55"/>
      <c r="L12" s="55"/>
      <c r="M12" s="55"/>
      <c r="N12" s="55"/>
      <c r="O12" s="55"/>
      <c r="P12" s="55"/>
      <c r="Q12" s="55"/>
      <c r="R12" s="55"/>
    </row>
    <row r="13" spans="1:18" ht="12.75" customHeight="1" x14ac:dyDescent="0.2">
      <c r="A13" s="64"/>
      <c r="B13" s="55"/>
      <c r="C13" s="55"/>
      <c r="D13" s="55"/>
      <c r="E13" s="55"/>
      <c r="F13" s="55"/>
      <c r="G13" s="55"/>
      <c r="H13" s="55"/>
      <c r="I13" s="55"/>
      <c r="J13" s="55"/>
      <c r="K13" s="55"/>
      <c r="L13" s="55"/>
      <c r="M13" s="55"/>
      <c r="N13" s="55"/>
      <c r="O13" s="55"/>
      <c r="P13" s="55"/>
      <c r="Q13" s="55"/>
      <c r="R13" s="55"/>
    </row>
    <row r="14" spans="1:18" ht="12.75" customHeight="1" x14ac:dyDescent="0.2">
      <c r="A14" s="128" t="s">
        <v>829</v>
      </c>
      <c r="C14" s="168">
        <f>Voorblad!K4</f>
        <v>2012</v>
      </c>
      <c r="D14" s="168">
        <f>Voorblad!K4+1</f>
        <v>2013</v>
      </c>
      <c r="E14" s="168">
        <f>Voorblad!K4+2</f>
        <v>2014</v>
      </c>
      <c r="F14" s="168">
        <f>Voorblad!K4+3</f>
        <v>2015</v>
      </c>
      <c r="G14" s="168">
        <f>Voorblad!K4+4</f>
        <v>2016</v>
      </c>
      <c r="H14" s="55"/>
      <c r="I14" s="55"/>
      <c r="J14" s="55"/>
      <c r="K14" s="55"/>
      <c r="L14" s="55"/>
      <c r="M14" s="55"/>
      <c r="N14" s="55"/>
      <c r="O14" s="55"/>
      <c r="P14" s="55"/>
      <c r="Q14" s="55"/>
      <c r="R14" s="55"/>
    </row>
    <row r="15" spans="1:18" ht="12.75" customHeight="1" x14ac:dyDescent="0.2">
      <c r="A15" s="58"/>
      <c r="B15" s="55"/>
      <c r="H15" s="55"/>
      <c r="I15" s="55"/>
      <c r="J15" s="55"/>
      <c r="K15" s="55"/>
      <c r="L15" s="55"/>
      <c r="M15" s="55"/>
      <c r="N15" s="55"/>
      <c r="O15" s="55"/>
      <c r="P15" s="55"/>
      <c r="Q15" s="55"/>
      <c r="R15" s="55"/>
    </row>
    <row r="16" spans="1:18" ht="12.75" customHeight="1" x14ac:dyDescent="0.2">
      <c r="A16" s="56">
        <f>A12+1</f>
        <v>1607</v>
      </c>
      <c r="B16" s="124">
        <f>Voorblad!K4-4</f>
        <v>2008</v>
      </c>
      <c r="C16" s="61"/>
      <c r="D16" s="169"/>
      <c r="E16" s="169"/>
      <c r="F16" s="169"/>
      <c r="G16" s="169"/>
      <c r="H16" s="55"/>
      <c r="I16" s="55"/>
      <c r="J16" s="55"/>
      <c r="K16" s="55"/>
      <c r="L16" s="55"/>
      <c r="M16" s="55"/>
      <c r="N16" s="55"/>
      <c r="O16" s="55"/>
      <c r="P16" s="55"/>
      <c r="Q16" s="55"/>
      <c r="R16" s="55"/>
    </row>
    <row r="17" spans="1:18" ht="12.75" customHeight="1" x14ac:dyDescent="0.2">
      <c r="A17" s="56">
        <f t="shared" ref="A17:A22" si="0">A16+1</f>
        <v>1608</v>
      </c>
      <c r="B17" s="124">
        <f>Voorblad!K4-3</f>
        <v>2009</v>
      </c>
      <c r="C17" s="61"/>
      <c r="D17" s="61"/>
      <c r="E17" s="169"/>
      <c r="F17" s="169"/>
      <c r="G17" s="169"/>
      <c r="H17" s="55"/>
      <c r="I17" s="55"/>
      <c r="J17" s="55"/>
      <c r="K17" s="55"/>
      <c r="L17" s="55"/>
      <c r="M17" s="55"/>
      <c r="N17" s="55"/>
      <c r="O17" s="55"/>
      <c r="P17" s="55"/>
      <c r="Q17" s="55"/>
      <c r="R17" s="55"/>
    </row>
    <row r="18" spans="1:18" ht="12.75" customHeight="1" x14ac:dyDescent="0.2">
      <c r="A18" s="56">
        <f t="shared" si="0"/>
        <v>1609</v>
      </c>
      <c r="B18" s="124">
        <f>Voorblad!K4-2</f>
        <v>2010</v>
      </c>
      <c r="C18" s="61"/>
      <c r="D18" s="61"/>
      <c r="E18" s="61"/>
      <c r="F18" s="169"/>
      <c r="G18" s="169"/>
      <c r="H18" s="55"/>
      <c r="I18" s="55"/>
      <c r="J18" s="55"/>
      <c r="K18" s="55"/>
      <c r="L18" s="55"/>
      <c r="M18" s="55"/>
      <c r="N18" s="55"/>
      <c r="O18" s="55"/>
      <c r="P18" s="55"/>
      <c r="Q18" s="55"/>
      <c r="R18" s="55"/>
    </row>
    <row r="19" spans="1:18" s="165" customFormat="1" ht="12.75" customHeight="1" x14ac:dyDescent="0.2">
      <c r="A19" s="56">
        <f t="shared" si="0"/>
        <v>1610</v>
      </c>
      <c r="B19" s="124">
        <f>Voorblad!K4-1</f>
        <v>2011</v>
      </c>
      <c r="C19" s="61"/>
      <c r="D19" s="61"/>
      <c r="E19" s="61"/>
      <c r="F19" s="61"/>
      <c r="G19" s="170"/>
      <c r="H19" s="128"/>
      <c r="I19" s="128"/>
      <c r="J19" s="128"/>
      <c r="K19" s="128"/>
      <c r="L19" s="128"/>
      <c r="M19" s="128"/>
      <c r="N19" s="128"/>
      <c r="O19" s="128"/>
      <c r="P19" s="128"/>
      <c r="Q19" s="128"/>
      <c r="R19" s="128"/>
    </row>
    <row r="20" spans="1:18" ht="12.75" customHeight="1" x14ac:dyDescent="0.2">
      <c r="A20" s="56">
        <f t="shared" si="0"/>
        <v>1611</v>
      </c>
      <c r="B20" s="124">
        <f>Voorblad!K4</f>
        <v>2012</v>
      </c>
      <c r="C20" s="61"/>
      <c r="D20" s="61"/>
      <c r="E20" s="61"/>
      <c r="F20" s="61"/>
      <c r="G20" s="61"/>
      <c r="H20" s="55"/>
      <c r="I20" s="55"/>
      <c r="J20" s="55"/>
      <c r="K20" s="55"/>
      <c r="L20" s="55"/>
      <c r="M20" s="55"/>
      <c r="N20" s="55"/>
      <c r="O20" s="55"/>
      <c r="P20" s="55"/>
      <c r="Q20" s="55"/>
      <c r="R20" s="55"/>
    </row>
    <row r="21" spans="1:18" ht="12.75" customHeight="1" x14ac:dyDescent="0.2">
      <c r="A21" s="56">
        <f t="shared" si="0"/>
        <v>1612</v>
      </c>
      <c r="B21" s="171" t="s">
        <v>749</v>
      </c>
      <c r="C21" s="270">
        <f>SUM(C16:C20)</f>
        <v>0</v>
      </c>
      <c r="D21" s="270">
        <f>SUM(D17:D20)</f>
        <v>0</v>
      </c>
      <c r="E21" s="270">
        <f>SUM(E18:E20)</f>
        <v>0</v>
      </c>
      <c r="F21" s="270">
        <f>SUM(F19:F20)</f>
        <v>0</v>
      </c>
      <c r="G21" s="270">
        <f>G20</f>
        <v>0</v>
      </c>
      <c r="H21" s="55"/>
      <c r="I21" s="55"/>
      <c r="J21" s="55"/>
      <c r="K21" s="55"/>
      <c r="L21" s="55"/>
      <c r="M21" s="55"/>
      <c r="N21" s="55"/>
      <c r="O21" s="55"/>
      <c r="P21" s="55"/>
      <c r="Q21" s="55"/>
      <c r="R21" s="55"/>
    </row>
    <row r="22" spans="1:18" ht="12.75" customHeight="1" x14ac:dyDescent="0.2">
      <c r="A22" s="56">
        <f t="shared" si="0"/>
        <v>1613</v>
      </c>
      <c r="B22" s="1404" t="str">
        <f>CONCATENATE("Berekening kortingsbedrag totale kortingspercentage x 10% x investeringsruimte ",Voorblad!K4)</f>
        <v>Berekening kortingsbedrag totale kortingspercentage x 10% x investeringsruimte 2012</v>
      </c>
      <c r="C22" s="1405"/>
      <c r="D22" s="1405"/>
      <c r="E22" s="1405"/>
      <c r="F22" s="1406"/>
      <c r="G22" s="269">
        <f>C21*G11/100</f>
        <v>0</v>
      </c>
      <c r="H22" s="55"/>
      <c r="I22" s="55"/>
      <c r="J22" s="55"/>
      <c r="K22" s="55"/>
      <c r="L22" s="55"/>
      <c r="M22" s="55"/>
      <c r="N22" s="55"/>
      <c r="O22" s="55"/>
      <c r="P22" s="55"/>
      <c r="Q22" s="55"/>
      <c r="R22" s="55"/>
    </row>
    <row r="23" spans="1:18" ht="12.75" customHeight="1" x14ac:dyDescent="0.2">
      <c r="A23" s="58"/>
      <c r="B23" s="55"/>
      <c r="C23" s="55"/>
      <c r="D23" s="55"/>
      <c r="E23" s="55"/>
      <c r="F23" s="55"/>
      <c r="G23" s="55"/>
      <c r="H23" s="55"/>
      <c r="I23" s="55"/>
      <c r="J23" s="55"/>
      <c r="K23" s="55"/>
      <c r="L23" s="55"/>
      <c r="M23" s="55"/>
      <c r="N23" s="55"/>
      <c r="O23" s="55"/>
      <c r="P23" s="55"/>
      <c r="Q23" s="55"/>
      <c r="R23" s="55"/>
    </row>
    <row r="24" spans="1:18" ht="12.75" customHeight="1" x14ac:dyDescent="0.2">
      <c r="A24" s="108"/>
      <c r="B24" s="128" t="s">
        <v>138</v>
      </c>
      <c r="C24" s="55"/>
      <c r="D24" s="55"/>
      <c r="E24" s="55"/>
      <c r="F24" s="55"/>
      <c r="G24" s="55"/>
      <c r="H24" s="55"/>
      <c r="I24" s="55"/>
      <c r="J24" s="55"/>
      <c r="K24" s="55"/>
      <c r="L24" s="55"/>
      <c r="M24" s="55"/>
      <c r="N24" s="55"/>
      <c r="O24" s="55"/>
      <c r="P24" s="55"/>
      <c r="Q24" s="55"/>
      <c r="R24" s="55"/>
    </row>
    <row r="25" spans="1:18" ht="12.75" customHeight="1" x14ac:dyDescent="0.2">
      <c r="A25" s="56">
        <f>A22+1</f>
        <v>1614</v>
      </c>
      <c r="B25" s="1407" t="s">
        <v>603</v>
      </c>
      <c r="C25" s="1407"/>
      <c r="D25" s="1407"/>
      <c r="E25" s="1407"/>
      <c r="F25" s="1407"/>
      <c r="G25" s="61"/>
      <c r="H25" s="55"/>
      <c r="I25" s="55"/>
      <c r="J25" s="55"/>
      <c r="K25" s="55"/>
      <c r="L25" s="55"/>
      <c r="M25" s="55"/>
      <c r="N25" s="55"/>
      <c r="O25" s="55"/>
      <c r="P25" s="55"/>
      <c r="Q25" s="55"/>
      <c r="R25" s="55"/>
    </row>
    <row r="26" spans="1:18" ht="12.75" customHeight="1" x14ac:dyDescent="0.2">
      <c r="A26" s="56">
        <f>A25+1</f>
        <v>1615</v>
      </c>
      <c r="B26" s="1407" t="s">
        <v>819</v>
      </c>
      <c r="C26" s="1407"/>
      <c r="D26" s="1407"/>
      <c r="E26" s="1407"/>
      <c r="F26" s="1407"/>
      <c r="G26" s="61"/>
      <c r="H26" s="55"/>
      <c r="I26" s="55"/>
      <c r="J26" s="55"/>
      <c r="K26" s="55"/>
      <c r="L26" s="55"/>
      <c r="M26" s="55"/>
      <c r="N26" s="55"/>
      <c r="O26" s="55"/>
      <c r="P26" s="55"/>
      <c r="Q26" s="55"/>
      <c r="R26" s="55"/>
    </row>
    <row r="27" spans="1:18" ht="12.75" customHeight="1" x14ac:dyDescent="0.2">
      <c r="A27" s="56">
        <f>(100*G2)+10</f>
        <v>1610</v>
      </c>
      <c r="B27" s="1404" t="s">
        <v>816</v>
      </c>
      <c r="C27" s="1405"/>
      <c r="D27" s="1405"/>
      <c r="E27" s="1405"/>
      <c r="F27" s="1406"/>
      <c r="G27" s="269">
        <f>SUM(G25:G26)</f>
        <v>0</v>
      </c>
      <c r="H27" s="55"/>
      <c r="I27" s="55"/>
      <c r="J27" s="55"/>
      <c r="K27" s="55"/>
      <c r="L27" s="55"/>
      <c r="M27" s="55"/>
      <c r="N27" s="55"/>
      <c r="O27" s="55"/>
      <c r="P27" s="55"/>
      <c r="Q27" s="55"/>
      <c r="R27" s="55"/>
    </row>
    <row r="28" spans="1:18" ht="12.75" customHeight="1" x14ac:dyDescent="0.2">
      <c r="A28" s="58"/>
      <c r="B28" s="55"/>
      <c r="C28" s="55"/>
      <c r="D28" s="55"/>
      <c r="E28" s="55"/>
      <c r="F28" s="55"/>
      <c r="G28" s="55"/>
      <c r="H28" s="55"/>
      <c r="I28" s="55"/>
      <c r="J28" s="55"/>
      <c r="K28" s="55"/>
      <c r="L28" s="55"/>
      <c r="M28" s="55"/>
      <c r="N28" s="55"/>
      <c r="O28" s="55"/>
      <c r="P28" s="55"/>
      <c r="Q28" s="55"/>
      <c r="R28" s="55"/>
    </row>
    <row r="29" spans="1:18" ht="12.75" customHeight="1" x14ac:dyDescent="0.2">
      <c r="A29" s="58"/>
      <c r="B29" s="55"/>
      <c r="C29" s="55"/>
      <c r="D29" s="55"/>
      <c r="E29" s="55"/>
      <c r="F29" s="55"/>
      <c r="G29" s="55"/>
      <c r="H29" s="55"/>
      <c r="I29" s="55"/>
      <c r="J29" s="55"/>
      <c r="K29" s="55"/>
      <c r="L29" s="55"/>
      <c r="M29" s="55"/>
      <c r="N29" s="55"/>
      <c r="O29" s="55"/>
      <c r="P29" s="55"/>
      <c r="Q29" s="55"/>
      <c r="R29" s="55"/>
    </row>
    <row r="30" spans="1:18" s="165" customFormat="1" ht="12.75" customHeight="1" x14ac:dyDescent="0.2">
      <c r="A30" s="58"/>
      <c r="B30" s="55"/>
      <c r="C30" s="55"/>
      <c r="D30" s="55"/>
      <c r="E30" s="55"/>
      <c r="F30" s="55"/>
      <c r="G30" s="55"/>
      <c r="H30" s="55"/>
      <c r="I30" s="55"/>
      <c r="K30" s="55"/>
      <c r="L30" s="128"/>
      <c r="M30" s="128"/>
      <c r="N30" s="128"/>
      <c r="O30" s="128"/>
      <c r="P30" s="128"/>
      <c r="Q30" s="128"/>
      <c r="R30" s="128"/>
    </row>
    <row r="31" spans="1:18" ht="12.75" customHeight="1" x14ac:dyDescent="0.2">
      <c r="A31" s="58"/>
      <c r="B31" s="55"/>
      <c r="C31" s="55"/>
      <c r="D31" s="55"/>
      <c r="E31" s="55"/>
      <c r="F31" s="55"/>
      <c r="G31" s="55"/>
      <c r="H31" s="55"/>
      <c r="I31" s="55"/>
      <c r="K31" s="31"/>
      <c r="L31" s="55"/>
      <c r="M31" s="55"/>
      <c r="N31" s="55"/>
      <c r="O31" s="55"/>
      <c r="P31" s="55"/>
      <c r="Q31" s="55"/>
      <c r="R31" s="55"/>
    </row>
    <row r="32" spans="1:18" ht="12.75" customHeight="1" x14ac:dyDescent="0.2">
      <c r="A32" s="58"/>
      <c r="B32" s="55"/>
      <c r="C32" s="55"/>
      <c r="D32" s="55"/>
      <c r="E32" s="55"/>
      <c r="F32" s="55"/>
      <c r="G32" s="55"/>
      <c r="H32" s="55"/>
      <c r="I32" s="55"/>
      <c r="K32" s="297"/>
      <c r="L32" s="55"/>
      <c r="M32" s="55"/>
      <c r="N32" s="55"/>
      <c r="O32" s="55"/>
      <c r="P32" s="55"/>
      <c r="Q32" s="55"/>
      <c r="R32" s="55"/>
    </row>
    <row r="33" spans="1:18" ht="12.75" customHeight="1" x14ac:dyDescent="0.2">
      <c r="A33" s="58"/>
      <c r="B33" s="55"/>
      <c r="C33" s="55"/>
      <c r="D33" s="55"/>
      <c r="E33" s="55"/>
      <c r="F33" s="55"/>
      <c r="G33" s="55"/>
      <c r="H33" s="55"/>
      <c r="I33" s="55"/>
      <c r="K33" s="297"/>
      <c r="L33" s="55"/>
      <c r="M33" s="55"/>
      <c r="N33" s="55"/>
      <c r="O33" s="55"/>
      <c r="P33" s="55"/>
      <c r="Q33" s="55"/>
      <c r="R33" s="55"/>
    </row>
    <row r="34" spans="1:18" ht="12.75" customHeight="1" x14ac:dyDescent="0.2">
      <c r="A34" s="58"/>
      <c r="B34" s="55"/>
      <c r="C34" s="55"/>
      <c r="D34" s="55"/>
      <c r="E34" s="55"/>
      <c r="F34" s="55"/>
      <c r="G34" s="55"/>
      <c r="H34" s="55"/>
      <c r="I34" s="55"/>
      <c r="K34" s="298"/>
      <c r="L34" s="55"/>
      <c r="M34" s="55"/>
      <c r="N34" s="55"/>
      <c r="O34" s="55"/>
      <c r="P34" s="55"/>
      <c r="Q34" s="55"/>
      <c r="R34" s="55"/>
    </row>
    <row r="35" spans="1:18" ht="12.75" customHeight="1" x14ac:dyDescent="0.2">
      <c r="A35" s="58"/>
      <c r="B35" s="55"/>
      <c r="C35" s="55"/>
      <c r="D35" s="55"/>
      <c r="E35" s="55"/>
      <c r="F35" s="55"/>
      <c r="G35" s="55"/>
      <c r="H35" s="299"/>
      <c r="I35" s="299"/>
      <c r="J35" s="299"/>
      <c r="K35" s="299"/>
      <c r="L35" s="55"/>
      <c r="M35" s="55"/>
      <c r="N35" s="55"/>
      <c r="O35" s="55"/>
      <c r="P35" s="55"/>
      <c r="Q35" s="55"/>
      <c r="R35" s="55"/>
    </row>
    <row r="36" spans="1:18" ht="12.75" customHeight="1" x14ac:dyDescent="0.2">
      <c r="A36" s="58"/>
      <c r="B36" s="55"/>
      <c r="C36" s="55"/>
      <c r="D36" s="55"/>
      <c r="E36" s="55"/>
      <c r="F36" s="55"/>
      <c r="G36" s="55"/>
      <c r="H36" s="75"/>
      <c r="I36" s="75"/>
      <c r="J36" s="75"/>
      <c r="K36" s="75"/>
      <c r="L36" s="55"/>
      <c r="M36" s="55"/>
      <c r="N36" s="55"/>
      <c r="O36" s="55"/>
      <c r="P36" s="55"/>
      <c r="Q36" s="55"/>
      <c r="R36" s="55"/>
    </row>
    <row r="37" spans="1:18" ht="12.75" customHeight="1" x14ac:dyDescent="0.2">
      <c r="A37" s="58"/>
      <c r="B37" s="55"/>
      <c r="C37" s="55"/>
      <c r="D37" s="55"/>
      <c r="E37" s="55"/>
      <c r="F37" s="55"/>
      <c r="G37" s="55"/>
      <c r="H37" s="55"/>
      <c r="I37" s="55"/>
      <c r="J37" s="55"/>
      <c r="K37" s="55"/>
      <c r="L37" s="55"/>
      <c r="M37" s="55"/>
      <c r="N37" s="55"/>
      <c r="O37" s="55"/>
      <c r="P37" s="55"/>
      <c r="Q37" s="55"/>
      <c r="R37" s="55"/>
    </row>
    <row r="38" spans="1:18" ht="12.75" customHeight="1" x14ac:dyDescent="0.2">
      <c r="A38" s="58"/>
      <c r="B38" s="55"/>
      <c r="C38" s="55"/>
      <c r="D38" s="55"/>
      <c r="E38" s="55"/>
      <c r="F38" s="55"/>
      <c r="G38" s="55"/>
      <c r="H38" s="55"/>
      <c r="I38" s="55"/>
      <c r="J38" s="55"/>
      <c r="K38" s="55"/>
      <c r="L38" s="55"/>
      <c r="M38" s="55"/>
      <c r="N38" s="55"/>
      <c r="O38" s="55"/>
      <c r="P38" s="55"/>
      <c r="Q38" s="55"/>
      <c r="R38" s="55"/>
    </row>
    <row r="39" spans="1:18" ht="12.75" customHeight="1" x14ac:dyDescent="0.2">
      <c r="A39" s="58"/>
      <c r="B39" s="55"/>
      <c r="C39" s="55"/>
      <c r="D39" s="55"/>
      <c r="E39" s="55"/>
      <c r="F39" s="55"/>
      <c r="G39" s="55"/>
      <c r="H39" s="55"/>
      <c r="I39" s="55"/>
      <c r="J39" s="55"/>
      <c r="K39" s="55"/>
      <c r="L39" s="55"/>
      <c r="M39" s="55"/>
      <c r="N39" s="55"/>
      <c r="O39" s="55"/>
      <c r="P39" s="55"/>
      <c r="Q39" s="55"/>
      <c r="R39" s="55"/>
    </row>
    <row r="40" spans="1:18" ht="12.75" customHeight="1" x14ac:dyDescent="0.2">
      <c r="A40" s="58"/>
      <c r="B40" s="55"/>
      <c r="C40" s="55"/>
      <c r="D40" s="55"/>
      <c r="E40" s="55"/>
      <c r="F40" s="55"/>
      <c r="G40" s="55"/>
      <c r="H40" s="55"/>
      <c r="I40" s="55"/>
      <c r="J40" s="55"/>
      <c r="K40" s="55"/>
      <c r="L40" s="55"/>
      <c r="M40" s="55"/>
      <c r="N40" s="55"/>
      <c r="O40" s="55"/>
      <c r="P40" s="55"/>
      <c r="Q40" s="55"/>
      <c r="R40" s="55"/>
    </row>
    <row r="41" spans="1:18" ht="12.75" customHeight="1" x14ac:dyDescent="0.2">
      <c r="A41" s="58"/>
      <c r="B41" s="55"/>
      <c r="C41" s="55"/>
      <c r="D41" s="55"/>
      <c r="E41" s="55"/>
      <c r="F41" s="55"/>
      <c r="G41" s="55"/>
      <c r="H41" s="55"/>
      <c r="I41" s="55"/>
      <c r="J41" s="55"/>
      <c r="K41" s="55"/>
      <c r="L41" s="55"/>
      <c r="M41" s="55"/>
      <c r="N41" s="55"/>
      <c r="O41" s="55"/>
      <c r="P41" s="55"/>
      <c r="Q41" s="55"/>
      <c r="R41" s="55"/>
    </row>
    <row r="42" spans="1:18" ht="12.75" customHeight="1" x14ac:dyDescent="0.2">
      <c r="A42" s="58"/>
      <c r="B42" s="55"/>
      <c r="C42" s="55"/>
      <c r="D42" s="55"/>
      <c r="E42" s="55"/>
      <c r="F42" s="55"/>
      <c r="G42" s="55"/>
      <c r="H42" s="55"/>
      <c r="I42" s="55"/>
      <c r="J42" s="55"/>
      <c r="K42" s="55"/>
      <c r="L42" s="55"/>
      <c r="M42" s="55"/>
      <c r="N42" s="55"/>
      <c r="O42" s="55"/>
      <c r="P42" s="55"/>
      <c r="Q42" s="55"/>
      <c r="R42" s="55"/>
    </row>
    <row r="43" spans="1:18" ht="12.75" customHeight="1" x14ac:dyDescent="0.2">
      <c r="A43" s="58"/>
      <c r="B43" s="55"/>
      <c r="C43" s="55"/>
      <c r="D43" s="55"/>
      <c r="E43" s="55"/>
      <c r="F43" s="55"/>
      <c r="G43" s="55"/>
      <c r="H43" s="55"/>
      <c r="I43" s="55"/>
      <c r="J43" s="55"/>
      <c r="K43" s="55"/>
      <c r="L43" s="55"/>
      <c r="M43" s="55"/>
      <c r="N43" s="55"/>
      <c r="O43" s="55"/>
      <c r="P43" s="55"/>
      <c r="Q43" s="55"/>
      <c r="R43" s="55"/>
    </row>
    <row r="44" spans="1:18" ht="12.75" customHeight="1" x14ac:dyDescent="0.2">
      <c r="A44" s="58"/>
      <c r="B44" s="55"/>
      <c r="C44" s="55"/>
      <c r="D44" s="55"/>
      <c r="E44" s="55"/>
      <c r="F44" s="55"/>
      <c r="G44" s="55"/>
      <c r="H44" s="55"/>
      <c r="I44" s="55"/>
      <c r="J44" s="55"/>
      <c r="K44" s="55"/>
      <c r="L44" s="55"/>
      <c r="M44" s="55"/>
      <c r="N44" s="55"/>
      <c r="O44" s="55"/>
      <c r="P44" s="55"/>
      <c r="Q44" s="55"/>
      <c r="R44" s="55"/>
    </row>
    <row r="45" spans="1:18" ht="12.75" customHeight="1" x14ac:dyDescent="0.2">
      <c r="H45" s="55"/>
      <c r="I45" s="55"/>
      <c r="J45" s="55"/>
      <c r="K45" s="55"/>
      <c r="L45" s="55"/>
      <c r="M45" s="55"/>
      <c r="N45" s="55"/>
      <c r="O45" s="55"/>
      <c r="P45" s="55"/>
      <c r="Q45" s="55"/>
      <c r="R45" s="55"/>
    </row>
    <row r="46" spans="1:18" s="165" customFormat="1" ht="12.75" customHeight="1" x14ac:dyDescent="0.2">
      <c r="A46" s="22"/>
      <c r="B46" s="21"/>
      <c r="C46" s="21"/>
      <c r="D46" s="21"/>
      <c r="E46" s="21"/>
      <c r="F46" s="21"/>
      <c r="G46" s="21"/>
      <c r="H46" s="55"/>
      <c r="I46" s="55"/>
      <c r="J46" s="55"/>
      <c r="K46" s="128"/>
      <c r="L46" s="128"/>
      <c r="M46" s="128"/>
      <c r="N46" s="128"/>
      <c r="O46" s="128"/>
      <c r="P46" s="128"/>
      <c r="Q46" s="128"/>
      <c r="R46" s="128"/>
    </row>
    <row r="47" spans="1:18" ht="12.75" customHeight="1" x14ac:dyDescent="0.2">
      <c r="H47" s="55"/>
      <c r="I47" s="55"/>
      <c r="J47" s="55"/>
      <c r="K47" s="55"/>
      <c r="L47" s="55"/>
      <c r="M47" s="55"/>
      <c r="N47" s="55"/>
      <c r="O47" s="55"/>
      <c r="P47" s="55"/>
      <c r="Q47" s="55"/>
      <c r="R47" s="55"/>
    </row>
    <row r="48" spans="1:18" ht="12.75" customHeight="1" x14ac:dyDescent="0.2">
      <c r="H48" s="55"/>
      <c r="I48" s="55"/>
      <c r="J48" s="55"/>
      <c r="K48" s="55"/>
      <c r="L48" s="55"/>
      <c r="M48" s="55"/>
      <c r="N48" s="55"/>
      <c r="O48" s="55"/>
      <c r="P48" s="55"/>
      <c r="Q48" s="55"/>
      <c r="R48" s="55"/>
    </row>
    <row r="49" spans="8:18" ht="12.75" customHeight="1" x14ac:dyDescent="0.2">
      <c r="H49" s="128"/>
      <c r="I49" s="128"/>
      <c r="J49" s="128"/>
      <c r="K49" s="55"/>
      <c r="L49" s="55"/>
      <c r="M49" s="55"/>
      <c r="N49" s="55"/>
      <c r="O49" s="55"/>
      <c r="P49" s="55"/>
      <c r="Q49" s="55"/>
      <c r="R49" s="55"/>
    </row>
    <row r="50" spans="8:18" ht="12.75" customHeight="1" x14ac:dyDescent="0.2">
      <c r="H50" s="55"/>
      <c r="I50" s="55"/>
      <c r="J50" s="55"/>
      <c r="K50" s="55"/>
      <c r="L50" s="55"/>
      <c r="M50" s="55"/>
      <c r="N50" s="55"/>
      <c r="O50" s="55"/>
      <c r="P50" s="55"/>
      <c r="Q50" s="55"/>
      <c r="R50" s="55"/>
    </row>
    <row r="51" spans="8:18" ht="12.75" customHeight="1" x14ac:dyDescent="0.2">
      <c r="H51" s="55"/>
      <c r="I51" s="55"/>
      <c r="J51" s="55"/>
      <c r="K51" s="55"/>
      <c r="L51" s="55"/>
      <c r="M51" s="55"/>
      <c r="N51" s="55"/>
      <c r="O51" s="55"/>
      <c r="P51" s="55"/>
      <c r="Q51" s="55"/>
      <c r="R51" s="55"/>
    </row>
    <row r="52" spans="8:18" ht="12.75" customHeight="1" x14ac:dyDescent="0.2">
      <c r="H52" s="55"/>
      <c r="I52" s="55"/>
      <c r="J52" s="55"/>
      <c r="K52" s="55"/>
      <c r="L52" s="55"/>
      <c r="M52" s="55"/>
      <c r="N52" s="55"/>
      <c r="O52" s="55"/>
      <c r="P52" s="55"/>
      <c r="Q52" s="55"/>
      <c r="R52" s="55"/>
    </row>
    <row r="53" spans="8:18" ht="12.75" customHeight="1" x14ac:dyDescent="0.2">
      <c r="H53" s="55"/>
      <c r="I53" s="55"/>
      <c r="J53" s="55"/>
      <c r="K53" s="55"/>
      <c r="L53" s="55"/>
      <c r="M53" s="55"/>
      <c r="N53" s="55"/>
      <c r="O53" s="55"/>
      <c r="P53" s="55"/>
      <c r="Q53" s="55"/>
      <c r="R53" s="55"/>
    </row>
  </sheetData>
  <sheetProtection password="CA39" sheet="1" objects="1" scenarios="1"/>
  <customSheetViews>
    <customSheetView guid="{52EB1485-ECFC-4D16-B893-125E4D85986E}" scale="86" showPageBreaks="1" showGridLines="0" printArea="1" showRuler="0">
      <selection activeCell="D33" sqref="D33:D35"/>
      <pageMargins left="0.39370078740157483" right="0.39370078740157483" top="0.19685039370078741" bottom="0.19685039370078741" header="3.937007874015748E-2" footer="0.11811023622047245"/>
      <pageSetup paperSize="9" scale="97" orientation="landscape" r:id="rId1"/>
      <headerFooter alignWithMargins="0"/>
    </customSheetView>
  </customSheetViews>
  <mergeCells count="11">
    <mergeCell ref="A3:D3"/>
    <mergeCell ref="B26:F26"/>
    <mergeCell ref="B25:F25"/>
    <mergeCell ref="B7:F7"/>
    <mergeCell ref="B8:F8"/>
    <mergeCell ref="B9:F9"/>
    <mergeCell ref="B27:F27"/>
    <mergeCell ref="B11:F11"/>
    <mergeCell ref="B12:F12"/>
    <mergeCell ref="B22:F22"/>
    <mergeCell ref="B10:F10"/>
  </mergeCells>
  <phoneticPr fontId="12" type="noConversion"/>
  <conditionalFormatting sqref="A3">
    <cfRule type="cellIs" dxfId="34" priority="1" stopIfTrue="1" operator="equal">
      <formula>"Vul het Nza-nummer in op het voorblad"</formula>
    </cfRule>
  </conditionalFormatting>
  <conditionalFormatting sqref="G10:G11 E19:F19 E20:G20 E18 C17:D20 C16 G25:G26">
    <cfRule type="expression" dxfId="33" priority="2" stopIfTrue="1">
      <formula>$E$3=TRUE</formula>
    </cfRule>
  </conditionalFormatting>
  <pageMargins left="0.39370078740157483" right="0.39370078740157483" top="0.39370078740157483" bottom="0.39370078740157483" header="0.51181102362204722" footer="0.51181102362204722"/>
  <pageSetup paperSize="9" orientation="landscape" cellComments="asDisplayed" r:id="rId2"/>
  <headerFooter alignWithMargins="0"/>
  <drawing r:id="rId3"/>
  <legacyDrawing r:id="rId4"/>
  <oleObjects>
    <mc:AlternateContent xmlns:mc="http://schemas.openxmlformats.org/markup-compatibility/2006">
      <mc:Choice Requires="x14">
        <oleObject progId="MSPhotoEd.3" shapeId="77865" r:id="rId5">
          <objectPr defaultSize="0" autoPict="0" r:id="rId6">
            <anchor moveWithCells="1" sizeWithCells="1">
              <from>
                <xdr:col>5</xdr:col>
                <xdr:colOff>666750</xdr:colOff>
                <xdr:row>0</xdr:row>
                <xdr:rowOff>133350</xdr:rowOff>
              </from>
              <to>
                <xdr:col>6</xdr:col>
                <xdr:colOff>771525</xdr:colOff>
                <xdr:row>1</xdr:row>
                <xdr:rowOff>133350</xdr:rowOff>
              </to>
            </anchor>
          </objectPr>
        </oleObject>
      </mc:Choice>
      <mc:Fallback>
        <oleObject progId="MSPhotoEd.3" shapeId="77865" r:id="rId5"/>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T401"/>
  <sheetViews>
    <sheetView topLeftCell="A120" workbookViewId="0">
      <selection activeCell="K397" sqref="K397"/>
    </sheetView>
  </sheetViews>
  <sheetFormatPr defaultRowHeight="12.75" x14ac:dyDescent="0.2"/>
  <cols>
    <col min="1" max="1" width="49.140625" style="733" customWidth="1"/>
    <col min="2" max="2" width="9.140625" style="733"/>
    <col min="3" max="3" width="14.140625" style="733" customWidth="1"/>
    <col min="4" max="6" width="9.140625" style="733"/>
    <col min="7" max="7" width="10.7109375" style="733" bestFit="1" customWidth="1"/>
    <col min="8" max="11" width="9.140625" style="733"/>
    <col min="12" max="12" width="18.7109375" style="733" customWidth="1"/>
    <col min="13" max="16384" width="9.140625" style="733"/>
  </cols>
  <sheetData>
    <row r="1" spans="1:4" x14ac:dyDescent="0.2">
      <c r="A1" s="733" t="e">
        <f>CONCATENATE(Voorblad!E10," ",Voorblad!F10," ",Voorblad!D30)</f>
        <v>#N/A</v>
      </c>
      <c r="B1" s="772"/>
      <c r="D1" s="772"/>
    </row>
    <row r="2" spans="1:4" x14ac:dyDescent="0.2">
      <c r="C2" s="733">
        <v>2012</v>
      </c>
    </row>
    <row r="3" spans="1:4" x14ac:dyDescent="0.2">
      <c r="A3" s="757" t="s">
        <v>78</v>
      </c>
      <c r="C3" s="773">
        <f>Voorblad!E10</f>
        <v>10</v>
      </c>
    </row>
    <row r="4" spans="1:4" x14ac:dyDescent="0.2">
      <c r="A4" s="757" t="s">
        <v>79</v>
      </c>
      <c r="C4" s="773">
        <f>Voorblad!F10</f>
        <v>0</v>
      </c>
    </row>
    <row r="5" spans="1:4" x14ac:dyDescent="0.2">
      <c r="A5" s="868" t="s">
        <v>1186</v>
      </c>
      <c r="C5" s="774">
        <f>Voorblad!D32</f>
        <v>0</v>
      </c>
    </row>
    <row r="6" spans="1:4" x14ac:dyDescent="0.2">
      <c r="A6" s="757" t="s">
        <v>783</v>
      </c>
      <c r="C6" s="774">
        <f>Voorblad!D33</f>
        <v>0</v>
      </c>
    </row>
    <row r="7" spans="1:4" x14ac:dyDescent="0.2">
      <c r="A7" s="757" t="s">
        <v>80</v>
      </c>
      <c r="C7" s="774">
        <f>Voorblad!D34</f>
        <v>0</v>
      </c>
    </row>
    <row r="8" spans="1:4" x14ac:dyDescent="0.2">
      <c r="A8" s="757" t="s">
        <v>81</v>
      </c>
      <c r="C8" s="774">
        <f>Voorblad!K30</f>
        <v>0</v>
      </c>
    </row>
    <row r="9" spans="1:4" x14ac:dyDescent="0.2">
      <c r="A9" s="757" t="s">
        <v>80</v>
      </c>
      <c r="C9" s="774">
        <f>Voorblad!K33</f>
        <v>0</v>
      </c>
    </row>
    <row r="10" spans="1:4" x14ac:dyDescent="0.2">
      <c r="A10" s="757" t="s">
        <v>82</v>
      </c>
      <c r="C10" s="774">
        <f>Voorblad!K36</f>
        <v>0</v>
      </c>
    </row>
    <row r="11" spans="1:4" ht="13.5" thickBot="1" x14ac:dyDescent="0.25">
      <c r="A11" s="771" t="s">
        <v>80</v>
      </c>
      <c r="B11" s="735"/>
      <c r="C11" s="778">
        <f>Voorblad!K39</f>
        <v>0</v>
      </c>
      <c r="D11" s="735"/>
    </row>
    <row r="12" spans="1:4" x14ac:dyDescent="0.2">
      <c r="A12" s="1187" t="s">
        <v>1187</v>
      </c>
    </row>
    <row r="13" spans="1:4" x14ac:dyDescent="0.2">
      <c r="A13" s="734" t="s">
        <v>944</v>
      </c>
      <c r="B13" s="733" t="s">
        <v>945</v>
      </c>
      <c r="C13" s="733">
        <f>'1.1  realisatie'!C13</f>
        <v>0</v>
      </c>
    </row>
    <row r="14" spans="1:4" x14ac:dyDescent="0.2">
      <c r="A14" s="734" t="s">
        <v>946</v>
      </c>
      <c r="B14" s="733" t="s">
        <v>947</v>
      </c>
      <c r="C14" s="733">
        <f>'1.1  realisatie'!C14</f>
        <v>0</v>
      </c>
    </row>
    <row r="15" spans="1:4" x14ac:dyDescent="0.2">
      <c r="A15" s="734" t="s">
        <v>948</v>
      </c>
      <c r="B15" s="733" t="s">
        <v>949</v>
      </c>
      <c r="C15" s="733">
        <f>'1.1  realisatie'!C15</f>
        <v>0</v>
      </c>
    </row>
    <row r="16" spans="1:4" x14ac:dyDescent="0.2">
      <c r="A16" s="734" t="s">
        <v>950</v>
      </c>
      <c r="B16" s="733" t="s">
        <v>951</v>
      </c>
      <c r="C16" s="733">
        <f>'1.1  realisatie'!C16</f>
        <v>0</v>
      </c>
    </row>
    <row r="17" spans="1:4" x14ac:dyDescent="0.2">
      <c r="A17" s="734" t="s">
        <v>952</v>
      </c>
      <c r="B17" s="733" t="s">
        <v>953</v>
      </c>
      <c r="C17" s="733">
        <f>'1.1  realisatie'!C17</f>
        <v>0</v>
      </c>
    </row>
    <row r="18" spans="1:4" x14ac:dyDescent="0.2">
      <c r="A18" s="734" t="s">
        <v>988</v>
      </c>
      <c r="B18" s="733" t="s">
        <v>989</v>
      </c>
      <c r="C18" s="733">
        <f>'1.1  realisatie'!C18</f>
        <v>0</v>
      </c>
    </row>
    <row r="19" spans="1:4" x14ac:dyDescent="0.2">
      <c r="A19" s="745" t="s">
        <v>990</v>
      </c>
      <c r="B19" s="733" t="s">
        <v>991</v>
      </c>
      <c r="C19" s="733">
        <f>'1.1  realisatie'!C19</f>
        <v>0</v>
      </c>
    </row>
    <row r="20" spans="1:4" x14ac:dyDescent="0.2">
      <c r="A20" s="747" t="s">
        <v>863</v>
      </c>
      <c r="B20" s="748" t="s">
        <v>992</v>
      </c>
      <c r="C20" s="733">
        <f>'1.1  realisatie'!C20</f>
        <v>0</v>
      </c>
      <c r="D20" s="748"/>
    </row>
    <row r="21" spans="1:4" x14ac:dyDescent="0.2">
      <c r="A21" s="733" t="s">
        <v>1027</v>
      </c>
      <c r="B21" s="733" t="s">
        <v>1028</v>
      </c>
      <c r="C21" s="733">
        <f>'1.1  realisatie'!C21</f>
        <v>0</v>
      </c>
    </row>
    <row r="22" spans="1:4" x14ac:dyDescent="0.2">
      <c r="A22" s="733" t="s">
        <v>182</v>
      </c>
      <c r="B22" s="733" t="s">
        <v>1029</v>
      </c>
      <c r="C22" s="733">
        <f>'1.1  realisatie'!C22</f>
        <v>0</v>
      </c>
    </row>
    <row r="23" spans="1:4" x14ac:dyDescent="0.2">
      <c r="A23" s="733" t="s">
        <v>1030</v>
      </c>
      <c r="B23" s="733" t="s">
        <v>1031</v>
      </c>
      <c r="C23" s="733">
        <f>'1.1  realisatie'!C23</f>
        <v>0</v>
      </c>
    </row>
    <row r="24" spans="1:4" x14ac:dyDescent="0.2">
      <c r="A24" s="733" t="s">
        <v>184</v>
      </c>
      <c r="B24" s="733" t="s">
        <v>1032</v>
      </c>
      <c r="C24" s="733">
        <f>'1.1  realisatie'!C24</f>
        <v>0</v>
      </c>
    </row>
    <row r="25" spans="1:4" x14ac:dyDescent="0.2">
      <c r="A25" s="733" t="s">
        <v>193</v>
      </c>
      <c r="B25" s="733" t="s">
        <v>1033</v>
      </c>
      <c r="C25" s="733">
        <f>'1.1  realisatie'!C25</f>
        <v>0</v>
      </c>
    </row>
    <row r="26" spans="1:4" x14ac:dyDescent="0.2">
      <c r="A26" s="733" t="s">
        <v>194</v>
      </c>
      <c r="B26" s="733" t="s">
        <v>1034</v>
      </c>
      <c r="C26" s="733">
        <f>'1.1  realisatie'!C26</f>
        <v>0</v>
      </c>
    </row>
    <row r="27" spans="1:4" x14ac:dyDescent="0.2">
      <c r="A27" s="733" t="s">
        <v>195</v>
      </c>
      <c r="B27" s="733" t="s">
        <v>1035</v>
      </c>
      <c r="C27" s="733">
        <f>'1.1  realisatie'!C27</f>
        <v>0</v>
      </c>
    </row>
    <row r="28" spans="1:4" x14ac:dyDescent="0.2">
      <c r="A28" s="733" t="s">
        <v>196</v>
      </c>
      <c r="B28" s="733" t="s">
        <v>1036</v>
      </c>
      <c r="C28" s="733">
        <f>'1.1  realisatie'!C28</f>
        <v>0</v>
      </c>
    </row>
    <row r="29" spans="1:4" x14ac:dyDescent="0.2">
      <c r="A29" s="733" t="s">
        <v>197</v>
      </c>
      <c r="B29" s="733" t="s">
        <v>1037</v>
      </c>
      <c r="C29" s="733">
        <f>'1.1  realisatie'!C29</f>
        <v>0</v>
      </c>
    </row>
    <row r="30" spans="1:4" x14ac:dyDescent="0.2">
      <c r="A30" s="733" t="s">
        <v>198</v>
      </c>
      <c r="B30" s="733" t="s">
        <v>1038</v>
      </c>
      <c r="C30" s="733">
        <f>'1.1  realisatie'!C30</f>
        <v>0</v>
      </c>
    </row>
    <row r="31" spans="1:4" x14ac:dyDescent="0.2">
      <c r="A31" s="734" t="s">
        <v>582</v>
      </c>
      <c r="B31" s="733" t="s">
        <v>954</v>
      </c>
      <c r="C31" s="733">
        <f>'1.1  realisatie'!C31</f>
        <v>0</v>
      </c>
    </row>
    <row r="32" spans="1:4" x14ac:dyDescent="0.2">
      <c r="A32" s="734" t="s">
        <v>864</v>
      </c>
      <c r="B32" s="733" t="s">
        <v>955</v>
      </c>
      <c r="C32" s="733">
        <f>'1.1  realisatie'!C32</f>
        <v>0</v>
      </c>
    </row>
    <row r="33" spans="1:7" x14ac:dyDescent="0.2">
      <c r="A33" s="734" t="s">
        <v>865</v>
      </c>
      <c r="B33" s="733" t="s">
        <v>956</v>
      </c>
      <c r="C33" s="733">
        <f>'1.1  realisatie'!C33</f>
        <v>0</v>
      </c>
    </row>
    <row r="34" spans="1:7" x14ac:dyDescent="0.2">
      <c r="A34" s="734" t="s">
        <v>957</v>
      </c>
      <c r="B34" s="733" t="s">
        <v>958</v>
      </c>
      <c r="C34" s="733">
        <f>'1.1  realisatie'!C34</f>
        <v>0</v>
      </c>
    </row>
    <row r="35" spans="1:7" x14ac:dyDescent="0.2">
      <c r="A35" s="734" t="s">
        <v>298</v>
      </c>
      <c r="B35" s="733" t="s">
        <v>959</v>
      </c>
      <c r="C35" s="733">
        <f>'1.1  realisatie'!C35</f>
        <v>0</v>
      </c>
    </row>
    <row r="36" spans="1:7" x14ac:dyDescent="0.2">
      <c r="A36" s="734" t="s">
        <v>805</v>
      </c>
      <c r="B36" s="733" t="s">
        <v>960</v>
      </c>
      <c r="C36" s="733">
        <f>'1.1  realisatie'!C36</f>
        <v>0</v>
      </c>
    </row>
    <row r="37" spans="1:7" x14ac:dyDescent="0.2">
      <c r="A37" s="734" t="s">
        <v>806</v>
      </c>
      <c r="B37" s="733" t="s">
        <v>961</v>
      </c>
      <c r="C37" s="733">
        <f>'1.1  realisatie'!C37</f>
        <v>0</v>
      </c>
    </row>
    <row r="38" spans="1:7" x14ac:dyDescent="0.2">
      <c r="A38" s="733" t="s">
        <v>807</v>
      </c>
      <c r="B38" s="733" t="s">
        <v>993</v>
      </c>
      <c r="C38" s="733">
        <f>'1.1  realisatie'!C38</f>
        <v>0</v>
      </c>
    </row>
    <row r="39" spans="1:7" x14ac:dyDescent="0.2">
      <c r="A39" s="734" t="s">
        <v>318</v>
      </c>
      <c r="B39" s="733" t="s">
        <v>962</v>
      </c>
      <c r="C39" s="733">
        <f>'1.1  realisatie'!C39</f>
        <v>0</v>
      </c>
    </row>
    <row r="40" spans="1:7" x14ac:dyDescent="0.2">
      <c r="A40" s="734" t="s">
        <v>963</v>
      </c>
      <c r="B40" s="733" t="s">
        <v>964</v>
      </c>
      <c r="C40" s="733">
        <f>'1.1  realisatie'!C40</f>
        <v>0</v>
      </c>
    </row>
    <row r="41" spans="1:7" x14ac:dyDescent="0.2">
      <c r="A41" s="734" t="s">
        <v>121</v>
      </c>
      <c r="B41" s="733" t="s">
        <v>965</v>
      </c>
      <c r="C41" s="733">
        <f>'1.1  realisatie'!C41</f>
        <v>0</v>
      </c>
    </row>
    <row r="42" spans="1:7" x14ac:dyDescent="0.2">
      <c r="A42" s="734" t="s">
        <v>836</v>
      </c>
      <c r="B42" s="733" t="s">
        <v>966</v>
      </c>
      <c r="C42" s="733">
        <f>'1.1  realisatie'!C42</f>
        <v>0</v>
      </c>
    </row>
    <row r="43" spans="1:7" x14ac:dyDescent="0.2">
      <c r="A43" s="734" t="s">
        <v>967</v>
      </c>
      <c r="B43" s="733" t="s">
        <v>968</v>
      </c>
      <c r="C43" s="733">
        <f>'1.1  realisatie'!C43</f>
        <v>0</v>
      </c>
    </row>
    <row r="44" spans="1:7" x14ac:dyDescent="0.2">
      <c r="A44" s="734" t="s">
        <v>969</v>
      </c>
      <c r="B44" s="733" t="s">
        <v>970</v>
      </c>
      <c r="C44" s="733">
        <f>'1.1  realisatie'!C44</f>
        <v>0</v>
      </c>
    </row>
    <row r="45" spans="1:7" x14ac:dyDescent="0.2">
      <c r="A45" s="745" t="s">
        <v>971</v>
      </c>
      <c r="B45" s="733" t="s">
        <v>972</v>
      </c>
      <c r="C45" s="733">
        <f>'1.1  realisatie'!C45</f>
        <v>0</v>
      </c>
      <c r="D45" s="748"/>
      <c r="E45" s="748"/>
    </row>
    <row r="46" spans="1:7" x14ac:dyDescent="0.2">
      <c r="A46" s="747" t="s">
        <v>973</v>
      </c>
      <c r="B46" s="748" t="s">
        <v>974</v>
      </c>
      <c r="C46" s="733">
        <f>'1.1  realisatie'!C46</f>
        <v>0</v>
      </c>
      <c r="D46" s="748"/>
      <c r="E46" s="748"/>
      <c r="G46" s="748"/>
    </row>
    <row r="47" spans="1:7" ht="13.5" thickBot="1" x14ac:dyDescent="0.25">
      <c r="A47" s="749" t="s">
        <v>808</v>
      </c>
      <c r="B47" s="735" t="s">
        <v>975</v>
      </c>
      <c r="C47" s="733">
        <f>'1.1  realisatie'!C47</f>
        <v>0</v>
      </c>
      <c r="D47" s="748"/>
      <c r="E47" s="748"/>
      <c r="G47" s="748"/>
    </row>
    <row r="48" spans="1:7" x14ac:dyDescent="0.2">
      <c r="A48" s="746" t="s">
        <v>809</v>
      </c>
      <c r="B48" s="733" t="s">
        <v>976</v>
      </c>
      <c r="C48" s="733">
        <f>'1.1  realisatie'!C57</f>
        <v>0</v>
      </c>
      <c r="D48" s="748"/>
      <c r="E48" s="748"/>
    </row>
    <row r="49" spans="1:3" x14ac:dyDescent="0.2">
      <c r="A49" s="734" t="s">
        <v>866</v>
      </c>
      <c r="B49" s="733" t="s">
        <v>977</v>
      </c>
      <c r="C49" s="733">
        <f>'1.1  realisatie'!C58</f>
        <v>0</v>
      </c>
    </row>
    <row r="50" spans="1:3" x14ac:dyDescent="0.2">
      <c r="A50" s="734" t="s">
        <v>867</v>
      </c>
      <c r="B50" s="733" t="s">
        <v>978</v>
      </c>
      <c r="C50" s="733">
        <f>'1.1  realisatie'!C59</f>
        <v>0</v>
      </c>
    </row>
    <row r="51" spans="1:3" x14ac:dyDescent="0.2">
      <c r="A51" s="734" t="s">
        <v>868</v>
      </c>
      <c r="B51" s="733" t="s">
        <v>979</v>
      </c>
      <c r="C51" s="733">
        <f>'1.1  realisatie'!C60</f>
        <v>0</v>
      </c>
    </row>
    <row r="52" spans="1:3" x14ac:dyDescent="0.2">
      <c r="A52" s="734" t="s">
        <v>869</v>
      </c>
      <c r="B52" s="733" t="s">
        <v>980</v>
      </c>
      <c r="C52" s="733">
        <f>'1.1  realisatie'!C61</f>
        <v>0</v>
      </c>
    </row>
    <row r="53" spans="1:3" x14ac:dyDescent="0.2">
      <c r="A53" s="734" t="s">
        <v>870</v>
      </c>
      <c r="B53" s="733" t="s">
        <v>981</v>
      </c>
      <c r="C53" s="733">
        <f>'1.1  realisatie'!C62</f>
        <v>0</v>
      </c>
    </row>
    <row r="54" spans="1:3" x14ac:dyDescent="0.2">
      <c r="A54" s="734" t="s">
        <v>723</v>
      </c>
      <c r="B54" s="733" t="s">
        <v>987</v>
      </c>
      <c r="C54" s="733">
        <f>'1.1  realisatie'!C63</f>
        <v>0</v>
      </c>
    </row>
    <row r="55" spans="1:3" x14ac:dyDescent="0.2">
      <c r="A55" s="734" t="s">
        <v>982</v>
      </c>
      <c r="B55" s="733" t="s">
        <v>983</v>
      </c>
      <c r="C55" s="733">
        <f>'1.1  realisatie'!C64</f>
        <v>0</v>
      </c>
    </row>
    <row r="56" spans="1:3" x14ac:dyDescent="0.2">
      <c r="A56" s="734" t="s">
        <v>722</v>
      </c>
      <c r="B56" s="733" t="s">
        <v>984</v>
      </c>
      <c r="C56" s="733">
        <f>'1.1  realisatie'!C65</f>
        <v>0</v>
      </c>
    </row>
    <row r="57" spans="1:3" x14ac:dyDescent="0.2">
      <c r="A57" s="734" t="s">
        <v>985</v>
      </c>
      <c r="B57" s="733" t="s">
        <v>986</v>
      </c>
      <c r="C57" s="733">
        <f>'1.1  realisatie'!C66</f>
        <v>0</v>
      </c>
    </row>
    <row r="58" spans="1:3" x14ac:dyDescent="0.2">
      <c r="A58" s="733" t="s">
        <v>1015</v>
      </c>
      <c r="B58" s="733" t="s">
        <v>1016</v>
      </c>
      <c r="C58" s="733">
        <f>'1.1  realisatie'!C67</f>
        <v>0</v>
      </c>
    </row>
    <row r="59" spans="1:3" x14ac:dyDescent="0.2">
      <c r="A59" s="733" t="s">
        <v>936</v>
      </c>
      <c r="B59" s="733" t="s">
        <v>1039</v>
      </c>
      <c r="C59" s="733">
        <f>'1.1  realisatie'!C68</f>
        <v>0</v>
      </c>
    </row>
    <row r="60" spans="1:3" x14ac:dyDescent="0.2">
      <c r="A60" s="733" t="s">
        <v>94</v>
      </c>
      <c r="B60" s="733" t="s">
        <v>1040</v>
      </c>
      <c r="C60" s="733">
        <f>'1.1  realisatie'!C69</f>
        <v>0</v>
      </c>
    </row>
    <row r="61" spans="1:3" x14ac:dyDescent="0.2">
      <c r="A61" s="733" t="s">
        <v>95</v>
      </c>
      <c r="B61" s="733" t="s">
        <v>1041</v>
      </c>
      <c r="C61" s="733">
        <f>'1.1  realisatie'!C70</f>
        <v>0</v>
      </c>
    </row>
    <row r="62" spans="1:3" x14ac:dyDescent="0.2">
      <c r="A62" s="733" t="s">
        <v>96</v>
      </c>
      <c r="B62" s="733" t="s">
        <v>1042</v>
      </c>
      <c r="C62" s="733">
        <f>'1.1  realisatie'!C71</f>
        <v>0</v>
      </c>
    </row>
    <row r="63" spans="1:3" x14ac:dyDescent="0.2">
      <c r="A63" s="733" t="s">
        <v>97</v>
      </c>
      <c r="B63" s="733" t="s">
        <v>1043</v>
      </c>
      <c r="C63" s="733">
        <f>'1.1  realisatie'!C72</f>
        <v>0</v>
      </c>
    </row>
    <row r="64" spans="1:3" x14ac:dyDescent="0.2">
      <c r="A64" s="733" t="s">
        <v>98</v>
      </c>
      <c r="B64" s="733" t="s">
        <v>1044</v>
      </c>
      <c r="C64" s="733">
        <f>'1.1  realisatie'!C73</f>
        <v>0</v>
      </c>
    </row>
    <row r="65" spans="1:9" x14ac:dyDescent="0.2">
      <c r="A65" s="748" t="s">
        <v>913</v>
      </c>
      <c r="B65" s="748" t="s">
        <v>1045</v>
      </c>
      <c r="C65" s="733">
        <f>'1.1  realisatie'!C74</f>
        <v>0</v>
      </c>
      <c r="D65" s="748"/>
      <c r="E65" s="748"/>
    </row>
    <row r="66" spans="1:9" x14ac:dyDescent="0.2">
      <c r="A66" s="748" t="s">
        <v>1017</v>
      </c>
      <c r="B66" s="748" t="s">
        <v>1018</v>
      </c>
      <c r="C66" s="733">
        <f>'1.1  realisatie'!C75</f>
        <v>0</v>
      </c>
      <c r="D66" s="748"/>
      <c r="E66" s="748"/>
    </row>
    <row r="67" spans="1:9" x14ac:dyDescent="0.2">
      <c r="A67" s="748" t="s">
        <v>1019</v>
      </c>
      <c r="B67" s="748" t="s">
        <v>1020</v>
      </c>
      <c r="C67" s="733">
        <f>'1.1  realisatie'!C76</f>
        <v>0</v>
      </c>
      <c r="D67" s="748"/>
      <c r="E67" s="748"/>
    </row>
    <row r="68" spans="1:9" x14ac:dyDescent="0.2">
      <c r="A68" s="748" t="s">
        <v>1021</v>
      </c>
      <c r="B68" s="748" t="s">
        <v>1022</v>
      </c>
      <c r="C68" s="733">
        <f>'1.1  realisatie'!C77</f>
        <v>0</v>
      </c>
      <c r="D68" s="748"/>
      <c r="E68" s="748"/>
    </row>
    <row r="69" spans="1:9" x14ac:dyDescent="0.2">
      <c r="A69" s="748" t="s">
        <v>1023</v>
      </c>
      <c r="B69" s="748" t="s">
        <v>1024</v>
      </c>
      <c r="C69" s="733">
        <f>'1.1  realisatie'!C78</f>
        <v>0</v>
      </c>
      <c r="D69" s="748"/>
      <c r="E69" s="748"/>
    </row>
    <row r="70" spans="1:9" x14ac:dyDescent="0.2">
      <c r="A70" s="748" t="s">
        <v>872</v>
      </c>
      <c r="B70" s="748" t="s">
        <v>1025</v>
      </c>
      <c r="C70" s="733">
        <f>'1.1  realisatie'!C79</f>
        <v>0</v>
      </c>
      <c r="D70" s="748"/>
      <c r="E70" s="748"/>
    </row>
    <row r="71" spans="1:9" x14ac:dyDescent="0.2">
      <c r="A71" s="748" t="s">
        <v>871</v>
      </c>
      <c r="B71" s="748" t="s">
        <v>1026</v>
      </c>
      <c r="C71" s="733">
        <f>'1.1  realisatie'!C80</f>
        <v>0</v>
      </c>
      <c r="D71" s="748"/>
      <c r="E71" s="748"/>
    </row>
    <row r="72" spans="1:9" x14ac:dyDescent="0.2">
      <c r="A72" s="748" t="s">
        <v>996</v>
      </c>
      <c r="B72" s="748" t="s">
        <v>997</v>
      </c>
      <c r="C72" s="733">
        <f>'1.1  realisatie'!C81</f>
        <v>0</v>
      </c>
      <c r="D72" s="748"/>
      <c r="E72" s="748"/>
    </row>
    <row r="73" spans="1:9" x14ac:dyDescent="0.2">
      <c r="A73" s="748" t="s">
        <v>998</v>
      </c>
      <c r="B73" s="748" t="s">
        <v>999</v>
      </c>
      <c r="C73" s="733">
        <f>'1.1  realisatie'!C82</f>
        <v>0</v>
      </c>
      <c r="D73" s="748"/>
      <c r="E73" s="748"/>
    </row>
    <row r="74" spans="1:9" x14ac:dyDescent="0.2">
      <c r="A74" s="748" t="s">
        <v>1000</v>
      </c>
      <c r="B74" s="748" t="s">
        <v>1001</v>
      </c>
      <c r="C74" s="733">
        <f>'1.1  realisatie'!C83</f>
        <v>0</v>
      </c>
      <c r="D74" s="748"/>
      <c r="E74" s="748"/>
    </row>
    <row r="75" spans="1:9" x14ac:dyDescent="0.2">
      <c r="A75" s="748" t="s">
        <v>1002</v>
      </c>
      <c r="B75" s="748" t="s">
        <v>1003</v>
      </c>
      <c r="C75" s="733">
        <f>'1.1  realisatie'!C84</f>
        <v>0</v>
      </c>
      <c r="D75" s="748"/>
      <c r="E75" s="748"/>
    </row>
    <row r="76" spans="1:9" x14ac:dyDescent="0.2">
      <c r="A76" s="748" t="s">
        <v>1004</v>
      </c>
      <c r="B76" s="748" t="s">
        <v>1005</v>
      </c>
      <c r="C76" s="733">
        <f>'1.1  realisatie'!C85</f>
        <v>0</v>
      </c>
      <c r="D76" s="748"/>
      <c r="E76" s="748"/>
    </row>
    <row r="77" spans="1:9" x14ac:dyDescent="0.2">
      <c r="A77" s="748" t="s">
        <v>1006</v>
      </c>
      <c r="B77" s="748" t="s">
        <v>1007</v>
      </c>
      <c r="C77" s="733">
        <f>'1.1  realisatie'!C86</f>
        <v>0</v>
      </c>
      <c r="D77" s="748"/>
      <c r="E77" s="748"/>
    </row>
    <row r="78" spans="1:9" x14ac:dyDescent="0.2">
      <c r="A78" s="748" t="s">
        <v>1008</v>
      </c>
      <c r="B78" s="748" t="s">
        <v>1009</v>
      </c>
      <c r="C78" s="733">
        <f>'1.1  realisatie'!C87</f>
        <v>0</v>
      </c>
      <c r="D78" s="748"/>
      <c r="E78" s="748"/>
    </row>
    <row r="79" spans="1:9" x14ac:dyDescent="0.2">
      <c r="A79" s="733" t="s">
        <v>1010</v>
      </c>
      <c r="B79" s="733" t="s">
        <v>1011</v>
      </c>
      <c r="C79" s="733">
        <f>'1.1  realisatie'!C88</f>
        <v>0</v>
      </c>
    </row>
    <row r="80" spans="1:9" x14ac:dyDescent="0.2">
      <c r="A80" s="733" t="s">
        <v>1012</v>
      </c>
      <c r="B80" s="733" t="s">
        <v>1013</v>
      </c>
      <c r="C80" s="733">
        <f>'1.1  realisatie'!C89</f>
        <v>0</v>
      </c>
      <c r="D80" s="748"/>
      <c r="E80" s="748"/>
      <c r="F80" s="748"/>
      <c r="G80" s="748"/>
      <c r="H80" s="748"/>
      <c r="I80" s="748"/>
    </row>
    <row r="81" spans="1:9" x14ac:dyDescent="0.2">
      <c r="A81" s="733" t="s">
        <v>883</v>
      </c>
      <c r="B81" s="733" t="s">
        <v>1014</v>
      </c>
      <c r="C81" s="733">
        <f>'1.1  realisatie'!C90</f>
        <v>0</v>
      </c>
      <c r="D81" s="748"/>
      <c r="E81" s="748"/>
      <c r="F81" s="748"/>
      <c r="G81" s="748"/>
      <c r="H81" s="748"/>
      <c r="I81" s="748"/>
    </row>
    <row r="82" spans="1:9" ht="13.5" thickBot="1" x14ac:dyDescent="0.25">
      <c r="A82" s="735" t="s">
        <v>994</v>
      </c>
      <c r="B82" s="735" t="s">
        <v>995</v>
      </c>
      <c r="C82" s="733">
        <f>'1.1  realisatie'!C91</f>
        <v>0</v>
      </c>
      <c r="D82" s="748"/>
      <c r="E82" s="748"/>
      <c r="F82" s="748"/>
      <c r="G82" s="748"/>
      <c r="H82" s="748"/>
      <c r="I82" s="748"/>
    </row>
    <row r="83" spans="1:9" x14ac:dyDescent="0.2">
      <c r="A83" s="736" t="s">
        <v>724</v>
      </c>
      <c r="B83" s="736"/>
      <c r="C83" s="736">
        <f>'1.1  realisatie'!C103</f>
        <v>0</v>
      </c>
      <c r="D83" s="748"/>
      <c r="E83" s="704"/>
      <c r="F83" s="748"/>
      <c r="G83" s="748"/>
      <c r="H83" s="748"/>
      <c r="I83" s="748"/>
    </row>
    <row r="84" spans="1:9" x14ac:dyDescent="0.2">
      <c r="A84" s="736" t="s">
        <v>725</v>
      </c>
      <c r="B84" s="736"/>
      <c r="C84" s="736">
        <f>'1.1  realisatie'!C104</f>
        <v>0</v>
      </c>
      <c r="E84" s="784"/>
    </row>
    <row r="85" spans="1:9" x14ac:dyDescent="0.2">
      <c r="A85" s="736" t="s">
        <v>186</v>
      </c>
      <c r="B85" s="736"/>
      <c r="C85" s="736">
        <f>'1.1  realisatie'!C105</f>
        <v>0</v>
      </c>
      <c r="E85" s="254"/>
    </row>
    <row r="86" spans="1:9" x14ac:dyDescent="0.2">
      <c r="A86" s="736" t="s">
        <v>715</v>
      </c>
      <c r="B86" s="736"/>
      <c r="C86" s="736">
        <f>'1.1  realisatie'!C106</f>
        <v>0</v>
      </c>
      <c r="E86" s="254"/>
    </row>
    <row r="87" spans="1:9" x14ac:dyDescent="0.2">
      <c r="A87" s="736" t="s">
        <v>716</v>
      </c>
      <c r="B87" s="736"/>
      <c r="C87" s="736">
        <f>'1.1  realisatie'!C107</f>
        <v>0</v>
      </c>
      <c r="E87" s="254"/>
    </row>
    <row r="88" spans="1:9" x14ac:dyDescent="0.2">
      <c r="A88" s="736" t="s">
        <v>720</v>
      </c>
      <c r="B88" s="736"/>
      <c r="C88" s="736">
        <f>'1.1  realisatie'!C108</f>
        <v>0</v>
      </c>
      <c r="E88" s="254"/>
    </row>
    <row r="89" spans="1:9" x14ac:dyDescent="0.2">
      <c r="A89" s="736" t="s">
        <v>721</v>
      </c>
      <c r="B89" s="736"/>
      <c r="C89" s="736">
        <f>'1.1  realisatie'!C109</f>
        <v>0</v>
      </c>
      <c r="E89" s="254"/>
    </row>
    <row r="90" spans="1:9" x14ac:dyDescent="0.2">
      <c r="A90" s="736" t="s">
        <v>122</v>
      </c>
      <c r="B90" s="736"/>
      <c r="C90" s="736">
        <f>'1.1  realisatie'!C110</f>
        <v>0</v>
      </c>
      <c r="E90" s="254"/>
    </row>
    <row r="91" spans="1:9" x14ac:dyDescent="0.2">
      <c r="A91" s="736" t="s">
        <v>123</v>
      </c>
      <c r="B91" s="736"/>
      <c r="C91" s="736">
        <f>'1.1  realisatie'!C111</f>
        <v>0</v>
      </c>
      <c r="E91" s="254"/>
    </row>
    <row r="92" spans="1:9" x14ac:dyDescent="0.2">
      <c r="A92" s="736" t="s">
        <v>124</v>
      </c>
      <c r="B92" s="736"/>
      <c r="C92" s="736">
        <f>'1.1  realisatie'!C112</f>
        <v>0</v>
      </c>
      <c r="E92" s="254"/>
    </row>
    <row r="93" spans="1:9" x14ac:dyDescent="0.2">
      <c r="A93" s="736" t="s">
        <v>125</v>
      </c>
      <c r="B93" s="736"/>
      <c r="C93" s="736">
        <f>'1.1  realisatie'!C113</f>
        <v>0</v>
      </c>
      <c r="E93" s="254"/>
    </row>
    <row r="94" spans="1:9" x14ac:dyDescent="0.2">
      <c r="A94" s="736" t="s">
        <v>703</v>
      </c>
      <c r="B94" s="736"/>
      <c r="C94" s="736">
        <f>'1.1  realisatie'!C114</f>
        <v>0</v>
      </c>
      <c r="E94" s="254"/>
    </row>
    <row r="95" spans="1:9" x14ac:dyDescent="0.2">
      <c r="A95" s="736" t="s">
        <v>704</v>
      </c>
      <c r="B95" s="736"/>
      <c r="C95" s="736">
        <f>'1.1  realisatie'!C115</f>
        <v>0</v>
      </c>
      <c r="E95" s="254"/>
    </row>
    <row r="96" spans="1:9" x14ac:dyDescent="0.2">
      <c r="A96" s="736" t="s">
        <v>705</v>
      </c>
      <c r="B96" s="736"/>
      <c r="C96" s="736">
        <f>'1.1  realisatie'!C116</f>
        <v>0</v>
      </c>
      <c r="E96" s="254"/>
    </row>
    <row r="97" spans="1:10" x14ac:dyDescent="0.2">
      <c r="A97" s="736" t="s">
        <v>706</v>
      </c>
      <c r="B97" s="736"/>
      <c r="C97" s="736">
        <f>'1.1  realisatie'!C117</f>
        <v>0</v>
      </c>
      <c r="E97" s="254"/>
    </row>
    <row r="98" spans="1:10" x14ac:dyDescent="0.2">
      <c r="A98" s="736" t="s">
        <v>707</v>
      </c>
      <c r="B98" s="736"/>
      <c r="C98" s="736">
        <f>'1.1  realisatie'!C118</f>
        <v>0</v>
      </c>
      <c r="E98" s="254"/>
    </row>
    <row r="99" spans="1:10" x14ac:dyDescent="0.2">
      <c r="A99" s="736" t="s">
        <v>708</v>
      </c>
      <c r="B99" s="736"/>
      <c r="C99" s="736">
        <f>'1.1  realisatie'!C119</f>
        <v>0</v>
      </c>
      <c r="E99" s="254"/>
    </row>
    <row r="100" spans="1:10" x14ac:dyDescent="0.2">
      <c r="A100" s="736" t="s">
        <v>709</v>
      </c>
      <c r="B100" s="736"/>
      <c r="C100" s="736">
        <f>'1.1  realisatie'!C120</f>
        <v>0</v>
      </c>
      <c r="E100" s="254"/>
    </row>
    <row r="101" spans="1:10" x14ac:dyDescent="0.2">
      <c r="A101" s="736" t="s">
        <v>710</v>
      </c>
      <c r="B101" s="736"/>
      <c r="C101" s="736">
        <f>'1.1  realisatie'!C121</f>
        <v>0</v>
      </c>
      <c r="E101" s="254"/>
    </row>
    <row r="102" spans="1:10" x14ac:dyDescent="0.2">
      <c r="A102" s="736" t="s">
        <v>711</v>
      </c>
      <c r="B102" s="736"/>
      <c r="C102" s="736">
        <f>'1.1  realisatie'!C122</f>
        <v>0</v>
      </c>
      <c r="E102" s="254"/>
    </row>
    <row r="103" spans="1:10" x14ac:dyDescent="0.2">
      <c r="A103" s="736" t="s">
        <v>712</v>
      </c>
      <c r="B103" s="736"/>
      <c r="C103" s="736">
        <f>'1.1  realisatie'!C123</f>
        <v>0</v>
      </c>
      <c r="E103" s="254"/>
    </row>
    <row r="104" spans="1:10" x14ac:dyDescent="0.2">
      <c r="A104" s="736" t="s">
        <v>187</v>
      </c>
      <c r="B104" s="736"/>
      <c r="C104" s="736">
        <f>'1.1  realisatie'!C124</f>
        <v>0</v>
      </c>
      <c r="E104" s="254"/>
    </row>
    <row r="105" spans="1:10" x14ac:dyDescent="0.2">
      <c r="A105" s="736" t="s">
        <v>714</v>
      </c>
      <c r="B105" s="736"/>
      <c r="C105" s="736">
        <f>'1.1  realisatie'!C125</f>
        <v>0</v>
      </c>
      <c r="E105" s="254"/>
    </row>
    <row r="106" spans="1:10" x14ac:dyDescent="0.2">
      <c r="A106" s="736" t="s">
        <v>188</v>
      </c>
      <c r="B106" s="736"/>
      <c r="C106" s="736">
        <f>'1.1  realisatie'!C126</f>
        <v>0</v>
      </c>
      <c r="E106" s="254"/>
    </row>
    <row r="107" spans="1:10" x14ac:dyDescent="0.2">
      <c r="A107" s="736" t="s">
        <v>189</v>
      </c>
      <c r="B107" s="736"/>
      <c r="C107" s="736">
        <f>'1.1  realisatie'!C127</f>
        <v>0</v>
      </c>
      <c r="E107" s="254"/>
    </row>
    <row r="108" spans="1:10" x14ac:dyDescent="0.2">
      <c r="A108" s="736" t="s">
        <v>190</v>
      </c>
      <c r="B108" s="736"/>
      <c r="C108" s="736">
        <f>'1.1  realisatie'!C128</f>
        <v>0</v>
      </c>
      <c r="E108" s="781"/>
    </row>
    <row r="109" spans="1:10" ht="13.5" thickBot="1" x14ac:dyDescent="0.25">
      <c r="A109" s="750" t="s">
        <v>525</v>
      </c>
      <c r="B109" s="750"/>
      <c r="C109" s="750">
        <f>'1.1  realisatie'!C129</f>
        <v>0</v>
      </c>
      <c r="D109" s="782"/>
      <c r="E109" s="783"/>
      <c r="F109" s="748"/>
      <c r="G109" s="748"/>
      <c r="H109" s="748"/>
      <c r="I109" s="748"/>
      <c r="J109" s="748"/>
    </row>
    <row r="110" spans="1:10" x14ac:dyDescent="0.2">
      <c r="A110" s="736"/>
      <c r="B110" s="736"/>
      <c r="C110" s="736"/>
      <c r="D110" s="782"/>
      <c r="E110" s="782"/>
      <c r="F110" s="748"/>
      <c r="G110" s="748"/>
      <c r="H110" s="748"/>
      <c r="I110" s="748"/>
      <c r="J110" s="748"/>
    </row>
    <row r="111" spans="1:10" x14ac:dyDescent="0.2">
      <c r="A111" s="734" t="s">
        <v>1046</v>
      </c>
      <c r="B111" s="733" t="s">
        <v>1047</v>
      </c>
      <c r="C111" s="733">
        <f>'1.1  realisatie'!C142</f>
        <v>0</v>
      </c>
      <c r="D111" s="748"/>
      <c r="E111" s="748"/>
      <c r="F111" s="748"/>
      <c r="G111" s="748"/>
      <c r="H111" s="748"/>
      <c r="I111" s="748"/>
      <c r="J111" s="748"/>
    </row>
    <row r="112" spans="1:10" x14ac:dyDescent="0.2">
      <c r="A112" s="733" t="s">
        <v>1048</v>
      </c>
      <c r="B112" s="733" t="s">
        <v>1049</v>
      </c>
      <c r="C112" s="733">
        <f>'1.1  realisatie'!C143</f>
        <v>0</v>
      </c>
      <c r="D112" s="748"/>
      <c r="E112" s="748"/>
      <c r="F112" s="748"/>
      <c r="G112" s="748"/>
      <c r="H112" s="748"/>
      <c r="I112" s="748"/>
      <c r="J112" s="748"/>
    </row>
    <row r="113" spans="1:10" x14ac:dyDescent="0.2">
      <c r="A113" s="733" t="s">
        <v>609</v>
      </c>
      <c r="B113" s="733" t="s">
        <v>1050</v>
      </c>
      <c r="C113" s="733">
        <f>'1.1  realisatie'!C146</f>
        <v>0</v>
      </c>
      <c r="D113" s="748"/>
      <c r="E113" s="748"/>
      <c r="F113" s="748"/>
      <c r="G113" s="748"/>
      <c r="H113" s="748"/>
      <c r="I113" s="748"/>
      <c r="J113" s="748"/>
    </row>
    <row r="114" spans="1:10" x14ac:dyDescent="0.2">
      <c r="A114" s="733" t="s">
        <v>1051</v>
      </c>
      <c r="B114" s="733" t="s">
        <v>1052</v>
      </c>
      <c r="C114" s="733">
        <f>'1.1  realisatie'!C145</f>
        <v>0</v>
      </c>
      <c r="D114" s="748"/>
      <c r="E114" s="748"/>
      <c r="F114" s="748"/>
      <c r="G114" s="748"/>
      <c r="H114" s="748"/>
      <c r="I114" s="748"/>
      <c r="J114" s="748"/>
    </row>
    <row r="115" spans="1:10" x14ac:dyDescent="0.2">
      <c r="A115" s="733" t="s">
        <v>1053</v>
      </c>
      <c r="B115" s="733" t="s">
        <v>1054</v>
      </c>
      <c r="C115" s="733">
        <f>'1.1  realisatie'!C147</f>
        <v>0</v>
      </c>
      <c r="D115" s="748"/>
      <c r="E115" s="748"/>
      <c r="F115" s="748"/>
      <c r="G115" s="748"/>
      <c r="H115" s="748"/>
      <c r="I115" s="748"/>
      <c r="J115" s="748"/>
    </row>
    <row r="116" spans="1:10" x14ac:dyDescent="0.2">
      <c r="A116" s="733" t="s">
        <v>1055</v>
      </c>
      <c r="B116" s="733" t="s">
        <v>1056</v>
      </c>
      <c r="C116" s="733">
        <f>'1.1  realisatie'!C148</f>
        <v>0</v>
      </c>
      <c r="D116" s="748"/>
      <c r="E116" s="748"/>
      <c r="F116" s="748"/>
      <c r="G116" s="748"/>
      <c r="H116" s="748"/>
      <c r="I116" s="748"/>
      <c r="J116" s="748"/>
    </row>
    <row r="117" spans="1:10" x14ac:dyDescent="0.2">
      <c r="A117" s="733" t="s">
        <v>1057</v>
      </c>
      <c r="B117" s="733" t="s">
        <v>1058</v>
      </c>
      <c r="C117" s="733">
        <f>'1.1  realisatie'!C149</f>
        <v>0</v>
      </c>
      <c r="D117" s="748"/>
      <c r="E117" s="748"/>
      <c r="F117" s="748"/>
      <c r="G117" s="748"/>
      <c r="H117" s="748"/>
      <c r="I117" s="748"/>
      <c r="J117" s="748"/>
    </row>
    <row r="118" spans="1:10" x14ac:dyDescent="0.2">
      <c r="A118" s="733" t="s">
        <v>218</v>
      </c>
      <c r="B118" s="733" t="s">
        <v>1059</v>
      </c>
      <c r="C118" s="733">
        <f>'1.1  realisatie'!C150</f>
        <v>0</v>
      </c>
      <c r="D118" s="748"/>
      <c r="E118" s="748"/>
      <c r="F118" s="748"/>
      <c r="G118" s="748"/>
      <c r="H118" s="748"/>
      <c r="I118" s="748"/>
      <c r="J118" s="748"/>
    </row>
    <row r="119" spans="1:10" x14ac:dyDescent="0.2">
      <c r="A119" s="733" t="s">
        <v>1060</v>
      </c>
      <c r="B119" s="733" t="s">
        <v>1061</v>
      </c>
      <c r="C119" s="733">
        <f>'1.1  realisatie'!C151</f>
        <v>0</v>
      </c>
      <c r="D119" s="748"/>
      <c r="E119" s="748"/>
      <c r="F119" s="748"/>
      <c r="G119" s="748"/>
      <c r="H119" s="748"/>
      <c r="I119" s="748"/>
      <c r="J119" s="748"/>
    </row>
    <row r="120" spans="1:10" x14ac:dyDescent="0.2">
      <c r="A120" s="733" t="s">
        <v>1062</v>
      </c>
      <c r="B120" s="733" t="s">
        <v>1063</v>
      </c>
      <c r="C120" s="733">
        <f>'1.1  realisatie'!C152</f>
        <v>0</v>
      </c>
      <c r="D120" s="748"/>
      <c r="E120" s="748"/>
      <c r="F120" s="748"/>
      <c r="G120" s="748"/>
      <c r="H120" s="748"/>
      <c r="I120" s="748"/>
      <c r="J120" s="748"/>
    </row>
    <row r="121" spans="1:10" x14ac:dyDescent="0.2">
      <c r="A121" s="733" t="s">
        <v>14</v>
      </c>
      <c r="B121" s="733" t="s">
        <v>15</v>
      </c>
      <c r="C121" s="733">
        <f>'1.1  realisatie'!C153</f>
        <v>0</v>
      </c>
      <c r="D121" s="748"/>
      <c r="E121" s="748"/>
      <c r="F121" s="748"/>
      <c r="G121" s="748"/>
      <c r="H121" s="748"/>
      <c r="I121" s="748"/>
      <c r="J121" s="748"/>
    </row>
    <row r="122" spans="1:10" x14ac:dyDescent="0.2">
      <c r="A122" s="733" t="s">
        <v>16</v>
      </c>
      <c r="B122" s="733" t="s">
        <v>17</v>
      </c>
      <c r="C122" s="733">
        <f>'1.1  realisatie'!C154</f>
        <v>0</v>
      </c>
      <c r="D122" s="748"/>
      <c r="E122" s="748"/>
      <c r="F122" s="748"/>
      <c r="G122" s="748"/>
      <c r="H122" s="748"/>
      <c r="I122" s="748"/>
      <c r="J122" s="748"/>
    </row>
    <row r="123" spans="1:10" x14ac:dyDescent="0.2">
      <c r="A123" s="757" t="s">
        <v>18</v>
      </c>
      <c r="B123" s="733" t="s">
        <v>19</v>
      </c>
      <c r="C123" s="733">
        <f>'1.1  realisatie'!C155</f>
        <v>0</v>
      </c>
      <c r="D123" s="748"/>
      <c r="E123" s="748"/>
      <c r="F123" s="748"/>
      <c r="G123" s="748"/>
      <c r="H123" s="748"/>
      <c r="I123" s="748"/>
      <c r="J123" s="748"/>
    </row>
    <row r="124" spans="1:10" x14ac:dyDescent="0.2">
      <c r="A124" s="733" t="s">
        <v>20</v>
      </c>
      <c r="B124" s="733" t="s">
        <v>21</v>
      </c>
      <c r="C124" s="733">
        <f>'1.1  realisatie'!C156</f>
        <v>0</v>
      </c>
      <c r="D124" s="748"/>
      <c r="E124" s="748"/>
      <c r="F124" s="748"/>
      <c r="G124" s="748"/>
      <c r="H124" s="748"/>
      <c r="I124" s="748"/>
      <c r="J124" s="748"/>
    </row>
    <row r="125" spans="1:10" x14ac:dyDescent="0.2">
      <c r="A125" s="733" t="s">
        <v>22</v>
      </c>
      <c r="B125" s="733" t="s">
        <v>23</v>
      </c>
      <c r="C125" s="733">
        <f>'1.1  realisatie'!C157</f>
        <v>0</v>
      </c>
      <c r="D125" s="748"/>
      <c r="E125" s="748"/>
      <c r="F125" s="748"/>
      <c r="G125" s="748"/>
      <c r="H125" s="748"/>
      <c r="I125" s="748"/>
      <c r="J125" s="748"/>
    </row>
    <row r="126" spans="1:10" ht="13.5" thickBot="1" x14ac:dyDescent="0.25">
      <c r="A126" s="771" t="s">
        <v>74</v>
      </c>
      <c r="B126" s="735" t="s">
        <v>1226</v>
      </c>
      <c r="C126" s="735">
        <f>'1.1  realisatie'!J160-'1.1  realisatie'!J159</f>
        <v>0</v>
      </c>
      <c r="D126" s="748"/>
      <c r="E126" s="748"/>
      <c r="F126" s="748"/>
      <c r="G126" s="748"/>
      <c r="H126" s="748"/>
      <c r="I126" s="748"/>
      <c r="J126" s="748"/>
    </row>
    <row r="127" spans="1:10" x14ac:dyDescent="0.2">
      <c r="A127" s="748"/>
      <c r="B127" s="748"/>
      <c r="C127" s="748"/>
      <c r="D127" s="748"/>
      <c r="J127" s="748"/>
    </row>
    <row r="128" spans="1:10" x14ac:dyDescent="0.2">
      <c r="A128" s="869" t="s">
        <v>1188</v>
      </c>
      <c r="B128" s="869" t="s">
        <v>1189</v>
      </c>
      <c r="C128" s="748">
        <f>'1.3 Diverse aanvaardbare kosten'!D10</f>
        <v>0</v>
      </c>
      <c r="D128" s="748"/>
      <c r="E128" s="748"/>
      <c r="F128" s="748"/>
      <c r="G128" s="748"/>
      <c r="H128" s="748"/>
      <c r="I128" s="748"/>
      <c r="J128" s="748"/>
    </row>
    <row r="129" spans="1:16" x14ac:dyDescent="0.2">
      <c r="A129" s="869" t="s">
        <v>1192</v>
      </c>
      <c r="B129" s="869" t="s">
        <v>1194</v>
      </c>
      <c r="C129" s="748">
        <f>'1.3 Diverse aanvaardbare kosten'!D13</f>
        <v>0</v>
      </c>
      <c r="D129" s="748"/>
      <c r="E129" s="748"/>
      <c r="F129" s="748"/>
      <c r="G129" s="748"/>
      <c r="H129" s="748"/>
      <c r="I129" s="748"/>
      <c r="J129" s="748"/>
    </row>
    <row r="130" spans="1:16" x14ac:dyDescent="0.2">
      <c r="A130" s="869" t="s">
        <v>1193</v>
      </c>
      <c r="B130" s="869" t="s">
        <v>1195</v>
      </c>
      <c r="C130" s="748">
        <f>'1.3 Diverse aanvaardbare kosten'!D14</f>
        <v>0</v>
      </c>
      <c r="D130" s="748"/>
      <c r="E130" s="748"/>
      <c r="F130" s="748"/>
      <c r="G130" s="748"/>
      <c r="H130" s="748"/>
      <c r="I130" s="748"/>
      <c r="J130" s="748"/>
    </row>
    <row r="131" spans="1:16" x14ac:dyDescent="0.2">
      <c r="A131" s="869" t="s">
        <v>1191</v>
      </c>
      <c r="B131" s="733" t="s">
        <v>1190</v>
      </c>
      <c r="C131" s="748">
        <f>'1.3 Diverse aanvaardbare kosten'!D21</f>
        <v>0</v>
      </c>
      <c r="D131" s="748"/>
      <c r="E131" s="748"/>
      <c r="F131" s="748"/>
      <c r="G131" s="748"/>
      <c r="H131" s="748"/>
      <c r="I131" s="748"/>
      <c r="J131" s="748"/>
    </row>
    <row r="132" spans="1:16" x14ac:dyDescent="0.2">
      <c r="A132" s="733" t="s">
        <v>24</v>
      </c>
      <c r="B132" s="733" t="s">
        <v>25</v>
      </c>
      <c r="C132" s="733">
        <f>'1.3 Diverse aanvaardbare kosten'!D29</f>
        <v>0</v>
      </c>
    </row>
    <row r="133" spans="1:16" x14ac:dyDescent="0.2">
      <c r="A133" s="733" t="s">
        <v>26</v>
      </c>
      <c r="B133" s="733" t="s">
        <v>27</v>
      </c>
      <c r="C133" s="738">
        <f>'4 overzicht mutaties'!C13</f>
        <v>0</v>
      </c>
    </row>
    <row r="134" spans="1:16" x14ac:dyDescent="0.2">
      <c r="A134" s="733" t="s">
        <v>28</v>
      </c>
      <c r="B134" s="733" t="s">
        <v>29</v>
      </c>
      <c r="C134" s="738">
        <f>'4 overzicht mutaties'!C23</f>
        <v>0</v>
      </c>
    </row>
    <row r="135" spans="1:16" x14ac:dyDescent="0.2">
      <c r="A135" s="733" t="s">
        <v>857</v>
      </c>
      <c r="B135" s="751" t="s">
        <v>76</v>
      </c>
      <c r="C135" s="738">
        <f>0-'2 afschrijv. instandhoud. '!F29</f>
        <v>0</v>
      </c>
    </row>
    <row r="136" spans="1:16" x14ac:dyDescent="0.2">
      <c r="A136" s="733" t="s">
        <v>213</v>
      </c>
      <c r="B136" s="751" t="s">
        <v>77</v>
      </c>
      <c r="C136" s="738">
        <f>0-'2 afschrijv. instandhoud. '!F30</f>
        <v>0</v>
      </c>
    </row>
    <row r="137" spans="1:16" x14ac:dyDescent="0.2">
      <c r="A137" s="752" t="s">
        <v>815</v>
      </c>
      <c r="B137" s="752" t="s">
        <v>70</v>
      </c>
      <c r="C137" s="738">
        <f>'4 overzicht mutaties'!E15</f>
        <v>0</v>
      </c>
      <c r="D137" s="757" t="s">
        <v>172</v>
      </c>
    </row>
    <row r="138" spans="1:16" x14ac:dyDescent="0.2">
      <c r="A138" s="751" t="s">
        <v>138</v>
      </c>
      <c r="B138" s="751" t="s">
        <v>71</v>
      </c>
      <c r="C138" s="738">
        <f>'4 overzicht mutaties'!E16</f>
        <v>0</v>
      </c>
      <c r="D138" s="757" t="s">
        <v>172</v>
      </c>
      <c r="H138" s="753"/>
      <c r="K138" s="754"/>
      <c r="L138" s="754"/>
      <c r="M138" s="754"/>
      <c r="N138" s="751"/>
      <c r="O138" s="751"/>
      <c r="P138" s="751"/>
    </row>
    <row r="139" spans="1:16" ht="13.5" thickBot="1" x14ac:dyDescent="0.25">
      <c r="A139" s="777" t="s">
        <v>73</v>
      </c>
      <c r="B139" s="777" t="s">
        <v>72</v>
      </c>
      <c r="C139" s="755">
        <f>'4 overzicht mutaties'!C17</f>
        <v>0</v>
      </c>
    </row>
    <row r="140" spans="1:16" x14ac:dyDescent="0.2">
      <c r="B140" s="751"/>
      <c r="C140" s="738"/>
    </row>
    <row r="141" spans="1:16" x14ac:dyDescent="0.2">
      <c r="A141" s="805" t="s">
        <v>85</v>
      </c>
      <c r="B141" s="806" t="s">
        <v>104</v>
      </c>
      <c r="C141" s="807"/>
    </row>
    <row r="142" spans="1:16" x14ac:dyDescent="0.2">
      <c r="B142" s="775"/>
      <c r="C142" s="738"/>
    </row>
    <row r="143" spans="1:16" x14ac:dyDescent="0.2">
      <c r="B143" s="775"/>
      <c r="C143" s="738"/>
    </row>
    <row r="144" spans="1:16" ht="13.5" thickBot="1" x14ac:dyDescent="0.25">
      <c r="A144" s="982" t="s">
        <v>621</v>
      </c>
      <c r="B144" s="776"/>
      <c r="C144" s="755"/>
    </row>
    <row r="145" spans="1:20" x14ac:dyDescent="0.2">
      <c r="A145" s="733" t="s">
        <v>126</v>
      </c>
      <c r="B145" s="737" t="s">
        <v>30</v>
      </c>
      <c r="C145" s="738">
        <f>'1.4 dure geneesmiddelen'!E12</f>
        <v>0</v>
      </c>
      <c r="G145" s="757"/>
    </row>
    <row r="146" spans="1:20" x14ac:dyDescent="0.2">
      <c r="A146" s="733" t="s">
        <v>127</v>
      </c>
      <c r="B146" s="737" t="s">
        <v>31</v>
      </c>
      <c r="C146" s="738">
        <f>'1.4 dure geneesmiddelen'!E13</f>
        <v>0</v>
      </c>
      <c r="G146" s="757"/>
    </row>
    <row r="147" spans="1:20" x14ac:dyDescent="0.2">
      <c r="A147" s="733" t="s">
        <v>128</v>
      </c>
      <c r="B147" s="737" t="s">
        <v>32</v>
      </c>
      <c r="C147" s="738">
        <f>'1.4 dure geneesmiddelen'!E14</f>
        <v>0</v>
      </c>
      <c r="G147" s="757"/>
    </row>
    <row r="148" spans="1:20" x14ac:dyDescent="0.2">
      <c r="A148" s="733" t="s">
        <v>129</v>
      </c>
      <c r="B148" s="737" t="s">
        <v>33</v>
      </c>
      <c r="C148" s="738">
        <f>'1.4 dure geneesmiddelen'!E15</f>
        <v>0</v>
      </c>
      <c r="G148" s="757"/>
    </row>
    <row r="149" spans="1:20" x14ac:dyDescent="0.2">
      <c r="A149" s="733" t="s">
        <v>130</v>
      </c>
      <c r="B149" s="739" t="s">
        <v>34</v>
      </c>
      <c r="C149" s="738">
        <f>'1.4 dure geneesmiddelen'!E16</f>
        <v>0</v>
      </c>
      <c r="G149" s="757"/>
    </row>
    <row r="150" spans="1:20" x14ac:dyDescent="0.2">
      <c r="A150" s="1188" t="s">
        <v>790</v>
      </c>
      <c r="B150" s="1189" t="s">
        <v>42</v>
      </c>
      <c r="C150" s="1190">
        <f>'1.4 dure geneesmiddelen'!E17</f>
        <v>0</v>
      </c>
      <c r="E150" s="889" t="s">
        <v>1204</v>
      </c>
      <c r="F150" s="889"/>
      <c r="G150" s="889"/>
    </row>
    <row r="151" spans="1:20" x14ac:dyDescent="0.2">
      <c r="A151" s="733" t="s">
        <v>131</v>
      </c>
      <c r="B151" s="739" t="s">
        <v>36</v>
      </c>
      <c r="C151" s="738">
        <f>'1.4 dure geneesmiddelen'!E18</f>
        <v>0</v>
      </c>
      <c r="D151" s="888"/>
      <c r="G151" s="757"/>
    </row>
    <row r="152" spans="1:20" x14ac:dyDescent="0.2">
      <c r="A152" s="733" t="s">
        <v>37</v>
      </c>
      <c r="B152" s="739" t="s">
        <v>38</v>
      </c>
      <c r="C152" s="738">
        <f>'1.4 dure geneesmiddelen'!E19</f>
        <v>0</v>
      </c>
      <c r="G152" s="757"/>
    </row>
    <row r="153" spans="1:20" x14ac:dyDescent="0.2">
      <c r="A153" s="733" t="s">
        <v>132</v>
      </c>
      <c r="B153" s="739" t="s">
        <v>39</v>
      </c>
      <c r="C153" s="738">
        <f>'1.4 dure geneesmiddelen'!E20</f>
        <v>0</v>
      </c>
      <c r="G153" s="757"/>
      <c r="T153" s="739"/>
    </row>
    <row r="154" spans="1:20" x14ac:dyDescent="0.2">
      <c r="A154" s="733" t="s">
        <v>133</v>
      </c>
      <c r="B154" s="740" t="s">
        <v>40</v>
      </c>
      <c r="C154" s="738">
        <f>'1.4 dure geneesmiddelen'!E21</f>
        <v>0</v>
      </c>
      <c r="G154" s="757"/>
      <c r="M154" s="739"/>
    </row>
    <row r="155" spans="1:20" x14ac:dyDescent="0.2">
      <c r="A155" s="733" t="s">
        <v>134</v>
      </c>
      <c r="B155" s="739" t="s">
        <v>41</v>
      </c>
      <c r="C155" s="738">
        <f>'1.4 dure geneesmiddelen'!E22</f>
        <v>0</v>
      </c>
      <c r="G155" s="757"/>
      <c r="M155" s="739"/>
    </row>
    <row r="156" spans="1:20" ht="13.5" x14ac:dyDescent="0.2">
      <c r="A156" s="733" t="s">
        <v>135</v>
      </c>
      <c r="B156" s="739" t="s">
        <v>43</v>
      </c>
      <c r="C156" s="738">
        <f>'1.4 dure geneesmiddelen'!E23</f>
        <v>0</v>
      </c>
      <c r="G156" s="757"/>
      <c r="M156" s="741"/>
    </row>
    <row r="157" spans="1:20" x14ac:dyDescent="0.2">
      <c r="A157" s="733" t="s">
        <v>136</v>
      </c>
      <c r="B157" s="739" t="s">
        <v>44</v>
      </c>
      <c r="C157" s="738">
        <f>'1.4 dure geneesmiddelen'!E24</f>
        <v>0</v>
      </c>
      <c r="G157" s="757"/>
    </row>
    <row r="158" spans="1:20" x14ac:dyDescent="0.2">
      <c r="A158" s="733" t="s">
        <v>791</v>
      </c>
      <c r="B158" s="739" t="s">
        <v>45</v>
      </c>
      <c r="C158" s="738">
        <f>'1.4 dure geneesmiddelen'!E25</f>
        <v>0</v>
      </c>
      <c r="G158" s="757"/>
    </row>
    <row r="159" spans="1:20" x14ac:dyDescent="0.2">
      <c r="A159" s="733" t="s">
        <v>700</v>
      </c>
      <c r="B159" s="739" t="s">
        <v>46</v>
      </c>
      <c r="C159" s="738">
        <f>'1.4 dure geneesmiddelen'!E26</f>
        <v>0</v>
      </c>
      <c r="G159" s="757"/>
    </row>
    <row r="160" spans="1:20" x14ac:dyDescent="0.2">
      <c r="A160" s="733" t="s">
        <v>701</v>
      </c>
      <c r="B160" s="740" t="s">
        <v>47</v>
      </c>
      <c r="C160" s="738">
        <f>'1.4 dure geneesmiddelen'!E27</f>
        <v>0</v>
      </c>
      <c r="G160" s="757"/>
    </row>
    <row r="161" spans="1:7" x14ac:dyDescent="0.2">
      <c r="A161" s="733" t="s">
        <v>702</v>
      </c>
      <c r="B161" s="739" t="s">
        <v>48</v>
      </c>
      <c r="C161" s="738">
        <f>'1.4 dure geneesmiddelen'!E28</f>
        <v>0</v>
      </c>
      <c r="G161" s="757"/>
    </row>
    <row r="162" spans="1:7" x14ac:dyDescent="0.2">
      <c r="A162" s="889" t="s">
        <v>789</v>
      </c>
      <c r="B162" s="739" t="s">
        <v>35</v>
      </c>
      <c r="C162" s="738">
        <f>'1.4 dure geneesmiddelen'!E29</f>
        <v>0</v>
      </c>
      <c r="G162" s="757"/>
    </row>
    <row r="163" spans="1:7" x14ac:dyDescent="0.2">
      <c r="A163" s="733" t="s">
        <v>858</v>
      </c>
      <c r="B163" s="739" t="s">
        <v>49</v>
      </c>
      <c r="C163" s="738">
        <f>'1.4 dure geneesmiddelen'!E30</f>
        <v>0</v>
      </c>
      <c r="G163" s="757"/>
    </row>
    <row r="164" spans="1:7" x14ac:dyDescent="0.2">
      <c r="A164" s="897" t="s">
        <v>792</v>
      </c>
      <c r="B164" s="890" t="s">
        <v>50</v>
      </c>
      <c r="C164" s="891">
        <f>'1.4 dure geneesmiddelen'!E31</f>
        <v>0</v>
      </c>
      <c r="E164" s="889" t="s">
        <v>1200</v>
      </c>
      <c r="F164" s="733" t="s">
        <v>1227</v>
      </c>
      <c r="G164" s="757"/>
    </row>
    <row r="165" spans="1:7" x14ac:dyDescent="0.2">
      <c r="A165" s="733" t="s">
        <v>833</v>
      </c>
      <c r="B165" s="739" t="s">
        <v>51</v>
      </c>
      <c r="C165" s="738">
        <f>'1.4 dure geneesmiddelen'!E32</f>
        <v>0</v>
      </c>
      <c r="G165" s="757"/>
    </row>
    <row r="166" spans="1:7" x14ac:dyDescent="0.2">
      <c r="A166" s="733" t="s">
        <v>284</v>
      </c>
      <c r="B166" s="742" t="s">
        <v>52</v>
      </c>
      <c r="C166" s="738">
        <f>'1.4 dure geneesmiddelen'!E33</f>
        <v>0</v>
      </c>
      <c r="G166" s="757"/>
    </row>
    <row r="167" spans="1:7" x14ac:dyDescent="0.2">
      <c r="A167" s="733" t="s">
        <v>141</v>
      </c>
      <c r="B167" s="739" t="s">
        <v>53</v>
      </c>
      <c r="C167" s="738">
        <f>'1.4 dure geneesmiddelen'!E34</f>
        <v>0</v>
      </c>
      <c r="G167" s="757"/>
    </row>
    <row r="168" spans="1:7" x14ac:dyDescent="0.2">
      <c r="A168" s="733" t="s">
        <v>54</v>
      </c>
      <c r="B168" s="739" t="s">
        <v>55</v>
      </c>
      <c r="C168" s="738">
        <f>'1.4 dure geneesmiddelen'!E35</f>
        <v>0</v>
      </c>
      <c r="G168" s="757"/>
    </row>
    <row r="169" spans="1:7" x14ac:dyDescent="0.2">
      <c r="A169" s="733" t="s">
        <v>793</v>
      </c>
      <c r="B169" s="739" t="s">
        <v>56</v>
      </c>
      <c r="C169" s="738">
        <f>'1.4 dure geneesmiddelen'!E36</f>
        <v>0</v>
      </c>
      <c r="G169" s="757"/>
    </row>
    <row r="170" spans="1:7" x14ac:dyDescent="0.2">
      <c r="A170" s="733" t="s">
        <v>794</v>
      </c>
      <c r="B170" s="739" t="s">
        <v>57</v>
      </c>
      <c r="C170" s="738">
        <f>'1.4 dure geneesmiddelen'!E37</f>
        <v>0</v>
      </c>
      <c r="G170" s="757"/>
    </row>
    <row r="171" spans="1:7" x14ac:dyDescent="0.2">
      <c r="A171" s="733" t="s">
        <v>797</v>
      </c>
      <c r="B171" s="743" t="s">
        <v>60</v>
      </c>
      <c r="C171" s="738">
        <f>'1.4 dure geneesmiddelen'!E38</f>
        <v>0</v>
      </c>
      <c r="G171" s="757"/>
    </row>
    <row r="172" spans="1:7" x14ac:dyDescent="0.2">
      <c r="A172" s="733" t="s">
        <v>796</v>
      </c>
      <c r="B172" s="739" t="s">
        <v>59</v>
      </c>
      <c r="C172" s="738">
        <f>'1.4 dure geneesmiddelen'!E39</f>
        <v>0</v>
      </c>
      <c r="G172" s="757"/>
    </row>
    <row r="173" spans="1:7" x14ac:dyDescent="0.2">
      <c r="A173" s="733" t="s">
        <v>795</v>
      </c>
      <c r="B173" s="739" t="s">
        <v>58</v>
      </c>
      <c r="C173" s="738">
        <f>'1.4 dure geneesmiddelen'!E40</f>
        <v>0</v>
      </c>
      <c r="G173" s="757"/>
    </row>
    <row r="174" spans="1:7" x14ac:dyDescent="0.2">
      <c r="A174" s="733" t="s">
        <v>61</v>
      </c>
      <c r="B174" s="636" t="s">
        <v>62</v>
      </c>
      <c r="C174" s="738">
        <f>'1.4 dure geneesmiddelen'!E41</f>
        <v>0</v>
      </c>
      <c r="G174" s="757"/>
    </row>
    <row r="175" spans="1:7" x14ac:dyDescent="0.2">
      <c r="A175" s="733" t="s">
        <v>63</v>
      </c>
      <c r="B175" s="739" t="s">
        <v>64</v>
      </c>
      <c r="C175" s="738">
        <f>'1.4 dure geneesmiddelen'!E42</f>
        <v>0</v>
      </c>
      <c r="G175" s="757"/>
    </row>
    <row r="176" spans="1:7" ht="13.5" x14ac:dyDescent="0.2">
      <c r="A176" s="756" t="s">
        <v>562</v>
      </c>
      <c r="B176" s="757" t="s">
        <v>336</v>
      </c>
      <c r="C176" s="738">
        <f>'1.4 dure geneesmiddelen'!E43</f>
        <v>0</v>
      </c>
      <c r="G176" s="757"/>
    </row>
    <row r="177" spans="1:7" x14ac:dyDescent="0.2">
      <c r="A177" s="636" t="s">
        <v>1072</v>
      </c>
      <c r="B177" s="757"/>
      <c r="C177" s="738">
        <f>'1.4 dure geneesmiddelen'!E44</f>
        <v>0</v>
      </c>
      <c r="G177" s="757"/>
    </row>
    <row r="178" spans="1:7" x14ac:dyDescent="0.2">
      <c r="A178" s="1228" t="s">
        <v>1197</v>
      </c>
      <c r="B178" s="1229"/>
      <c r="C178" s="1227">
        <f>'1.4 dure geneesmiddelen'!E45</f>
        <v>0</v>
      </c>
      <c r="E178" s="889" t="s">
        <v>1200</v>
      </c>
      <c r="F178" s="733" t="s">
        <v>1227</v>
      </c>
      <c r="G178" s="757"/>
    </row>
    <row r="179" spans="1:7" x14ac:dyDescent="0.2">
      <c r="A179" s="636" t="s">
        <v>1068</v>
      </c>
      <c r="B179" s="757"/>
      <c r="C179" s="738">
        <f>'1.4 dure geneesmiddelen'!E46</f>
        <v>0</v>
      </c>
      <c r="G179" s="757"/>
    </row>
    <row r="180" spans="1:7" x14ac:dyDescent="0.2">
      <c r="A180" s="733" t="s">
        <v>1084</v>
      </c>
      <c r="C180" s="738">
        <f>'1.4 dure geneesmiddelen'!E47</f>
        <v>0</v>
      </c>
      <c r="G180" s="757"/>
    </row>
    <row r="181" spans="1:7" x14ac:dyDescent="0.2">
      <c r="A181" s="733" t="s">
        <v>612</v>
      </c>
      <c r="C181" s="738">
        <f>'1.4 dure geneesmiddelen'!E48</f>
        <v>0</v>
      </c>
    </row>
    <row r="182" spans="1:7" x14ac:dyDescent="0.2">
      <c r="A182" s="733" t="s">
        <v>613</v>
      </c>
      <c r="C182" s="738">
        <f>'1.4 dure geneesmiddelen'!E49</f>
        <v>0</v>
      </c>
    </row>
    <row r="183" spans="1:7" x14ac:dyDescent="0.2">
      <c r="A183" s="733" t="s">
        <v>1078</v>
      </c>
      <c r="C183" s="738">
        <f>'1.4 dure geneesmiddelen'!E50</f>
        <v>0</v>
      </c>
    </row>
    <row r="184" spans="1:7" x14ac:dyDescent="0.2">
      <c r="A184" s="733" t="s">
        <v>614</v>
      </c>
      <c r="C184" s="738">
        <f>'1.4 dure geneesmiddelen'!E51</f>
        <v>0</v>
      </c>
    </row>
    <row r="185" spans="1:7" x14ac:dyDescent="0.2">
      <c r="A185" s="733" t="s">
        <v>1069</v>
      </c>
      <c r="C185" s="738">
        <f>'1.4 dure geneesmiddelen'!E52</f>
        <v>0</v>
      </c>
    </row>
    <row r="186" spans="1:7" x14ac:dyDescent="0.2">
      <c r="A186" s="733" t="s">
        <v>1070</v>
      </c>
      <c r="C186" s="738">
        <f>'1.4 dure geneesmiddelen'!E53</f>
        <v>0</v>
      </c>
    </row>
    <row r="187" spans="1:7" x14ac:dyDescent="0.2">
      <c r="A187" s="733" t="s">
        <v>1071</v>
      </c>
      <c r="C187" s="738">
        <f>'1.4 dure geneesmiddelen'!E54</f>
        <v>0</v>
      </c>
    </row>
    <row r="188" spans="1:7" x14ac:dyDescent="0.2">
      <c r="A188" s="757" t="s">
        <v>1085</v>
      </c>
      <c r="C188" s="738">
        <f>'1.4 dure geneesmiddelen'!E55</f>
        <v>0</v>
      </c>
    </row>
    <row r="189" spans="1:7" x14ac:dyDescent="0.2">
      <c r="A189" s="757" t="s">
        <v>1198</v>
      </c>
      <c r="C189" s="738">
        <f>'1.4 dure geneesmiddelen'!E56</f>
        <v>0</v>
      </c>
    </row>
    <row r="190" spans="1:7" x14ac:dyDescent="0.2">
      <c r="A190" s="757" t="s">
        <v>83</v>
      </c>
      <c r="C190" s="738">
        <f>'1.4 dure geneesmiddelen'!E57</f>
        <v>0</v>
      </c>
    </row>
    <row r="191" spans="1:7" x14ac:dyDescent="0.2">
      <c r="A191" s="757" t="s">
        <v>83</v>
      </c>
      <c r="C191" s="738">
        <f>'1.4 dure geneesmiddelen'!E58</f>
        <v>0</v>
      </c>
    </row>
    <row r="192" spans="1:7" x14ac:dyDescent="0.2">
      <c r="A192" s="757" t="s">
        <v>83</v>
      </c>
      <c r="C192" s="738">
        <f>'1.4 dure geneesmiddelen'!E59</f>
        <v>0</v>
      </c>
    </row>
    <row r="193" spans="1:4" x14ac:dyDescent="0.2">
      <c r="A193" s="757" t="s">
        <v>83</v>
      </c>
      <c r="C193" s="738">
        <f>'1.4 dure geneesmiddelen'!E60</f>
        <v>0</v>
      </c>
    </row>
    <row r="194" spans="1:4" x14ac:dyDescent="0.2">
      <c r="A194" s="757" t="s">
        <v>83</v>
      </c>
      <c r="C194" s="738">
        <f>'1.4 dure geneesmiddelen'!E61</f>
        <v>0</v>
      </c>
      <c r="D194" s="748"/>
    </row>
    <row r="195" spans="1:4" x14ac:dyDescent="0.2">
      <c r="A195" s="757"/>
      <c r="C195" s="738"/>
      <c r="D195" s="748"/>
    </row>
    <row r="196" spans="1:4" x14ac:dyDescent="0.2">
      <c r="A196" s="982" t="s">
        <v>1154</v>
      </c>
      <c r="C196" s="738"/>
      <c r="D196" s="748"/>
    </row>
    <row r="197" spans="1:4" x14ac:dyDescent="0.2">
      <c r="A197" s="1188" t="s">
        <v>790</v>
      </c>
      <c r="B197" s="1189" t="s">
        <v>42</v>
      </c>
      <c r="C197" s="1190">
        <f>'1.4 dure geneesmiddelen'!E77</f>
        <v>0</v>
      </c>
      <c r="D197" s="748"/>
    </row>
    <row r="198" spans="1:4" x14ac:dyDescent="0.2">
      <c r="A198" s="757" t="s">
        <v>1101</v>
      </c>
      <c r="C198" s="738">
        <f>'1.4 dure geneesmiddelen'!E79</f>
        <v>0</v>
      </c>
      <c r="D198" s="748"/>
    </row>
    <row r="199" spans="1:4" x14ac:dyDescent="0.2">
      <c r="A199" s="757" t="s">
        <v>1103</v>
      </c>
      <c r="C199" s="738">
        <f>'1.4 dure geneesmiddelen'!E80</f>
        <v>0</v>
      </c>
      <c r="D199" s="748"/>
    </row>
    <row r="200" spans="1:4" x14ac:dyDescent="0.2">
      <c r="A200" s="757" t="s">
        <v>1105</v>
      </c>
      <c r="C200" s="738">
        <f>'1.4 dure geneesmiddelen'!E81</f>
        <v>0</v>
      </c>
      <c r="D200" s="748"/>
    </row>
    <row r="201" spans="1:4" x14ac:dyDescent="0.2">
      <c r="A201" s="757" t="s">
        <v>1106</v>
      </c>
      <c r="C201" s="738">
        <f>'1.4 dure geneesmiddelen'!E82</f>
        <v>0</v>
      </c>
      <c r="D201" s="748"/>
    </row>
    <row r="202" spans="1:4" x14ac:dyDescent="0.2">
      <c r="A202" s="757" t="s">
        <v>1169</v>
      </c>
      <c r="C202" s="738">
        <f>'1.4 dure geneesmiddelen'!E83</f>
        <v>0</v>
      </c>
      <c r="D202" s="748"/>
    </row>
    <row r="203" spans="1:4" x14ac:dyDescent="0.2">
      <c r="A203" s="757" t="s">
        <v>1107</v>
      </c>
      <c r="C203" s="738">
        <f>'1.4 dure geneesmiddelen'!E84</f>
        <v>0</v>
      </c>
      <c r="D203" s="748"/>
    </row>
    <row r="204" spans="1:4" x14ac:dyDescent="0.2">
      <c r="A204" s="757" t="s">
        <v>1108</v>
      </c>
      <c r="C204" s="738">
        <f>'1.4 dure geneesmiddelen'!E85</f>
        <v>0</v>
      </c>
      <c r="D204" s="748"/>
    </row>
    <row r="205" spans="1:4" x14ac:dyDescent="0.2">
      <c r="A205" s="757" t="s">
        <v>1109</v>
      </c>
      <c r="C205" s="738">
        <f>'1.4 dure geneesmiddelen'!E86</f>
        <v>0</v>
      </c>
      <c r="D205" s="748"/>
    </row>
    <row r="206" spans="1:4" x14ac:dyDescent="0.2">
      <c r="A206" s="757" t="s">
        <v>1111</v>
      </c>
      <c r="C206" s="738">
        <f>'1.4 dure geneesmiddelen'!E87</f>
        <v>0</v>
      </c>
      <c r="D206" s="748"/>
    </row>
    <row r="207" spans="1:4" x14ac:dyDescent="0.2">
      <c r="A207" s="757" t="s">
        <v>1112</v>
      </c>
      <c r="C207" s="738">
        <f>'1.4 dure geneesmiddelen'!E88</f>
        <v>0</v>
      </c>
      <c r="D207" s="748"/>
    </row>
    <row r="208" spans="1:4" x14ac:dyDescent="0.2">
      <c r="A208" s="757" t="s">
        <v>1114</v>
      </c>
      <c r="C208" s="738">
        <f>'1.4 dure geneesmiddelen'!E89</f>
        <v>0</v>
      </c>
      <c r="D208" s="748"/>
    </row>
    <row r="209" spans="1:4" x14ac:dyDescent="0.2">
      <c r="A209" s="757" t="s">
        <v>1115</v>
      </c>
      <c r="C209" s="738">
        <f>'1.4 dure geneesmiddelen'!E90</f>
        <v>0</v>
      </c>
      <c r="D209" s="748"/>
    </row>
    <row r="210" spans="1:4" x14ac:dyDescent="0.2">
      <c r="A210" s="757" t="s">
        <v>1117</v>
      </c>
      <c r="C210" s="738">
        <f>'1.4 dure geneesmiddelen'!E91</f>
        <v>0</v>
      </c>
      <c r="D210" s="748"/>
    </row>
    <row r="211" spans="1:4" x14ac:dyDescent="0.2">
      <c r="A211" s="757" t="s">
        <v>1118</v>
      </c>
      <c r="C211" s="738">
        <f>'1.4 dure geneesmiddelen'!E92</f>
        <v>0</v>
      </c>
      <c r="D211" s="748"/>
    </row>
    <row r="212" spans="1:4" x14ac:dyDescent="0.2">
      <c r="A212" s="757" t="s">
        <v>1119</v>
      </c>
      <c r="C212" s="738">
        <f>'1.4 dure geneesmiddelen'!E93</f>
        <v>0</v>
      </c>
      <c r="D212" s="748"/>
    </row>
    <row r="213" spans="1:4" x14ac:dyDescent="0.2">
      <c r="A213" s="757" t="s">
        <v>1121</v>
      </c>
      <c r="C213" s="738">
        <f>'1.4 dure geneesmiddelen'!E94</f>
        <v>0</v>
      </c>
      <c r="D213" s="748"/>
    </row>
    <row r="214" spans="1:4" x14ac:dyDescent="0.2">
      <c r="A214" s="757" t="s">
        <v>1123</v>
      </c>
      <c r="C214" s="738">
        <f>'1.4 dure geneesmiddelen'!E95</f>
        <v>0</v>
      </c>
      <c r="D214" s="748"/>
    </row>
    <row r="215" spans="1:4" x14ac:dyDescent="0.2">
      <c r="A215" s="757" t="s">
        <v>1124</v>
      </c>
      <c r="C215" s="738">
        <f>'1.4 dure geneesmiddelen'!E96</f>
        <v>0</v>
      </c>
      <c r="D215" s="748"/>
    </row>
    <row r="216" spans="1:4" x14ac:dyDescent="0.2">
      <c r="A216" s="757" t="s">
        <v>1125</v>
      </c>
      <c r="C216" s="738">
        <f>'1.4 dure geneesmiddelen'!E97</f>
        <v>0</v>
      </c>
      <c r="D216" s="748"/>
    </row>
    <row r="217" spans="1:4" x14ac:dyDescent="0.2">
      <c r="A217" s="757" t="s">
        <v>1126</v>
      </c>
      <c r="C217" s="738">
        <f>'1.4 dure geneesmiddelen'!E98</f>
        <v>0</v>
      </c>
      <c r="D217" s="748"/>
    </row>
    <row r="218" spans="1:4" x14ac:dyDescent="0.2">
      <c r="A218" s="757" t="s">
        <v>1128</v>
      </c>
      <c r="C218" s="738">
        <f>'1.4 dure geneesmiddelen'!E99</f>
        <v>0</v>
      </c>
      <c r="D218" s="748"/>
    </row>
    <row r="219" spans="1:4" x14ac:dyDescent="0.2">
      <c r="A219" s="757" t="s">
        <v>1129</v>
      </c>
      <c r="C219" s="738">
        <f>'1.4 dure geneesmiddelen'!E100</f>
        <v>0</v>
      </c>
      <c r="D219" s="748"/>
    </row>
    <row r="220" spans="1:4" x14ac:dyDescent="0.2">
      <c r="A220" s="757" t="s">
        <v>1130</v>
      </c>
      <c r="C220" s="738">
        <f>'1.4 dure geneesmiddelen'!E101</f>
        <v>0</v>
      </c>
      <c r="D220" s="748"/>
    </row>
    <row r="221" spans="1:4" x14ac:dyDescent="0.2">
      <c r="A221" s="757" t="s">
        <v>1131</v>
      </c>
      <c r="C221" s="738">
        <f>'1.4 dure geneesmiddelen'!E102</f>
        <v>0</v>
      </c>
      <c r="D221" s="748"/>
    </row>
    <row r="222" spans="1:4" x14ac:dyDescent="0.2">
      <c r="A222" s="757" t="s">
        <v>1132</v>
      </c>
      <c r="C222" s="738">
        <f>'1.4 dure geneesmiddelen'!E103</f>
        <v>0</v>
      </c>
      <c r="D222" s="748"/>
    </row>
    <row r="223" spans="1:4" x14ac:dyDescent="0.2">
      <c r="A223" s="733" t="s">
        <v>1134</v>
      </c>
      <c r="C223" s="738">
        <f>'1.4 dure geneesmiddelen'!E104</f>
        <v>0</v>
      </c>
      <c r="D223" s="748"/>
    </row>
    <row r="224" spans="1:4" x14ac:dyDescent="0.2">
      <c r="A224" s="782" t="s">
        <v>1168</v>
      </c>
      <c r="B224" s="782"/>
      <c r="C224" s="738">
        <f>'1.4 dure geneesmiddelen'!E105</f>
        <v>0</v>
      </c>
      <c r="D224" s="748"/>
    </row>
    <row r="225" spans="1:4" x14ac:dyDescent="0.2">
      <c r="A225" s="641" t="s">
        <v>1124</v>
      </c>
      <c r="B225" s="782"/>
      <c r="C225" s="738">
        <f>'1.4 dure geneesmiddelen'!E106</f>
        <v>0</v>
      </c>
      <c r="D225" s="748"/>
    </row>
    <row r="226" spans="1:4" x14ac:dyDescent="0.2">
      <c r="A226" s="892">
        <f>'1.4 dure geneesmiddelen'!C107</f>
        <v>0</v>
      </c>
      <c r="B226" s="782"/>
      <c r="C226" s="738">
        <f>'1.4 dure geneesmiddelen'!E107</f>
        <v>0</v>
      </c>
      <c r="D226" s="748"/>
    </row>
    <row r="227" spans="1:4" x14ac:dyDescent="0.2">
      <c r="A227" s="892">
        <f>'1.4 dure geneesmiddelen'!C108</f>
        <v>0</v>
      </c>
      <c r="B227" s="782"/>
      <c r="C227" s="738">
        <f>'1.4 dure geneesmiddelen'!E108</f>
        <v>0</v>
      </c>
      <c r="D227" s="748"/>
    </row>
    <row r="228" spans="1:4" x14ac:dyDescent="0.2">
      <c r="A228" s="893">
        <f>'1.4 dure geneesmiddelen'!C109</f>
        <v>0</v>
      </c>
      <c r="B228" s="782"/>
      <c r="C228" s="738">
        <f>'1.4 dure geneesmiddelen'!E109</f>
        <v>0</v>
      </c>
      <c r="D228" s="748"/>
    </row>
    <row r="229" spans="1:4" x14ac:dyDescent="0.2">
      <c r="A229" s="896" t="s">
        <v>1199</v>
      </c>
      <c r="B229" s="782"/>
      <c r="C229" s="738"/>
      <c r="D229" s="748"/>
    </row>
    <row r="230" spans="1:4" x14ac:dyDescent="0.2">
      <c r="A230" s="1191" t="s">
        <v>1099</v>
      </c>
      <c r="B230" s="1192"/>
      <c r="C230" s="1193">
        <f>'1.4 dure geneesmiddelen'!E117</f>
        <v>0</v>
      </c>
      <c r="D230" s="748"/>
    </row>
    <row r="231" spans="1:4" x14ac:dyDescent="0.2">
      <c r="A231" s="894" t="s">
        <v>1196</v>
      </c>
      <c r="B231" s="782"/>
      <c r="C231" s="738">
        <f>'1.4 dure geneesmiddelen'!E118</f>
        <v>0</v>
      </c>
      <c r="D231" s="748"/>
    </row>
    <row r="232" spans="1:4" x14ac:dyDescent="0.2">
      <c r="A232" s="894" t="s">
        <v>320</v>
      </c>
      <c r="B232" s="782"/>
      <c r="C232" s="738">
        <f>'1.4 dure geneesmiddelen'!E119</f>
        <v>0</v>
      </c>
      <c r="D232" s="748"/>
    </row>
    <row r="233" spans="1:4" x14ac:dyDescent="0.2">
      <c r="A233" s="894" t="s">
        <v>322</v>
      </c>
      <c r="B233" s="782"/>
      <c r="C233" s="738">
        <f>'1.4 dure geneesmiddelen'!E120</f>
        <v>0</v>
      </c>
      <c r="D233" s="748"/>
    </row>
    <row r="234" spans="1:4" x14ac:dyDescent="0.2">
      <c r="A234" s="894" t="s">
        <v>323</v>
      </c>
      <c r="B234" s="782"/>
      <c r="C234" s="738">
        <f>'1.4 dure geneesmiddelen'!E121</f>
        <v>0</v>
      </c>
      <c r="D234" s="748"/>
    </row>
    <row r="235" spans="1:4" x14ac:dyDescent="0.2">
      <c r="A235" s="894" t="s">
        <v>324</v>
      </c>
      <c r="B235" s="782"/>
      <c r="C235" s="738">
        <f>'1.4 dure geneesmiddelen'!E122</f>
        <v>0</v>
      </c>
      <c r="D235" s="748"/>
    </row>
    <row r="236" spans="1:4" x14ac:dyDescent="0.2">
      <c r="A236" s="894" t="s">
        <v>321</v>
      </c>
      <c r="B236" s="782"/>
      <c r="C236" s="738">
        <f>'1.4 dure geneesmiddelen'!E123</f>
        <v>0</v>
      </c>
      <c r="D236" s="748"/>
    </row>
    <row r="237" spans="1:4" s="748" customFormat="1" x14ac:dyDescent="0.2">
      <c r="A237" s="739" t="s">
        <v>325</v>
      </c>
      <c r="B237" s="782"/>
      <c r="C237" s="738">
        <f>'1.4 dure geneesmiddelen'!E124</f>
        <v>0</v>
      </c>
    </row>
    <row r="238" spans="1:4" s="748" customFormat="1" x14ac:dyDescent="0.2">
      <c r="B238" s="782"/>
      <c r="C238" s="738"/>
    </row>
    <row r="239" spans="1:4" s="748" customFormat="1" x14ac:dyDescent="0.2">
      <c r="A239" s="1223" t="s">
        <v>1093</v>
      </c>
      <c r="B239" s="1224"/>
      <c r="C239" s="891">
        <f>'1.4 dure geneesmiddelen'!E131</f>
        <v>0</v>
      </c>
    </row>
    <row r="240" spans="1:4" s="748" customFormat="1" ht="23.25" customHeight="1" x14ac:dyDescent="0.2">
      <c r="A240" s="1225" t="s">
        <v>1163</v>
      </c>
      <c r="B240" s="1226"/>
      <c r="C240" s="1227">
        <f>'1.4 dure geneesmiddelen'!E138</f>
        <v>0</v>
      </c>
    </row>
    <row r="241" spans="1:4" s="748" customFormat="1" ht="18" customHeight="1" x14ac:dyDescent="0.2">
      <c r="A241" s="739" t="s">
        <v>1162</v>
      </c>
      <c r="B241" s="782"/>
      <c r="C241" s="738">
        <f>'1.4 dure geneesmiddelen'!E139</f>
        <v>0</v>
      </c>
    </row>
    <row r="242" spans="1:4" s="748" customFormat="1" x14ac:dyDescent="0.2">
      <c r="A242" s="739"/>
      <c r="B242" s="782"/>
      <c r="C242" s="738"/>
    </row>
    <row r="243" spans="1:4" s="748" customFormat="1" x14ac:dyDescent="0.2">
      <c r="A243" s="739" t="s">
        <v>1228</v>
      </c>
      <c r="B243" s="782" t="s">
        <v>1230</v>
      </c>
      <c r="C243" s="738">
        <v>0</v>
      </c>
      <c r="D243" s="748" t="s">
        <v>1229</v>
      </c>
    </row>
    <row r="244" spans="1:4" x14ac:dyDescent="0.2">
      <c r="A244" s="736"/>
      <c r="B244" s="736"/>
      <c r="C244" s="736"/>
      <c r="D244" s="895"/>
    </row>
    <row r="245" spans="1:4" x14ac:dyDescent="0.2">
      <c r="A245" s="744" t="s">
        <v>631</v>
      </c>
      <c r="C245" s="738">
        <f>'1.5 opnamen, epb, extra opl.'!F11</f>
        <v>0</v>
      </c>
      <c r="D245" s="107"/>
    </row>
    <row r="246" spans="1:4" x14ac:dyDescent="0.2">
      <c r="A246" s="744" t="s">
        <v>632</v>
      </c>
      <c r="C246" s="738">
        <f>'1.5 opnamen, epb, extra opl.'!F12</f>
        <v>0</v>
      </c>
      <c r="D246" s="107"/>
    </row>
    <row r="247" spans="1:4" x14ac:dyDescent="0.2">
      <c r="A247" s="744" t="s">
        <v>633</v>
      </c>
      <c r="C247" s="738">
        <f>'1.5 opnamen, epb, extra opl.'!F13</f>
        <v>0</v>
      </c>
      <c r="D247" s="107"/>
    </row>
    <row r="248" spans="1:4" x14ac:dyDescent="0.2">
      <c r="A248" s="744" t="s">
        <v>634</v>
      </c>
      <c r="C248" s="738">
        <f>'1.5 opnamen, epb, extra opl.'!F14</f>
        <v>0</v>
      </c>
      <c r="D248" s="107"/>
    </row>
    <row r="249" spans="1:4" x14ac:dyDescent="0.2">
      <c r="A249" s="744" t="s">
        <v>635</v>
      </c>
      <c r="C249" s="738">
        <f>'1.5 opnamen, epb, extra opl.'!F15</f>
        <v>0</v>
      </c>
      <c r="D249" s="107"/>
    </row>
    <row r="250" spans="1:4" x14ac:dyDescent="0.2">
      <c r="A250" s="744" t="s">
        <v>636</v>
      </c>
      <c r="C250" s="738">
        <f>'1.5 opnamen, epb, extra opl.'!F16</f>
        <v>0</v>
      </c>
      <c r="D250" s="107"/>
    </row>
    <row r="251" spans="1:4" x14ac:dyDescent="0.2">
      <c r="A251" s="744" t="s">
        <v>637</v>
      </c>
      <c r="C251" s="738">
        <f>'1.5 opnamen, epb, extra opl.'!F17</f>
        <v>0</v>
      </c>
      <c r="D251" s="107"/>
    </row>
    <row r="252" spans="1:4" x14ac:dyDescent="0.2">
      <c r="A252" s="744" t="s">
        <v>638</v>
      </c>
      <c r="C252" s="738">
        <f>'1.5 opnamen, epb, extra opl.'!F18</f>
        <v>0</v>
      </c>
      <c r="D252" s="107"/>
    </row>
    <row r="253" spans="1:4" x14ac:dyDescent="0.2">
      <c r="A253" s="744" t="s">
        <v>639</v>
      </c>
      <c r="C253" s="738">
        <f>'1.5 opnamen, epb, extra opl.'!F19</f>
        <v>0</v>
      </c>
      <c r="D253" s="107"/>
    </row>
    <row r="254" spans="1:4" x14ac:dyDescent="0.2">
      <c r="A254" s="744" t="s">
        <v>640</v>
      </c>
      <c r="C254" s="738">
        <f>'1.5 opnamen, epb, extra opl.'!F20</f>
        <v>0</v>
      </c>
      <c r="D254" s="107"/>
    </row>
    <row r="255" spans="1:4" x14ac:dyDescent="0.2">
      <c r="A255" s="744" t="s">
        <v>641</v>
      </c>
      <c r="C255" s="738">
        <f>'1.5 opnamen, epb, extra opl.'!F21</f>
        <v>0</v>
      </c>
      <c r="D255" s="107"/>
    </row>
    <row r="256" spans="1:4" x14ac:dyDescent="0.2">
      <c r="A256" s="744" t="s">
        <v>642</v>
      </c>
      <c r="C256" s="738">
        <f>'1.5 opnamen, epb, extra opl.'!F22</f>
        <v>0</v>
      </c>
      <c r="D256" s="107"/>
    </row>
    <row r="257" spans="1:4" x14ac:dyDescent="0.2">
      <c r="A257" s="744" t="s">
        <v>643</v>
      </c>
      <c r="C257" s="738">
        <f>'1.5 opnamen, epb, extra opl.'!F23</f>
        <v>0</v>
      </c>
      <c r="D257" s="107"/>
    </row>
    <row r="258" spans="1:4" x14ac:dyDescent="0.2">
      <c r="A258" s="744" t="s">
        <v>644</v>
      </c>
      <c r="C258" s="738">
        <f>'1.5 opnamen, epb, extra opl.'!F24</f>
        <v>0</v>
      </c>
      <c r="D258" s="107"/>
    </row>
    <row r="259" spans="1:4" x14ac:dyDescent="0.2">
      <c r="A259" s="744" t="s">
        <v>645</v>
      </c>
      <c r="C259" s="738">
        <f>'1.5 opnamen, epb, extra opl.'!F25</f>
        <v>0</v>
      </c>
      <c r="D259" s="107"/>
    </row>
    <row r="260" spans="1:4" x14ac:dyDescent="0.2">
      <c r="A260" s="744" t="s">
        <v>646</v>
      </c>
      <c r="C260" s="738">
        <f>'1.5 opnamen, epb, extra opl.'!F26</f>
        <v>0</v>
      </c>
      <c r="D260" s="107"/>
    </row>
    <row r="261" spans="1:4" x14ac:dyDescent="0.2">
      <c r="A261" s="744" t="s">
        <v>938</v>
      </c>
      <c r="C261" s="738">
        <f>'1.5 opnamen, epb, extra opl.'!F27</f>
        <v>0</v>
      </c>
      <c r="D261" s="107"/>
    </row>
    <row r="262" spans="1:4" x14ac:dyDescent="0.2">
      <c r="A262" s="744" t="s">
        <v>647</v>
      </c>
      <c r="C262" s="738">
        <f>'1.5 opnamen, epb, extra opl.'!F28</f>
        <v>0</v>
      </c>
      <c r="D262" s="107"/>
    </row>
    <row r="263" spans="1:4" x14ac:dyDescent="0.2">
      <c r="A263" s="744" t="s">
        <v>648</v>
      </c>
      <c r="C263" s="738">
        <f>'1.5 opnamen, epb, extra opl.'!F29</f>
        <v>0</v>
      </c>
      <c r="D263" s="1222"/>
    </row>
    <row r="264" spans="1:4" x14ac:dyDescent="0.2">
      <c r="A264" s="744" t="s">
        <v>650</v>
      </c>
      <c r="C264" s="738">
        <f>'1.5 opnamen, epb, extra opl.'!F30</f>
        <v>0</v>
      </c>
      <c r="D264" s="107"/>
    </row>
    <row r="265" spans="1:4" x14ac:dyDescent="0.2">
      <c r="A265" s="744" t="s">
        <v>65</v>
      </c>
      <c r="C265" s="738">
        <f>'1.5 opnamen, epb, extra opl.'!F31</f>
        <v>0</v>
      </c>
      <c r="D265" s="107"/>
    </row>
    <row r="266" spans="1:4" x14ac:dyDescent="0.2">
      <c r="A266" s="744" t="s">
        <v>651</v>
      </c>
      <c r="C266" s="738">
        <f>'1.5 opnamen, epb, extra opl.'!F32</f>
        <v>0</v>
      </c>
      <c r="D266" s="107"/>
    </row>
    <row r="267" spans="1:4" x14ac:dyDescent="0.2">
      <c r="A267" s="744" t="s">
        <v>66</v>
      </c>
      <c r="C267" s="738">
        <f>'1.5 opnamen, epb, extra opl.'!F33</f>
        <v>0</v>
      </c>
      <c r="D267" s="107"/>
    </row>
    <row r="268" spans="1:4" x14ac:dyDescent="0.2">
      <c r="A268" s="744" t="s">
        <v>67</v>
      </c>
      <c r="C268" s="738">
        <f>'1.5 opnamen, epb, extra opl.'!F34</f>
        <v>0</v>
      </c>
      <c r="D268" s="107"/>
    </row>
    <row r="269" spans="1:4" x14ac:dyDescent="0.2">
      <c r="A269" s="744" t="s">
        <v>68</v>
      </c>
      <c r="C269" s="738">
        <f>'1.5 opnamen, epb, extra opl.'!F35</f>
        <v>0</v>
      </c>
      <c r="D269" s="107"/>
    </row>
    <row r="270" spans="1:4" x14ac:dyDescent="0.2">
      <c r="A270" s="744" t="s">
        <v>69</v>
      </c>
      <c r="C270" s="738">
        <f>'1.5 opnamen, epb, extra opl.'!F36</f>
        <v>0</v>
      </c>
      <c r="D270" s="107"/>
    </row>
    <row r="271" spans="1:4" x14ac:dyDescent="0.2">
      <c r="A271" s="744" t="s">
        <v>631</v>
      </c>
      <c r="C271" s="738">
        <f>'1.5 opnamen, epb, extra opl.'!J11</f>
        <v>0</v>
      </c>
      <c r="D271" s="107"/>
    </row>
    <row r="272" spans="1:4" x14ac:dyDescent="0.2">
      <c r="A272" s="744" t="s">
        <v>632</v>
      </c>
      <c r="C272" s="738">
        <f>'1.5 opnamen, epb, extra opl.'!J12</f>
        <v>0</v>
      </c>
      <c r="D272" s="107"/>
    </row>
    <row r="273" spans="1:4" x14ac:dyDescent="0.2">
      <c r="A273" s="744" t="s">
        <v>633</v>
      </c>
      <c r="C273" s="738">
        <f>'1.5 opnamen, epb, extra opl.'!J13</f>
        <v>0</v>
      </c>
      <c r="D273" s="107"/>
    </row>
    <row r="274" spans="1:4" x14ac:dyDescent="0.2">
      <c r="A274" s="744" t="s">
        <v>634</v>
      </c>
      <c r="C274" s="738">
        <f>'1.5 opnamen, epb, extra opl.'!J14</f>
        <v>0</v>
      </c>
      <c r="D274" s="107"/>
    </row>
    <row r="275" spans="1:4" x14ac:dyDescent="0.2">
      <c r="A275" s="744" t="s">
        <v>635</v>
      </c>
      <c r="C275" s="738">
        <f>'1.5 opnamen, epb, extra opl.'!J15</f>
        <v>0</v>
      </c>
      <c r="D275" s="107"/>
    </row>
    <row r="276" spans="1:4" x14ac:dyDescent="0.2">
      <c r="A276" s="744" t="s">
        <v>636</v>
      </c>
      <c r="C276" s="738">
        <f>'1.5 opnamen, epb, extra opl.'!J16</f>
        <v>0</v>
      </c>
      <c r="D276" s="107"/>
    </row>
    <row r="277" spans="1:4" x14ac:dyDescent="0.2">
      <c r="A277" s="744" t="s">
        <v>637</v>
      </c>
      <c r="C277" s="738">
        <f>'1.5 opnamen, epb, extra opl.'!J17</f>
        <v>0</v>
      </c>
      <c r="D277" s="107"/>
    </row>
    <row r="278" spans="1:4" x14ac:dyDescent="0.2">
      <c r="A278" s="744" t="s">
        <v>638</v>
      </c>
      <c r="C278" s="738">
        <f>'1.5 opnamen, epb, extra opl.'!J18</f>
        <v>0</v>
      </c>
      <c r="D278" s="107"/>
    </row>
    <row r="279" spans="1:4" x14ac:dyDescent="0.2">
      <c r="A279" s="744" t="s">
        <v>639</v>
      </c>
      <c r="C279" s="738">
        <f>'1.5 opnamen, epb, extra opl.'!J19</f>
        <v>0</v>
      </c>
      <c r="D279" s="107"/>
    </row>
    <row r="280" spans="1:4" x14ac:dyDescent="0.2">
      <c r="A280" s="744" t="s">
        <v>640</v>
      </c>
      <c r="C280" s="738">
        <f>'1.5 opnamen, epb, extra opl.'!J20</f>
        <v>0</v>
      </c>
      <c r="D280" s="107"/>
    </row>
    <row r="281" spans="1:4" x14ac:dyDescent="0.2">
      <c r="A281" s="744" t="s">
        <v>641</v>
      </c>
      <c r="C281" s="738">
        <f>'1.5 opnamen, epb, extra opl.'!J21</f>
        <v>0</v>
      </c>
      <c r="D281" s="107"/>
    </row>
    <row r="282" spans="1:4" x14ac:dyDescent="0.2">
      <c r="A282" s="744" t="s">
        <v>642</v>
      </c>
      <c r="C282" s="738">
        <f>'1.5 opnamen, epb, extra opl.'!J22</f>
        <v>0</v>
      </c>
      <c r="D282" s="107"/>
    </row>
    <row r="283" spans="1:4" x14ac:dyDescent="0.2">
      <c r="A283" s="744" t="s">
        <v>643</v>
      </c>
      <c r="C283" s="738">
        <f>'1.5 opnamen, epb, extra opl.'!J23</f>
        <v>0</v>
      </c>
      <c r="D283" s="107"/>
    </row>
    <row r="284" spans="1:4" x14ac:dyDescent="0.2">
      <c r="A284" s="744" t="s">
        <v>644</v>
      </c>
      <c r="C284" s="738">
        <f>'1.5 opnamen, epb, extra opl.'!J24</f>
        <v>0</v>
      </c>
      <c r="D284" s="107"/>
    </row>
    <row r="285" spans="1:4" x14ac:dyDescent="0.2">
      <c r="A285" s="744" t="s">
        <v>645</v>
      </c>
      <c r="C285" s="738">
        <f>'1.5 opnamen, epb, extra opl.'!J25</f>
        <v>0</v>
      </c>
      <c r="D285" s="107"/>
    </row>
    <row r="286" spans="1:4" x14ac:dyDescent="0.2">
      <c r="A286" s="744" t="s">
        <v>646</v>
      </c>
      <c r="C286" s="738">
        <f>'1.5 opnamen, epb, extra opl.'!J26</f>
        <v>0</v>
      </c>
      <c r="D286" s="107"/>
    </row>
    <row r="287" spans="1:4" x14ac:dyDescent="0.2">
      <c r="A287" s="744" t="s">
        <v>938</v>
      </c>
      <c r="C287" s="738">
        <f>'1.5 opnamen, epb, extra opl.'!J27</f>
        <v>0</v>
      </c>
      <c r="D287" s="107"/>
    </row>
    <row r="288" spans="1:4" x14ac:dyDescent="0.2">
      <c r="A288" s="744" t="s">
        <v>647</v>
      </c>
      <c r="C288" s="738">
        <f>'1.5 opnamen, epb, extra opl.'!J28</f>
        <v>0</v>
      </c>
      <c r="D288" s="107"/>
    </row>
    <row r="289" spans="1:4" x14ac:dyDescent="0.2">
      <c r="A289" s="744" t="s">
        <v>648</v>
      </c>
      <c r="C289" s="738">
        <f>'1.5 opnamen, epb, extra opl.'!J29</f>
        <v>0</v>
      </c>
      <c r="D289" s="1222"/>
    </row>
    <row r="290" spans="1:4" x14ac:dyDescent="0.2">
      <c r="A290" s="744" t="s">
        <v>650</v>
      </c>
      <c r="C290" s="738">
        <f>'1.5 opnamen, epb, extra opl.'!J30</f>
        <v>0</v>
      </c>
      <c r="D290" s="107"/>
    </row>
    <row r="291" spans="1:4" x14ac:dyDescent="0.2">
      <c r="A291" s="744" t="s">
        <v>65</v>
      </c>
      <c r="C291" s="738">
        <f>'1.5 opnamen, epb, extra opl.'!J31</f>
        <v>0</v>
      </c>
    </row>
    <row r="292" spans="1:4" x14ac:dyDescent="0.2">
      <c r="A292" s="744" t="s">
        <v>651</v>
      </c>
      <c r="C292" s="738">
        <f>'1.5 opnamen, epb, extra opl.'!J32</f>
        <v>0</v>
      </c>
    </row>
    <row r="293" spans="1:4" x14ac:dyDescent="0.2">
      <c r="A293" s="744" t="s">
        <v>67</v>
      </c>
      <c r="C293" s="738">
        <f>'1.5 opnamen, epb, extra opl.'!J34</f>
        <v>0</v>
      </c>
    </row>
    <row r="294" spans="1:4" x14ac:dyDescent="0.2">
      <c r="A294" s="744" t="s">
        <v>68</v>
      </c>
      <c r="C294" s="738">
        <f>'1.5 opnamen, epb, extra opl.'!J35</f>
        <v>0</v>
      </c>
    </row>
    <row r="295" spans="1:4" x14ac:dyDescent="0.2">
      <c r="A295" s="744" t="s">
        <v>69</v>
      </c>
      <c r="C295" s="738">
        <f>'1.5 opnamen, epb, extra opl.'!J36</f>
        <v>0</v>
      </c>
    </row>
    <row r="296" spans="1:4" x14ac:dyDescent="0.2">
      <c r="A296" s="744" t="s">
        <v>631</v>
      </c>
      <c r="C296" s="738">
        <f>'1.5 opnamen, epb, extra opl.'!D46</f>
        <v>0</v>
      </c>
    </row>
    <row r="297" spans="1:4" x14ac:dyDescent="0.2">
      <c r="A297" s="744" t="s">
        <v>632</v>
      </c>
      <c r="C297" s="738">
        <f>'1.5 opnamen, epb, extra opl.'!D47</f>
        <v>0</v>
      </c>
    </row>
    <row r="298" spans="1:4" x14ac:dyDescent="0.2">
      <c r="A298" s="744" t="s">
        <v>633</v>
      </c>
      <c r="C298" s="738">
        <f>'1.5 opnamen, epb, extra opl.'!D48</f>
        <v>0</v>
      </c>
    </row>
    <row r="299" spans="1:4" x14ac:dyDescent="0.2">
      <c r="A299" s="744" t="s">
        <v>634</v>
      </c>
      <c r="C299" s="738">
        <f>'1.5 opnamen, epb, extra opl.'!D49</f>
        <v>0</v>
      </c>
    </row>
    <row r="300" spans="1:4" x14ac:dyDescent="0.2">
      <c r="A300" s="744" t="s">
        <v>635</v>
      </c>
      <c r="C300" s="738">
        <f>'1.5 opnamen, epb, extra opl.'!D50</f>
        <v>0</v>
      </c>
    </row>
    <row r="301" spans="1:4" x14ac:dyDescent="0.2">
      <c r="A301" s="744" t="s">
        <v>636</v>
      </c>
      <c r="C301" s="738">
        <f>'1.5 opnamen, epb, extra opl.'!D51</f>
        <v>0</v>
      </c>
    </row>
    <row r="302" spans="1:4" x14ac:dyDescent="0.2">
      <c r="A302" s="744" t="s">
        <v>637</v>
      </c>
      <c r="C302" s="738">
        <f>'1.5 opnamen, epb, extra opl.'!D52</f>
        <v>0</v>
      </c>
    </row>
    <row r="303" spans="1:4" x14ac:dyDescent="0.2">
      <c r="A303" s="744" t="s">
        <v>638</v>
      </c>
      <c r="C303" s="738">
        <f>'1.5 opnamen, epb, extra opl.'!D53</f>
        <v>0</v>
      </c>
    </row>
    <row r="304" spans="1:4" x14ac:dyDescent="0.2">
      <c r="A304" s="744" t="s">
        <v>639</v>
      </c>
      <c r="C304" s="738">
        <f>'1.5 opnamen, epb, extra opl.'!D54</f>
        <v>0</v>
      </c>
    </row>
    <row r="305" spans="1:3" x14ac:dyDescent="0.2">
      <c r="A305" s="744" t="s">
        <v>640</v>
      </c>
      <c r="C305" s="738">
        <f>'1.5 opnamen, epb, extra opl.'!D55</f>
        <v>0</v>
      </c>
    </row>
    <row r="306" spans="1:3" x14ac:dyDescent="0.2">
      <c r="A306" s="744" t="s">
        <v>641</v>
      </c>
      <c r="C306" s="738">
        <f>'1.5 opnamen, epb, extra opl.'!D56</f>
        <v>0</v>
      </c>
    </row>
    <row r="307" spans="1:3" x14ac:dyDescent="0.2">
      <c r="A307" s="744" t="s">
        <v>642</v>
      </c>
      <c r="C307" s="738">
        <f>'1.5 opnamen, epb, extra opl.'!D57</f>
        <v>0</v>
      </c>
    </row>
    <row r="308" spans="1:3" x14ac:dyDescent="0.2">
      <c r="A308" s="744" t="s">
        <v>643</v>
      </c>
      <c r="C308" s="738">
        <f>'1.5 opnamen, epb, extra opl.'!D58</f>
        <v>0</v>
      </c>
    </row>
    <row r="309" spans="1:3" x14ac:dyDescent="0.2">
      <c r="A309" s="744" t="s">
        <v>644</v>
      </c>
      <c r="C309" s="738">
        <f>'1.5 opnamen, epb, extra opl.'!D59</f>
        <v>0</v>
      </c>
    </row>
    <row r="310" spans="1:3" x14ac:dyDescent="0.2">
      <c r="A310" s="744" t="s">
        <v>645</v>
      </c>
      <c r="C310" s="738">
        <f>'1.5 opnamen, epb, extra opl.'!D60</f>
        <v>0</v>
      </c>
    </row>
    <row r="311" spans="1:3" x14ac:dyDescent="0.2">
      <c r="A311" s="744" t="s">
        <v>646</v>
      </c>
      <c r="C311" s="738">
        <f>'1.5 opnamen, epb, extra opl.'!D61</f>
        <v>0</v>
      </c>
    </row>
    <row r="312" spans="1:3" x14ac:dyDescent="0.2">
      <c r="A312" s="744" t="s">
        <v>938</v>
      </c>
      <c r="C312" s="738">
        <f>'1.5 opnamen, epb, extra opl.'!D62</f>
        <v>0</v>
      </c>
    </row>
    <row r="313" spans="1:3" x14ac:dyDescent="0.2">
      <c r="A313" s="744" t="s">
        <v>647</v>
      </c>
      <c r="C313" s="738">
        <f>'1.5 opnamen, epb, extra opl.'!D63</f>
        <v>0</v>
      </c>
    </row>
    <row r="314" spans="1:3" x14ac:dyDescent="0.2">
      <c r="A314" s="744" t="s">
        <v>648</v>
      </c>
      <c r="C314" s="738">
        <f>'1.5 opnamen, epb, extra opl.'!D64</f>
        <v>0</v>
      </c>
    </row>
    <row r="315" spans="1:3" x14ac:dyDescent="0.2">
      <c r="A315" s="744" t="s">
        <v>650</v>
      </c>
      <c r="C315" s="738">
        <f>'1.5 opnamen, epb, extra opl.'!D65</f>
        <v>0</v>
      </c>
    </row>
    <row r="316" spans="1:3" x14ac:dyDescent="0.2">
      <c r="A316" s="744" t="s">
        <v>65</v>
      </c>
      <c r="C316" s="738">
        <f>'1.5 opnamen, epb, extra opl.'!D66</f>
        <v>0</v>
      </c>
    </row>
    <row r="317" spans="1:3" x14ac:dyDescent="0.2">
      <c r="A317" s="744" t="s">
        <v>651</v>
      </c>
      <c r="C317" s="738">
        <f>'1.5 opnamen, epb, extra opl.'!D67</f>
        <v>0</v>
      </c>
    </row>
    <row r="318" spans="1:3" x14ac:dyDescent="0.2">
      <c r="A318" s="744" t="s">
        <v>66</v>
      </c>
      <c r="C318" s="738">
        <f>'1.5 opnamen, epb, extra opl.'!D68</f>
        <v>0</v>
      </c>
    </row>
    <row r="319" spans="1:3" x14ac:dyDescent="0.2">
      <c r="A319" s="744" t="s">
        <v>67</v>
      </c>
      <c r="C319" s="738">
        <f>'1.5 opnamen, epb, extra opl.'!D69</f>
        <v>0</v>
      </c>
    </row>
    <row r="320" spans="1:3" x14ac:dyDescent="0.2">
      <c r="A320" s="744" t="s">
        <v>68</v>
      </c>
      <c r="C320" s="738">
        <f>'1.5 opnamen, epb, extra opl.'!D70</f>
        <v>0</v>
      </c>
    </row>
    <row r="321" spans="1:3" x14ac:dyDescent="0.2">
      <c r="A321" s="744" t="s">
        <v>69</v>
      </c>
      <c r="C321" s="738">
        <f>'1.5 opnamen, epb, extra opl.'!D71</f>
        <v>0</v>
      </c>
    </row>
    <row r="322" spans="1:3" x14ac:dyDescent="0.2">
      <c r="A322" s="744" t="s">
        <v>631</v>
      </c>
      <c r="C322" s="738">
        <f>'1.5 opnamen, epb, extra opl.'!H46</f>
        <v>0</v>
      </c>
    </row>
    <row r="323" spans="1:3" x14ac:dyDescent="0.2">
      <c r="A323" s="744" t="s">
        <v>632</v>
      </c>
      <c r="C323" s="738">
        <f>'1.5 opnamen, epb, extra opl.'!H47</f>
        <v>0</v>
      </c>
    </row>
    <row r="324" spans="1:3" x14ac:dyDescent="0.2">
      <c r="A324" s="744" t="s">
        <v>633</v>
      </c>
      <c r="C324" s="738">
        <f>'1.5 opnamen, epb, extra opl.'!H48</f>
        <v>0</v>
      </c>
    </row>
    <row r="325" spans="1:3" x14ac:dyDescent="0.2">
      <c r="A325" s="744" t="s">
        <v>634</v>
      </c>
      <c r="C325" s="738">
        <f>'1.5 opnamen, epb, extra opl.'!H49</f>
        <v>0</v>
      </c>
    </row>
    <row r="326" spans="1:3" x14ac:dyDescent="0.2">
      <c r="A326" s="744" t="s">
        <v>635</v>
      </c>
      <c r="C326" s="738">
        <f>'1.5 opnamen, epb, extra opl.'!H50</f>
        <v>0</v>
      </c>
    </row>
    <row r="327" spans="1:3" x14ac:dyDescent="0.2">
      <c r="A327" s="744" t="s">
        <v>636</v>
      </c>
      <c r="C327" s="738">
        <f>'1.5 opnamen, epb, extra opl.'!H51</f>
        <v>0</v>
      </c>
    </row>
    <row r="328" spans="1:3" x14ac:dyDescent="0.2">
      <c r="A328" s="744" t="s">
        <v>637</v>
      </c>
      <c r="C328" s="738">
        <f>'1.5 opnamen, epb, extra opl.'!H52</f>
        <v>0</v>
      </c>
    </row>
    <row r="329" spans="1:3" x14ac:dyDescent="0.2">
      <c r="A329" s="744" t="s">
        <v>638</v>
      </c>
      <c r="C329" s="738">
        <f>'1.5 opnamen, epb, extra opl.'!H53</f>
        <v>0</v>
      </c>
    </row>
    <row r="330" spans="1:3" x14ac:dyDescent="0.2">
      <c r="A330" s="744" t="s">
        <v>639</v>
      </c>
      <c r="C330" s="738">
        <f>'1.5 opnamen, epb, extra opl.'!H54</f>
        <v>0</v>
      </c>
    </row>
    <row r="331" spans="1:3" x14ac:dyDescent="0.2">
      <c r="A331" s="744" t="s">
        <v>640</v>
      </c>
      <c r="C331" s="738">
        <f>'1.5 opnamen, epb, extra opl.'!H55</f>
        <v>0</v>
      </c>
    </row>
    <row r="332" spans="1:3" x14ac:dyDescent="0.2">
      <c r="A332" s="744" t="s">
        <v>641</v>
      </c>
      <c r="C332" s="738">
        <f>'1.5 opnamen, epb, extra opl.'!H56</f>
        <v>0</v>
      </c>
    </row>
    <row r="333" spans="1:3" x14ac:dyDescent="0.2">
      <c r="A333" s="744" t="s">
        <v>642</v>
      </c>
      <c r="C333" s="738">
        <f>'1.5 opnamen, epb, extra opl.'!H57</f>
        <v>0</v>
      </c>
    </row>
    <row r="334" spans="1:3" x14ac:dyDescent="0.2">
      <c r="A334" s="744" t="s">
        <v>643</v>
      </c>
      <c r="C334" s="738">
        <f>'1.5 opnamen, epb, extra opl.'!H58</f>
        <v>0</v>
      </c>
    </row>
    <row r="335" spans="1:3" x14ac:dyDescent="0.2">
      <c r="A335" s="744" t="s">
        <v>644</v>
      </c>
      <c r="C335" s="738">
        <f>'1.5 opnamen, epb, extra opl.'!H59</f>
        <v>0</v>
      </c>
    </row>
    <row r="336" spans="1:3" x14ac:dyDescent="0.2">
      <c r="A336" s="744" t="s">
        <v>645</v>
      </c>
      <c r="C336" s="738">
        <f>'1.5 opnamen, epb, extra opl.'!H60</f>
        <v>0</v>
      </c>
    </row>
    <row r="337" spans="1:4" x14ac:dyDescent="0.2">
      <c r="A337" s="744" t="s">
        <v>646</v>
      </c>
      <c r="C337" s="738">
        <f>'1.5 opnamen, epb, extra opl.'!H61</f>
        <v>0</v>
      </c>
    </row>
    <row r="338" spans="1:4" x14ac:dyDescent="0.2">
      <c r="A338" s="744" t="s">
        <v>938</v>
      </c>
      <c r="C338" s="738">
        <f>'1.5 opnamen, epb, extra opl.'!H62</f>
        <v>0</v>
      </c>
    </row>
    <row r="339" spans="1:4" x14ac:dyDescent="0.2">
      <c r="A339" s="744" t="s">
        <v>647</v>
      </c>
      <c r="C339" s="738">
        <f>'1.5 opnamen, epb, extra opl.'!H63</f>
        <v>0</v>
      </c>
    </row>
    <row r="340" spans="1:4" x14ac:dyDescent="0.2">
      <c r="A340" s="744" t="s">
        <v>648</v>
      </c>
      <c r="C340" s="738">
        <f>'1.5 opnamen, epb, extra opl.'!H64</f>
        <v>0</v>
      </c>
    </row>
    <row r="341" spans="1:4" ht="13.5" thickBot="1" x14ac:dyDescent="0.25">
      <c r="A341" s="744" t="s">
        <v>650</v>
      </c>
      <c r="C341" s="738">
        <f>'1.5 opnamen, epb, extra opl.'!H65</f>
        <v>0</v>
      </c>
      <c r="D341" s="780"/>
    </row>
    <row r="342" spans="1:4" x14ac:dyDescent="0.2">
      <c r="A342" s="744" t="s">
        <v>65</v>
      </c>
      <c r="C342" s="738">
        <f>'1.5 opnamen, epb, extra opl.'!H66</f>
        <v>0</v>
      </c>
    </row>
    <row r="343" spans="1:4" x14ac:dyDescent="0.2">
      <c r="A343" s="744" t="s">
        <v>651</v>
      </c>
      <c r="C343" s="738">
        <f>'1.5 opnamen, epb, extra opl.'!H67</f>
        <v>0</v>
      </c>
    </row>
    <row r="344" spans="1:4" x14ac:dyDescent="0.2">
      <c r="A344" s="744" t="s">
        <v>66</v>
      </c>
      <c r="C344" s="738">
        <f>'1.5 opnamen, epb, extra opl.'!H68</f>
        <v>0</v>
      </c>
    </row>
    <row r="345" spans="1:4" x14ac:dyDescent="0.2">
      <c r="A345" s="744" t="s">
        <v>67</v>
      </c>
      <c r="C345" s="738">
        <f>'1.5 opnamen, epb, extra opl.'!H69</f>
        <v>0</v>
      </c>
    </row>
    <row r="346" spans="1:4" x14ac:dyDescent="0.2">
      <c r="A346" s="744" t="s">
        <v>68</v>
      </c>
      <c r="C346" s="738">
        <f>'1.5 opnamen, epb, extra opl.'!H70</f>
        <v>0</v>
      </c>
    </row>
    <row r="347" spans="1:4" ht="13.5" thickBot="1" x14ac:dyDescent="0.25">
      <c r="A347" s="779" t="s">
        <v>69</v>
      </c>
      <c r="B347" s="735"/>
      <c r="C347" s="755">
        <f>'1.5 opnamen, epb, extra opl.'!H71</f>
        <v>0</v>
      </c>
    </row>
    <row r="348" spans="1:4" x14ac:dyDescent="0.2">
      <c r="C348" s="738"/>
    </row>
    <row r="349" spans="1:4" x14ac:dyDescent="0.2">
      <c r="A349" s="757" t="str">
        <f>'3 opbrengsten'!B9</f>
        <v>Omzet DBC A-segment gesloten in 2012</v>
      </c>
      <c r="C349" s="738">
        <f>'3 opbrengsten'!E9</f>
        <v>0</v>
      </c>
    </row>
    <row r="350" spans="1:4" x14ac:dyDescent="0.2">
      <c r="A350" s="757" t="str">
        <f>'3 opbrengsten'!B10</f>
        <v>Openst. DBC A-segment ult. 2011 (onderh.werk)</v>
      </c>
      <c r="C350" s="738">
        <f>'3 opbrengsten'!D10</f>
        <v>0</v>
      </c>
    </row>
    <row r="351" spans="1:4" x14ac:dyDescent="0.2">
      <c r="A351" s="757" t="str">
        <f>'3 opbrengsten'!B11</f>
        <v>Omzet DBC-A (overlopende DBC's geopend in 2011, ziekenhuiskosten deel)</v>
      </c>
      <c r="C351" s="738">
        <f>'3 opbrengsten'!E11</f>
        <v>0</v>
      </c>
    </row>
    <row r="352" spans="1:4" x14ac:dyDescent="0.2">
      <c r="A352" s="733" t="str">
        <f>'3 opbrengsten'!B12</f>
        <v>Honoraria-opbrengsten voor med. special. hulp in loondienst</v>
      </c>
      <c r="C352" s="738">
        <f>'3 opbrengsten'!E12</f>
        <v>0</v>
      </c>
    </row>
    <row r="353" spans="1:3" x14ac:dyDescent="0.2">
      <c r="A353" s="733" t="str">
        <f>'3 opbrengsten'!B13</f>
        <v>Honoraria-opbrengsten voor med. special. hulp in loondienst openstaand  ult. 2011 (onderh. werk)</v>
      </c>
      <c r="C353" s="738">
        <f>'3 opbrengsten'!D13</f>
        <v>0</v>
      </c>
    </row>
    <row r="354" spans="1:3" x14ac:dyDescent="0.2">
      <c r="A354" s="733" t="s">
        <v>234</v>
      </c>
      <c r="C354" s="738">
        <f>'3 opbrengsten'!E15</f>
        <v>0</v>
      </c>
    </row>
    <row r="355" spans="1:3" x14ac:dyDescent="0.2">
      <c r="A355" s="733" t="s">
        <v>235</v>
      </c>
      <c r="C355" s="738">
        <f>'3 opbrengsten'!E16</f>
        <v>0</v>
      </c>
    </row>
    <row r="356" spans="1:3" x14ac:dyDescent="0.2">
      <c r="A356" s="126" t="s">
        <v>237</v>
      </c>
      <c r="C356" s="738">
        <f>'3 opbrengsten'!E19</f>
        <v>0</v>
      </c>
    </row>
    <row r="357" spans="1:3" x14ac:dyDescent="0.2">
      <c r="A357" s="70" t="s">
        <v>239</v>
      </c>
      <c r="C357" s="738">
        <f>'3 opbrengsten'!E20</f>
        <v>0</v>
      </c>
    </row>
    <row r="358" spans="1:3" x14ac:dyDescent="0.2">
      <c r="A358" s="757" t="s">
        <v>241</v>
      </c>
      <c r="C358" s="738">
        <f>'3 opbrengsten'!E24</f>
        <v>0</v>
      </c>
    </row>
    <row r="359" spans="1:3" x14ac:dyDescent="0.2">
      <c r="A359" s="733" t="s">
        <v>242</v>
      </c>
      <c r="C359" s="738">
        <f>'3 opbrengsten'!D25</f>
        <v>0</v>
      </c>
    </row>
    <row r="360" spans="1:3" x14ac:dyDescent="0.2">
      <c r="A360" s="733" t="s">
        <v>173</v>
      </c>
      <c r="C360" s="738">
        <f>'3 opbrengsten'!E26</f>
        <v>0</v>
      </c>
    </row>
    <row r="361" spans="1:3" x14ac:dyDescent="0.2">
      <c r="A361" s="733" t="s">
        <v>862</v>
      </c>
      <c r="C361" s="738">
        <f>'3 opbrengsten'!E27</f>
        <v>0</v>
      </c>
    </row>
    <row r="362" spans="1:3" x14ac:dyDescent="0.2">
      <c r="A362" s="733" t="s">
        <v>245</v>
      </c>
      <c r="C362" s="738">
        <f>'3 opbrengsten'!D28</f>
        <v>0</v>
      </c>
    </row>
    <row r="363" spans="1:3" x14ac:dyDescent="0.2">
      <c r="A363" s="733" t="s">
        <v>174</v>
      </c>
      <c r="C363" s="738">
        <f>'3 opbrengsten'!E30</f>
        <v>0</v>
      </c>
    </row>
    <row r="364" spans="1:3" x14ac:dyDescent="0.2">
      <c r="A364" s="733" t="s">
        <v>175</v>
      </c>
      <c r="C364" s="738">
        <f>'3 opbrengsten'!E31</f>
        <v>0</v>
      </c>
    </row>
    <row r="365" spans="1:3" x14ac:dyDescent="0.2">
      <c r="A365" s="733" t="s">
        <v>255</v>
      </c>
      <c r="C365" s="738">
        <f>'3 opbrengsten'!E35</f>
        <v>0</v>
      </c>
    </row>
    <row r="366" spans="1:3" x14ac:dyDescent="0.2">
      <c r="A366" s="733" t="s">
        <v>257</v>
      </c>
      <c r="C366" s="738">
        <f>'3 opbrengsten'!D36</f>
        <v>0</v>
      </c>
    </row>
    <row r="367" spans="1:3" x14ac:dyDescent="0.2">
      <c r="A367" s="733" t="s">
        <v>176</v>
      </c>
      <c r="C367" s="738">
        <f>'3 opbrengsten'!E37</f>
        <v>0</v>
      </c>
    </row>
    <row r="368" spans="1:3" x14ac:dyDescent="0.2">
      <c r="A368" s="733" t="s">
        <v>177</v>
      </c>
      <c r="C368" s="738">
        <f>'3 opbrengsten'!E38</f>
        <v>0</v>
      </c>
    </row>
    <row r="369" spans="1:3" x14ac:dyDescent="0.2">
      <c r="A369" s="733" t="s">
        <v>245</v>
      </c>
      <c r="C369" s="738">
        <f>'3 opbrengsten'!D39</f>
        <v>0</v>
      </c>
    </row>
    <row r="370" spans="1:3" x14ac:dyDescent="0.2">
      <c r="A370" s="733" t="s">
        <v>178</v>
      </c>
      <c r="C370" s="738">
        <f>'3 opbrengsten'!E41</f>
        <v>0</v>
      </c>
    </row>
    <row r="371" spans="1:3" x14ac:dyDescent="0.2">
      <c r="A371" s="733" t="s">
        <v>178</v>
      </c>
      <c r="C371" s="738">
        <f>'3 opbrengsten'!E42</f>
        <v>0</v>
      </c>
    </row>
    <row r="372" spans="1:3" x14ac:dyDescent="0.2">
      <c r="A372" s="733" t="s">
        <v>262</v>
      </c>
      <c r="C372" s="738">
        <f>'3 opbrengsten'!E46</f>
        <v>0</v>
      </c>
    </row>
    <row r="373" spans="1:3" x14ac:dyDescent="0.2">
      <c r="A373" s="733" t="s">
        <v>263</v>
      </c>
      <c r="C373" s="738">
        <f>'3 opbrengsten'!E47</f>
        <v>0</v>
      </c>
    </row>
    <row r="374" spans="1:3" x14ac:dyDescent="0.2">
      <c r="A374" s="733" t="s">
        <v>265</v>
      </c>
      <c r="C374" s="738">
        <f>'3 opbrengsten'!E48</f>
        <v>0</v>
      </c>
    </row>
    <row r="375" spans="1:3" x14ac:dyDescent="0.2">
      <c r="A375" s="733" t="s">
        <v>93</v>
      </c>
      <c r="C375" s="738">
        <f>'3 opbrengsten'!E49</f>
        <v>0</v>
      </c>
    </row>
    <row r="376" spans="1:3" x14ac:dyDescent="0.2">
      <c r="A376" s="733" t="s">
        <v>266</v>
      </c>
      <c r="C376" s="738">
        <f>'3 opbrengsten'!E50</f>
        <v>0</v>
      </c>
    </row>
    <row r="377" spans="1:3" x14ac:dyDescent="0.2">
      <c r="A377" s="733" t="s">
        <v>267</v>
      </c>
      <c r="C377" s="738">
        <f>'3 opbrengsten'!E51</f>
        <v>0</v>
      </c>
    </row>
    <row r="378" spans="1:3" x14ac:dyDescent="0.2">
      <c r="A378" s="733" t="s">
        <v>623</v>
      </c>
      <c r="C378" s="738">
        <f>'3 opbrengsten'!J9</f>
        <v>0</v>
      </c>
    </row>
    <row r="379" spans="1:3" x14ac:dyDescent="0.2">
      <c r="A379" s="733" t="s">
        <v>854</v>
      </c>
      <c r="C379" s="738">
        <f>'3 opbrengsten'!J10</f>
        <v>0</v>
      </c>
    </row>
    <row r="380" spans="1:3" x14ac:dyDescent="0.2">
      <c r="A380" s="733" t="s">
        <v>92</v>
      </c>
      <c r="C380" s="738">
        <f>'3 opbrengsten'!J11</f>
        <v>0</v>
      </c>
    </row>
    <row r="381" spans="1:3" x14ac:dyDescent="0.2">
      <c r="A381" s="733">
        <f>'3 opbrengsten'!H12</f>
        <v>0</v>
      </c>
      <c r="C381" s="738">
        <f>'3 opbrengsten'!J12</f>
        <v>0</v>
      </c>
    </row>
    <row r="382" spans="1:3" x14ac:dyDescent="0.2">
      <c r="A382" s="733">
        <f>'3 opbrengsten'!H13</f>
        <v>0</v>
      </c>
      <c r="C382" s="738">
        <f>'3 opbrengsten'!J13</f>
        <v>0</v>
      </c>
    </row>
    <row r="383" spans="1:3" x14ac:dyDescent="0.2">
      <c r="A383" s="733">
        <f>'3 opbrengsten'!H14</f>
        <v>0</v>
      </c>
      <c r="C383" s="738">
        <f>'3 opbrengsten'!J14</f>
        <v>0</v>
      </c>
    </row>
    <row r="384" spans="1:3" x14ac:dyDescent="0.2">
      <c r="A384" s="733">
        <f>'3 opbrengsten'!H15</f>
        <v>0</v>
      </c>
      <c r="C384" s="738">
        <f>'3 opbrengsten'!J15</f>
        <v>0</v>
      </c>
    </row>
    <row r="385" spans="1:3" x14ac:dyDescent="0.2">
      <c r="A385" s="733">
        <f>'3 opbrengsten'!H16</f>
        <v>0</v>
      </c>
      <c r="C385" s="738">
        <f>'3 opbrengsten'!J16</f>
        <v>0</v>
      </c>
    </row>
    <row r="386" spans="1:3" x14ac:dyDescent="0.2">
      <c r="A386" s="733" t="s">
        <v>236</v>
      </c>
      <c r="C386" s="738">
        <f>'3 opbrengsten'!J17</f>
        <v>0</v>
      </c>
    </row>
    <row r="387" spans="1:3" x14ac:dyDescent="0.2">
      <c r="A387" s="733" t="s">
        <v>859</v>
      </c>
      <c r="C387" s="738">
        <f>'3 opbrengsten'!J20</f>
        <v>0</v>
      </c>
    </row>
    <row r="388" spans="1:3" x14ac:dyDescent="0.2">
      <c r="A388" s="733" t="s">
        <v>860</v>
      </c>
      <c r="C388" s="738">
        <f>'3 opbrengsten'!J21</f>
        <v>0</v>
      </c>
    </row>
    <row r="389" spans="1:3" x14ac:dyDescent="0.2">
      <c r="A389" s="733" t="s">
        <v>185</v>
      </c>
      <c r="C389" s="738">
        <f>'3 opbrengsten'!J22</f>
        <v>0</v>
      </c>
    </row>
    <row r="390" spans="1:3" x14ac:dyDescent="0.2">
      <c r="A390" s="733" t="s">
        <v>192</v>
      </c>
      <c r="C390" s="738">
        <f>'3 opbrengsten'!J23</f>
        <v>0</v>
      </c>
    </row>
    <row r="391" spans="1:3" x14ac:dyDescent="0.2">
      <c r="A391" s="733" t="s">
        <v>801</v>
      </c>
      <c r="C391" s="738">
        <f>'3 opbrengsten'!J24</f>
        <v>0</v>
      </c>
    </row>
    <row r="392" spans="1:3" x14ac:dyDescent="0.2">
      <c r="A392" s="733" t="s">
        <v>84</v>
      </c>
      <c r="C392" s="738">
        <f>'3 opbrengsten'!J25</f>
        <v>0</v>
      </c>
    </row>
    <row r="393" spans="1:3" x14ac:dyDescent="0.2">
      <c r="A393" s="733" t="s">
        <v>244</v>
      </c>
      <c r="C393" s="738">
        <f>'3 opbrengsten'!J26</f>
        <v>0</v>
      </c>
    </row>
    <row r="394" spans="1:3" x14ac:dyDescent="0.2">
      <c r="A394" s="733" t="s">
        <v>861</v>
      </c>
      <c r="C394" s="738">
        <f>'3 opbrengsten'!J27</f>
        <v>0</v>
      </c>
    </row>
    <row r="395" spans="1:3" x14ac:dyDescent="0.2">
      <c r="A395" s="733" t="s">
        <v>248</v>
      </c>
      <c r="C395" s="738">
        <f>'3 opbrengsten'!J30</f>
        <v>0</v>
      </c>
    </row>
    <row r="396" spans="1:3" x14ac:dyDescent="0.2">
      <c r="A396" s="733" t="s">
        <v>250</v>
      </c>
      <c r="C396" s="738">
        <f>'3 opbrengsten'!J31</f>
        <v>0</v>
      </c>
    </row>
    <row r="397" spans="1:3" x14ac:dyDescent="0.2">
      <c r="A397" s="733" t="s">
        <v>251</v>
      </c>
      <c r="C397" s="738">
        <f>'3 opbrengsten'!J32</f>
        <v>0</v>
      </c>
    </row>
    <row r="398" spans="1:3" x14ac:dyDescent="0.2">
      <c r="A398" s="733" t="s">
        <v>252</v>
      </c>
      <c r="C398" s="738">
        <f>'3 opbrengsten'!J33</f>
        <v>0</v>
      </c>
    </row>
    <row r="399" spans="1:3" x14ac:dyDescent="0.2">
      <c r="A399" s="733" t="s">
        <v>254</v>
      </c>
      <c r="C399" s="738">
        <f>'3 opbrengsten'!J34</f>
        <v>0</v>
      </c>
    </row>
    <row r="400" spans="1:3" x14ac:dyDescent="0.2">
      <c r="A400" s="733" t="s">
        <v>256</v>
      </c>
      <c r="C400" s="738">
        <f>'3 opbrengsten'!J35</f>
        <v>0</v>
      </c>
    </row>
    <row r="401" spans="1:3" x14ac:dyDescent="0.2">
      <c r="A401" s="757" t="s">
        <v>0</v>
      </c>
      <c r="C401" s="738">
        <f>'3 opbrengsten'!J37</f>
        <v>0</v>
      </c>
    </row>
  </sheetData>
  <sheetProtection password="CA39" sheet="1" objects="1" scenarios="1"/>
  <phoneticPr fontId="12" type="noConversion"/>
  <conditionalFormatting sqref="A177:A179 D244:D290 A225:A237 A241:A243">
    <cfRule type="expression" dxfId="32" priority="5" stopIfTrue="1">
      <formula>#REF!="nee"</formula>
    </cfRule>
  </conditionalFormatting>
  <conditionalFormatting sqref="A176">
    <cfRule type="expression" dxfId="31" priority="6" stopIfTrue="1">
      <formula>#REF!="nee"</formula>
    </cfRule>
  </conditionalFormatting>
  <conditionalFormatting sqref="E83:E109">
    <cfRule type="expression" dxfId="30" priority="7" stopIfTrue="1">
      <formula>#REF!="nee"</formula>
    </cfRule>
  </conditionalFormatting>
  <conditionalFormatting sqref="A144">
    <cfRule type="expression" dxfId="29" priority="4" stopIfTrue="1">
      <formula>#REF!="nee"</formula>
    </cfRule>
  </conditionalFormatting>
  <conditionalFormatting sqref="A196">
    <cfRule type="expression" dxfId="28" priority="3" stopIfTrue="1">
      <formula>#REF!="nee"</formula>
    </cfRule>
  </conditionalFormatting>
  <conditionalFormatting sqref="A240">
    <cfRule type="expression" dxfId="27" priority="1" stopIfTrue="1">
      <formula>#REF!="nee"</formula>
    </cfRule>
  </conditionalFormatting>
  <conditionalFormatting sqref="A239">
    <cfRule type="expression" dxfId="26" priority="2" stopIfTrue="1">
      <formula>#REF!="nee"</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1">
    <pageSetUpPr fitToPage="1"/>
  </sheetPr>
  <dimension ref="A1:R68"/>
  <sheetViews>
    <sheetView showGridLines="0" showZeros="0" showOutlineSymbols="0" zoomScaleNormal="100" zoomScaleSheetLayoutView="100" workbookViewId="0">
      <selection activeCell="J37" sqref="J37"/>
    </sheetView>
  </sheetViews>
  <sheetFormatPr defaultRowHeight="12" x14ac:dyDescent="0.2"/>
  <cols>
    <col min="1" max="1" width="6.85546875" style="1046" customWidth="1"/>
    <col min="2" max="2" width="7.5703125" style="964" customWidth="1"/>
    <col min="3" max="3" width="44.28515625" style="964" customWidth="1"/>
    <col min="4" max="4" width="21" style="1048" customWidth="1"/>
    <col min="5" max="5" width="14.7109375" style="1045" customWidth="1"/>
    <col min="6" max="6" width="0.85546875" style="964" customWidth="1"/>
    <col min="7" max="7" width="6.140625" style="908" customWidth="1"/>
    <col min="8" max="8" width="39.5703125" style="1046" customWidth="1"/>
    <col min="9" max="9" width="20.42578125" style="964" customWidth="1"/>
    <col min="10" max="10" width="14.7109375" style="1047" customWidth="1"/>
    <col min="11" max="11" width="10.28515625" style="964" customWidth="1"/>
    <col min="12" max="12" width="8.7109375" style="964" customWidth="1"/>
    <col min="13" max="13" width="12.7109375" style="964" customWidth="1"/>
    <col min="14" max="14" width="1.7109375" style="823" customWidth="1"/>
    <col min="15" max="15" width="10.7109375" style="823" customWidth="1"/>
    <col min="16" max="16" width="10.7109375" style="935" customWidth="1"/>
    <col min="17" max="21" width="10.7109375" style="823" customWidth="1"/>
    <col min="22" max="29" width="9.140625" style="823"/>
    <col min="30" max="30" width="1.7109375" style="823" customWidth="1"/>
    <col min="31" max="16384" width="9.140625" style="823"/>
  </cols>
  <sheetData>
    <row r="1" spans="1:18" ht="12" customHeight="1" x14ac:dyDescent="0.2">
      <c r="A1" s="314"/>
      <c r="B1" s="315"/>
      <c r="D1" s="871"/>
      <c r="E1" s="991"/>
      <c r="F1" s="315"/>
      <c r="G1" s="821"/>
      <c r="H1" s="314"/>
      <c r="I1" s="315"/>
      <c r="J1" s="822"/>
      <c r="K1" s="315"/>
      <c r="L1" s="325"/>
      <c r="M1" s="315"/>
      <c r="N1" s="328"/>
      <c r="O1" s="328"/>
      <c r="P1" s="798"/>
      <c r="Q1" s="328"/>
      <c r="R1" s="328"/>
    </row>
    <row r="2" spans="1:18" s="825" customFormat="1" ht="15.75" customHeight="1" x14ac:dyDescent="0.2">
      <c r="A2" s="317" t="str">
        <f>inhoud!A2</f>
        <v>Vaststelling Transitiebedrag 2012</v>
      </c>
      <c r="B2" s="318"/>
      <c r="C2" s="318"/>
      <c r="D2" s="824"/>
      <c r="E2" s="992"/>
      <c r="F2" s="320"/>
      <c r="G2" s="319" t="b">
        <f>Voorblad!D27</f>
        <v>1</v>
      </c>
      <c r="H2" s="320"/>
      <c r="I2" s="318"/>
      <c r="J2" s="826">
        <f>'2.3 inventaris '!G2+1</f>
        <v>17</v>
      </c>
      <c r="K2" s="318"/>
      <c r="L2" s="827"/>
      <c r="M2" s="318"/>
      <c r="N2" s="318"/>
      <c r="O2" s="318"/>
      <c r="P2" s="318"/>
      <c r="Q2" s="318"/>
      <c r="R2" s="318"/>
    </row>
    <row r="3" spans="1:18" ht="11.25" customHeight="1" x14ac:dyDescent="0.2">
      <c r="A3" s="1329" t="str">
        <f>IF(Voorblad!$F$10&lt;1,"Vul het NZa-nummer in op het voorblad","")</f>
        <v>Vul het NZa-nummer in op het voorblad</v>
      </c>
      <c r="B3" s="1330"/>
      <c r="C3" s="1330"/>
      <c r="D3" s="1330"/>
      <c r="E3" s="991"/>
      <c r="F3" s="315"/>
      <c r="G3" s="314"/>
      <c r="H3" s="325"/>
      <c r="I3" s="315"/>
      <c r="J3" s="822"/>
      <c r="K3" s="328"/>
      <c r="L3" s="798"/>
      <c r="M3" s="798"/>
      <c r="N3" s="328"/>
      <c r="O3" s="328"/>
      <c r="P3" s="328"/>
      <c r="Q3" s="328"/>
      <c r="R3" s="328"/>
    </row>
    <row r="4" spans="1:18" ht="12.75" customHeight="1" x14ac:dyDescent="0.2">
      <c r="A4" s="322" t="str">
        <f>CONCATENATE("RUBRIEK 3: OMZET UIT PRESTATIEBEKOSTIGING ")</f>
        <v xml:space="preserve">RUBRIEK 3: OMZET UIT PRESTATIEBEKOSTIGING </v>
      </c>
      <c r="B4" s="323"/>
      <c r="C4" s="323"/>
      <c r="D4" s="993"/>
      <c r="E4" s="994"/>
      <c r="F4" s="995"/>
      <c r="G4" s="323"/>
      <c r="H4" s="315"/>
      <c r="I4" s="323"/>
      <c r="J4" s="996"/>
      <c r="K4" s="323"/>
      <c r="L4" s="798"/>
      <c r="M4" s="328"/>
      <c r="N4" s="328"/>
      <c r="O4" s="328"/>
      <c r="P4" s="328"/>
      <c r="Q4" s="328"/>
      <c r="R4" s="328"/>
    </row>
    <row r="5" spans="1:18" ht="9" customHeight="1" x14ac:dyDescent="0.2">
      <c r="A5" s="314"/>
      <c r="B5" s="997"/>
      <c r="C5" s="997"/>
      <c r="D5" s="997"/>
      <c r="E5" s="998"/>
      <c r="F5" s="997"/>
      <c r="G5" s="997"/>
      <c r="H5" s="997"/>
      <c r="I5" s="997"/>
      <c r="J5" s="999"/>
      <c r="K5" s="328"/>
      <c r="L5" s="328"/>
      <c r="M5" s="328"/>
      <c r="N5" s="328"/>
      <c r="O5" s="328"/>
      <c r="P5" s="328"/>
      <c r="Q5" s="328"/>
      <c r="R5" s="328"/>
    </row>
    <row r="6" spans="1:18" s="959" customFormat="1" ht="12.75" customHeight="1" x14ac:dyDescent="0.2">
      <c r="A6" s="1000" t="s">
        <v>820</v>
      </c>
      <c r="B6" s="1410" t="s">
        <v>731</v>
      </c>
      <c r="C6" s="1411"/>
      <c r="D6" s="1411"/>
      <c r="E6" s="1216" t="s">
        <v>750</v>
      </c>
      <c r="F6" s="1215"/>
      <c r="G6" s="1002"/>
      <c r="H6" s="1410" t="s">
        <v>731</v>
      </c>
      <c r="I6" s="1437"/>
      <c r="J6" s="1001" t="s">
        <v>750</v>
      </c>
      <c r="K6" s="958"/>
      <c r="L6" s="958"/>
      <c r="M6" s="958"/>
      <c r="N6" s="958"/>
      <c r="O6" s="958"/>
      <c r="P6" s="958"/>
      <c r="Q6" s="958"/>
      <c r="R6" s="958"/>
    </row>
    <row r="7" spans="1:18" ht="6" customHeight="1" x14ac:dyDescent="0.2">
      <c r="A7" s="997"/>
      <c r="B7" s="997"/>
      <c r="C7" s="997"/>
      <c r="D7" s="316"/>
      <c r="E7" s="1214"/>
      <c r="F7" s="997"/>
      <c r="G7" s="997"/>
      <c r="H7" s="997"/>
      <c r="I7" s="997"/>
      <c r="J7" s="328"/>
      <c r="K7" s="328"/>
      <c r="L7" s="328"/>
      <c r="M7" s="328"/>
      <c r="N7" s="328"/>
      <c r="O7" s="328"/>
      <c r="P7" s="328"/>
      <c r="Q7" s="328"/>
      <c r="R7" s="328"/>
    </row>
    <row r="8" spans="1:18" s="935" customFormat="1" ht="12.75" customHeight="1" x14ac:dyDescent="0.2">
      <c r="A8" s="322" t="s">
        <v>821</v>
      </c>
      <c r="B8" s="1418" t="s">
        <v>229</v>
      </c>
      <c r="C8" s="1418"/>
      <c r="D8" s="1418"/>
      <c r="E8" s="1004"/>
      <c r="F8" s="997"/>
      <c r="G8" s="1005" t="s">
        <v>230</v>
      </c>
      <c r="H8" s="352" t="s">
        <v>832</v>
      </c>
      <c r="I8" s="352"/>
      <c r="J8" s="991"/>
      <c r="K8" s="798"/>
      <c r="L8" s="798"/>
      <c r="M8" s="798"/>
      <c r="N8" s="798"/>
      <c r="O8" s="798"/>
      <c r="P8" s="798"/>
      <c r="Q8" s="798"/>
      <c r="R8" s="798"/>
    </row>
    <row r="9" spans="1:18" s="935" customFormat="1" ht="12.75" customHeight="1" x14ac:dyDescent="0.2">
      <c r="A9" s="1006">
        <f>J2*100+1</f>
        <v>1701</v>
      </c>
      <c r="B9" s="1007" t="s">
        <v>231</v>
      </c>
      <c r="C9" s="1008"/>
      <c r="D9" s="1009"/>
      <c r="E9" s="122"/>
      <c r="F9" s="1010"/>
      <c r="G9" s="1011">
        <f>A51+1</f>
        <v>1730</v>
      </c>
      <c r="H9" s="336" t="s">
        <v>623</v>
      </c>
      <c r="I9" s="769"/>
      <c r="J9" s="122"/>
      <c r="K9" s="798"/>
      <c r="L9" s="798"/>
      <c r="M9" s="798"/>
      <c r="N9" s="798"/>
      <c r="O9" s="798"/>
      <c r="P9" s="798"/>
      <c r="Q9" s="798"/>
      <c r="R9" s="798"/>
    </row>
    <row r="10" spans="1:18" ht="12.75" customHeight="1" x14ac:dyDescent="0.2">
      <c r="A10" s="1012">
        <f>A9+1</f>
        <v>1702</v>
      </c>
      <c r="B10" s="1013" t="s">
        <v>232</v>
      </c>
      <c r="C10" s="1014"/>
      <c r="D10" s="121"/>
      <c r="E10" s="1015"/>
      <c r="F10" s="1010"/>
      <c r="G10" s="1011">
        <f>G9+1</f>
        <v>1731</v>
      </c>
      <c r="H10" s="336" t="s">
        <v>854</v>
      </c>
      <c r="I10" s="769"/>
      <c r="J10" s="122"/>
      <c r="K10" s="315"/>
      <c r="L10" s="328"/>
      <c r="M10" s="328"/>
      <c r="N10" s="328"/>
      <c r="O10" s="328"/>
      <c r="P10" s="328"/>
      <c r="Q10" s="328"/>
      <c r="R10" s="328"/>
    </row>
    <row r="11" spans="1:18" ht="12.75" customHeight="1" x14ac:dyDescent="0.2">
      <c r="A11" s="1012">
        <f t="shared" ref="A11:A16" si="0">A10+1</f>
        <v>1703</v>
      </c>
      <c r="B11" s="313" t="s">
        <v>118</v>
      </c>
      <c r="C11" s="1016"/>
      <c r="D11" s="1017"/>
      <c r="E11" s="265">
        <f>E9-D10</f>
        <v>0</v>
      </c>
      <c r="F11" s="1018"/>
      <c r="G11" s="1011">
        <f t="shared" ref="G11:G17" si="1">G10+1</f>
        <v>1732</v>
      </c>
      <c r="H11" s="336" t="s">
        <v>92</v>
      </c>
      <c r="I11" s="769"/>
      <c r="J11" s="122"/>
      <c r="K11" s="315"/>
      <c r="L11" s="328"/>
      <c r="M11" s="328"/>
      <c r="N11" s="328"/>
      <c r="O11" s="328"/>
      <c r="P11" s="328"/>
      <c r="Q11" s="328"/>
      <c r="R11" s="328"/>
    </row>
    <row r="12" spans="1:18" ht="12.75" customHeight="1" x14ac:dyDescent="0.2">
      <c r="A12" s="1012">
        <f t="shared" si="0"/>
        <v>1704</v>
      </c>
      <c r="B12" s="1419" t="s">
        <v>862</v>
      </c>
      <c r="C12" s="1434"/>
      <c r="D12" s="1420"/>
      <c r="E12" s="121"/>
      <c r="F12" s="1018"/>
      <c r="G12" s="1011">
        <f t="shared" si="1"/>
        <v>1733</v>
      </c>
      <c r="H12" s="1435"/>
      <c r="I12" s="1436"/>
      <c r="J12" s="122"/>
      <c r="K12" s="315"/>
      <c r="L12" s="328"/>
      <c r="M12" s="328"/>
      <c r="N12" s="328"/>
      <c r="O12" s="328"/>
      <c r="P12" s="328"/>
      <c r="Q12" s="328"/>
      <c r="R12" s="328"/>
    </row>
    <row r="13" spans="1:18" ht="12.75" customHeight="1" x14ac:dyDescent="0.2">
      <c r="A13" s="1012">
        <f t="shared" si="0"/>
        <v>1705</v>
      </c>
      <c r="B13" s="1428" t="s">
        <v>233</v>
      </c>
      <c r="C13" s="1440"/>
      <c r="D13" s="1432"/>
      <c r="E13" s="1019"/>
      <c r="F13" s="1018"/>
      <c r="G13" s="1011">
        <f t="shared" si="1"/>
        <v>1734</v>
      </c>
      <c r="H13" s="1435"/>
      <c r="I13" s="1436"/>
      <c r="J13" s="122"/>
      <c r="K13" s="315"/>
      <c r="L13" s="328"/>
      <c r="M13" s="328"/>
      <c r="N13" s="328"/>
      <c r="O13" s="328"/>
      <c r="P13" s="328"/>
      <c r="Q13" s="328"/>
      <c r="R13" s="328"/>
    </row>
    <row r="14" spans="1:18" ht="12.75" customHeight="1" x14ac:dyDescent="0.2">
      <c r="A14" s="1012"/>
      <c r="B14" s="1441"/>
      <c r="C14" s="1442"/>
      <c r="D14" s="1433"/>
      <c r="E14" s="1015"/>
      <c r="F14" s="1018"/>
      <c r="G14" s="1011">
        <f t="shared" si="1"/>
        <v>1735</v>
      </c>
      <c r="H14" s="1435"/>
      <c r="I14" s="1436"/>
      <c r="J14" s="122"/>
      <c r="K14" s="315"/>
      <c r="L14" s="328"/>
      <c r="M14" s="798"/>
      <c r="N14" s="328"/>
      <c r="O14" s="328"/>
      <c r="P14" s="328"/>
      <c r="Q14" s="328"/>
      <c r="R14" s="328"/>
    </row>
    <row r="15" spans="1:18" ht="12" customHeight="1" x14ac:dyDescent="0.2">
      <c r="A15" s="1012">
        <f>A13+1</f>
        <v>1706</v>
      </c>
      <c r="B15" s="313" t="s">
        <v>234</v>
      </c>
      <c r="C15" s="1016"/>
      <c r="D15" s="1017"/>
      <c r="E15" s="265">
        <f>E12-D13</f>
        <v>0</v>
      </c>
      <c r="F15" s="1018"/>
      <c r="G15" s="1011">
        <f t="shared" si="1"/>
        <v>1736</v>
      </c>
      <c r="H15" s="1435"/>
      <c r="I15" s="1436"/>
      <c r="J15" s="122"/>
      <c r="K15" s="328"/>
      <c r="L15" s="328"/>
      <c r="M15" s="798"/>
      <c r="N15" s="328"/>
      <c r="O15" s="328"/>
      <c r="P15" s="328"/>
      <c r="Q15" s="328"/>
      <c r="R15" s="328"/>
    </row>
    <row r="16" spans="1:18" ht="12.75" customHeight="1" x14ac:dyDescent="0.2">
      <c r="A16" s="1012">
        <f t="shared" si="0"/>
        <v>1707</v>
      </c>
      <c r="B16" s="1020" t="s">
        <v>235</v>
      </c>
      <c r="C16" s="1021"/>
      <c r="D16" s="1022"/>
      <c r="E16" s="266">
        <f>E15+E11</f>
        <v>0</v>
      </c>
      <c r="F16" s="1018"/>
      <c r="G16" s="1011">
        <f t="shared" si="1"/>
        <v>1737</v>
      </c>
      <c r="H16" s="1435"/>
      <c r="I16" s="1436"/>
      <c r="J16" s="122"/>
      <c r="K16" s="328"/>
      <c r="L16" s="328"/>
      <c r="M16" s="798"/>
      <c r="N16" s="328"/>
      <c r="O16" s="328"/>
      <c r="P16" s="328"/>
      <c r="Q16" s="328"/>
      <c r="R16" s="328"/>
    </row>
    <row r="17" spans="1:18" ht="12.75" customHeight="1" x14ac:dyDescent="0.2">
      <c r="A17" s="1023"/>
      <c r="B17" s="1024"/>
      <c r="C17" s="1024"/>
      <c r="D17" s="1024"/>
      <c r="E17" s="790"/>
      <c r="F17" s="1018"/>
      <c r="G17" s="1011">
        <f t="shared" si="1"/>
        <v>1738</v>
      </c>
      <c r="H17" s="1025" t="s">
        <v>236</v>
      </c>
      <c r="I17" s="1026"/>
      <c r="J17" s="267">
        <f>SUM(J9:J16)</f>
        <v>0</v>
      </c>
      <c r="K17" s="315"/>
      <c r="L17" s="328"/>
      <c r="M17" s="798"/>
      <c r="N17" s="328"/>
      <c r="O17" s="328"/>
      <c r="P17" s="328"/>
      <c r="Q17" s="328"/>
      <c r="R17" s="328"/>
    </row>
    <row r="18" spans="1:18" ht="12.75" customHeight="1" x14ac:dyDescent="0.2">
      <c r="A18" s="322" t="s">
        <v>822</v>
      </c>
      <c r="B18" s="1003" t="s">
        <v>137</v>
      </c>
      <c r="C18" s="315"/>
      <c r="D18" s="316"/>
      <c r="E18" s="1027"/>
      <c r="F18" s="1028"/>
      <c r="G18" s="823"/>
      <c r="H18" s="823"/>
      <c r="I18" s="823"/>
      <c r="J18" s="328"/>
      <c r="K18" s="328"/>
      <c r="L18" s="328"/>
      <c r="M18" s="798"/>
      <c r="N18" s="328"/>
      <c r="O18" s="328"/>
      <c r="P18" s="328"/>
      <c r="Q18" s="328"/>
      <c r="R18" s="328"/>
    </row>
    <row r="19" spans="1:18" ht="12.75" customHeight="1" x14ac:dyDescent="0.2">
      <c r="A19" s="1029">
        <f>A16+1</f>
        <v>1708</v>
      </c>
      <c r="B19" s="1030" t="s">
        <v>237</v>
      </c>
      <c r="C19" s="1031"/>
      <c r="D19" s="1032"/>
      <c r="E19" s="125"/>
      <c r="F19" s="821"/>
      <c r="G19" s="1005" t="s">
        <v>140</v>
      </c>
      <c r="H19" s="1033" t="s">
        <v>238</v>
      </c>
      <c r="I19" s="935"/>
      <c r="J19" s="935"/>
      <c r="K19" s="798"/>
      <c r="L19" s="328"/>
      <c r="M19" s="798"/>
      <c r="N19" s="328"/>
      <c r="O19" s="328"/>
      <c r="P19" s="328"/>
      <c r="Q19" s="328"/>
      <c r="R19" s="328"/>
    </row>
    <row r="20" spans="1:18" ht="12.75" customHeight="1" x14ac:dyDescent="0.2">
      <c r="A20" s="1012">
        <f>A19+1</f>
        <v>1709</v>
      </c>
      <c r="B20" s="1020" t="s">
        <v>239</v>
      </c>
      <c r="C20" s="1021"/>
      <c r="D20" s="1022"/>
      <c r="E20" s="266">
        <f>E16-E19</f>
        <v>0</v>
      </c>
      <c r="F20" s="1010"/>
      <c r="G20" s="1011">
        <f>G17+1</f>
        <v>1739</v>
      </c>
      <c r="H20" s="1034" t="s">
        <v>859</v>
      </c>
      <c r="I20" s="1035"/>
      <c r="J20" s="122"/>
      <c r="K20" s="328"/>
      <c r="L20" s="328"/>
      <c r="M20" s="798"/>
      <c r="N20" s="328"/>
      <c r="O20" s="328"/>
      <c r="P20" s="328"/>
      <c r="Q20" s="328"/>
      <c r="R20" s="328"/>
    </row>
    <row r="21" spans="1:18" s="935" customFormat="1" ht="12.75" customHeight="1" x14ac:dyDescent="0.2">
      <c r="A21" s="870"/>
      <c r="B21" s="315"/>
      <c r="C21" s="315"/>
      <c r="D21" s="316"/>
      <c r="E21" s="1027"/>
      <c r="F21" s="1010"/>
      <c r="G21" s="1011">
        <f>G20+1</f>
        <v>1740</v>
      </c>
      <c r="H21" s="1034" t="s">
        <v>860</v>
      </c>
      <c r="I21" s="1035"/>
      <c r="J21" s="122"/>
      <c r="K21" s="328"/>
      <c r="L21" s="798"/>
      <c r="M21" s="798"/>
      <c r="N21" s="798"/>
      <c r="O21" s="798"/>
      <c r="P21" s="798"/>
      <c r="Q21" s="798"/>
      <c r="R21" s="798"/>
    </row>
    <row r="22" spans="1:18" s="935" customFormat="1" ht="12.75" customHeight="1" x14ac:dyDescent="0.2">
      <c r="A22" s="823"/>
      <c r="B22" s="823"/>
      <c r="C22" s="823"/>
      <c r="D22" s="823"/>
      <c r="E22" s="823"/>
      <c r="F22" s="1018"/>
      <c r="G22" s="1011">
        <f t="shared" ref="G22:G27" si="2">G21+1</f>
        <v>1741</v>
      </c>
      <c r="H22" s="1034" t="s">
        <v>185</v>
      </c>
      <c r="I22" s="1035"/>
      <c r="J22" s="122"/>
      <c r="K22" s="328"/>
      <c r="L22" s="798"/>
      <c r="M22" s="798"/>
      <c r="N22" s="798"/>
      <c r="O22" s="798"/>
      <c r="P22" s="798"/>
      <c r="Q22" s="798"/>
      <c r="R22" s="798"/>
    </row>
    <row r="23" spans="1:18" ht="12.75" customHeight="1" x14ac:dyDescent="0.25">
      <c r="A23" s="322" t="s">
        <v>823</v>
      </c>
      <c r="B23" s="1418" t="s">
        <v>240</v>
      </c>
      <c r="C23" s="1418"/>
      <c r="D23" s="1418"/>
      <c r="E23" s="1004"/>
      <c r="F23" s="1018"/>
      <c r="G23" s="1011">
        <f t="shared" si="2"/>
        <v>1742</v>
      </c>
      <c r="H23" s="1034" t="s">
        <v>192</v>
      </c>
      <c r="I23" s="1035"/>
      <c r="J23" s="122"/>
      <c r="K23" s="328"/>
      <c r="L23" s="328"/>
      <c r="M23" s="328"/>
      <c r="N23" s="328"/>
      <c r="O23" s="328"/>
      <c r="P23" s="328"/>
      <c r="Q23" s="328"/>
      <c r="R23" s="328"/>
    </row>
    <row r="24" spans="1:18" ht="12.75" customHeight="1" x14ac:dyDescent="0.2">
      <c r="A24" s="1029">
        <f>A20+1</f>
        <v>1710</v>
      </c>
      <c r="B24" s="1007" t="s">
        <v>241</v>
      </c>
      <c r="C24" s="1008"/>
      <c r="D24" s="1009"/>
      <c r="E24" s="125"/>
      <c r="F24" s="1018"/>
      <c r="G24" s="1011">
        <f t="shared" si="2"/>
        <v>1743</v>
      </c>
      <c r="H24" s="1034" t="s">
        <v>801</v>
      </c>
      <c r="I24" s="1035"/>
      <c r="J24" s="122"/>
      <c r="K24" s="328"/>
      <c r="L24" s="328"/>
      <c r="M24" s="328"/>
      <c r="N24" s="328"/>
      <c r="O24" s="328"/>
      <c r="P24" s="328"/>
      <c r="Q24" s="328"/>
      <c r="R24" s="328"/>
    </row>
    <row r="25" spans="1:18" ht="12.75" customHeight="1" x14ac:dyDescent="0.2">
      <c r="A25" s="1036">
        <f>A24+1</f>
        <v>1711</v>
      </c>
      <c r="B25" s="336" t="s">
        <v>242</v>
      </c>
      <c r="C25" s="769"/>
      <c r="D25" s="121"/>
      <c r="E25" s="1037"/>
      <c r="F25" s="1018"/>
      <c r="G25" s="1011">
        <f t="shared" si="2"/>
        <v>1744</v>
      </c>
      <c r="H25" s="1034" t="s">
        <v>84</v>
      </c>
      <c r="I25" s="1035"/>
      <c r="J25" s="122"/>
      <c r="K25" s="328"/>
      <c r="L25" s="328"/>
      <c r="M25" s="328"/>
      <c r="N25" s="328"/>
      <c r="O25" s="328"/>
      <c r="P25" s="328"/>
      <c r="Q25" s="328"/>
      <c r="R25" s="328"/>
    </row>
    <row r="26" spans="1:18" ht="12.75" customHeight="1" x14ac:dyDescent="0.25">
      <c r="A26" s="1036">
        <f>A25+1</f>
        <v>1712</v>
      </c>
      <c r="B26" s="313" t="s">
        <v>243</v>
      </c>
      <c r="C26" s="1016"/>
      <c r="D26" s="1017"/>
      <c r="E26" s="265">
        <f>E24+D25</f>
        <v>0</v>
      </c>
      <c r="F26" s="1018"/>
      <c r="G26" s="1011">
        <f t="shared" si="2"/>
        <v>1745</v>
      </c>
      <c r="H26" s="1034" t="s">
        <v>244</v>
      </c>
      <c r="I26" s="1035"/>
      <c r="J26" s="122"/>
      <c r="K26" s="328"/>
      <c r="L26" s="328"/>
      <c r="M26" s="798"/>
      <c r="N26" s="328"/>
      <c r="O26" s="328"/>
      <c r="P26" s="328"/>
      <c r="Q26" s="328"/>
      <c r="R26" s="328"/>
    </row>
    <row r="27" spans="1:18" ht="12.75" customHeight="1" x14ac:dyDescent="0.2">
      <c r="A27" s="1036">
        <f>A26+1</f>
        <v>1713</v>
      </c>
      <c r="B27" s="1419" t="s">
        <v>862</v>
      </c>
      <c r="C27" s="1434"/>
      <c r="D27" s="1420"/>
      <c r="E27" s="121"/>
      <c r="F27" s="1004"/>
      <c r="G27" s="1011">
        <f t="shared" si="2"/>
        <v>1746</v>
      </c>
      <c r="H27" s="1025" t="s">
        <v>861</v>
      </c>
      <c r="I27" s="1038"/>
      <c r="J27" s="268">
        <f>SUM(J20:J26)</f>
        <v>0</v>
      </c>
      <c r="K27" s="328"/>
      <c r="L27" s="328"/>
      <c r="M27" s="798"/>
      <c r="N27" s="328"/>
      <c r="O27" s="328"/>
      <c r="P27" s="328"/>
      <c r="Q27" s="328"/>
      <c r="R27" s="328"/>
    </row>
    <row r="28" spans="1:18" s="935" customFormat="1" ht="12.75" customHeight="1" x14ac:dyDescent="0.2">
      <c r="A28" s="1438">
        <f>A27+1</f>
        <v>1714</v>
      </c>
      <c r="B28" s="1428" t="s">
        <v>245</v>
      </c>
      <c r="C28" s="1429"/>
      <c r="D28" s="1432"/>
      <c r="E28" s="1037"/>
      <c r="F28" s="1010"/>
      <c r="G28" s="1039"/>
      <c r="H28" s="1040"/>
      <c r="I28" s="1040"/>
      <c r="J28" s="1040"/>
      <c r="K28" s="328"/>
      <c r="L28" s="798"/>
      <c r="M28" s="798"/>
      <c r="N28" s="798"/>
      <c r="O28" s="798"/>
      <c r="P28" s="798"/>
      <c r="Q28" s="798"/>
      <c r="R28" s="798"/>
    </row>
    <row r="29" spans="1:18" s="935" customFormat="1" ht="12.75" customHeight="1" x14ac:dyDescent="0.2">
      <c r="A29" s="1439"/>
      <c r="B29" s="1430"/>
      <c r="C29" s="1431"/>
      <c r="D29" s="1433"/>
      <c r="E29" s="790"/>
      <c r="F29" s="1010"/>
      <c r="G29" s="1005" t="s">
        <v>246</v>
      </c>
      <c r="H29" s="352" t="s">
        <v>916</v>
      </c>
      <c r="I29" s="352"/>
      <c r="J29" s="991"/>
      <c r="K29" s="328"/>
      <c r="L29" s="798"/>
      <c r="M29" s="798"/>
      <c r="N29" s="798"/>
      <c r="O29" s="798"/>
      <c r="P29" s="798"/>
      <c r="Q29" s="798"/>
      <c r="R29" s="798"/>
    </row>
    <row r="30" spans="1:18" ht="12.75" customHeight="1" x14ac:dyDescent="0.25">
      <c r="A30" s="1036">
        <f>A28+1</f>
        <v>1715</v>
      </c>
      <c r="B30" s="313" t="s">
        <v>247</v>
      </c>
      <c r="C30" s="1016"/>
      <c r="D30" s="1017"/>
      <c r="E30" s="265">
        <f>E27+D28</f>
        <v>0</v>
      </c>
      <c r="F30" s="1018"/>
      <c r="G30" s="1011">
        <f>G27+1</f>
        <v>1747</v>
      </c>
      <c r="H30" s="1419" t="s">
        <v>248</v>
      </c>
      <c r="I30" s="1420"/>
      <c r="J30" s="122"/>
      <c r="K30" s="328"/>
      <c r="L30" s="328"/>
      <c r="M30" s="328"/>
      <c r="N30" s="328"/>
      <c r="O30" s="328"/>
      <c r="P30" s="328"/>
      <c r="Q30" s="328"/>
      <c r="R30" s="328"/>
    </row>
    <row r="31" spans="1:18" ht="14.25" customHeight="1" x14ac:dyDescent="0.2">
      <c r="A31" s="1036">
        <f>A30+1</f>
        <v>1716</v>
      </c>
      <c r="B31" s="789" t="s">
        <v>249</v>
      </c>
      <c r="C31" s="266"/>
      <c r="D31" s="266"/>
      <c r="E31" s="266">
        <f>E30+E26</f>
        <v>0</v>
      </c>
      <c r="F31" s="1018"/>
      <c r="G31" s="1011">
        <f>G30+1</f>
        <v>1748</v>
      </c>
      <c r="H31" s="1419" t="s">
        <v>250</v>
      </c>
      <c r="I31" s="1420"/>
      <c r="J31" s="122"/>
      <c r="K31" s="328"/>
      <c r="L31" s="328"/>
      <c r="M31" s="328"/>
      <c r="N31" s="328"/>
      <c r="O31" s="328"/>
      <c r="P31" s="328"/>
      <c r="Q31" s="328"/>
      <c r="R31" s="328"/>
    </row>
    <row r="32" spans="1:18" ht="12.75" customHeight="1" x14ac:dyDescent="0.2">
      <c r="A32" s="823"/>
      <c r="B32" s="823"/>
      <c r="C32" s="823"/>
      <c r="D32" s="823"/>
      <c r="E32" s="823"/>
      <c r="F32" s="1018"/>
      <c r="G32" s="1011">
        <f>G31+1</f>
        <v>1749</v>
      </c>
      <c r="H32" s="1419" t="s">
        <v>251</v>
      </c>
      <c r="I32" s="1420"/>
      <c r="J32" s="122"/>
      <c r="K32" s="328"/>
      <c r="L32" s="328"/>
      <c r="M32" s="328"/>
      <c r="N32" s="328"/>
      <c r="O32" s="328"/>
      <c r="P32" s="328"/>
      <c r="Q32" s="328"/>
      <c r="R32" s="328"/>
    </row>
    <row r="33" spans="1:18" ht="12.75" customHeight="1" x14ac:dyDescent="0.2">
      <c r="A33" s="823"/>
      <c r="B33" s="823"/>
      <c r="C33" s="823"/>
      <c r="D33" s="823"/>
      <c r="E33" s="823"/>
      <c r="F33" s="1041"/>
      <c r="G33" s="1011">
        <f>G32+1</f>
        <v>1750</v>
      </c>
      <c r="H33" s="1419" t="s">
        <v>252</v>
      </c>
      <c r="I33" s="1420"/>
      <c r="J33" s="122"/>
      <c r="K33" s="328"/>
      <c r="L33" s="328"/>
      <c r="M33" s="328"/>
      <c r="N33" s="328"/>
      <c r="O33" s="328"/>
      <c r="P33" s="328"/>
      <c r="Q33" s="328"/>
      <c r="R33" s="328"/>
    </row>
    <row r="34" spans="1:18" ht="12.75" customHeight="1" x14ac:dyDescent="0.25">
      <c r="A34" s="322" t="s">
        <v>144</v>
      </c>
      <c r="B34" s="1418" t="s">
        <v>253</v>
      </c>
      <c r="C34" s="1418"/>
      <c r="D34" s="1418"/>
      <c r="E34" s="1004"/>
      <c r="F34" s="315"/>
      <c r="G34" s="1011">
        <f>G33+1</f>
        <v>1751</v>
      </c>
      <c r="H34" s="1419" t="s">
        <v>254</v>
      </c>
      <c r="I34" s="1420"/>
      <c r="J34" s="122"/>
      <c r="K34" s="328"/>
      <c r="L34" s="328"/>
      <c r="M34" s="798"/>
      <c r="N34" s="328"/>
      <c r="O34" s="328"/>
      <c r="P34" s="328"/>
      <c r="Q34" s="328"/>
      <c r="R34" s="328"/>
    </row>
    <row r="35" spans="1:18" ht="12.75" customHeight="1" x14ac:dyDescent="0.2">
      <c r="A35" s="1029">
        <f>A31+1</f>
        <v>1717</v>
      </c>
      <c r="B35" s="1007" t="s">
        <v>255</v>
      </c>
      <c r="C35" s="1008"/>
      <c r="D35" s="1009"/>
      <c r="E35" s="125"/>
      <c r="F35" s="315"/>
      <c r="G35" s="1011">
        <f>G34+1</f>
        <v>1752</v>
      </c>
      <c r="H35" s="1025" t="s">
        <v>917</v>
      </c>
      <c r="I35" s="1026"/>
      <c r="J35" s="267">
        <f>SUM(J30:J34)</f>
        <v>0</v>
      </c>
      <c r="K35" s="328"/>
      <c r="L35" s="328"/>
      <c r="M35" s="798"/>
      <c r="N35" s="328"/>
      <c r="O35" s="328"/>
      <c r="P35" s="328"/>
      <c r="Q35" s="328"/>
      <c r="R35" s="328"/>
    </row>
    <row r="36" spans="1:18" ht="12.75" customHeight="1" x14ac:dyDescent="0.2">
      <c r="A36" s="1036">
        <f>A35+1</f>
        <v>1718</v>
      </c>
      <c r="B36" s="336" t="s">
        <v>257</v>
      </c>
      <c r="C36" s="769"/>
      <c r="D36" s="121"/>
      <c r="E36" s="1037"/>
      <c r="F36" s="315"/>
      <c r="G36" s="1042"/>
      <c r="H36" s="1043"/>
      <c r="I36" s="1043"/>
      <c r="J36" s="1043"/>
      <c r="K36" s="328"/>
      <c r="L36" s="315"/>
      <c r="M36" s="315"/>
      <c r="N36" s="328"/>
      <c r="O36" s="328"/>
      <c r="P36" s="798"/>
      <c r="Q36" s="328"/>
      <c r="R36" s="328"/>
    </row>
    <row r="37" spans="1:18" ht="12.75" customHeight="1" x14ac:dyDescent="0.25">
      <c r="A37" s="1036">
        <f>A36+1</f>
        <v>1719</v>
      </c>
      <c r="B37" s="313" t="s">
        <v>258</v>
      </c>
      <c r="C37" s="1016"/>
      <c r="D37" s="1017"/>
      <c r="E37" s="265">
        <f>E35+D36</f>
        <v>0</v>
      </c>
      <c r="F37" s="315"/>
      <c r="G37" s="1011">
        <f>G35+1</f>
        <v>1753</v>
      </c>
      <c r="H37" s="1025" t="s">
        <v>377</v>
      </c>
      <c r="I37" s="1038"/>
      <c r="J37" s="267">
        <f>E20+E31+E42+E51+J17+J27+J35</f>
        <v>0</v>
      </c>
      <c r="K37" s="328"/>
      <c r="L37" s="798"/>
      <c r="M37" s="328"/>
      <c r="N37" s="328"/>
      <c r="P37" s="823"/>
    </row>
    <row r="38" spans="1:18" ht="12.75" customHeight="1" x14ac:dyDescent="0.2">
      <c r="A38" s="1036">
        <f>A37+1</f>
        <v>1720</v>
      </c>
      <c r="B38" s="1419" t="s">
        <v>862</v>
      </c>
      <c r="C38" s="1434"/>
      <c r="D38" s="1420"/>
      <c r="E38" s="121"/>
      <c r="F38" s="315"/>
      <c r="G38" s="1412"/>
      <c r="H38" s="1412"/>
      <c r="I38" s="1412"/>
      <c r="J38" s="1412"/>
      <c r="K38" s="823"/>
      <c r="L38" s="823"/>
      <c r="M38" s="823"/>
      <c r="P38" s="823"/>
    </row>
    <row r="39" spans="1:18" ht="12.75" customHeight="1" x14ac:dyDescent="0.2">
      <c r="A39" s="1438">
        <f>A38+1</f>
        <v>1721</v>
      </c>
      <c r="B39" s="1428" t="s">
        <v>245</v>
      </c>
      <c r="C39" s="1429"/>
      <c r="D39" s="1432"/>
      <c r="E39" s="1037"/>
      <c r="F39" s="315"/>
      <c r="G39" s="1413"/>
      <c r="H39" s="1413"/>
      <c r="I39" s="1413"/>
      <c r="J39" s="1413"/>
      <c r="K39" s="1219"/>
      <c r="L39" s="798"/>
      <c r="M39" s="328"/>
      <c r="N39" s="328"/>
      <c r="P39" s="823"/>
    </row>
    <row r="40" spans="1:18" ht="12" customHeight="1" x14ac:dyDescent="0.2">
      <c r="A40" s="1439"/>
      <c r="B40" s="1430"/>
      <c r="C40" s="1431"/>
      <c r="D40" s="1433"/>
      <c r="E40" s="790"/>
      <c r="F40" s="315"/>
      <c r="G40" s="1217"/>
      <c r="H40" s="1218"/>
      <c r="I40" s="1218"/>
      <c r="J40" s="1218"/>
      <c r="K40" s="1219"/>
      <c r="L40" s="798"/>
      <c r="M40" s="328"/>
      <c r="N40" s="328"/>
      <c r="P40" s="823"/>
    </row>
    <row r="41" spans="1:18" ht="12.75" customHeight="1" x14ac:dyDescent="0.25">
      <c r="A41" s="1012">
        <f>A39+1</f>
        <v>1722</v>
      </c>
      <c r="B41" s="1421" t="s">
        <v>259</v>
      </c>
      <c r="C41" s="1422"/>
      <c r="D41" s="1423"/>
      <c r="E41" s="265">
        <f>E38+D39</f>
        <v>0</v>
      </c>
      <c r="F41" s="315"/>
      <c r="G41" s="1427" t="s">
        <v>117</v>
      </c>
      <c r="H41" s="1427"/>
      <c r="I41" s="1427"/>
      <c r="J41" s="1427"/>
      <c r="K41" s="1219"/>
      <c r="L41" s="798"/>
      <c r="M41" s="328"/>
      <c r="N41" s="328"/>
      <c r="P41" s="823"/>
    </row>
    <row r="42" spans="1:18" ht="14.25" x14ac:dyDescent="0.2">
      <c r="A42" s="1036">
        <f>A41+1</f>
        <v>1723</v>
      </c>
      <c r="B42" s="1424" t="s">
        <v>260</v>
      </c>
      <c r="C42" s="1425"/>
      <c r="D42" s="1426"/>
      <c r="E42" s="266">
        <f>E41+E37</f>
        <v>0</v>
      </c>
      <c r="F42" s="315"/>
      <c r="G42" s="1427"/>
      <c r="H42" s="1427"/>
      <c r="I42" s="1427"/>
      <c r="J42" s="1427"/>
      <c r="K42" s="1219"/>
      <c r="L42" s="798"/>
      <c r="M42" s="328"/>
      <c r="N42" s="328"/>
      <c r="P42" s="823"/>
    </row>
    <row r="43" spans="1:18" ht="12" customHeight="1" x14ac:dyDescent="0.2">
      <c r="A43" s="1023"/>
      <c r="B43" s="1024"/>
      <c r="C43" s="1024"/>
      <c r="D43" s="1024"/>
      <c r="E43" s="790"/>
      <c r="F43" s="315"/>
      <c r="G43" s="1427"/>
      <c r="H43" s="1427"/>
      <c r="I43" s="1427"/>
      <c r="J43" s="1427"/>
      <c r="K43" s="1219"/>
      <c r="L43" s="798"/>
      <c r="M43" s="328"/>
      <c r="N43" s="328"/>
      <c r="P43" s="823"/>
    </row>
    <row r="44" spans="1:18" x14ac:dyDescent="0.2">
      <c r="A44" s="1023"/>
      <c r="B44" s="1024"/>
      <c r="C44" s="1024"/>
      <c r="D44" s="1024"/>
      <c r="E44" s="790"/>
      <c r="F44" s="315"/>
      <c r="G44" s="1427"/>
      <c r="H44" s="1427"/>
      <c r="I44" s="1427"/>
      <c r="J44" s="1427"/>
      <c r="K44" s="1219"/>
      <c r="L44" s="315"/>
      <c r="M44" s="315"/>
      <c r="N44" s="328"/>
      <c r="O44" s="328"/>
      <c r="P44" s="798"/>
      <c r="Q44" s="328"/>
      <c r="R44" s="328"/>
    </row>
    <row r="45" spans="1:18" x14ac:dyDescent="0.2">
      <c r="A45" s="322" t="s">
        <v>139</v>
      </c>
      <c r="B45" s="1418" t="s">
        <v>261</v>
      </c>
      <c r="C45" s="1418"/>
      <c r="D45" s="1418"/>
      <c r="E45" s="823"/>
      <c r="F45" s="315"/>
      <c r="G45" s="1427"/>
      <c r="H45" s="1427"/>
      <c r="I45" s="1427"/>
      <c r="J45" s="1427"/>
      <c r="K45" s="328"/>
      <c r="L45" s="315"/>
      <c r="M45" s="315"/>
      <c r="N45" s="328"/>
      <c r="O45" s="328"/>
      <c r="P45" s="798"/>
      <c r="Q45" s="328"/>
      <c r="R45" s="328"/>
    </row>
    <row r="46" spans="1:18" ht="12" customHeight="1" x14ac:dyDescent="0.2">
      <c r="A46" s="1029">
        <f>A42+1</f>
        <v>1724</v>
      </c>
      <c r="B46" s="1415" t="s">
        <v>262</v>
      </c>
      <c r="C46" s="1416"/>
      <c r="D46" s="1417"/>
      <c r="E46" s="125"/>
      <c r="F46" s="315"/>
      <c r="G46" s="1427"/>
      <c r="H46" s="1427"/>
      <c r="I46" s="1427"/>
      <c r="J46" s="1427"/>
      <c r="K46" s="328"/>
      <c r="L46" s="315"/>
      <c r="M46" s="315"/>
      <c r="N46" s="328"/>
      <c r="O46" s="328"/>
      <c r="P46" s="798"/>
      <c r="Q46" s="328"/>
      <c r="R46" s="328"/>
    </row>
    <row r="47" spans="1:18" ht="12" customHeight="1" x14ac:dyDescent="0.2">
      <c r="A47" s="1029">
        <f>A46+1</f>
        <v>1725</v>
      </c>
      <c r="B47" s="1415" t="s">
        <v>263</v>
      </c>
      <c r="C47" s="1416"/>
      <c r="D47" s="1417"/>
      <c r="E47" s="125"/>
      <c r="F47" s="315"/>
      <c r="H47" s="1199"/>
      <c r="I47" s="1199"/>
      <c r="J47" s="1199"/>
      <c r="K47" s="328"/>
      <c r="L47" s="315"/>
      <c r="M47" s="315"/>
      <c r="N47" s="328"/>
      <c r="O47" s="328"/>
      <c r="P47" s="798"/>
      <c r="Q47" s="328"/>
      <c r="R47" s="328"/>
    </row>
    <row r="48" spans="1:18" x14ac:dyDescent="0.2">
      <c r="A48" s="1029">
        <f>A47+1</f>
        <v>1726</v>
      </c>
      <c r="B48" s="1415" t="s">
        <v>265</v>
      </c>
      <c r="C48" s="1416"/>
      <c r="D48" s="1417"/>
      <c r="E48" s="125"/>
      <c r="F48" s="315"/>
      <c r="G48" s="1414" t="s">
        <v>264</v>
      </c>
      <c r="H48" s="1414"/>
      <c r="I48" s="1414"/>
      <c r="J48" s="1414"/>
      <c r="K48" s="328"/>
      <c r="L48" s="315"/>
      <c r="M48" s="315"/>
      <c r="N48" s="328"/>
      <c r="O48" s="328"/>
      <c r="P48" s="798"/>
      <c r="Q48" s="328"/>
      <c r="R48" s="328"/>
    </row>
    <row r="49" spans="1:18" x14ac:dyDescent="0.2">
      <c r="A49" s="1029">
        <f>A48+1</f>
        <v>1727</v>
      </c>
      <c r="B49" s="1415" t="s">
        <v>93</v>
      </c>
      <c r="C49" s="1416"/>
      <c r="D49" s="1417"/>
      <c r="E49" s="125"/>
      <c r="F49" s="315"/>
      <c r="G49" s="1414"/>
      <c r="H49" s="1414"/>
      <c r="I49" s="1414"/>
      <c r="J49" s="1414"/>
      <c r="K49" s="328"/>
      <c r="L49" s="315"/>
      <c r="M49" s="315"/>
      <c r="N49" s="328"/>
      <c r="O49" s="328"/>
      <c r="P49" s="798"/>
      <c r="Q49" s="328"/>
      <c r="R49" s="328"/>
    </row>
    <row r="50" spans="1:18" ht="12" customHeight="1" x14ac:dyDescent="0.2">
      <c r="A50" s="1029">
        <f>A49+1</f>
        <v>1728</v>
      </c>
      <c r="B50" s="1415" t="s">
        <v>266</v>
      </c>
      <c r="C50" s="1416"/>
      <c r="D50" s="1417"/>
      <c r="E50" s="125"/>
      <c r="F50" s="315"/>
      <c r="G50" s="1414"/>
      <c r="H50" s="1414"/>
      <c r="I50" s="1414"/>
      <c r="J50" s="1414"/>
      <c r="K50" s="328"/>
      <c r="L50" s="315"/>
      <c r="M50" s="315"/>
      <c r="N50" s="328"/>
      <c r="O50" s="328"/>
      <c r="P50" s="798"/>
      <c r="Q50" s="328"/>
      <c r="R50" s="328"/>
    </row>
    <row r="51" spans="1:18" ht="12" customHeight="1" x14ac:dyDescent="0.2">
      <c r="A51" s="1036">
        <f>A50+1</f>
        <v>1729</v>
      </c>
      <c r="B51" s="789" t="s">
        <v>267</v>
      </c>
      <c r="C51" s="789"/>
      <c r="D51" s="789"/>
      <c r="E51" s="266">
        <f>SUM(E46:E50)</f>
        <v>0</v>
      </c>
      <c r="F51" s="315"/>
      <c r="G51" s="1414"/>
      <c r="H51" s="1414"/>
      <c r="I51" s="1414"/>
      <c r="J51" s="1414"/>
      <c r="K51" s="328"/>
      <c r="L51" s="315"/>
      <c r="M51" s="315"/>
      <c r="N51" s="328"/>
      <c r="O51" s="328"/>
      <c r="P51" s="798"/>
      <c r="Q51" s="328"/>
      <c r="R51" s="328"/>
    </row>
    <row r="52" spans="1:18" x14ac:dyDescent="0.2">
      <c r="A52" s="823"/>
      <c r="B52" s="823"/>
      <c r="C52" s="823"/>
      <c r="D52" s="823"/>
      <c r="E52" s="823"/>
      <c r="F52" s="1044"/>
      <c r="G52" s="1414"/>
      <c r="H52" s="1414"/>
      <c r="I52" s="1414"/>
      <c r="J52" s="1414"/>
      <c r="K52" s="328"/>
      <c r="L52" s="315"/>
      <c r="M52" s="315"/>
      <c r="N52" s="328"/>
      <c r="O52" s="328"/>
      <c r="P52" s="798"/>
      <c r="Q52" s="328"/>
      <c r="R52" s="328"/>
    </row>
    <row r="53" spans="1:18" x14ac:dyDescent="0.2">
      <c r="A53" s="823"/>
      <c r="B53" s="823"/>
      <c r="C53" s="823"/>
      <c r="D53" s="823"/>
      <c r="E53" s="823"/>
      <c r="F53" s="1044"/>
      <c r="G53" s="1414"/>
      <c r="H53" s="1414"/>
      <c r="I53" s="1414"/>
      <c r="J53" s="1414"/>
      <c r="K53" s="328"/>
    </row>
    <row r="54" spans="1:18" x14ac:dyDescent="0.2">
      <c r="A54" s="823"/>
      <c r="B54" s="823"/>
      <c r="C54" s="823"/>
      <c r="D54" s="823"/>
      <c r="E54" s="823"/>
      <c r="G54" s="1414"/>
      <c r="H54" s="1414"/>
      <c r="I54" s="1414"/>
      <c r="J54" s="1414"/>
      <c r="K54" s="328"/>
    </row>
    <row r="55" spans="1:18" x14ac:dyDescent="0.2">
      <c r="A55" s="314"/>
      <c r="B55" s="315"/>
      <c r="C55" s="315"/>
      <c r="D55" s="316"/>
      <c r="E55" s="991"/>
      <c r="G55" s="1414"/>
      <c r="H55" s="1414"/>
      <c r="I55" s="1414"/>
      <c r="J55" s="1414"/>
      <c r="K55" s="328"/>
    </row>
    <row r="56" spans="1:18" x14ac:dyDescent="0.2">
      <c r="A56" s="314"/>
      <c r="B56" s="315"/>
      <c r="C56" s="315"/>
      <c r="D56" s="316"/>
      <c r="G56" s="1414"/>
      <c r="H56" s="1414"/>
      <c r="I56" s="1414"/>
      <c r="J56" s="1414"/>
      <c r="K56" s="328"/>
    </row>
    <row r="57" spans="1:18" x14ac:dyDescent="0.2">
      <c r="A57" s="314"/>
      <c r="B57" s="315"/>
      <c r="C57" s="315"/>
      <c r="D57" s="316"/>
      <c r="K57" s="328"/>
    </row>
    <row r="58" spans="1:18" x14ac:dyDescent="0.2">
      <c r="A58" s="314"/>
      <c r="B58" s="315"/>
      <c r="C58" s="315"/>
      <c r="D58" s="316"/>
      <c r="K58" s="328"/>
    </row>
    <row r="59" spans="1:18" x14ac:dyDescent="0.2">
      <c r="A59" s="314"/>
      <c r="B59" s="315"/>
      <c r="C59" s="315"/>
      <c r="D59" s="316"/>
      <c r="K59" s="328"/>
    </row>
    <row r="60" spans="1:18" x14ac:dyDescent="0.2">
      <c r="A60" s="314"/>
      <c r="B60" s="315"/>
      <c r="C60" s="315"/>
      <c r="D60" s="316"/>
      <c r="K60" s="328"/>
    </row>
    <row r="61" spans="1:18" x14ac:dyDescent="0.2">
      <c r="A61" s="314"/>
      <c r="B61" s="315"/>
      <c r="C61" s="315"/>
      <c r="D61" s="316"/>
      <c r="K61" s="328"/>
    </row>
    <row r="62" spans="1:18" x14ac:dyDescent="0.2">
      <c r="A62" s="314"/>
      <c r="B62" s="315"/>
      <c r="C62" s="315"/>
      <c r="D62" s="316"/>
      <c r="K62" s="328"/>
    </row>
    <row r="63" spans="1:18" x14ac:dyDescent="0.2">
      <c r="A63" s="314"/>
      <c r="B63" s="315"/>
      <c r="C63" s="315"/>
      <c r="D63" s="316"/>
      <c r="K63" s="328"/>
    </row>
    <row r="64" spans="1:18" x14ac:dyDescent="0.2">
      <c r="K64" s="328"/>
    </row>
    <row r="65" spans="11:11" x14ac:dyDescent="0.2">
      <c r="K65" s="328"/>
    </row>
    <row r="66" spans="11:11" x14ac:dyDescent="0.2">
      <c r="K66" s="328"/>
    </row>
    <row r="67" spans="11:11" x14ac:dyDescent="0.2">
      <c r="K67" s="328"/>
    </row>
    <row r="68" spans="11:11" x14ac:dyDescent="0.2">
      <c r="K68" s="328"/>
    </row>
  </sheetData>
  <sheetProtection password="CA39" sheet="1" objects="1" scenarios="1"/>
  <customSheetViews>
    <customSheetView guid="{52EB1485-ECFC-4D16-B893-125E4D85986E}" scale="86" showPageBreaks="1" showGridLines="0" printArea="1" showRuler="0">
      <selection activeCell="B18" sqref="B18:D18"/>
      <pageMargins left="0.39370078740157483" right="0.39370078740157483" top="0.39370078740157483" bottom="0.39370078740157483" header="0.62992125984251968" footer="0.11811023622047245"/>
      <pageSetup paperSize="9" orientation="landscape" horizontalDpi="300" verticalDpi="300" r:id="rId1"/>
      <headerFooter alignWithMargins="0">
        <oddHeader xml:space="preserve">&amp;R&amp;9 </oddHeader>
      </headerFooter>
    </customSheetView>
  </customSheetViews>
  <mergeCells count="38">
    <mergeCell ref="B38:D38"/>
    <mergeCell ref="B13:C14"/>
    <mergeCell ref="D13:D14"/>
    <mergeCell ref="A28:A29"/>
    <mergeCell ref="D28:D29"/>
    <mergeCell ref="B34:D34"/>
    <mergeCell ref="A3:D3"/>
    <mergeCell ref="H12:I12"/>
    <mergeCell ref="H13:I13"/>
    <mergeCell ref="H14:I14"/>
    <mergeCell ref="B45:D45"/>
    <mergeCell ref="B23:D23"/>
    <mergeCell ref="B27:D27"/>
    <mergeCell ref="B28:C29"/>
    <mergeCell ref="H15:I15"/>
    <mergeCell ref="H16:I16"/>
    <mergeCell ref="H31:I31"/>
    <mergeCell ref="H32:I32"/>
    <mergeCell ref="H33:I33"/>
    <mergeCell ref="H34:I34"/>
    <mergeCell ref="H6:I6"/>
    <mergeCell ref="A39:A40"/>
    <mergeCell ref="B6:D6"/>
    <mergeCell ref="G38:J39"/>
    <mergeCell ref="G48:J56"/>
    <mergeCell ref="B50:D50"/>
    <mergeCell ref="B46:D46"/>
    <mergeCell ref="B47:D47"/>
    <mergeCell ref="B48:D48"/>
    <mergeCell ref="B49:D49"/>
    <mergeCell ref="B8:D8"/>
    <mergeCell ref="H30:I30"/>
    <mergeCell ref="B41:D41"/>
    <mergeCell ref="B42:D42"/>
    <mergeCell ref="G41:J46"/>
    <mergeCell ref="B39:C40"/>
    <mergeCell ref="D39:D40"/>
    <mergeCell ref="B12:D12"/>
  </mergeCells>
  <phoneticPr fontId="12" type="noConversion"/>
  <conditionalFormatting sqref="J30:J34 E46:E50 J9:J16 J20:J26 H12:H16 D39 D25 D13 D36 D28 D10 E38 E35 E27 E19 E24 E12 E9">
    <cfRule type="expression" dxfId="25" priority="2" stopIfTrue="1">
      <formula>$G$2=TRUE</formula>
    </cfRule>
  </conditionalFormatting>
  <conditionalFormatting sqref="A3 H40">
    <cfRule type="cellIs" dxfId="24" priority="3" stopIfTrue="1" operator="equal">
      <formula>"Vul het Nza-nummer in op het voorblad"</formula>
    </cfRule>
  </conditionalFormatting>
  <conditionalFormatting sqref="G38">
    <cfRule type="cellIs" dxfId="23" priority="1" stopIfTrue="1" operator="equal">
      <formula>"Vul het Nza-nummer in op het voorblad"</formula>
    </cfRule>
  </conditionalFormatting>
  <pageMargins left="0.18" right="0.16" top="0.23" bottom="0.19685039370078741" header="0.33" footer="0.11811023622047245"/>
  <pageSetup paperSize="9" scale="83" orientation="landscape" cellComments="asDisplayed" horizontalDpi="300" verticalDpi="300" r:id="rId2"/>
  <headerFooter alignWithMargins="0"/>
  <drawing r:id="rId3"/>
  <legacyDrawing r:id="rId4"/>
  <oleObjects>
    <mc:AlternateContent xmlns:mc="http://schemas.openxmlformats.org/markup-compatibility/2006">
      <mc:Choice Requires="x14">
        <oleObject progId="MSPhotoEd.3" shapeId="20696" r:id="rId5">
          <objectPr defaultSize="0" autoPict="0" r:id="rId6">
            <anchor moveWithCells="1" sizeWithCells="1">
              <from>
                <xdr:col>8</xdr:col>
                <xdr:colOff>723900</xdr:colOff>
                <xdr:row>1</xdr:row>
                <xdr:rowOff>28575</xdr:rowOff>
              </from>
              <to>
                <xdr:col>9</xdr:col>
                <xdr:colOff>714375</xdr:colOff>
                <xdr:row>1</xdr:row>
                <xdr:rowOff>190500</xdr:rowOff>
              </to>
            </anchor>
          </objectPr>
        </oleObject>
      </mc:Choice>
      <mc:Fallback>
        <oleObject progId="MSPhotoEd.3" shapeId="20696"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6">
    <pageSetUpPr autoPageBreaks="0"/>
  </sheetPr>
  <dimension ref="A1:R59"/>
  <sheetViews>
    <sheetView showGridLines="0" showZeros="0" showOutlineSymbols="0" zoomScaleNormal="100" zoomScaleSheetLayoutView="100" workbookViewId="0">
      <selection activeCell="C17" sqref="C17"/>
    </sheetView>
  </sheetViews>
  <sheetFormatPr defaultRowHeight="12" x14ac:dyDescent="0.2"/>
  <cols>
    <col min="1" max="1" width="6.7109375" style="112" customWidth="1"/>
    <col min="2" max="2" width="77" style="20" customWidth="1"/>
    <col min="3" max="3" width="16.5703125" style="20" customWidth="1"/>
    <col min="4" max="4" width="16.7109375" style="20" customWidth="1"/>
    <col min="5" max="5" width="16.42578125" style="113" customWidth="1"/>
    <col min="6" max="6" width="5.7109375" style="20" customWidth="1"/>
    <col min="7" max="7" width="12.7109375" style="23" customWidth="1"/>
    <col min="8" max="8" width="2.7109375" style="20" customWidth="1"/>
    <col min="9" max="16384" width="9.140625" style="20"/>
  </cols>
  <sheetData>
    <row r="1" spans="1:18" ht="15.95" customHeight="1" x14ac:dyDescent="0.2">
      <c r="A1" s="314"/>
      <c r="B1" s="772"/>
      <c r="C1" s="316"/>
      <c r="D1" s="315"/>
      <c r="E1" s="315"/>
      <c r="F1" s="30"/>
      <c r="G1" s="30"/>
      <c r="H1" s="38"/>
      <c r="I1" s="36"/>
      <c r="J1" s="43"/>
      <c r="K1" s="43"/>
      <c r="L1" s="55"/>
      <c r="M1" s="43"/>
      <c r="N1" s="43"/>
      <c r="O1" s="43"/>
      <c r="P1" s="43"/>
      <c r="Q1" s="43"/>
      <c r="R1" s="43"/>
    </row>
    <row r="2" spans="1:18" s="13" customFormat="1" ht="15.75" customHeight="1" x14ac:dyDescent="0.2">
      <c r="A2" s="317" t="str">
        <f>inhoud!A2</f>
        <v>Vaststelling Transitiebedrag 2012</v>
      </c>
      <c r="B2" s="318"/>
      <c r="C2" s="319" t="b">
        <f>Voorblad!D27</f>
        <v>1</v>
      </c>
      <c r="D2" s="320"/>
      <c r="E2" s="321">
        <v>20</v>
      </c>
      <c r="F2" s="39"/>
      <c r="G2" s="39"/>
      <c r="H2" s="39"/>
      <c r="I2" s="40"/>
      <c r="J2" s="40"/>
      <c r="K2" s="40"/>
      <c r="L2" s="40"/>
      <c r="M2" s="40"/>
      <c r="N2" s="40"/>
      <c r="O2" s="40"/>
      <c r="P2" s="40"/>
      <c r="Q2" s="40"/>
      <c r="R2" s="40"/>
    </row>
    <row r="3" spans="1:18" ht="12.75" x14ac:dyDescent="0.2">
      <c r="A3" s="1317" t="str">
        <f>IF(Voorblad!$F$10&lt;1,"Vul het NZa-nummer in op het voorblad","")</f>
        <v>Vul het NZa-nummer in op het voorblad</v>
      </c>
      <c r="B3" s="1318"/>
      <c r="C3" s="1318"/>
      <c r="D3" s="1318"/>
      <c r="E3" s="315"/>
      <c r="F3" s="30"/>
      <c r="G3" s="30"/>
      <c r="H3" s="38"/>
      <c r="I3" s="36"/>
      <c r="J3" s="43"/>
      <c r="K3" s="43"/>
      <c r="L3" s="55"/>
      <c r="M3" s="43"/>
      <c r="N3" s="43"/>
      <c r="O3" s="43"/>
      <c r="P3" s="43"/>
      <c r="Q3" s="43"/>
      <c r="R3" s="43"/>
    </row>
    <row r="4" spans="1:18" ht="12.75" customHeight="1" x14ac:dyDescent="0.2">
      <c r="A4" s="322" t="s">
        <v>848</v>
      </c>
      <c r="B4" s="323"/>
      <c r="C4" s="324"/>
      <c r="D4" s="325"/>
      <c r="E4" s="326"/>
      <c r="F4" s="54"/>
      <c r="G4" s="53"/>
      <c r="H4" s="53"/>
      <c r="I4" s="55"/>
      <c r="J4" s="43"/>
      <c r="K4" s="43"/>
      <c r="L4" s="43"/>
      <c r="M4" s="43"/>
      <c r="N4" s="43"/>
      <c r="O4" s="43"/>
      <c r="P4" s="43"/>
      <c r="Q4" s="43"/>
      <c r="R4" s="43"/>
    </row>
    <row r="5" spans="1:18" x14ac:dyDescent="0.2">
      <c r="A5" s="327"/>
      <c r="B5" s="328"/>
      <c r="C5" s="328"/>
      <c r="D5" s="328"/>
      <c r="E5" s="260"/>
      <c r="F5" s="43"/>
      <c r="G5" s="47"/>
      <c r="H5" s="43"/>
      <c r="I5" s="43"/>
      <c r="J5" s="43"/>
      <c r="K5" s="43"/>
      <c r="L5" s="43"/>
      <c r="M5" s="43"/>
      <c r="N5" s="43"/>
      <c r="O5" s="43"/>
      <c r="P5" s="43"/>
      <c r="Q5" s="43"/>
      <c r="R5" s="43"/>
    </row>
    <row r="6" spans="1:18" x14ac:dyDescent="0.2">
      <c r="A6" s="327"/>
      <c r="B6" s="328"/>
      <c r="C6" s="329" t="s">
        <v>303</v>
      </c>
      <c r="D6" s="1446" t="s">
        <v>732</v>
      </c>
      <c r="E6" s="330" t="s">
        <v>831</v>
      </c>
      <c r="F6" s="55"/>
      <c r="G6" s="55"/>
      <c r="H6" s="55"/>
      <c r="I6" s="55"/>
      <c r="J6" s="55"/>
      <c r="K6" s="55"/>
      <c r="L6" s="43"/>
      <c r="M6" s="43"/>
      <c r="N6" s="43"/>
      <c r="O6" s="43"/>
      <c r="P6" s="43"/>
      <c r="Q6" s="43"/>
      <c r="R6" s="43"/>
    </row>
    <row r="7" spans="1:18" x14ac:dyDescent="0.2">
      <c r="A7" s="327" t="s">
        <v>755</v>
      </c>
      <c r="B7" s="327" t="str">
        <f>"Mutaties schaduwbudget "&amp;Voorblad!K4</f>
        <v>Mutaties schaduwbudget 2012</v>
      </c>
      <c r="C7" s="331"/>
      <c r="D7" s="1447"/>
      <c r="E7" s="332"/>
      <c r="F7" s="55"/>
      <c r="G7" s="55"/>
      <c r="H7" s="55"/>
      <c r="I7" s="55"/>
      <c r="J7" s="55"/>
      <c r="K7" s="55"/>
      <c r="L7" s="43"/>
      <c r="M7" s="43"/>
      <c r="N7" s="43"/>
      <c r="O7" s="43"/>
      <c r="P7" s="43"/>
      <c r="Q7" s="43"/>
      <c r="R7" s="43"/>
    </row>
    <row r="8" spans="1:18" x14ac:dyDescent="0.2">
      <c r="A8" s="327"/>
      <c r="B8" s="327"/>
      <c r="C8" s="333"/>
      <c r="D8" s="333"/>
      <c r="E8" s="334"/>
      <c r="F8" s="55"/>
      <c r="G8" s="55"/>
      <c r="H8" s="55"/>
      <c r="I8" s="55"/>
      <c r="J8" s="55"/>
      <c r="K8" s="55"/>
      <c r="L8" s="43"/>
      <c r="M8" s="43"/>
      <c r="N8" s="43"/>
      <c r="O8" s="43"/>
      <c r="P8" s="43"/>
      <c r="Q8" s="43"/>
      <c r="R8" s="43"/>
    </row>
    <row r="9" spans="1:18" ht="12.75" customHeight="1" x14ac:dyDescent="0.2">
      <c r="A9" s="335">
        <f>(100*E2)+1</f>
        <v>2001</v>
      </c>
      <c r="B9" s="1419" t="str">
        <f>"Overeengekomen nog na te calculeren productie "&amp;Voorblad!K4</f>
        <v>Overeengekomen nog na te calculeren productie 2012</v>
      </c>
      <c r="C9" s="1434"/>
      <c r="D9" s="1420"/>
      <c r="E9" s="271">
        <f>'1.1  realisatie'!J160</f>
        <v>0</v>
      </c>
      <c r="F9" s="58"/>
      <c r="G9" s="58"/>
      <c r="H9" s="58"/>
      <c r="I9" s="58"/>
      <c r="J9" s="58"/>
      <c r="K9" s="55"/>
      <c r="L9" s="43"/>
      <c r="M9" s="43"/>
      <c r="N9" s="43"/>
      <c r="O9" s="43"/>
      <c r="P9" s="43"/>
      <c r="Q9" s="43"/>
      <c r="R9" s="43"/>
    </row>
    <row r="10" spans="1:18" x14ac:dyDescent="0.2">
      <c r="A10" s="337">
        <f>A9+1</f>
        <v>2002</v>
      </c>
      <c r="B10" s="273" t="s">
        <v>802</v>
      </c>
      <c r="C10" s="264">
        <f>'1.4 dure geneesmiddelen'!E143</f>
        <v>0</v>
      </c>
      <c r="D10" s="264">
        <f>'1.4 dure geneesmiddelen'!F143</f>
        <v>0</v>
      </c>
      <c r="E10" s="272">
        <f>C10-D10</f>
        <v>0</v>
      </c>
      <c r="F10" s="58"/>
      <c r="G10" s="108"/>
      <c r="H10" s="58"/>
      <c r="I10" s="58"/>
      <c r="J10" s="58"/>
      <c r="K10" s="55"/>
      <c r="L10" s="43"/>
      <c r="M10" s="43"/>
      <c r="N10" s="43"/>
      <c r="O10" s="43"/>
      <c r="P10" s="43"/>
      <c r="Q10" s="43"/>
      <c r="R10" s="43"/>
    </row>
    <row r="11" spans="1:18" x14ac:dyDescent="0.2">
      <c r="A11" s="337">
        <f t="shared" ref="A11:A24" si="0">A10+1</f>
        <v>2003</v>
      </c>
      <c r="B11" s="273" t="str">
        <f>'1.3 Diverse aanvaardbare kosten'!B4</f>
        <v>Diverse aanvaardbare kosten</v>
      </c>
      <c r="C11" s="264">
        <f>'1.3 Diverse aanvaardbare kosten'!D33</f>
        <v>0</v>
      </c>
      <c r="D11" s="264">
        <f>'1.3 Diverse aanvaardbare kosten'!E33</f>
        <v>0</v>
      </c>
      <c r="E11" s="264">
        <f>C11-D11</f>
        <v>0</v>
      </c>
      <c r="F11" s="58"/>
      <c r="G11" s="108"/>
      <c r="H11" s="58"/>
      <c r="I11" s="58"/>
      <c r="J11" s="58"/>
      <c r="K11" s="55"/>
      <c r="L11" s="43"/>
      <c r="M11" s="43"/>
      <c r="N11" s="43"/>
      <c r="O11" s="43"/>
      <c r="P11" s="43"/>
      <c r="Q11" s="43"/>
      <c r="R11" s="43"/>
    </row>
    <row r="12" spans="1:18" x14ac:dyDescent="0.2">
      <c r="A12" s="337">
        <f t="shared" si="0"/>
        <v>2004</v>
      </c>
      <c r="B12" s="303" t="str">
        <f>"Mutaties specialisteneenheden "&amp;Voorblad!K4</f>
        <v>Mutaties specialisteneenheden 2012</v>
      </c>
      <c r="C12" s="339"/>
      <c r="D12" s="272"/>
      <c r="E12" s="264">
        <f>'1.7 specialisten'!H40</f>
        <v>0</v>
      </c>
      <c r="F12" s="43"/>
      <c r="G12" s="43"/>
      <c r="H12" s="43"/>
      <c r="I12" s="43"/>
      <c r="J12" s="43"/>
      <c r="K12" s="43"/>
      <c r="L12" s="43"/>
      <c r="M12" s="43"/>
      <c r="N12" s="43"/>
      <c r="O12" s="43"/>
      <c r="P12" s="43"/>
      <c r="Q12" s="43"/>
      <c r="R12" s="43"/>
    </row>
    <row r="13" spans="1:18" s="104" customFormat="1" x14ac:dyDescent="0.2">
      <c r="A13" s="337">
        <f t="shared" si="0"/>
        <v>2005</v>
      </c>
      <c r="B13" s="273" t="str">
        <f>+'2 afschrijv. instandhoud. '!B6</f>
        <v>Nacalculeerbare aanvaardbare afschrijvingskosten (normale en verkorte procedures)</v>
      </c>
      <c r="C13" s="274">
        <f>'2 afschrijv. instandhoud. '!J16</f>
        <v>0</v>
      </c>
      <c r="D13" s="274">
        <f>'2 afschrijv. instandhoud. '!J17</f>
        <v>0</v>
      </c>
      <c r="E13" s="264">
        <f>C13-D13</f>
        <v>0</v>
      </c>
      <c r="F13" s="123"/>
      <c r="G13" s="123"/>
      <c r="H13" s="123"/>
      <c r="I13" s="123"/>
      <c r="J13" s="123"/>
      <c r="K13" s="123"/>
      <c r="L13" s="123"/>
      <c r="M13" s="123"/>
      <c r="N13" s="123"/>
      <c r="O13" s="123"/>
      <c r="P13" s="123"/>
      <c r="Q13" s="123"/>
      <c r="R13" s="123"/>
    </row>
    <row r="14" spans="1:18" ht="12.75" customHeight="1" x14ac:dyDescent="0.2">
      <c r="A14" s="337">
        <f t="shared" si="0"/>
        <v>2006</v>
      </c>
      <c r="B14" s="338" t="str">
        <f>"Afschrijving investeringen "&amp;Voorblad!K4&amp;" t.l.v. trekkingsrechten"</f>
        <v>Afschrijving investeringen 2012 t.l.v. trekkingsrechten</v>
      </c>
      <c r="C14" s="339"/>
      <c r="D14" s="272"/>
      <c r="E14" s="258">
        <f>'2 afschrijv. instandhoud. '!F30*5%</f>
        <v>0</v>
      </c>
      <c r="F14" s="43"/>
      <c r="G14" s="43"/>
      <c r="H14" s="43"/>
      <c r="I14" s="43"/>
      <c r="J14" s="43"/>
      <c r="K14" s="43"/>
      <c r="L14" s="43"/>
      <c r="M14" s="43"/>
      <c r="N14" s="43"/>
      <c r="O14" s="43"/>
      <c r="P14" s="43"/>
      <c r="Q14" s="43"/>
      <c r="R14" s="43"/>
    </row>
    <row r="15" spans="1:18" x14ac:dyDescent="0.2">
      <c r="A15" s="337">
        <f t="shared" si="0"/>
        <v>2007</v>
      </c>
      <c r="B15" s="1419" t="str">
        <f>+'2.3 inventaris '!B4</f>
        <v>Afschrijvingskosten medische en overige inventarissen</v>
      </c>
      <c r="C15" s="1434"/>
      <c r="D15" s="1420"/>
      <c r="E15" s="262">
        <f>'2.3 inventaris '!G9</f>
        <v>0</v>
      </c>
      <c r="F15" s="43"/>
      <c r="G15" s="43"/>
      <c r="H15" s="43"/>
      <c r="I15" s="43"/>
      <c r="J15" s="43"/>
      <c r="K15" s="43"/>
      <c r="L15" s="43"/>
      <c r="M15" s="43"/>
      <c r="N15" s="43"/>
      <c r="O15" s="43"/>
      <c r="P15" s="43"/>
      <c r="Q15" s="43"/>
      <c r="R15" s="43"/>
    </row>
    <row r="16" spans="1:18" x14ac:dyDescent="0.2">
      <c r="A16" s="337">
        <f t="shared" si="0"/>
        <v>2008</v>
      </c>
      <c r="B16" s="336" t="str">
        <f>+'2.3 inventaris '!B24</f>
        <v>Afschrijvingskosten inventaris artikel 2 WBMV functies</v>
      </c>
      <c r="C16" s="339"/>
      <c r="D16" s="272"/>
      <c r="E16" s="262">
        <f>'2.3 inventaris '!G27</f>
        <v>0</v>
      </c>
      <c r="F16" s="43"/>
      <c r="G16" s="43"/>
      <c r="H16" s="43"/>
      <c r="I16" s="43"/>
      <c r="J16" s="43"/>
      <c r="K16" s="43"/>
      <c r="L16" s="43"/>
      <c r="M16" s="43"/>
      <c r="N16" s="43"/>
      <c r="O16" s="43"/>
      <c r="P16" s="43"/>
      <c r="Q16" s="43"/>
      <c r="R16" s="43"/>
    </row>
    <row r="17" spans="1:18" x14ac:dyDescent="0.2">
      <c r="A17" s="337">
        <f t="shared" si="0"/>
        <v>2009</v>
      </c>
      <c r="B17" s="273" t="s">
        <v>830</v>
      </c>
      <c r="C17" s="49"/>
      <c r="D17" s="49"/>
      <c r="E17" s="262">
        <f>C17-D17</f>
        <v>0</v>
      </c>
      <c r="F17" s="43"/>
      <c r="G17" s="43"/>
      <c r="H17" s="43"/>
      <c r="I17" s="43"/>
      <c r="J17" s="43"/>
      <c r="K17" s="43"/>
      <c r="L17" s="43"/>
      <c r="M17" s="43"/>
      <c r="N17" s="43"/>
      <c r="O17" s="43"/>
      <c r="P17" s="43"/>
      <c r="Q17" s="43"/>
      <c r="R17" s="43"/>
    </row>
    <row r="18" spans="1:18" x14ac:dyDescent="0.2">
      <c r="A18" s="337">
        <f t="shared" si="0"/>
        <v>2010</v>
      </c>
      <c r="B18" s="340" t="s">
        <v>761</v>
      </c>
      <c r="C18" s="341" t="s">
        <v>746</v>
      </c>
      <c r="D18" s="61"/>
      <c r="E18" s="262">
        <f>-D18</f>
        <v>0</v>
      </c>
      <c r="F18" s="43"/>
      <c r="G18" s="43"/>
      <c r="H18" s="43"/>
      <c r="I18" s="43"/>
      <c r="J18" s="43"/>
      <c r="K18" s="43"/>
      <c r="L18" s="43"/>
      <c r="M18" s="43"/>
      <c r="N18" s="43"/>
      <c r="O18" s="43"/>
      <c r="P18" s="43"/>
      <c r="Q18" s="43"/>
      <c r="R18" s="43"/>
    </row>
    <row r="19" spans="1:18" x14ac:dyDescent="0.2">
      <c r="A19" s="337">
        <f t="shared" si="0"/>
        <v>2011</v>
      </c>
      <c r="B19" s="303" t="s">
        <v>940</v>
      </c>
      <c r="C19" s="342"/>
      <c r="D19" s="272"/>
      <c r="E19" s="682">
        <f>'Overige mutaties'!O31</f>
        <v>0</v>
      </c>
      <c r="F19" s="43"/>
      <c r="G19" s="43"/>
      <c r="H19" s="43"/>
      <c r="I19" s="43"/>
      <c r="J19" s="43"/>
      <c r="K19" s="43"/>
      <c r="L19" s="43"/>
      <c r="M19" s="43"/>
      <c r="N19" s="43"/>
      <c r="O19" s="43"/>
      <c r="P19" s="43"/>
      <c r="Q19" s="43"/>
      <c r="R19" s="43"/>
    </row>
    <row r="20" spans="1:18" x14ac:dyDescent="0.2">
      <c r="A20" s="337">
        <f t="shared" si="0"/>
        <v>2012</v>
      </c>
      <c r="B20" s="343" t="str">
        <f>CONCATENATE("Mutatie aanvaardbare kosten exclusief aanpassing rentekosten (regel ",A9," t/m ",A19,")")</f>
        <v>Mutatie aanvaardbare kosten exclusief aanpassing rentekosten (regel 2001 t/m 2011)</v>
      </c>
      <c r="C20" s="344"/>
      <c r="D20" s="345"/>
      <c r="E20" s="263">
        <f>SUM(E9:E19)</f>
        <v>0</v>
      </c>
      <c r="F20" s="43"/>
      <c r="G20" s="43"/>
      <c r="H20" s="43"/>
      <c r="I20" s="43"/>
      <c r="J20" s="43"/>
      <c r="K20" s="43"/>
      <c r="L20" s="43"/>
      <c r="M20" s="43"/>
      <c r="N20" s="43"/>
      <c r="O20" s="43"/>
      <c r="P20" s="43"/>
      <c r="Q20" s="43"/>
      <c r="R20" s="43"/>
    </row>
    <row r="21" spans="1:18" x14ac:dyDescent="0.2">
      <c r="A21" s="337">
        <f t="shared" si="0"/>
        <v>2013</v>
      </c>
      <c r="B21" s="346" t="str">
        <f>CONCATENATE("Aanvaardbare kosten op kasbasis volgens laatste rekenstaat ",Voorblad!$K$4)</f>
        <v>Aanvaardbare kosten op kasbasis volgens laatste rekenstaat 2012</v>
      </c>
      <c r="C21" s="339"/>
      <c r="D21" s="272"/>
      <c r="E21" s="61"/>
      <c r="F21" s="1443" t="str">
        <f>IF(E21="","Conform gebruikte rekenstaat invullen!","")</f>
        <v>Conform gebruikte rekenstaat invullen!</v>
      </c>
      <c r="G21" s="1444"/>
      <c r="H21" s="1444"/>
      <c r="I21" s="1444"/>
      <c r="J21" s="1444"/>
      <c r="K21" s="43"/>
      <c r="L21" s="43"/>
      <c r="M21" s="43"/>
      <c r="N21" s="43"/>
      <c r="O21" s="43"/>
      <c r="P21" s="43"/>
      <c r="Q21" s="43"/>
      <c r="R21" s="43"/>
    </row>
    <row r="22" spans="1:18" x14ac:dyDescent="0.2">
      <c r="A22" s="337">
        <f t="shared" si="0"/>
        <v>2014</v>
      </c>
      <c r="B22" s="348" t="str">
        <f>CONCATENATE("Subtotaal (regel ",A20," + ",A21,")")</f>
        <v>Subtotaal (regel 2012 + 2013)</v>
      </c>
      <c r="C22" s="535"/>
      <c r="D22" s="536"/>
      <c r="E22" s="263">
        <f>+SUM(E20:E21)</f>
        <v>0</v>
      </c>
      <c r="F22" s="43"/>
      <c r="G22" s="43"/>
      <c r="H22" s="43"/>
      <c r="I22" s="43"/>
      <c r="J22" s="43"/>
      <c r="K22" s="43"/>
      <c r="L22" s="43"/>
      <c r="M22" s="43"/>
      <c r="N22" s="43"/>
      <c r="O22" s="43"/>
      <c r="P22" s="43"/>
      <c r="Q22" s="43"/>
      <c r="R22" s="43"/>
    </row>
    <row r="23" spans="1:18" x14ac:dyDescent="0.2">
      <c r="A23" s="337">
        <f t="shared" si="0"/>
        <v>2015</v>
      </c>
      <c r="B23" s="347" t="s">
        <v>595</v>
      </c>
      <c r="C23" s="276">
        <f>'Overzicht rente'!E31</f>
        <v>0</v>
      </c>
      <c r="D23" s="61"/>
      <c r="E23" s="275">
        <f>C23-D23</f>
        <v>0</v>
      </c>
      <c r="F23" s="43"/>
      <c r="G23" s="43"/>
      <c r="H23" s="43"/>
      <c r="I23" s="43"/>
      <c r="J23" s="43"/>
      <c r="K23" s="43"/>
      <c r="L23" s="43"/>
      <c r="M23" s="43"/>
      <c r="N23" s="43"/>
      <c r="O23" s="43"/>
      <c r="P23" s="43"/>
      <c r="Q23" s="43"/>
      <c r="R23" s="43"/>
    </row>
    <row r="24" spans="1:18" x14ac:dyDescent="0.2">
      <c r="A24" s="337">
        <f t="shared" si="0"/>
        <v>2016</v>
      </c>
      <c r="B24" s="348" t="str">
        <f>CONCATENATE("Definitief aanvaardbare kosten ",Voorblad!K4," (regel ",A22," + ",A23,")")</f>
        <v>Definitief aanvaardbare kosten 2012 (regel 2014 + 2015)</v>
      </c>
      <c r="C24" s="349"/>
      <c r="D24" s="349"/>
      <c r="E24" s="263">
        <f>E22+E23</f>
        <v>0</v>
      </c>
      <c r="F24" s="43"/>
      <c r="G24" s="47"/>
      <c r="H24" s="43"/>
      <c r="I24" s="43"/>
      <c r="J24" s="43"/>
      <c r="K24" s="43"/>
      <c r="L24" s="43"/>
      <c r="M24" s="43"/>
      <c r="N24" s="43"/>
      <c r="O24" s="43"/>
      <c r="P24" s="43"/>
      <c r="Q24" s="43"/>
      <c r="R24" s="43"/>
    </row>
    <row r="25" spans="1:18" x14ac:dyDescent="0.2">
      <c r="A25" s="327"/>
      <c r="B25" s="328"/>
      <c r="C25" s="328"/>
      <c r="D25" s="328"/>
      <c r="E25" s="260"/>
      <c r="F25" s="43"/>
      <c r="G25" s="47"/>
      <c r="H25" s="43"/>
      <c r="I25" s="43"/>
      <c r="J25" s="43"/>
      <c r="K25" s="43"/>
      <c r="L25" s="43"/>
      <c r="M25" s="43"/>
      <c r="N25" s="43"/>
      <c r="O25" s="43"/>
      <c r="P25" s="43"/>
      <c r="Q25" s="43"/>
      <c r="R25" s="43"/>
    </row>
    <row r="26" spans="1:18" x14ac:dyDescent="0.2">
      <c r="A26" s="337">
        <f>A24+1</f>
        <v>2017</v>
      </c>
      <c r="B26" s="350" t="str">
        <f>"Nummer van de rekenstaat "&amp;Voorblad!K4&amp;" die bij de invulling is gebruikt"</f>
        <v>Nummer van de rekenstaat 2012 die bij de invulling is gebruikt</v>
      </c>
      <c r="C26" s="49"/>
      <c r="D26" s="1443" t="str">
        <f>IF(C26="","LET OP invullen!","")</f>
        <v>LET OP invullen!</v>
      </c>
      <c r="E26" s="1445"/>
      <c r="F26" s="43"/>
      <c r="G26" s="110"/>
      <c r="H26" s="43"/>
      <c r="I26" s="43"/>
      <c r="J26" s="43"/>
      <c r="K26" s="43"/>
      <c r="L26" s="43"/>
      <c r="M26" s="43"/>
      <c r="N26" s="43"/>
      <c r="O26" s="43"/>
      <c r="P26" s="43"/>
      <c r="Q26" s="43"/>
      <c r="R26" s="43"/>
    </row>
    <row r="27" spans="1:18" x14ac:dyDescent="0.2">
      <c r="A27" s="327"/>
      <c r="B27" s="328"/>
      <c r="C27" s="328"/>
      <c r="D27" s="328"/>
      <c r="E27" s="260"/>
      <c r="F27" s="43"/>
      <c r="G27" s="43"/>
      <c r="H27" s="43"/>
      <c r="I27" s="43"/>
      <c r="J27" s="43"/>
      <c r="K27" s="43"/>
      <c r="L27" s="43"/>
      <c r="M27" s="43"/>
      <c r="N27" s="43"/>
      <c r="O27" s="43"/>
      <c r="P27" s="43"/>
      <c r="Q27" s="43"/>
      <c r="R27" s="43"/>
    </row>
    <row r="28" spans="1:18" x14ac:dyDescent="0.2">
      <c r="A28" s="327" t="s">
        <v>777</v>
      </c>
      <c r="B28" s="327" t="str">
        <f>CONCATENATE("Opbrengstverrekening ",Voorblad!K4," (ziekenhuis exclusief PAAZ)")</f>
        <v>Opbrengstverrekening 2012 (ziekenhuis exclusief PAAZ)</v>
      </c>
      <c r="C28" s="328"/>
      <c r="D28" s="328"/>
      <c r="E28" s="260"/>
      <c r="F28" s="43"/>
      <c r="G28" s="43"/>
      <c r="H28" s="43"/>
      <c r="I28" s="43"/>
      <c r="J28" s="43"/>
      <c r="K28" s="43"/>
      <c r="L28" s="43"/>
      <c r="M28" s="43"/>
      <c r="N28" s="43"/>
      <c r="O28" s="43"/>
      <c r="P28" s="43"/>
      <c r="Q28" s="43"/>
      <c r="R28" s="43"/>
    </row>
    <row r="29" spans="1:18" x14ac:dyDescent="0.2">
      <c r="A29" s="337">
        <f>A26+1</f>
        <v>2018</v>
      </c>
      <c r="B29" s="1419" t="s">
        <v>588</v>
      </c>
      <c r="C29" s="1434"/>
      <c r="D29" s="1420"/>
      <c r="E29" s="49"/>
      <c r="F29" s="43"/>
      <c r="G29" s="43"/>
      <c r="H29" s="43"/>
      <c r="I29" s="43"/>
      <c r="J29" s="43"/>
      <c r="K29" s="43"/>
      <c r="L29" s="43"/>
      <c r="M29" s="43"/>
      <c r="N29" s="43"/>
      <c r="O29" s="43"/>
      <c r="P29" s="43"/>
      <c r="Q29" s="43"/>
      <c r="R29" s="43"/>
    </row>
    <row r="30" spans="1:18" x14ac:dyDescent="0.2">
      <c r="A30" s="337">
        <f>A29+1</f>
        <v>2019</v>
      </c>
      <c r="B30" s="1419" t="str">
        <f>'3 opbrengsten'!H37 &amp; " (regel "&amp;'3 opbrengsten'!G37&amp;")"</f>
        <v>Werkelijke opbrengsten 2012 (regel 1753)</v>
      </c>
      <c r="C30" s="1434"/>
      <c r="D30" s="1420"/>
      <c r="E30" s="262">
        <f>'3 opbrengsten'!J37</f>
        <v>0</v>
      </c>
      <c r="F30" s="43"/>
      <c r="G30" s="47"/>
      <c r="H30" s="43"/>
      <c r="I30" s="43"/>
      <c r="J30" s="43"/>
      <c r="K30" s="43"/>
      <c r="L30" s="43"/>
      <c r="M30" s="43"/>
      <c r="N30" s="43"/>
      <c r="O30" s="43"/>
      <c r="P30" s="43"/>
      <c r="Q30" s="43"/>
      <c r="R30" s="43"/>
    </row>
    <row r="31" spans="1:18" x14ac:dyDescent="0.2">
      <c r="A31" s="337">
        <f>A30+1</f>
        <v>2020</v>
      </c>
      <c r="B31" s="1419" t="str">
        <f>'3 opbrengsten'!H27&amp; " (regel "&amp;'3 opbrengsten'!G27&amp;")"</f>
        <v>Totaal verrekening opbrengsten via vaste bedragen (regel 1746)</v>
      </c>
      <c r="C31" s="1434"/>
      <c r="D31" s="1420"/>
      <c r="E31" s="262">
        <f>'3 opbrengsten'!J27</f>
        <v>0</v>
      </c>
      <c r="F31" s="43"/>
      <c r="G31" s="47"/>
      <c r="H31" s="43"/>
      <c r="I31" s="43"/>
      <c r="J31" s="43"/>
      <c r="K31" s="43"/>
      <c r="L31" s="43"/>
      <c r="M31" s="43"/>
      <c r="N31" s="43"/>
      <c r="O31" s="43"/>
      <c r="P31" s="43"/>
      <c r="Q31" s="43"/>
      <c r="R31" s="43"/>
    </row>
    <row r="32" spans="1:18" x14ac:dyDescent="0.2">
      <c r="A32" s="337">
        <f>A31+1</f>
        <v>2021</v>
      </c>
      <c r="B32" s="336" t="str">
        <f>'3 opbrengsten'!H35&amp;" (regel "&amp;'3 opbrengsten'!G35&amp;")"</f>
        <v>Totaal opbrengsten beschikbaarheidsbijdrage (regel 1752)</v>
      </c>
      <c r="C32" s="769"/>
      <c r="D32" s="770"/>
      <c r="E32" s="262">
        <f>'3 opbrengsten'!J35</f>
        <v>0</v>
      </c>
      <c r="F32" s="43"/>
      <c r="G32" s="47"/>
      <c r="H32" s="43"/>
      <c r="I32" s="43"/>
      <c r="J32" s="43"/>
      <c r="K32" s="43"/>
      <c r="L32" s="43"/>
      <c r="M32" s="43"/>
      <c r="N32" s="43"/>
      <c r="O32" s="43"/>
      <c r="P32" s="43"/>
      <c r="Q32" s="43"/>
      <c r="R32" s="43"/>
    </row>
    <row r="33" spans="1:18" x14ac:dyDescent="0.2">
      <c r="A33" s="337">
        <f>A32+1</f>
        <v>2022</v>
      </c>
      <c r="B33" s="1421" t="s">
        <v>914</v>
      </c>
      <c r="C33" s="1422"/>
      <c r="D33" s="1423"/>
      <c r="E33" s="263">
        <f>E30-E31-E32</f>
        <v>0</v>
      </c>
      <c r="F33" s="43"/>
      <c r="G33" s="47"/>
      <c r="H33" s="43"/>
      <c r="I33" s="43"/>
      <c r="J33" s="43"/>
      <c r="K33" s="43"/>
      <c r="L33" s="43"/>
      <c r="M33" s="43"/>
      <c r="N33" s="43"/>
      <c r="O33" s="43"/>
      <c r="P33" s="43"/>
      <c r="Q33" s="43"/>
      <c r="R33" s="43"/>
    </row>
    <row r="34" spans="1:18" x14ac:dyDescent="0.2">
      <c r="A34" s="854" t="s">
        <v>915</v>
      </c>
      <c r="B34" s="352"/>
      <c r="C34" s="352"/>
      <c r="D34" s="352"/>
      <c r="E34" s="353"/>
      <c r="F34" s="43"/>
      <c r="G34" s="47"/>
      <c r="H34" s="43"/>
      <c r="I34" s="43"/>
      <c r="J34" s="43"/>
      <c r="K34" s="43"/>
      <c r="L34" s="43"/>
      <c r="M34" s="43"/>
      <c r="N34" s="43"/>
      <c r="O34" s="43"/>
      <c r="P34" s="43"/>
      <c r="Q34" s="43"/>
      <c r="R34" s="43"/>
    </row>
    <row r="35" spans="1:18" x14ac:dyDescent="0.2">
      <c r="A35" s="351"/>
      <c r="B35" s="352"/>
      <c r="C35" s="352"/>
      <c r="D35" s="352"/>
      <c r="E35" s="353"/>
      <c r="F35" s="43"/>
      <c r="G35" s="47"/>
      <c r="H35" s="43"/>
      <c r="I35" s="43"/>
      <c r="J35" s="43"/>
      <c r="K35" s="43"/>
      <c r="L35" s="43"/>
      <c r="M35" s="43"/>
      <c r="N35" s="43"/>
      <c r="O35" s="43"/>
      <c r="P35" s="43"/>
      <c r="Q35" s="43"/>
      <c r="R35" s="43"/>
    </row>
    <row r="36" spans="1:18" x14ac:dyDescent="0.2">
      <c r="A36" s="327" t="s">
        <v>268</v>
      </c>
      <c r="B36" s="327" t="s">
        <v>269</v>
      </c>
      <c r="C36" s="328"/>
      <c r="D36" s="328"/>
      <c r="E36" s="354"/>
      <c r="F36" s="43"/>
      <c r="G36" s="110"/>
      <c r="H36" s="43"/>
      <c r="I36" s="43"/>
      <c r="J36" s="43"/>
      <c r="K36" s="43"/>
      <c r="L36" s="43"/>
      <c r="M36" s="43"/>
      <c r="N36" s="43"/>
      <c r="O36" s="43"/>
      <c r="P36" s="43"/>
      <c r="Q36" s="43"/>
      <c r="R36" s="43"/>
    </row>
    <row r="37" spans="1:18" x14ac:dyDescent="0.2">
      <c r="A37" s="337">
        <f>A33+1</f>
        <v>2023</v>
      </c>
      <c r="B37" s="1419" t="str">
        <f>"Aanvaardbare kosten 2012 minus beschikbaarheidsbijdrage (regel " &amp;A24&amp;" - regel " &amp; '3 opbrengsten'!G35 &amp; " van pagina " &amp; '3 opbrengsten'!J2 &amp;")"</f>
        <v>Aanvaardbare kosten 2012 minus beschikbaarheidsbijdrage (regel 2016 - regel 1752 van pagina 17)</v>
      </c>
      <c r="C37" s="1434"/>
      <c r="D37" s="1420"/>
      <c r="E37" s="262">
        <f>E24-'3 opbrengsten'!J35</f>
        <v>0</v>
      </c>
      <c r="F37" s="43"/>
      <c r="G37" s="47"/>
      <c r="H37" s="43"/>
      <c r="I37" s="43"/>
      <c r="J37" s="43"/>
      <c r="K37" s="43"/>
      <c r="L37" s="43"/>
      <c r="M37" s="43"/>
      <c r="N37" s="43"/>
      <c r="O37" s="43"/>
      <c r="P37" s="43"/>
      <c r="Q37" s="43"/>
      <c r="R37" s="43"/>
    </row>
    <row r="38" spans="1:18" x14ac:dyDescent="0.2">
      <c r="A38" s="337">
        <f>A37+1</f>
        <v>2024</v>
      </c>
      <c r="B38" s="1419" t="str">
        <f>"Opbrengsten "&amp;Voorblad!K4&amp;" ter dekking van het schaduwbudget (regel " &amp;A33&amp; ")"</f>
        <v>Opbrengsten 2012 ter dekking van het schaduwbudget (regel 2022)</v>
      </c>
      <c r="C38" s="1434"/>
      <c r="D38" s="1420"/>
      <c r="E38" s="262">
        <f>E33</f>
        <v>0</v>
      </c>
      <c r="F38" s="43"/>
      <c r="G38" s="47"/>
      <c r="H38" s="43"/>
      <c r="I38" s="43"/>
      <c r="J38" s="43"/>
      <c r="K38" s="43"/>
      <c r="L38" s="43"/>
      <c r="M38" s="43"/>
      <c r="N38" s="43"/>
      <c r="O38" s="43"/>
      <c r="P38" s="43"/>
      <c r="Q38" s="43"/>
      <c r="R38" s="43"/>
    </row>
    <row r="39" spans="1:18" x14ac:dyDescent="0.2">
      <c r="A39" s="337">
        <f>A38+1</f>
        <v>2025</v>
      </c>
      <c r="B39" s="336" t="str">
        <f>"Transitiebedrag (regel ("&amp;A37&amp;" - " &amp; A38&amp; ")"</f>
        <v>Transitiebedrag (regel (2023 - 2024)</v>
      </c>
      <c r="C39" s="769"/>
      <c r="D39" s="770"/>
      <c r="E39" s="262">
        <f>E37-E38</f>
        <v>0</v>
      </c>
      <c r="F39" s="43"/>
      <c r="G39" s="47"/>
      <c r="H39" s="43"/>
      <c r="I39" s="43"/>
      <c r="J39" s="43"/>
      <c r="K39" s="43"/>
      <c r="L39" s="43"/>
      <c r="M39" s="43"/>
      <c r="N39" s="43"/>
      <c r="O39" s="43"/>
      <c r="P39" s="43"/>
      <c r="Q39" s="43"/>
      <c r="R39" s="43"/>
    </row>
    <row r="40" spans="1:18" x14ac:dyDescent="0.2">
      <c r="A40" s="337">
        <f>A39+1</f>
        <v>2026</v>
      </c>
      <c r="B40" s="1421" t="str">
        <f>"Verrekenbedrag 2012 (regel " &amp;A39&amp; " * 95%)"</f>
        <v>Verrekenbedrag 2012 (regel 2025 * 95%)</v>
      </c>
      <c r="C40" s="1422"/>
      <c r="D40" s="1423"/>
      <c r="E40" s="263">
        <f>E39*0.95</f>
        <v>0</v>
      </c>
      <c r="F40" s="544" t="s">
        <v>918</v>
      </c>
      <c r="G40" s="47"/>
      <c r="H40" s="43"/>
      <c r="I40" s="43"/>
      <c r="J40" s="43"/>
      <c r="K40" s="43"/>
      <c r="L40" s="43"/>
      <c r="M40" s="43"/>
      <c r="N40" s="43"/>
      <c r="O40" s="43"/>
      <c r="P40" s="43"/>
      <c r="Q40" s="43"/>
      <c r="R40" s="43"/>
    </row>
    <row r="41" spans="1:18" x14ac:dyDescent="0.2">
      <c r="A41" s="337">
        <f>A40+1</f>
        <v>2027</v>
      </c>
      <c r="B41" s="1421" t="str">
        <f>"Verrekenbedrag 2013 (regel " &amp;A39&amp; " * 70%)"</f>
        <v>Verrekenbedrag 2013 (regel 2025 * 70%)</v>
      </c>
      <c r="C41" s="1422"/>
      <c r="D41" s="1423"/>
      <c r="E41" s="263">
        <f>'5 voorschot verrekenbedrag 2012'!H50</f>
        <v>0</v>
      </c>
      <c r="F41" s="544" t="s">
        <v>918</v>
      </c>
      <c r="G41" s="47"/>
      <c r="H41" s="43"/>
      <c r="I41" s="43"/>
      <c r="J41" s="43"/>
      <c r="K41" s="43"/>
      <c r="L41" s="43"/>
      <c r="M41" s="43"/>
      <c r="N41" s="43"/>
      <c r="O41" s="43"/>
      <c r="P41" s="43"/>
      <c r="Q41" s="43"/>
      <c r="R41" s="43"/>
    </row>
    <row r="42" spans="1:18" x14ac:dyDescent="0.2">
      <c r="A42" s="843" t="s">
        <v>685</v>
      </c>
    </row>
    <row r="43" spans="1:18" x14ac:dyDescent="0.2">
      <c r="A43" s="843" t="s">
        <v>686</v>
      </c>
    </row>
    <row r="44" spans="1:18" x14ac:dyDescent="0.2">
      <c r="A44" s="544" t="str">
        <f>IF(E40&lt;0,"***Negatief bedrag: de instelling dient het verrekenbedrag te betalen aan het zorgverzekeringsfonds.","***Positief bedrag: de instelling ontvangt het verrekenbedrag vanuit het zorgverzekeringsfonds.")</f>
        <v>***Positief bedrag: de instelling ontvangt het verrekenbedrag vanuit het zorgverzekeringsfonds.</v>
      </c>
      <c r="B44" s="43"/>
      <c r="C44" s="43"/>
      <c r="D44" s="43"/>
      <c r="E44" s="52"/>
      <c r="F44" s="43"/>
      <c r="G44" s="47"/>
      <c r="H44" s="43"/>
      <c r="I44" s="43"/>
      <c r="J44" s="43"/>
      <c r="K44" s="43"/>
      <c r="L44" s="43"/>
      <c r="M44" s="43"/>
      <c r="N44" s="43"/>
      <c r="O44" s="43"/>
      <c r="P44" s="43"/>
      <c r="Q44" s="43"/>
      <c r="R44" s="43"/>
    </row>
    <row r="45" spans="1:18" x14ac:dyDescent="0.2">
      <c r="A45" s="59"/>
      <c r="B45" s="43"/>
      <c r="C45" s="43"/>
      <c r="D45" s="43"/>
      <c r="E45" s="52"/>
      <c r="F45" s="43"/>
      <c r="G45" s="47"/>
      <c r="H45" s="43"/>
      <c r="I45" s="43"/>
      <c r="J45" s="43"/>
      <c r="K45" s="43"/>
      <c r="L45" s="43"/>
      <c r="M45" s="43"/>
      <c r="N45" s="43"/>
      <c r="O45" s="43"/>
      <c r="P45" s="43"/>
      <c r="Q45" s="43"/>
      <c r="R45" s="43"/>
    </row>
    <row r="46" spans="1:18" x14ac:dyDescent="0.2">
      <c r="A46" s="59"/>
      <c r="B46" s="43"/>
      <c r="C46" s="43"/>
      <c r="D46" s="43"/>
      <c r="E46" s="52"/>
      <c r="F46" s="43"/>
      <c r="G46" s="47"/>
      <c r="H46" s="43"/>
      <c r="I46" s="43"/>
      <c r="J46" s="43"/>
      <c r="K46" s="43"/>
      <c r="L46" s="43"/>
      <c r="M46" s="43"/>
      <c r="N46" s="43"/>
      <c r="O46" s="43"/>
      <c r="P46" s="43"/>
      <c r="Q46" s="43"/>
      <c r="R46" s="43"/>
    </row>
    <row r="47" spans="1:18" x14ac:dyDescent="0.2">
      <c r="A47" s="59"/>
      <c r="B47" s="43"/>
      <c r="C47" s="43"/>
      <c r="D47" s="43"/>
      <c r="E47" s="52"/>
      <c r="F47" s="43"/>
      <c r="G47" s="47"/>
      <c r="H47" s="43"/>
      <c r="I47" s="43"/>
      <c r="J47" s="43"/>
      <c r="K47" s="43"/>
      <c r="L47" s="43"/>
      <c r="M47" s="43"/>
      <c r="N47" s="43"/>
      <c r="O47" s="43"/>
      <c r="P47" s="43"/>
      <c r="Q47" s="43"/>
      <c r="R47" s="43"/>
    </row>
    <row r="48" spans="1:18" x14ac:dyDescent="0.2">
      <c r="A48" s="59"/>
      <c r="B48" s="43"/>
      <c r="C48" s="43"/>
      <c r="D48" s="43"/>
      <c r="E48" s="52"/>
      <c r="F48" s="43"/>
      <c r="G48" s="47"/>
      <c r="H48" s="43"/>
      <c r="I48" s="43"/>
      <c r="J48" s="43"/>
      <c r="K48" s="43"/>
      <c r="L48" s="43"/>
      <c r="M48" s="43"/>
      <c r="N48" s="43"/>
      <c r="O48" s="43"/>
      <c r="P48" s="43"/>
      <c r="Q48" s="43"/>
      <c r="R48" s="43"/>
    </row>
    <row r="49" spans="1:18" x14ac:dyDescent="0.2">
      <c r="A49" s="59"/>
      <c r="B49" s="43"/>
      <c r="C49" s="43"/>
      <c r="D49" s="43"/>
      <c r="E49" s="52"/>
      <c r="F49" s="43"/>
      <c r="G49" s="47"/>
      <c r="H49" s="43"/>
      <c r="I49" s="43"/>
      <c r="J49" s="43"/>
      <c r="K49" s="43"/>
      <c r="L49" s="43"/>
      <c r="M49" s="43"/>
      <c r="N49" s="43"/>
      <c r="O49" s="43"/>
      <c r="P49" s="43"/>
      <c r="Q49" s="43"/>
      <c r="R49" s="43"/>
    </row>
    <row r="50" spans="1:18" x14ac:dyDescent="0.2">
      <c r="A50" s="59"/>
      <c r="B50" s="43"/>
      <c r="C50" s="43"/>
      <c r="D50" s="43"/>
      <c r="E50" s="52"/>
      <c r="F50" s="43"/>
      <c r="G50" s="47"/>
      <c r="H50" s="43"/>
      <c r="I50" s="43"/>
      <c r="J50" s="43"/>
      <c r="K50" s="43"/>
      <c r="L50" s="43"/>
      <c r="M50" s="43"/>
      <c r="N50" s="43"/>
      <c r="O50" s="43"/>
      <c r="P50" s="43"/>
      <c r="Q50" s="43"/>
      <c r="R50" s="43"/>
    </row>
    <row r="51" spans="1:18" x14ac:dyDescent="0.2">
      <c r="A51" s="59"/>
      <c r="B51" s="43"/>
      <c r="C51" s="43"/>
      <c r="D51" s="43"/>
      <c r="E51" s="52"/>
      <c r="F51" s="43"/>
      <c r="G51" s="47"/>
      <c r="H51" s="43"/>
      <c r="I51" s="43"/>
      <c r="J51" s="43"/>
      <c r="K51" s="43"/>
      <c r="L51" s="43"/>
      <c r="M51" s="43"/>
      <c r="N51" s="43"/>
      <c r="O51" s="43"/>
      <c r="P51" s="43"/>
      <c r="Q51" s="43"/>
      <c r="R51" s="43"/>
    </row>
    <row r="52" spans="1:18" x14ac:dyDescent="0.2">
      <c r="A52" s="59"/>
      <c r="B52" s="43"/>
      <c r="C52" s="43"/>
      <c r="D52" s="43"/>
      <c r="E52" s="52"/>
      <c r="F52" s="43"/>
      <c r="G52" s="47"/>
      <c r="H52" s="43"/>
      <c r="I52" s="43"/>
      <c r="J52" s="43"/>
      <c r="K52" s="43"/>
      <c r="L52" s="43"/>
      <c r="M52" s="43"/>
      <c r="N52" s="43"/>
      <c r="O52" s="43"/>
      <c r="P52" s="43"/>
      <c r="Q52" s="43"/>
      <c r="R52" s="43"/>
    </row>
    <row r="53" spans="1:18" x14ac:dyDescent="0.2">
      <c r="A53" s="59"/>
      <c r="B53" s="43"/>
      <c r="C53" s="43"/>
      <c r="D53" s="43"/>
      <c r="E53" s="52"/>
      <c r="F53" s="43"/>
      <c r="G53" s="47"/>
      <c r="H53" s="43"/>
      <c r="I53" s="43"/>
      <c r="J53" s="43"/>
      <c r="K53" s="43"/>
      <c r="L53" s="43"/>
      <c r="M53" s="43"/>
      <c r="N53" s="43"/>
      <c r="O53" s="43"/>
      <c r="P53" s="43"/>
      <c r="Q53" s="43"/>
      <c r="R53" s="43"/>
    </row>
    <row r="54" spans="1:18" x14ac:dyDescent="0.2">
      <c r="A54" s="59"/>
      <c r="B54" s="43"/>
      <c r="C54" s="43"/>
      <c r="D54" s="43"/>
      <c r="E54" s="52"/>
      <c r="F54" s="43"/>
      <c r="G54" s="47"/>
      <c r="H54" s="43"/>
      <c r="I54" s="43"/>
      <c r="J54" s="43"/>
      <c r="K54" s="43"/>
      <c r="L54" s="43"/>
      <c r="M54" s="43"/>
      <c r="N54" s="43"/>
      <c r="O54" s="43"/>
      <c r="P54" s="43"/>
      <c r="Q54" s="43"/>
      <c r="R54" s="43"/>
    </row>
    <row r="55" spans="1:18" x14ac:dyDescent="0.2">
      <c r="A55" s="59"/>
      <c r="B55" s="43"/>
      <c r="C55" s="43"/>
      <c r="D55" s="43"/>
      <c r="E55" s="52"/>
      <c r="F55" s="43"/>
      <c r="G55" s="47"/>
      <c r="H55" s="43"/>
      <c r="I55" s="43"/>
      <c r="J55" s="43"/>
      <c r="K55" s="43"/>
      <c r="L55" s="43"/>
      <c r="M55" s="43"/>
      <c r="N55" s="43"/>
      <c r="O55" s="43"/>
      <c r="P55" s="43"/>
      <c r="Q55" s="43"/>
      <c r="R55" s="43"/>
    </row>
    <row r="56" spans="1:18" x14ac:dyDescent="0.2">
      <c r="A56" s="59"/>
      <c r="B56" s="43"/>
      <c r="C56" s="43"/>
      <c r="D56" s="43"/>
      <c r="E56" s="52"/>
      <c r="F56" s="43"/>
      <c r="G56" s="47"/>
      <c r="H56" s="43"/>
      <c r="I56" s="43"/>
      <c r="J56" s="43"/>
      <c r="K56" s="43"/>
      <c r="L56" s="43"/>
      <c r="M56" s="43"/>
      <c r="N56" s="43"/>
      <c r="O56" s="43"/>
      <c r="P56" s="43"/>
      <c r="Q56" s="43"/>
      <c r="R56" s="43"/>
    </row>
    <row r="57" spans="1:18" x14ac:dyDescent="0.2">
      <c r="A57" s="59"/>
      <c r="B57" s="43"/>
      <c r="C57" s="43"/>
      <c r="D57" s="43"/>
      <c r="E57" s="52"/>
      <c r="F57" s="43"/>
      <c r="G57" s="47"/>
      <c r="H57" s="43"/>
      <c r="I57" s="43"/>
      <c r="J57" s="43"/>
      <c r="K57" s="43"/>
      <c r="L57" s="43"/>
      <c r="M57" s="43"/>
      <c r="N57" s="43"/>
      <c r="O57" s="43"/>
      <c r="P57" s="43"/>
      <c r="Q57" s="43"/>
      <c r="R57" s="43"/>
    </row>
    <row r="58" spans="1:18" x14ac:dyDescent="0.2">
      <c r="A58" s="59"/>
      <c r="B58" s="43"/>
      <c r="C58" s="43"/>
      <c r="D58" s="43"/>
      <c r="E58" s="52"/>
      <c r="F58" s="43"/>
      <c r="G58" s="47"/>
      <c r="H58" s="43"/>
      <c r="I58" s="43"/>
      <c r="J58" s="43"/>
      <c r="K58" s="43"/>
      <c r="L58" s="43"/>
      <c r="M58" s="43"/>
      <c r="N58" s="43"/>
      <c r="O58" s="43"/>
      <c r="P58" s="43"/>
      <c r="Q58" s="43"/>
      <c r="R58" s="43"/>
    </row>
    <row r="59" spans="1:18" x14ac:dyDescent="0.2">
      <c r="A59" s="59"/>
      <c r="B59" s="43"/>
      <c r="C59" s="43"/>
      <c r="D59" s="43"/>
      <c r="E59" s="52"/>
    </row>
  </sheetData>
  <sheetProtection password="CA39" sheet="1" objects="1" scenarios="1"/>
  <customSheetViews>
    <customSheetView guid="{52EB1485-ECFC-4D16-B893-125E4D85986E}" scale="86" showPageBreaks="1" showGridLines="0" showRuler="0">
      <selection activeCell="E14" sqref="E14"/>
      <pageMargins left="0.75" right="0.75" top="1" bottom="1" header="0.5" footer="0.5"/>
      <pageSetup paperSize="9" orientation="landscape" horizontalDpi="1200" verticalDpi="1200" r:id="rId1"/>
      <headerFooter alignWithMargins="0"/>
    </customSheetView>
  </customSheetViews>
  <mergeCells count="14">
    <mergeCell ref="B41:D41"/>
    <mergeCell ref="A3:D3"/>
    <mergeCell ref="D6:D7"/>
    <mergeCell ref="B9:D9"/>
    <mergeCell ref="B15:D15"/>
    <mergeCell ref="B38:D38"/>
    <mergeCell ref="B31:D31"/>
    <mergeCell ref="B33:D33"/>
    <mergeCell ref="B40:D40"/>
    <mergeCell ref="F21:J21"/>
    <mergeCell ref="B30:D30"/>
    <mergeCell ref="B29:D29"/>
    <mergeCell ref="D26:E26"/>
    <mergeCell ref="B37:D37"/>
  </mergeCells>
  <phoneticPr fontId="12" type="noConversion"/>
  <conditionalFormatting sqref="A44 F40:F41">
    <cfRule type="expression" dxfId="22" priority="1" stopIfTrue="1">
      <formula>$E$40=0</formula>
    </cfRule>
  </conditionalFormatting>
  <conditionalFormatting sqref="D18 D23 C17:D17 C26 E21">
    <cfRule type="expression" dxfId="21" priority="2" stopIfTrue="1">
      <formula>$C$2=TRUE</formula>
    </cfRule>
  </conditionalFormatting>
  <conditionalFormatting sqref="E26 G21">
    <cfRule type="expression" dxfId="20" priority="3" stopIfTrue="1">
      <formula>$D$25&lt;&gt;""</formula>
    </cfRule>
  </conditionalFormatting>
  <conditionalFormatting sqref="D26 F21">
    <cfRule type="expression" dxfId="19" priority="4" stopIfTrue="1">
      <formula>$D$26&lt;&gt;""</formula>
    </cfRule>
  </conditionalFormatting>
  <conditionalFormatting sqref="A3">
    <cfRule type="cellIs" dxfId="18" priority="5" stopIfTrue="1" operator="equal">
      <formula>"Vul het Nza-nummer in op het voorblad"</formula>
    </cfRule>
  </conditionalFormatting>
  <conditionalFormatting sqref="E29">
    <cfRule type="expression" dxfId="17" priority="6" stopIfTrue="1">
      <formula>$C$2=TRUE</formula>
    </cfRule>
  </conditionalFormatting>
  <pageMargins left="0.39370078740157483" right="0.39370078740157483" top="0.39370078740157483" bottom="0.39370078740157483" header="0.51181102362204722" footer="0.51181102362204722"/>
  <pageSetup paperSize="9" scale="96" orientation="landscape" cellComments="asDisplayed" horizontalDpi="1200" verticalDpi="1200" r:id="rId2"/>
  <headerFooter alignWithMargins="0"/>
  <ignoredErrors>
    <ignoredError sqref="E23" formula="1"/>
    <ignoredError sqref="E18" unlockedFormula="1"/>
  </ignoredErrors>
  <drawing r:id="rId3"/>
  <legacyDrawing r:id="rId4"/>
  <oleObjects>
    <mc:AlternateContent xmlns:mc="http://schemas.openxmlformats.org/markup-compatibility/2006">
      <mc:Choice Requires="x14">
        <oleObject progId="MSPhotoEd.3" shapeId="75784" r:id="rId5">
          <objectPr defaultSize="0" autoPict="0" r:id="rId6">
            <anchor moveWithCells="1" sizeWithCells="1">
              <from>
                <xdr:col>3</xdr:col>
                <xdr:colOff>647700</xdr:colOff>
                <xdr:row>1</xdr:row>
                <xdr:rowOff>38100</xdr:rowOff>
              </from>
              <to>
                <xdr:col>4</xdr:col>
                <xdr:colOff>809625</xdr:colOff>
                <xdr:row>1</xdr:row>
                <xdr:rowOff>190500</xdr:rowOff>
              </to>
            </anchor>
          </objectPr>
        </oleObject>
      </mc:Choice>
      <mc:Fallback>
        <oleObject progId="MSPhotoEd.3" shapeId="75784"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4">
    <pageSetUpPr fitToPage="1"/>
  </sheetPr>
  <dimension ref="A1:O31"/>
  <sheetViews>
    <sheetView showGridLines="0" showZeros="0" zoomScaleNormal="100" zoomScaleSheetLayoutView="100" workbookViewId="0">
      <selection activeCell="B47" sqref="B47"/>
    </sheetView>
  </sheetViews>
  <sheetFormatPr defaultRowHeight="12.75" x14ac:dyDescent="0.2"/>
  <cols>
    <col min="1" max="1" width="6.28515625" customWidth="1"/>
    <col min="2" max="2" width="11.140625" customWidth="1"/>
    <col min="3" max="3" width="8" bestFit="1" customWidth="1"/>
    <col min="4" max="4" width="12.42578125" customWidth="1"/>
    <col min="14" max="14" width="14.5703125" customWidth="1"/>
    <col min="15" max="15" width="17.85546875" customWidth="1"/>
  </cols>
  <sheetData>
    <row r="1" spans="1:15" x14ac:dyDescent="0.2">
      <c r="A1" s="314"/>
      <c r="B1" s="315"/>
      <c r="C1" s="316"/>
      <c r="D1" s="772"/>
      <c r="E1" s="315"/>
    </row>
    <row r="2" spans="1:15" x14ac:dyDescent="0.2">
      <c r="A2" s="317" t="str">
        <f>inhoud!A2</f>
        <v>Vaststelling Transitiebedrag 2012</v>
      </c>
      <c r="B2" s="318"/>
      <c r="D2" s="320"/>
      <c r="E2" s="319" t="b">
        <f>Voorblad!D27</f>
        <v>1</v>
      </c>
      <c r="O2" s="321">
        <v>21</v>
      </c>
    </row>
    <row r="3" spans="1:15" x14ac:dyDescent="0.2">
      <c r="A3" s="1317" t="str">
        <f>IF(Voorblad!$F$10&lt;1,"Vul het NZa-nummer in op het voorblad","")</f>
        <v>Vul het NZa-nummer in op het voorblad</v>
      </c>
      <c r="B3" s="1318"/>
      <c r="C3" s="1318"/>
      <c r="D3" s="1318"/>
      <c r="E3" s="315"/>
    </row>
    <row r="4" spans="1:15" x14ac:dyDescent="0.2">
      <c r="A4" s="322" t="s">
        <v>289</v>
      </c>
      <c r="B4" s="323"/>
      <c r="C4" s="324"/>
      <c r="D4" s="325"/>
      <c r="E4" s="326"/>
    </row>
    <row r="5" spans="1:15" x14ac:dyDescent="0.2">
      <c r="A5" s="322"/>
      <c r="B5" s="323"/>
      <c r="C5" s="324"/>
      <c r="D5" s="325"/>
      <c r="E5" s="326"/>
    </row>
    <row r="6" spans="1:15" ht="33.75" customHeight="1" x14ac:dyDescent="0.2">
      <c r="A6" s="322"/>
      <c r="B6" s="1448" t="s">
        <v>290</v>
      </c>
      <c r="C6" s="1449"/>
      <c r="D6" s="1449"/>
      <c r="E6" s="1449"/>
      <c r="F6" s="1449"/>
      <c r="G6" s="1449"/>
      <c r="H6" s="1449"/>
      <c r="I6" s="1449"/>
      <c r="J6" s="1449"/>
      <c r="K6" s="1449"/>
      <c r="L6" s="1449"/>
      <c r="M6" s="1449"/>
      <c r="N6" s="767" t="s">
        <v>487</v>
      </c>
      <c r="O6" s="670" t="s">
        <v>495</v>
      </c>
    </row>
    <row r="8" spans="1:15" ht="12.75" customHeight="1" x14ac:dyDescent="0.2">
      <c r="A8" s="179">
        <f>O2*100+1</f>
        <v>2101</v>
      </c>
      <c r="B8" s="1450"/>
      <c r="C8" s="1451"/>
      <c r="D8" s="1451"/>
      <c r="E8" s="1451"/>
      <c r="F8" s="1451"/>
      <c r="G8" s="1451"/>
      <c r="H8" s="1451"/>
      <c r="I8" s="1451"/>
      <c r="J8" s="1451"/>
      <c r="K8" s="1451"/>
      <c r="L8" s="1451"/>
      <c r="M8" s="1451"/>
      <c r="N8" s="766"/>
      <c r="O8" s="120"/>
    </row>
    <row r="9" spans="1:15" x14ac:dyDescent="0.2">
      <c r="A9" s="179">
        <f>A8+1</f>
        <v>2102</v>
      </c>
      <c r="B9" s="1450"/>
      <c r="C9" s="1451"/>
      <c r="D9" s="1451"/>
      <c r="E9" s="1451"/>
      <c r="F9" s="1451"/>
      <c r="G9" s="1451"/>
      <c r="H9" s="1451"/>
      <c r="I9" s="1451"/>
      <c r="J9" s="1451"/>
      <c r="K9" s="1451"/>
      <c r="L9" s="1451"/>
      <c r="M9" s="1451"/>
      <c r="N9" s="766"/>
      <c r="O9" s="120"/>
    </row>
    <row r="10" spans="1:15" x14ac:dyDescent="0.2">
      <c r="A10" s="179">
        <f t="shared" ref="A10:A30" si="0">A9+1</f>
        <v>2103</v>
      </c>
      <c r="B10" s="1450"/>
      <c r="C10" s="1451"/>
      <c r="D10" s="1451"/>
      <c r="E10" s="1451"/>
      <c r="F10" s="1451"/>
      <c r="G10" s="1451"/>
      <c r="H10" s="1451"/>
      <c r="I10" s="1451"/>
      <c r="J10" s="1451"/>
      <c r="K10" s="1451"/>
      <c r="L10" s="1451"/>
      <c r="M10" s="1451"/>
      <c r="N10" s="766"/>
      <c r="O10" s="120"/>
    </row>
    <row r="11" spans="1:15" x14ac:dyDescent="0.2">
      <c r="A11" s="179">
        <f t="shared" si="0"/>
        <v>2104</v>
      </c>
      <c r="B11" s="1450"/>
      <c r="C11" s="1451"/>
      <c r="D11" s="1451"/>
      <c r="E11" s="1451"/>
      <c r="F11" s="1451"/>
      <c r="G11" s="1451"/>
      <c r="H11" s="1451"/>
      <c r="I11" s="1451"/>
      <c r="J11" s="1451"/>
      <c r="K11" s="1451"/>
      <c r="L11" s="1451"/>
      <c r="M11" s="1451"/>
      <c r="N11" s="766"/>
      <c r="O11" s="120"/>
    </row>
    <row r="12" spans="1:15" x14ac:dyDescent="0.2">
      <c r="A12" s="179">
        <f t="shared" si="0"/>
        <v>2105</v>
      </c>
      <c r="B12" s="1450"/>
      <c r="C12" s="1451"/>
      <c r="D12" s="1451"/>
      <c r="E12" s="1451"/>
      <c r="F12" s="1451"/>
      <c r="G12" s="1451"/>
      <c r="H12" s="1451"/>
      <c r="I12" s="1451"/>
      <c r="J12" s="1451"/>
      <c r="K12" s="1451"/>
      <c r="L12" s="1451"/>
      <c r="M12" s="1451"/>
      <c r="N12" s="766"/>
      <c r="O12" s="120"/>
    </row>
    <row r="13" spans="1:15" x14ac:dyDescent="0.2">
      <c r="A13" s="179">
        <f t="shared" si="0"/>
        <v>2106</v>
      </c>
      <c r="B13" s="1450"/>
      <c r="C13" s="1451"/>
      <c r="D13" s="1451"/>
      <c r="E13" s="1451"/>
      <c r="F13" s="1451"/>
      <c r="G13" s="1451"/>
      <c r="H13" s="1451"/>
      <c r="I13" s="1451"/>
      <c r="J13" s="1451"/>
      <c r="K13" s="1451"/>
      <c r="L13" s="1451"/>
      <c r="M13" s="1451"/>
      <c r="N13" s="766"/>
      <c r="O13" s="120"/>
    </row>
    <row r="14" spans="1:15" x14ac:dyDescent="0.2">
      <c r="A14" s="179">
        <f t="shared" si="0"/>
        <v>2107</v>
      </c>
      <c r="B14" s="1450"/>
      <c r="C14" s="1451"/>
      <c r="D14" s="1451"/>
      <c r="E14" s="1451"/>
      <c r="F14" s="1451"/>
      <c r="G14" s="1451"/>
      <c r="H14" s="1451"/>
      <c r="I14" s="1451"/>
      <c r="J14" s="1451"/>
      <c r="K14" s="1451"/>
      <c r="L14" s="1451"/>
      <c r="M14" s="1451"/>
      <c r="N14" s="766"/>
      <c r="O14" s="120"/>
    </row>
    <row r="15" spans="1:15" x14ac:dyDescent="0.2">
      <c r="A15" s="179">
        <f t="shared" si="0"/>
        <v>2108</v>
      </c>
      <c r="B15" s="1450"/>
      <c r="C15" s="1451"/>
      <c r="D15" s="1451"/>
      <c r="E15" s="1451"/>
      <c r="F15" s="1451"/>
      <c r="G15" s="1451"/>
      <c r="H15" s="1451"/>
      <c r="I15" s="1451"/>
      <c r="J15" s="1451"/>
      <c r="K15" s="1451"/>
      <c r="L15" s="1451"/>
      <c r="M15" s="1451"/>
      <c r="N15" s="766"/>
      <c r="O15" s="120"/>
    </row>
    <row r="16" spans="1:15" x14ac:dyDescent="0.2">
      <c r="A16" s="179">
        <f t="shared" si="0"/>
        <v>2109</v>
      </c>
      <c r="B16" s="1450"/>
      <c r="C16" s="1451"/>
      <c r="D16" s="1451"/>
      <c r="E16" s="1451"/>
      <c r="F16" s="1451"/>
      <c r="G16" s="1451"/>
      <c r="H16" s="1451"/>
      <c r="I16" s="1451"/>
      <c r="J16" s="1451"/>
      <c r="K16" s="1451"/>
      <c r="L16" s="1451"/>
      <c r="M16" s="1451"/>
      <c r="N16" s="766"/>
      <c r="O16" s="120"/>
    </row>
    <row r="17" spans="1:15" x14ac:dyDescent="0.2">
      <c r="A17" s="179">
        <f t="shared" si="0"/>
        <v>2110</v>
      </c>
      <c r="B17" s="1450"/>
      <c r="C17" s="1451"/>
      <c r="D17" s="1451"/>
      <c r="E17" s="1451"/>
      <c r="F17" s="1451"/>
      <c r="G17" s="1451"/>
      <c r="H17" s="1451"/>
      <c r="I17" s="1451"/>
      <c r="J17" s="1451"/>
      <c r="K17" s="1451"/>
      <c r="L17" s="1451"/>
      <c r="M17" s="1451"/>
      <c r="N17" s="766"/>
      <c r="O17" s="120"/>
    </row>
    <row r="18" spans="1:15" x14ac:dyDescent="0.2">
      <c r="A18" s="179">
        <f t="shared" si="0"/>
        <v>2111</v>
      </c>
      <c r="B18" s="1450"/>
      <c r="C18" s="1451"/>
      <c r="D18" s="1451"/>
      <c r="E18" s="1451"/>
      <c r="F18" s="1451"/>
      <c r="G18" s="1451"/>
      <c r="H18" s="1451"/>
      <c r="I18" s="1451"/>
      <c r="J18" s="1451"/>
      <c r="K18" s="1451"/>
      <c r="L18" s="1451"/>
      <c r="M18" s="1451"/>
      <c r="N18" s="766"/>
      <c r="O18" s="120"/>
    </row>
    <row r="19" spans="1:15" x14ac:dyDescent="0.2">
      <c r="A19" s="179">
        <f t="shared" si="0"/>
        <v>2112</v>
      </c>
      <c r="B19" s="1450"/>
      <c r="C19" s="1451"/>
      <c r="D19" s="1451"/>
      <c r="E19" s="1451"/>
      <c r="F19" s="1451"/>
      <c r="G19" s="1451"/>
      <c r="H19" s="1451"/>
      <c r="I19" s="1451"/>
      <c r="J19" s="1451"/>
      <c r="K19" s="1451"/>
      <c r="L19" s="1451"/>
      <c r="M19" s="1451"/>
      <c r="N19" s="766"/>
      <c r="O19" s="120"/>
    </row>
    <row r="20" spans="1:15" x14ac:dyDescent="0.2">
      <c r="A20" s="179">
        <f t="shared" si="0"/>
        <v>2113</v>
      </c>
      <c r="B20" s="1450"/>
      <c r="C20" s="1451"/>
      <c r="D20" s="1451"/>
      <c r="E20" s="1451"/>
      <c r="F20" s="1451"/>
      <c r="G20" s="1451"/>
      <c r="H20" s="1451"/>
      <c r="I20" s="1451"/>
      <c r="J20" s="1451"/>
      <c r="K20" s="1451"/>
      <c r="L20" s="1451"/>
      <c r="M20" s="1451"/>
      <c r="N20" s="766"/>
      <c r="O20" s="120"/>
    </row>
    <row r="21" spans="1:15" x14ac:dyDescent="0.2">
      <c r="A21" s="179">
        <f t="shared" si="0"/>
        <v>2114</v>
      </c>
      <c r="B21" s="1450"/>
      <c r="C21" s="1451"/>
      <c r="D21" s="1451"/>
      <c r="E21" s="1451"/>
      <c r="F21" s="1451"/>
      <c r="G21" s="1451"/>
      <c r="H21" s="1451"/>
      <c r="I21" s="1451"/>
      <c r="J21" s="1451"/>
      <c r="K21" s="1451"/>
      <c r="L21" s="1451"/>
      <c r="M21" s="1451"/>
      <c r="N21" s="766"/>
      <c r="O21" s="120"/>
    </row>
    <row r="22" spans="1:15" x14ac:dyDescent="0.2">
      <c r="A22" s="179">
        <f t="shared" si="0"/>
        <v>2115</v>
      </c>
      <c r="B22" s="1450"/>
      <c r="C22" s="1451"/>
      <c r="D22" s="1451"/>
      <c r="E22" s="1451"/>
      <c r="F22" s="1451"/>
      <c r="G22" s="1451"/>
      <c r="H22" s="1451"/>
      <c r="I22" s="1451"/>
      <c r="J22" s="1451"/>
      <c r="K22" s="1451"/>
      <c r="L22" s="1451"/>
      <c r="M22" s="1451"/>
      <c r="N22" s="766"/>
      <c r="O22" s="120"/>
    </row>
    <row r="23" spans="1:15" x14ac:dyDescent="0.2">
      <c r="A23" s="179">
        <f t="shared" si="0"/>
        <v>2116</v>
      </c>
      <c r="B23" s="1450"/>
      <c r="C23" s="1451"/>
      <c r="D23" s="1451"/>
      <c r="E23" s="1451"/>
      <c r="F23" s="1451"/>
      <c r="G23" s="1451"/>
      <c r="H23" s="1451"/>
      <c r="I23" s="1451"/>
      <c r="J23" s="1451"/>
      <c r="K23" s="1451"/>
      <c r="L23" s="1451"/>
      <c r="M23" s="1451"/>
      <c r="N23" s="766"/>
      <c r="O23" s="120"/>
    </row>
    <row r="24" spans="1:15" x14ac:dyDescent="0.2">
      <c r="A24" s="179">
        <f t="shared" si="0"/>
        <v>2117</v>
      </c>
      <c r="B24" s="1450"/>
      <c r="C24" s="1451"/>
      <c r="D24" s="1451"/>
      <c r="E24" s="1451"/>
      <c r="F24" s="1451"/>
      <c r="G24" s="1451"/>
      <c r="H24" s="1451"/>
      <c r="I24" s="1451"/>
      <c r="J24" s="1451"/>
      <c r="K24" s="1451"/>
      <c r="L24" s="1451"/>
      <c r="M24" s="1451"/>
      <c r="N24" s="766"/>
      <c r="O24" s="120"/>
    </row>
    <row r="25" spans="1:15" x14ac:dyDescent="0.2">
      <c r="A25" s="179">
        <f t="shared" si="0"/>
        <v>2118</v>
      </c>
      <c r="B25" s="1450"/>
      <c r="C25" s="1451"/>
      <c r="D25" s="1451"/>
      <c r="E25" s="1451"/>
      <c r="F25" s="1451"/>
      <c r="G25" s="1451"/>
      <c r="H25" s="1451"/>
      <c r="I25" s="1451"/>
      <c r="J25" s="1451"/>
      <c r="K25" s="1451"/>
      <c r="L25" s="1451"/>
      <c r="M25" s="1451"/>
      <c r="N25" s="766"/>
      <c r="O25" s="120"/>
    </row>
    <row r="26" spans="1:15" x14ac:dyDescent="0.2">
      <c r="A26" s="179">
        <f t="shared" si="0"/>
        <v>2119</v>
      </c>
      <c r="B26" s="1450"/>
      <c r="C26" s="1451"/>
      <c r="D26" s="1451"/>
      <c r="E26" s="1451"/>
      <c r="F26" s="1451"/>
      <c r="G26" s="1451"/>
      <c r="H26" s="1451"/>
      <c r="I26" s="1451"/>
      <c r="J26" s="1451"/>
      <c r="K26" s="1451"/>
      <c r="L26" s="1451"/>
      <c r="M26" s="1451"/>
      <c r="N26" s="766"/>
      <c r="O26" s="120"/>
    </row>
    <row r="27" spans="1:15" x14ac:dyDescent="0.2">
      <c r="A27" s="179">
        <f t="shared" si="0"/>
        <v>2120</v>
      </c>
      <c r="B27" s="1450"/>
      <c r="C27" s="1451"/>
      <c r="D27" s="1451"/>
      <c r="E27" s="1451"/>
      <c r="F27" s="1451"/>
      <c r="G27" s="1451"/>
      <c r="H27" s="1451"/>
      <c r="I27" s="1451"/>
      <c r="J27" s="1451"/>
      <c r="K27" s="1451"/>
      <c r="L27" s="1451"/>
      <c r="M27" s="1451"/>
      <c r="N27" s="766"/>
      <c r="O27" s="120"/>
    </row>
    <row r="28" spans="1:15" x14ac:dyDescent="0.2">
      <c r="A28" s="179">
        <f t="shared" si="0"/>
        <v>2121</v>
      </c>
      <c r="B28" s="1450"/>
      <c r="C28" s="1451"/>
      <c r="D28" s="1451"/>
      <c r="E28" s="1451"/>
      <c r="F28" s="1451"/>
      <c r="G28" s="1451"/>
      <c r="H28" s="1451"/>
      <c r="I28" s="1451"/>
      <c r="J28" s="1451"/>
      <c r="K28" s="1451"/>
      <c r="L28" s="1451"/>
      <c r="M28" s="1451"/>
      <c r="N28" s="766"/>
      <c r="O28" s="120"/>
    </row>
    <row r="29" spans="1:15" x14ac:dyDescent="0.2">
      <c r="A29" s="179">
        <f t="shared" si="0"/>
        <v>2122</v>
      </c>
      <c r="B29" s="1450"/>
      <c r="C29" s="1451"/>
      <c r="D29" s="1451"/>
      <c r="E29" s="1451"/>
      <c r="F29" s="1451"/>
      <c r="G29" s="1451"/>
      <c r="H29" s="1451"/>
      <c r="I29" s="1451"/>
      <c r="J29" s="1451"/>
      <c r="K29" s="1451"/>
      <c r="L29" s="1451"/>
      <c r="M29" s="1451"/>
      <c r="N29" s="766"/>
      <c r="O29" s="120"/>
    </row>
    <row r="30" spans="1:15" x14ac:dyDescent="0.2">
      <c r="A30" s="179">
        <f t="shared" si="0"/>
        <v>2123</v>
      </c>
      <c r="B30" s="1450"/>
      <c r="C30" s="1451"/>
      <c r="D30" s="1451"/>
      <c r="E30" s="1451"/>
      <c r="F30" s="1451"/>
      <c r="G30" s="1451"/>
      <c r="H30" s="1451"/>
      <c r="I30" s="1451"/>
      <c r="J30" s="1451"/>
      <c r="K30" s="1451"/>
      <c r="L30" s="1451"/>
      <c r="M30" s="1451"/>
      <c r="N30" s="766"/>
      <c r="O30" s="120"/>
    </row>
    <row r="31" spans="1:15" ht="12.75" customHeight="1" x14ac:dyDescent="0.2">
      <c r="A31" s="1452" t="s">
        <v>749</v>
      </c>
      <c r="B31" s="1453"/>
      <c r="C31" s="1453"/>
      <c r="D31" s="1453"/>
      <c r="E31" s="1453"/>
      <c r="F31" s="1453"/>
      <c r="G31" s="1453"/>
      <c r="H31" s="1453"/>
      <c r="I31" s="1453"/>
      <c r="J31" s="1453"/>
      <c r="K31" s="1453"/>
      <c r="L31" s="1453"/>
      <c r="M31" s="1453"/>
      <c r="N31" s="1454"/>
      <c r="O31" s="671">
        <f>SUM(O8:O30)</f>
        <v>0</v>
      </c>
    </row>
  </sheetData>
  <sheetProtection password="CA39" sheet="1" objects="1" scenarios="1"/>
  <mergeCells count="26">
    <mergeCell ref="A3:D3"/>
    <mergeCell ref="B14:M14"/>
    <mergeCell ref="B15:M15"/>
    <mergeCell ref="A31:N31"/>
    <mergeCell ref="B16:M16"/>
    <mergeCell ref="B17:M17"/>
    <mergeCell ref="B18:M18"/>
    <mergeCell ref="B10:M10"/>
    <mergeCell ref="B11:M11"/>
    <mergeCell ref="B12:M12"/>
    <mergeCell ref="B13:M13"/>
    <mergeCell ref="B30:M30"/>
    <mergeCell ref="B23:M23"/>
    <mergeCell ref="B24:M24"/>
    <mergeCell ref="B25:M25"/>
    <mergeCell ref="B26:M26"/>
    <mergeCell ref="B6:M6"/>
    <mergeCell ref="B27:M27"/>
    <mergeCell ref="B28:M28"/>
    <mergeCell ref="B29:M29"/>
    <mergeCell ref="B19:M19"/>
    <mergeCell ref="B20:M20"/>
    <mergeCell ref="B21:M21"/>
    <mergeCell ref="B22:M22"/>
    <mergeCell ref="B8:M8"/>
    <mergeCell ref="B9:M9"/>
  </mergeCells>
  <phoneticPr fontId="12" type="noConversion"/>
  <conditionalFormatting sqref="O8:O30 B8:B30">
    <cfRule type="expression" dxfId="16" priority="1" stopIfTrue="1">
      <formula>$E$2=TRUE</formula>
    </cfRule>
  </conditionalFormatting>
  <conditionalFormatting sqref="A3">
    <cfRule type="cellIs" dxfId="15" priority="2" stopIfTrue="1" operator="equal">
      <formula>"Vul het Nza-nummer in op het voorblad"</formula>
    </cfRule>
  </conditionalFormatting>
  <dataValidations count="2">
    <dataValidation type="whole" allowBlank="1" showInputMessage="1" showErrorMessage="1" sqref="O8:O30">
      <formula1>-1E+24</formula1>
      <formula2>1E+27</formula2>
    </dataValidation>
    <dataValidation type="list" allowBlank="1" showInputMessage="1" showErrorMessage="1" sqref="N8:N30">
      <formula1>"Ja,Nee"</formula1>
    </dataValidation>
  </dataValidations>
  <pageMargins left="0.35" right="0.34" top="0.64" bottom="0.66" header="0.5" footer="0.5"/>
  <pageSetup paperSize="9" scale="94" orientation="landscape" r:id="rId1"/>
  <headerFooter alignWithMargins="0"/>
  <drawing r:id="rId2"/>
  <legacyDrawing r:id="rId3"/>
  <oleObjects>
    <mc:AlternateContent xmlns:mc="http://schemas.openxmlformats.org/markup-compatibility/2006">
      <mc:Choice Requires="x14">
        <oleObject progId="MSPhotoEd.3" shapeId="121858" r:id="rId4">
          <objectPr defaultSize="0" autoPict="0" r:id="rId5">
            <anchor moveWithCells="1" sizeWithCells="1">
              <from>
                <xdr:col>13</xdr:col>
                <xdr:colOff>609600</xdr:colOff>
                <xdr:row>1</xdr:row>
                <xdr:rowOff>0</xdr:rowOff>
              </from>
              <to>
                <xdr:col>14</xdr:col>
                <xdr:colOff>914400</xdr:colOff>
                <xdr:row>1</xdr:row>
                <xdr:rowOff>152400</xdr:rowOff>
              </to>
            </anchor>
          </objectPr>
        </oleObject>
      </mc:Choice>
      <mc:Fallback>
        <oleObject progId="MSPhotoEd.3" shapeId="121858" r:id="rId4"/>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52"/>
  <sheetViews>
    <sheetView showGridLines="0" showZeros="0" zoomScaleNormal="100" zoomScaleSheetLayoutView="100" workbookViewId="0">
      <selection activeCell="H48" sqref="H48"/>
    </sheetView>
  </sheetViews>
  <sheetFormatPr defaultRowHeight="12.75" x14ac:dyDescent="0.2"/>
  <cols>
    <col min="2" max="2" width="29.5703125" customWidth="1"/>
    <col min="3" max="3" width="10.85546875" bestFit="1" customWidth="1"/>
    <col min="4" max="4" width="16.7109375" bestFit="1" customWidth="1"/>
    <col min="5" max="5" width="15.140625" customWidth="1"/>
    <col min="6" max="6" width="16.28515625" bestFit="1" customWidth="1"/>
    <col min="7" max="7" width="11.42578125" bestFit="1" customWidth="1"/>
    <col min="8" max="8" width="15.140625" customWidth="1"/>
    <col min="9" max="9" width="13" customWidth="1"/>
    <col min="10" max="10" width="18.42578125" customWidth="1"/>
    <col min="11" max="11" width="11.42578125" bestFit="1" customWidth="1"/>
  </cols>
  <sheetData>
    <row r="1" spans="1:18" s="823" customFormat="1" ht="15.95" customHeight="1" x14ac:dyDescent="0.2">
      <c r="A1" s="314"/>
      <c r="B1" s="315"/>
      <c r="C1" s="315"/>
      <c r="D1" s="1455">
        <f>'4 overzicht mutaties'!B1</f>
        <v>0</v>
      </c>
      <c r="E1" s="1455"/>
      <c r="F1" s="1455"/>
      <c r="G1" s="821"/>
      <c r="H1" s="314"/>
      <c r="I1" s="315"/>
      <c r="J1" s="822"/>
      <c r="K1" s="315"/>
      <c r="L1" s="325"/>
      <c r="M1" s="315"/>
      <c r="N1" s="328"/>
      <c r="O1" s="328"/>
      <c r="P1" s="798"/>
      <c r="Q1" s="328"/>
      <c r="R1" s="328"/>
    </row>
    <row r="2" spans="1:18" s="825" customFormat="1" ht="15.75" customHeight="1" x14ac:dyDescent="0.2">
      <c r="A2" s="317" t="str">
        <f>'4 overzicht mutaties'!A2</f>
        <v>Vaststelling Transitiebedrag 2012</v>
      </c>
      <c r="B2" s="318"/>
      <c r="C2" s="318"/>
      <c r="D2" s="824"/>
      <c r="E2" s="129"/>
      <c r="F2" s="320"/>
      <c r="G2" s="319" t="b">
        <v>1</v>
      </c>
      <c r="H2" s="320"/>
      <c r="I2" s="318"/>
      <c r="K2" s="826">
        <v>22</v>
      </c>
      <c r="L2" s="827"/>
      <c r="M2" s="318"/>
      <c r="N2" s="318"/>
      <c r="O2" s="318"/>
      <c r="P2" s="318"/>
      <c r="Q2" s="318"/>
      <c r="R2" s="318"/>
    </row>
    <row r="3" spans="1:18" s="825" customFormat="1" ht="9.75" customHeight="1" x14ac:dyDescent="0.2">
      <c r="A3" s="317"/>
      <c r="B3" s="318"/>
      <c r="C3" s="318"/>
      <c r="D3" s="824"/>
      <c r="E3" s="115"/>
      <c r="F3" s="320"/>
      <c r="G3" s="319"/>
      <c r="H3" s="320"/>
      <c r="I3" s="318"/>
      <c r="J3" s="826"/>
      <c r="K3" s="318"/>
      <c r="L3" s="827"/>
      <c r="M3" s="318"/>
      <c r="N3" s="318"/>
      <c r="O3" s="318"/>
      <c r="P3" s="318"/>
      <c r="Q3" s="318"/>
      <c r="R3" s="318"/>
    </row>
    <row r="4" spans="1:18" x14ac:dyDescent="0.2">
      <c r="A4" s="59" t="s">
        <v>657</v>
      </c>
      <c r="C4" s="370"/>
      <c r="D4" s="828"/>
      <c r="E4" s="829"/>
      <c r="F4" s="829"/>
      <c r="G4" s="829"/>
      <c r="H4" s="829"/>
      <c r="I4" s="829"/>
      <c r="J4" s="829"/>
      <c r="K4" s="829"/>
      <c r="L4" s="754"/>
    </row>
    <row r="5" spans="1:18" x14ac:dyDescent="0.2">
      <c r="A5" s="37"/>
      <c r="B5" s="43"/>
      <c r="C5" s="631" t="b">
        <f>Voorblad!D27</f>
        <v>1</v>
      </c>
      <c r="D5" s="43"/>
      <c r="E5" s="43"/>
      <c r="F5" s="43"/>
      <c r="G5" s="43"/>
      <c r="H5" s="43"/>
      <c r="I5" s="43"/>
      <c r="J5" s="43"/>
      <c r="K5" s="43"/>
    </row>
    <row r="6" spans="1:18" ht="23.25" x14ac:dyDescent="0.2">
      <c r="A6" s="108" t="s">
        <v>658</v>
      </c>
      <c r="B6" s="457"/>
      <c r="C6" s="830" t="s">
        <v>733</v>
      </c>
      <c r="D6" s="830" t="s">
        <v>659</v>
      </c>
      <c r="E6" s="830" t="s">
        <v>630</v>
      </c>
      <c r="F6" s="830" t="s">
        <v>269</v>
      </c>
      <c r="G6" s="830" t="s">
        <v>630</v>
      </c>
      <c r="H6" s="830" t="s">
        <v>660</v>
      </c>
      <c r="I6" s="830" t="s">
        <v>630</v>
      </c>
      <c r="J6" s="831" t="s">
        <v>661</v>
      </c>
      <c r="K6" s="830" t="s">
        <v>630</v>
      </c>
    </row>
    <row r="7" spans="1:18" x14ac:dyDescent="0.2">
      <c r="A7" s="108"/>
      <c r="B7" s="457"/>
      <c r="C7" s="458"/>
      <c r="D7" s="458"/>
      <c r="E7" s="458"/>
      <c r="F7" s="458"/>
      <c r="G7" s="458"/>
      <c r="H7" s="458"/>
      <c r="I7" s="458"/>
      <c r="J7" s="458"/>
      <c r="K7" s="458"/>
    </row>
    <row r="8" spans="1:18" x14ac:dyDescent="0.2">
      <c r="A8" s="57">
        <f>K2*100+1</f>
        <v>2201</v>
      </c>
      <c r="B8" s="463" t="s">
        <v>497</v>
      </c>
      <c r="C8" s="434">
        <v>0.95830000000000004</v>
      </c>
      <c r="D8" s="832">
        <f t="shared" ref="D8:D19" si="0">($H$23)/12</f>
        <v>0</v>
      </c>
      <c r="E8" s="262">
        <f t="shared" ref="E8:E19" si="1">C8*D8</f>
        <v>0</v>
      </c>
      <c r="F8" s="833">
        <f t="shared" ref="F8:F19" si="2">$H$22/12</f>
        <v>0</v>
      </c>
      <c r="G8" s="262">
        <f t="shared" ref="G8:G19" si="3">C8*F8</f>
        <v>0</v>
      </c>
      <c r="H8" s="49"/>
      <c r="I8" s="262">
        <f t="shared" ref="I8:I19" si="4">C8*H8</f>
        <v>0</v>
      </c>
      <c r="J8" s="262">
        <f t="shared" ref="J8:J19" si="5">D8-H8</f>
        <v>0</v>
      </c>
      <c r="K8" s="262">
        <f t="shared" ref="K8:K19" si="6">C8*J8</f>
        <v>0</v>
      </c>
    </row>
    <row r="9" spans="1:18" x14ac:dyDescent="0.2">
      <c r="A9" s="57">
        <f t="shared" ref="A9:A20" si="7">A8+1</f>
        <v>2202</v>
      </c>
      <c r="B9" s="463" t="s">
        <v>498</v>
      </c>
      <c r="C9" s="434">
        <v>0.875</v>
      </c>
      <c r="D9" s="832">
        <f t="shared" si="0"/>
        <v>0</v>
      </c>
      <c r="E9" s="262">
        <f t="shared" si="1"/>
        <v>0</v>
      </c>
      <c r="F9" s="833">
        <f t="shared" si="2"/>
        <v>0</v>
      </c>
      <c r="G9" s="262">
        <f t="shared" si="3"/>
        <v>0</v>
      </c>
      <c r="H9" s="49"/>
      <c r="I9" s="262">
        <f t="shared" si="4"/>
        <v>0</v>
      </c>
      <c r="J9" s="262">
        <f t="shared" si="5"/>
        <v>0</v>
      </c>
      <c r="K9" s="262">
        <f t="shared" si="6"/>
        <v>0</v>
      </c>
    </row>
    <row r="10" spans="1:18" x14ac:dyDescent="0.2">
      <c r="A10" s="57">
        <f t="shared" si="7"/>
        <v>2203</v>
      </c>
      <c r="B10" s="463" t="s">
        <v>499</v>
      </c>
      <c r="C10" s="434">
        <v>0.79169999999999996</v>
      </c>
      <c r="D10" s="832">
        <f t="shared" si="0"/>
        <v>0</v>
      </c>
      <c r="E10" s="262">
        <f t="shared" si="1"/>
        <v>0</v>
      </c>
      <c r="F10" s="833">
        <f t="shared" si="2"/>
        <v>0</v>
      </c>
      <c r="G10" s="262">
        <f t="shared" si="3"/>
        <v>0</v>
      </c>
      <c r="H10" s="49"/>
      <c r="I10" s="262">
        <f t="shared" si="4"/>
        <v>0</v>
      </c>
      <c r="J10" s="262">
        <f t="shared" si="5"/>
        <v>0</v>
      </c>
      <c r="K10" s="262">
        <f t="shared" si="6"/>
        <v>0</v>
      </c>
    </row>
    <row r="11" spans="1:18" x14ac:dyDescent="0.2">
      <c r="A11" s="57">
        <f t="shared" si="7"/>
        <v>2204</v>
      </c>
      <c r="B11" s="463" t="s">
        <v>500</v>
      </c>
      <c r="C11" s="434">
        <v>0.70830000000000004</v>
      </c>
      <c r="D11" s="832">
        <f t="shared" si="0"/>
        <v>0</v>
      </c>
      <c r="E11" s="262">
        <f t="shared" si="1"/>
        <v>0</v>
      </c>
      <c r="F11" s="833">
        <f t="shared" si="2"/>
        <v>0</v>
      </c>
      <c r="G11" s="262">
        <f t="shared" si="3"/>
        <v>0</v>
      </c>
      <c r="H11" s="49"/>
      <c r="I11" s="262">
        <f t="shared" si="4"/>
        <v>0</v>
      </c>
      <c r="J11" s="262">
        <f t="shared" si="5"/>
        <v>0</v>
      </c>
      <c r="K11" s="262">
        <f t="shared" si="6"/>
        <v>0</v>
      </c>
    </row>
    <row r="12" spans="1:18" x14ac:dyDescent="0.2">
      <c r="A12" s="57">
        <f t="shared" si="7"/>
        <v>2205</v>
      </c>
      <c r="B12" s="463" t="s">
        <v>501</v>
      </c>
      <c r="C12" s="434">
        <v>0.625</v>
      </c>
      <c r="D12" s="832">
        <f t="shared" si="0"/>
        <v>0</v>
      </c>
      <c r="E12" s="262">
        <f t="shared" si="1"/>
        <v>0</v>
      </c>
      <c r="F12" s="833">
        <f t="shared" si="2"/>
        <v>0</v>
      </c>
      <c r="G12" s="262">
        <f t="shared" si="3"/>
        <v>0</v>
      </c>
      <c r="H12" s="49"/>
      <c r="I12" s="262">
        <f t="shared" si="4"/>
        <v>0</v>
      </c>
      <c r="J12" s="262">
        <f t="shared" si="5"/>
        <v>0</v>
      </c>
      <c r="K12" s="262">
        <f t="shared" si="6"/>
        <v>0</v>
      </c>
    </row>
    <row r="13" spans="1:18" x14ac:dyDescent="0.2">
      <c r="A13" s="57">
        <f t="shared" si="7"/>
        <v>2206</v>
      </c>
      <c r="B13" s="463" t="s">
        <v>502</v>
      </c>
      <c r="C13" s="434">
        <v>0.54169999999999996</v>
      </c>
      <c r="D13" s="832">
        <f t="shared" si="0"/>
        <v>0</v>
      </c>
      <c r="E13" s="262">
        <f t="shared" si="1"/>
        <v>0</v>
      </c>
      <c r="F13" s="833">
        <f t="shared" si="2"/>
        <v>0</v>
      </c>
      <c r="G13" s="262">
        <f t="shared" si="3"/>
        <v>0</v>
      </c>
      <c r="H13" s="49"/>
      <c r="I13" s="262">
        <f t="shared" si="4"/>
        <v>0</v>
      </c>
      <c r="J13" s="262">
        <f t="shared" si="5"/>
        <v>0</v>
      </c>
      <c r="K13" s="262">
        <f t="shared" si="6"/>
        <v>0</v>
      </c>
    </row>
    <row r="14" spans="1:18" x14ac:dyDescent="0.2">
      <c r="A14" s="57">
        <f t="shared" si="7"/>
        <v>2207</v>
      </c>
      <c r="B14" s="463" t="s">
        <v>503</v>
      </c>
      <c r="C14" s="434">
        <v>0.45829999999999999</v>
      </c>
      <c r="D14" s="832">
        <f t="shared" si="0"/>
        <v>0</v>
      </c>
      <c r="E14" s="262">
        <f t="shared" si="1"/>
        <v>0</v>
      </c>
      <c r="F14" s="833">
        <f t="shared" si="2"/>
        <v>0</v>
      </c>
      <c r="G14" s="262">
        <f t="shared" si="3"/>
        <v>0</v>
      </c>
      <c r="H14" s="49"/>
      <c r="I14" s="262">
        <f t="shared" si="4"/>
        <v>0</v>
      </c>
      <c r="J14" s="262">
        <f t="shared" si="5"/>
        <v>0</v>
      </c>
      <c r="K14" s="262">
        <f t="shared" si="6"/>
        <v>0</v>
      </c>
    </row>
    <row r="15" spans="1:18" x14ac:dyDescent="0.2">
      <c r="A15" s="57">
        <f t="shared" si="7"/>
        <v>2208</v>
      </c>
      <c r="B15" s="463" t="s">
        <v>504</v>
      </c>
      <c r="C15" s="434">
        <v>0.375</v>
      </c>
      <c r="D15" s="832">
        <f t="shared" si="0"/>
        <v>0</v>
      </c>
      <c r="E15" s="262">
        <f t="shared" si="1"/>
        <v>0</v>
      </c>
      <c r="F15" s="833">
        <f t="shared" si="2"/>
        <v>0</v>
      </c>
      <c r="G15" s="262">
        <f t="shared" si="3"/>
        <v>0</v>
      </c>
      <c r="H15" s="49"/>
      <c r="I15" s="262">
        <f t="shared" si="4"/>
        <v>0</v>
      </c>
      <c r="J15" s="262">
        <f t="shared" si="5"/>
        <v>0</v>
      </c>
      <c r="K15" s="262">
        <f t="shared" si="6"/>
        <v>0</v>
      </c>
    </row>
    <row r="16" spans="1:18" x14ac:dyDescent="0.2">
      <c r="A16" s="57">
        <f t="shared" si="7"/>
        <v>2209</v>
      </c>
      <c r="B16" s="463" t="s">
        <v>505</v>
      </c>
      <c r="C16" s="434">
        <v>0.29170000000000001</v>
      </c>
      <c r="D16" s="832">
        <f t="shared" si="0"/>
        <v>0</v>
      </c>
      <c r="E16" s="262">
        <f t="shared" si="1"/>
        <v>0</v>
      </c>
      <c r="F16" s="833">
        <f t="shared" si="2"/>
        <v>0</v>
      </c>
      <c r="G16" s="262">
        <f t="shared" si="3"/>
        <v>0</v>
      </c>
      <c r="H16" s="49"/>
      <c r="I16" s="262">
        <f t="shared" si="4"/>
        <v>0</v>
      </c>
      <c r="J16" s="262">
        <f t="shared" si="5"/>
        <v>0</v>
      </c>
      <c r="K16" s="262">
        <f t="shared" si="6"/>
        <v>0</v>
      </c>
    </row>
    <row r="17" spans="1:11" x14ac:dyDescent="0.2">
      <c r="A17" s="57">
        <f t="shared" si="7"/>
        <v>2210</v>
      </c>
      <c r="B17" s="463" t="s">
        <v>506</v>
      </c>
      <c r="C17" s="434">
        <v>0.20830000000000001</v>
      </c>
      <c r="D17" s="832">
        <f t="shared" si="0"/>
        <v>0</v>
      </c>
      <c r="E17" s="262">
        <f t="shared" si="1"/>
        <v>0</v>
      </c>
      <c r="F17" s="833">
        <f t="shared" si="2"/>
        <v>0</v>
      </c>
      <c r="G17" s="262">
        <f t="shared" si="3"/>
        <v>0</v>
      </c>
      <c r="H17" s="49"/>
      <c r="I17" s="262">
        <f t="shared" si="4"/>
        <v>0</v>
      </c>
      <c r="J17" s="262">
        <f t="shared" si="5"/>
        <v>0</v>
      </c>
      <c r="K17" s="262">
        <f t="shared" si="6"/>
        <v>0</v>
      </c>
    </row>
    <row r="18" spans="1:11" x14ac:dyDescent="0.2">
      <c r="A18" s="57">
        <f t="shared" si="7"/>
        <v>2211</v>
      </c>
      <c r="B18" s="463" t="s">
        <v>507</v>
      </c>
      <c r="C18" s="434">
        <v>0.125</v>
      </c>
      <c r="D18" s="832">
        <f t="shared" si="0"/>
        <v>0</v>
      </c>
      <c r="E18" s="262">
        <f t="shared" si="1"/>
        <v>0</v>
      </c>
      <c r="F18" s="833">
        <f t="shared" si="2"/>
        <v>0</v>
      </c>
      <c r="G18" s="262">
        <f t="shared" si="3"/>
        <v>0</v>
      </c>
      <c r="H18" s="49"/>
      <c r="I18" s="262">
        <f t="shared" si="4"/>
        <v>0</v>
      </c>
      <c r="J18" s="262">
        <f t="shared" si="5"/>
        <v>0</v>
      </c>
      <c r="K18" s="262">
        <f t="shared" si="6"/>
        <v>0</v>
      </c>
    </row>
    <row r="19" spans="1:11" x14ac:dyDescent="0.2">
      <c r="A19" s="57">
        <f t="shared" si="7"/>
        <v>2212</v>
      </c>
      <c r="B19" s="463" t="s">
        <v>508</v>
      </c>
      <c r="C19" s="434">
        <v>4.1700000000000001E-2</v>
      </c>
      <c r="D19" s="832">
        <f t="shared" si="0"/>
        <v>0</v>
      </c>
      <c r="E19" s="262">
        <f t="shared" si="1"/>
        <v>0</v>
      </c>
      <c r="F19" s="833">
        <f t="shared" si="2"/>
        <v>0</v>
      </c>
      <c r="G19" s="262">
        <f t="shared" si="3"/>
        <v>0</v>
      </c>
      <c r="H19" s="49"/>
      <c r="I19" s="262">
        <f t="shared" si="4"/>
        <v>0</v>
      </c>
      <c r="J19" s="262">
        <f t="shared" si="5"/>
        <v>0</v>
      </c>
      <c r="K19" s="262">
        <f t="shared" si="6"/>
        <v>0</v>
      </c>
    </row>
    <row r="20" spans="1:11" x14ac:dyDescent="0.2">
      <c r="A20" s="57">
        <f t="shared" si="7"/>
        <v>2213</v>
      </c>
      <c r="B20" s="423" t="str">
        <f>"Totaal "&amp;A8&amp;" t/m "&amp; A19</f>
        <v>Totaal 2201 t/m 2212</v>
      </c>
      <c r="C20" s="466"/>
      <c r="D20" s="465">
        <f t="shared" ref="D20:K20" si="8">SUM(D8:D19)</f>
        <v>0</v>
      </c>
      <c r="E20" s="465">
        <f t="shared" si="8"/>
        <v>0</v>
      </c>
      <c r="F20" s="465">
        <f t="shared" si="8"/>
        <v>0</v>
      </c>
      <c r="G20" s="465">
        <f t="shared" si="8"/>
        <v>0</v>
      </c>
      <c r="H20" s="465">
        <f t="shared" si="8"/>
        <v>0</v>
      </c>
      <c r="I20" s="465">
        <f t="shared" si="8"/>
        <v>0</v>
      </c>
      <c r="J20" s="465">
        <f t="shared" si="8"/>
        <v>0</v>
      </c>
      <c r="K20" s="465">
        <f t="shared" si="8"/>
        <v>0</v>
      </c>
    </row>
    <row r="21" spans="1:11" s="751" customFormat="1" x14ac:dyDescent="0.2">
      <c r="A21" s="111"/>
      <c r="B21" s="393"/>
      <c r="C21" s="834"/>
      <c r="D21" s="835"/>
      <c r="E21" s="835"/>
      <c r="F21" s="835"/>
      <c r="G21" s="835"/>
      <c r="H21" s="835"/>
      <c r="I21" s="835"/>
      <c r="J21" s="835"/>
      <c r="K21" s="835"/>
    </row>
    <row r="22" spans="1:11" x14ac:dyDescent="0.2">
      <c r="A22" s="337">
        <f>A20+1</f>
        <v>2214</v>
      </c>
      <c r="B22" s="1457" t="s">
        <v>683</v>
      </c>
      <c r="C22" s="1458"/>
      <c r="D22" s="1458"/>
      <c r="E22" s="1458"/>
      <c r="F22" s="1458"/>
      <c r="G22" s="1459"/>
      <c r="H22" s="258">
        <f>'4 overzicht mutaties'!E39</f>
        <v>0</v>
      </c>
    </row>
    <row r="23" spans="1:11" x14ac:dyDescent="0.2">
      <c r="A23" s="337">
        <f>A22+1</f>
        <v>2215</v>
      </c>
      <c r="B23" s="1457" t="s">
        <v>662</v>
      </c>
      <c r="C23" s="1458"/>
      <c r="D23" s="1458"/>
      <c r="E23" s="1458"/>
      <c r="F23" s="1458"/>
      <c r="G23" s="1459"/>
      <c r="H23" s="258">
        <f>0.95*H22</f>
        <v>0</v>
      </c>
      <c r="I23" s="836"/>
    </row>
    <row r="24" spans="1:11" s="751" customFormat="1" x14ac:dyDescent="0.2">
      <c r="A24" s="337">
        <f>A23+1</f>
        <v>2216</v>
      </c>
      <c r="B24" s="1457" t="s">
        <v>663</v>
      </c>
      <c r="C24" s="1458"/>
      <c r="D24" s="1458"/>
      <c r="E24" s="1458"/>
      <c r="F24" s="1458"/>
      <c r="G24" s="1459"/>
      <c r="H24" s="258">
        <f>H20</f>
        <v>0</v>
      </c>
      <c r="I24" s="837"/>
    </row>
    <row r="25" spans="1:11" s="751" customFormat="1" x14ac:dyDescent="0.2">
      <c r="A25" s="337">
        <f>A24+1</f>
        <v>2217</v>
      </c>
      <c r="B25" s="1460" t="s">
        <v>664</v>
      </c>
      <c r="C25" s="1461"/>
      <c r="D25" s="1461"/>
      <c r="E25" s="1461"/>
      <c r="F25" s="1461"/>
      <c r="G25" s="1462"/>
      <c r="H25" s="263">
        <f>IF(AND(H24&gt;0,H24&gt;H23),H24-H23,0)</f>
        <v>0</v>
      </c>
      <c r="I25" s="837"/>
    </row>
    <row r="26" spans="1:11" s="751" customFormat="1" ht="12.75" customHeight="1" x14ac:dyDescent="0.2">
      <c r="A26" s="1456" t="s">
        <v>684</v>
      </c>
      <c r="B26" s="1456"/>
      <c r="C26" s="1456"/>
      <c r="D26" s="1456"/>
      <c r="E26" s="1456"/>
      <c r="F26" s="1456"/>
      <c r="G26" s="1456"/>
      <c r="H26" s="1456"/>
      <c r="I26" s="1456"/>
    </row>
    <row r="27" spans="1:11" s="751" customFormat="1" ht="12.75" customHeight="1" x14ac:dyDescent="0.2">
      <c r="A27" s="1456"/>
      <c r="B27" s="1456"/>
      <c r="C27" s="1456"/>
      <c r="D27" s="1456"/>
      <c r="E27" s="1456"/>
      <c r="F27" s="1456"/>
      <c r="G27" s="1456"/>
      <c r="H27" s="1456"/>
      <c r="I27" s="1456"/>
    </row>
    <row r="28" spans="1:11" s="751" customFormat="1" ht="12.75" customHeight="1" x14ac:dyDescent="0.2">
      <c r="A28" s="837"/>
      <c r="B28" s="838"/>
      <c r="C28" s="839"/>
      <c r="D28" s="837"/>
      <c r="E28" s="837"/>
      <c r="F28" s="840"/>
      <c r="G28" s="837"/>
      <c r="H28" s="837"/>
      <c r="I28" s="837"/>
    </row>
    <row r="29" spans="1:11" x14ac:dyDescent="0.2">
      <c r="A29" s="337">
        <f>A25+1</f>
        <v>2218</v>
      </c>
      <c r="B29" s="1457" t="s">
        <v>665</v>
      </c>
      <c r="C29" s="1458"/>
      <c r="D29" s="1458"/>
      <c r="E29" s="1458"/>
      <c r="F29" s="1458"/>
      <c r="G29" s="1459"/>
      <c r="H29" s="841">
        <f>'Overzicht rente'!E35-0.75%</f>
        <v>3.3000000000000008E-3</v>
      </c>
      <c r="I29" s="836"/>
    </row>
    <row r="30" spans="1:11" ht="12.75" customHeight="1" x14ac:dyDescent="0.2">
      <c r="A30" s="337">
        <f>A29+1</f>
        <v>2219</v>
      </c>
      <c r="B30" s="1457" t="s">
        <v>666</v>
      </c>
      <c r="C30" s="1458"/>
      <c r="D30" s="1458"/>
      <c r="E30" s="1458"/>
      <c r="F30" s="1458"/>
      <c r="G30" s="1459"/>
      <c r="H30" s="842">
        <v>0.04</v>
      </c>
      <c r="I30" s="836"/>
    </row>
    <row r="31" spans="1:11" x14ac:dyDescent="0.2">
      <c r="A31" s="843" t="s">
        <v>667</v>
      </c>
      <c r="B31" s="844"/>
      <c r="C31" s="845"/>
      <c r="D31" s="846"/>
      <c r="E31" s="846"/>
      <c r="F31" s="847"/>
      <c r="G31" s="836"/>
      <c r="H31" s="836"/>
      <c r="I31" s="836"/>
    </row>
    <row r="32" spans="1:11" x14ac:dyDescent="0.2">
      <c r="A32" s="836"/>
      <c r="B32" s="836"/>
      <c r="C32" s="836"/>
      <c r="D32" s="837"/>
      <c r="E32" s="836"/>
      <c r="F32" s="847"/>
      <c r="G32" s="836"/>
      <c r="H32" s="836"/>
      <c r="I32" s="836"/>
    </row>
    <row r="33" spans="1:9" x14ac:dyDescent="0.2">
      <c r="A33" s="335">
        <f>A30+1</f>
        <v>2220</v>
      </c>
      <c r="B33" s="1457" t="s">
        <v>668</v>
      </c>
      <c r="C33" s="1458"/>
      <c r="D33" s="1458"/>
      <c r="E33" s="1458"/>
      <c r="F33" s="1458"/>
      <c r="G33" s="1459"/>
      <c r="H33" s="258">
        <f>I20*H29</f>
        <v>0</v>
      </c>
      <c r="I33" s="836"/>
    </row>
    <row r="34" spans="1:9" x14ac:dyDescent="0.2">
      <c r="A34" s="335">
        <f>A33+1</f>
        <v>2221</v>
      </c>
      <c r="B34" s="1457" t="s">
        <v>669</v>
      </c>
      <c r="C34" s="1458"/>
      <c r="D34" s="1458"/>
      <c r="E34" s="1458"/>
      <c r="F34" s="1458"/>
      <c r="G34" s="1459"/>
      <c r="H34" s="258">
        <f>IF(AND(H24&gt;0,H23&gt;0),(H25/H24)*H33,H33)</f>
        <v>0</v>
      </c>
      <c r="I34" s="836"/>
    </row>
    <row r="35" spans="1:9" x14ac:dyDescent="0.2">
      <c r="A35" s="335">
        <f>A34+1</f>
        <v>2222</v>
      </c>
      <c r="B35" s="1457" t="s">
        <v>670</v>
      </c>
      <c r="C35" s="1458"/>
      <c r="D35" s="1458"/>
      <c r="E35" s="1458"/>
      <c r="F35" s="1458"/>
      <c r="G35" s="1459"/>
      <c r="H35" s="258">
        <f>H34*H30/H29</f>
        <v>0</v>
      </c>
      <c r="I35" s="836"/>
    </row>
    <row r="36" spans="1:9" x14ac:dyDescent="0.2">
      <c r="A36" s="335">
        <f>A35+1</f>
        <v>2223</v>
      </c>
      <c r="B36" s="1457" t="s">
        <v>671</v>
      </c>
      <c r="C36" s="1458"/>
      <c r="D36" s="1458"/>
      <c r="E36" s="1458"/>
      <c r="F36" s="1458"/>
      <c r="G36" s="1459"/>
      <c r="H36" s="258">
        <f>(8/12)*(H25+H35)*H30</f>
        <v>0</v>
      </c>
      <c r="I36" s="836"/>
    </row>
    <row r="37" spans="1:9" x14ac:dyDescent="0.2">
      <c r="A37" s="838" t="s">
        <v>672</v>
      </c>
      <c r="B37" s="836"/>
      <c r="C37" s="840"/>
      <c r="D37" s="840"/>
      <c r="E37" s="840"/>
      <c r="F37" s="848"/>
      <c r="G37" s="849"/>
      <c r="H37" s="850"/>
      <c r="I37" s="836"/>
    </row>
    <row r="38" spans="1:9" x14ac:dyDescent="0.2">
      <c r="A38" s="836"/>
      <c r="B38" s="838"/>
      <c r="C38" s="840"/>
      <c r="D38" s="840"/>
      <c r="E38" s="840"/>
      <c r="F38" s="848"/>
      <c r="G38" s="849"/>
      <c r="H38" s="850"/>
      <c r="I38" s="836"/>
    </row>
    <row r="39" spans="1:9" x14ac:dyDescent="0.2">
      <c r="A39" s="327" t="s">
        <v>673</v>
      </c>
      <c r="B39" s="836"/>
      <c r="C39" s="836"/>
      <c r="D39" s="836"/>
      <c r="E39" s="836"/>
      <c r="F39" s="836"/>
      <c r="G39" s="836"/>
      <c r="H39" s="850"/>
      <c r="I39" s="836"/>
    </row>
    <row r="40" spans="1:9" x14ac:dyDescent="0.2">
      <c r="A40" s="337">
        <f>A36+1</f>
        <v>2224</v>
      </c>
      <c r="B40" s="1457" t="s">
        <v>674</v>
      </c>
      <c r="C40" s="1458"/>
      <c r="D40" s="1458"/>
      <c r="E40" s="1458"/>
      <c r="F40" s="1458"/>
      <c r="G40" s="1459"/>
      <c r="H40" s="258">
        <f>H23</f>
        <v>0</v>
      </c>
      <c r="I40" s="836"/>
    </row>
    <row r="41" spans="1:9" x14ac:dyDescent="0.2">
      <c r="A41" s="337">
        <f>A40+1</f>
        <v>2225</v>
      </c>
      <c r="B41" s="1457" t="s">
        <v>675</v>
      </c>
      <c r="C41" s="1458"/>
      <c r="D41" s="1458"/>
      <c r="E41" s="1458"/>
      <c r="F41" s="1458"/>
      <c r="G41" s="1459"/>
      <c r="H41" s="258">
        <f>-H20</f>
        <v>0</v>
      </c>
      <c r="I41" s="836"/>
    </row>
    <row r="42" spans="1:9" x14ac:dyDescent="0.2">
      <c r="A42" s="337">
        <f>A41+1</f>
        <v>2226</v>
      </c>
      <c r="B42" s="1457" t="s">
        <v>676</v>
      </c>
      <c r="C42" s="1458"/>
      <c r="D42" s="1458"/>
      <c r="E42" s="1458"/>
      <c r="F42" s="1458"/>
      <c r="G42" s="1459"/>
      <c r="H42" s="258">
        <f>-H35</f>
        <v>0</v>
      </c>
      <c r="I42" s="836"/>
    </row>
    <row r="43" spans="1:9" x14ac:dyDescent="0.2">
      <c r="A43" s="337">
        <f>A42+1</f>
        <v>2227</v>
      </c>
      <c r="B43" s="1457" t="s">
        <v>677</v>
      </c>
      <c r="C43" s="1458"/>
      <c r="D43" s="1458"/>
      <c r="E43" s="1458"/>
      <c r="F43" s="1458"/>
      <c r="G43" s="1459"/>
      <c r="H43" s="258">
        <f>-H36</f>
        <v>0</v>
      </c>
      <c r="I43" s="836"/>
    </row>
    <row r="44" spans="1:9" x14ac:dyDescent="0.2">
      <c r="A44" s="337">
        <f>A43+1</f>
        <v>2228</v>
      </c>
      <c r="B44" s="1457" t="s">
        <v>682</v>
      </c>
      <c r="C44" s="1458"/>
      <c r="D44" s="1458"/>
      <c r="E44" s="1458"/>
      <c r="F44" s="1458"/>
      <c r="G44" s="1459"/>
      <c r="H44" s="258">
        <f>H34*0.95</f>
        <v>0</v>
      </c>
      <c r="I44" s="836"/>
    </row>
    <row r="45" spans="1:9" x14ac:dyDescent="0.2">
      <c r="A45" s="337">
        <f>A44+1</f>
        <v>2229</v>
      </c>
      <c r="B45" s="1460" t="s">
        <v>678</v>
      </c>
      <c r="C45" s="1461"/>
      <c r="D45" s="1461"/>
      <c r="E45" s="1461"/>
      <c r="F45" s="1461"/>
      <c r="G45" s="1462"/>
      <c r="H45" s="263">
        <f>SUM(H40:H44)</f>
        <v>0</v>
      </c>
      <c r="I45" s="836"/>
    </row>
    <row r="46" spans="1:9" x14ac:dyDescent="0.2">
      <c r="A46" s="836"/>
      <c r="B46" s="840"/>
      <c r="C46" s="848"/>
      <c r="D46" s="836"/>
      <c r="E46" s="836"/>
      <c r="F46" s="836"/>
      <c r="G46" s="836"/>
      <c r="H46" s="850"/>
      <c r="I46" s="836"/>
    </row>
    <row r="47" spans="1:9" x14ac:dyDescent="0.2">
      <c r="A47" s="840" t="s">
        <v>679</v>
      </c>
      <c r="B47" s="836"/>
      <c r="C47" s="836"/>
      <c r="D47" s="836"/>
      <c r="E47" s="836"/>
      <c r="F47" s="836"/>
      <c r="G47" s="836"/>
      <c r="H47" s="850"/>
      <c r="I47" s="836"/>
    </row>
    <row r="48" spans="1:9" x14ac:dyDescent="0.2">
      <c r="A48" s="337">
        <f>A45+1</f>
        <v>2230</v>
      </c>
      <c r="B48" s="1457" t="s">
        <v>680</v>
      </c>
      <c r="C48" s="1458"/>
      <c r="D48" s="1458"/>
      <c r="E48" s="1458"/>
      <c r="F48" s="1458"/>
      <c r="G48" s="1459"/>
      <c r="H48" s="851">
        <f>H22</f>
        <v>0</v>
      </c>
      <c r="I48" s="836"/>
    </row>
    <row r="49" spans="1:9" x14ac:dyDescent="0.2">
      <c r="A49" s="337">
        <f>A48+1</f>
        <v>2231</v>
      </c>
      <c r="B49" s="1457" t="s">
        <v>681</v>
      </c>
      <c r="C49" s="1458"/>
      <c r="D49" s="1458"/>
      <c r="E49" s="1458"/>
      <c r="F49" s="1458"/>
      <c r="G49" s="1459"/>
      <c r="H49" s="851">
        <f>H22+H33</f>
        <v>0</v>
      </c>
      <c r="I49" s="836"/>
    </row>
    <row r="50" spans="1:9" x14ac:dyDescent="0.2">
      <c r="A50" s="337">
        <f>A49+1</f>
        <v>2232</v>
      </c>
      <c r="B50" s="1460" t="s">
        <v>116</v>
      </c>
      <c r="C50" s="1461"/>
      <c r="D50" s="1461"/>
      <c r="E50" s="1461"/>
      <c r="F50" s="1461"/>
      <c r="G50" s="1462"/>
      <c r="H50" s="263">
        <f>0.7*H49</f>
        <v>0</v>
      </c>
      <c r="I50" s="836"/>
    </row>
    <row r="51" spans="1:9" x14ac:dyDescent="0.2">
      <c r="A51" s="843"/>
      <c r="B51" s="836"/>
      <c r="C51" s="836"/>
      <c r="D51" s="836"/>
      <c r="E51" s="836"/>
      <c r="F51" s="836"/>
      <c r="G51" s="836"/>
      <c r="H51" s="836"/>
      <c r="I51" s="836"/>
    </row>
    <row r="52" spans="1:9" x14ac:dyDescent="0.2">
      <c r="A52" s="843"/>
    </row>
  </sheetData>
  <sheetProtection password="CA39" sheet="1" objects="1" scenarios="1"/>
  <mergeCells count="21">
    <mergeCell ref="B50:G50"/>
    <mergeCell ref="B45:G45"/>
    <mergeCell ref="B44:G44"/>
    <mergeCell ref="B43:G43"/>
    <mergeCell ref="B49:G49"/>
    <mergeCell ref="B42:G42"/>
    <mergeCell ref="B48:G48"/>
    <mergeCell ref="B40:G40"/>
    <mergeCell ref="B36:G36"/>
    <mergeCell ref="B33:G33"/>
    <mergeCell ref="B34:G34"/>
    <mergeCell ref="D1:F1"/>
    <mergeCell ref="A26:I27"/>
    <mergeCell ref="B22:G22"/>
    <mergeCell ref="B30:G30"/>
    <mergeCell ref="B41:G41"/>
    <mergeCell ref="B35:G35"/>
    <mergeCell ref="B23:G23"/>
    <mergeCell ref="B24:G24"/>
    <mergeCell ref="B25:G25"/>
    <mergeCell ref="B29:G29"/>
  </mergeCells>
  <phoneticPr fontId="12" type="noConversion"/>
  <conditionalFormatting sqref="H8:H19">
    <cfRule type="expression" dxfId="14" priority="1" stopIfTrue="1">
      <formula>$C$5=TRUE</formula>
    </cfRule>
  </conditionalFormatting>
  <pageMargins left="0.44" right="0.28000000000000003" top="0.35" bottom="0.46" header="0.22" footer="0.28000000000000003"/>
  <pageSetup paperSize="9" scale="83" orientation="landscape" r:id="rId1"/>
  <headerFooter alignWithMargins="0"/>
  <drawing r:id="rId2"/>
  <legacyDrawing r:id="rId3"/>
  <oleObjects>
    <mc:AlternateContent xmlns:mc="http://schemas.openxmlformats.org/markup-compatibility/2006">
      <mc:Choice Requires="x14">
        <oleObject progId="MSPhotoEd.3" shapeId="101377" r:id="rId4">
          <objectPr defaultSize="0" autoPict="0" r:id="rId5">
            <anchor moveWithCells="1" sizeWithCells="1">
              <from>
                <xdr:col>9</xdr:col>
                <xdr:colOff>190500</xdr:colOff>
                <xdr:row>0</xdr:row>
                <xdr:rowOff>152400</xdr:rowOff>
              </from>
              <to>
                <xdr:col>10</xdr:col>
                <xdr:colOff>419100</xdr:colOff>
                <xdr:row>1</xdr:row>
                <xdr:rowOff>95250</xdr:rowOff>
              </to>
            </anchor>
          </objectPr>
        </oleObject>
      </mc:Choice>
      <mc:Fallback>
        <oleObject progId="MSPhotoEd.3" shapeId="101377" r:id="rId4"/>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1"/>
  <dimension ref="A1:Z98"/>
  <sheetViews>
    <sheetView showGridLines="0" showZeros="0" showOutlineSymbols="0" view="pageBreakPreview" topLeftCell="A53" zoomScaleNormal="100" zoomScaleSheetLayoutView="100" workbookViewId="0">
      <selection activeCell="F88" sqref="F88:F90"/>
    </sheetView>
  </sheetViews>
  <sheetFormatPr defaultRowHeight="11.25" x14ac:dyDescent="0.15"/>
  <cols>
    <col min="1" max="1" width="5.7109375" style="43" customWidth="1"/>
    <col min="2" max="2" width="114.28515625" style="43" customWidth="1"/>
    <col min="3" max="3" width="2.5703125" style="43" customWidth="1"/>
    <col min="4" max="4" width="9" style="43" customWidth="1"/>
    <col min="5" max="5" width="8.28515625" style="43" customWidth="1"/>
    <col min="6" max="6" width="7.7109375" style="43" customWidth="1"/>
    <col min="7" max="16384" width="9.140625" style="43"/>
  </cols>
  <sheetData>
    <row r="1" spans="1:6" x14ac:dyDescent="0.15">
      <c r="A1" s="242"/>
      <c r="B1" s="772" t="e">
        <f>CONCATENATE(Voorblad!$E$10," ",Voorblad!$F$10," ",Voorblad!$D$30)</f>
        <v>#N/A</v>
      </c>
      <c r="C1" s="243"/>
    </row>
    <row r="2" spans="1:6" s="55" customFormat="1" x14ac:dyDescent="0.15">
      <c r="A2" s="240" t="str">
        <f>inhoud!A2</f>
        <v>Vaststelling Transitiebedrag 2012</v>
      </c>
      <c r="B2" s="244"/>
      <c r="C2" s="245" t="b">
        <f>Voorblad!D27</f>
        <v>1</v>
      </c>
      <c r="F2" s="55">
        <v>23</v>
      </c>
    </row>
    <row r="3" spans="1:6" ht="12.75" x14ac:dyDescent="0.2">
      <c r="A3" s="1317" t="str">
        <f>IF(Voorblad!$F$10&lt;1,"Vul het NZa-nummer in op het voorblad","")</f>
        <v>Vul het NZa-nummer in op het voorblad</v>
      </c>
      <c r="B3" s="1318"/>
      <c r="C3" s="1318"/>
      <c r="D3" s="1318"/>
    </row>
    <row r="4" spans="1:6" ht="12.75" x14ac:dyDescent="0.2">
      <c r="A4" s="161" t="s">
        <v>1179</v>
      </c>
      <c r="B4" s="247"/>
      <c r="C4" s="241"/>
    </row>
    <row r="5" spans="1:6" x14ac:dyDescent="0.15">
      <c r="A5" s="59" t="str">
        <f>"Bijlage bij formulier berekening transitiebedrag "&amp;Voorblad!K4</f>
        <v>Bijlage bij formulier berekening transitiebedrag 2012</v>
      </c>
      <c r="B5" s="162"/>
      <c r="C5" s="241"/>
    </row>
    <row r="6" spans="1:6" ht="12.75" x14ac:dyDescent="0.2">
      <c r="A6" s="1373" t="s">
        <v>607</v>
      </c>
      <c r="B6" s="1373"/>
      <c r="C6" s="241"/>
      <c r="D6" s="621"/>
      <c r="E6" s="621"/>
      <c r="F6" s="621"/>
    </row>
    <row r="7" spans="1:6" x14ac:dyDescent="0.15">
      <c r="A7" s="1373"/>
      <c r="B7" s="1373"/>
      <c r="C7" s="241"/>
      <c r="D7" s="1473" t="s">
        <v>590</v>
      </c>
      <c r="E7" s="1474"/>
      <c r="F7" s="1475"/>
    </row>
    <row r="8" spans="1:6" x14ac:dyDescent="0.15">
      <c r="A8" s="1373"/>
      <c r="B8" s="1373"/>
      <c r="C8" s="241"/>
      <c r="D8" s="622">
        <v>1</v>
      </c>
      <c r="E8" s="622">
        <v>2</v>
      </c>
      <c r="F8" s="622">
        <v>3</v>
      </c>
    </row>
    <row r="9" spans="1:6" ht="12.75" x14ac:dyDescent="0.2">
      <c r="A9" s="246" t="s">
        <v>591</v>
      </c>
      <c r="B9" s="241"/>
      <c r="C9" s="241"/>
      <c r="D9" s="621"/>
      <c r="E9" s="621"/>
      <c r="F9" s="621"/>
    </row>
    <row r="10" spans="1:6" ht="11.25" customHeight="1" x14ac:dyDescent="0.15">
      <c r="A10" s="1464">
        <v>1</v>
      </c>
      <c r="B10" s="1478" t="s">
        <v>280</v>
      </c>
      <c r="C10" s="1463"/>
      <c r="D10" s="1472"/>
      <c r="E10" s="1472"/>
      <c r="F10" s="1476"/>
    </row>
    <row r="11" spans="1:6" ht="11.25" customHeight="1" x14ac:dyDescent="0.15">
      <c r="A11" s="1465"/>
      <c r="B11" s="1479"/>
      <c r="C11" s="1463"/>
      <c r="D11" s="1472"/>
      <c r="E11" s="1472"/>
      <c r="F11" s="1476"/>
    </row>
    <row r="12" spans="1:6" ht="14.25" customHeight="1" x14ac:dyDescent="0.15">
      <c r="A12" s="1466"/>
      <c r="B12" s="1480"/>
      <c r="C12" s="1463"/>
      <c r="D12" s="1472"/>
      <c r="E12" s="1472"/>
      <c r="F12" s="1476"/>
    </row>
    <row r="13" spans="1:6" ht="11.25" customHeight="1" x14ac:dyDescent="0.15">
      <c r="A13" s="1464">
        <f>A10+1</f>
        <v>2</v>
      </c>
      <c r="B13" s="1477" t="s">
        <v>594</v>
      </c>
      <c r="C13" s="1463"/>
      <c r="D13" s="1472"/>
      <c r="E13" s="1472"/>
      <c r="F13" s="1476"/>
    </row>
    <row r="14" spans="1:6" ht="11.25" customHeight="1" x14ac:dyDescent="0.15">
      <c r="A14" s="1465"/>
      <c r="B14" s="1477"/>
      <c r="C14" s="1463"/>
      <c r="D14" s="1472"/>
      <c r="E14" s="1472"/>
      <c r="F14" s="1476"/>
    </row>
    <row r="15" spans="1:6" ht="15" customHeight="1" x14ac:dyDescent="0.15">
      <c r="A15" s="1466"/>
      <c r="B15" s="1477"/>
      <c r="C15" s="1463"/>
      <c r="D15" s="1472"/>
      <c r="E15" s="1472"/>
      <c r="F15" s="1476"/>
    </row>
    <row r="16" spans="1:6" ht="12.75" x14ac:dyDescent="0.2">
      <c r="D16" s="623"/>
      <c r="E16" s="623"/>
      <c r="F16" s="623"/>
    </row>
    <row r="17" spans="1:6" ht="12.75" x14ac:dyDescent="0.2">
      <c r="A17" s="246" t="s">
        <v>1184</v>
      </c>
      <c r="D17" s="623"/>
      <c r="E17" s="623"/>
      <c r="F17" s="623"/>
    </row>
    <row r="18" spans="1:6" x14ac:dyDescent="0.15">
      <c r="A18" s="1464">
        <f>A13+1</f>
        <v>3</v>
      </c>
      <c r="B18" s="1467" t="s">
        <v>1180</v>
      </c>
      <c r="C18" s="1463"/>
      <c r="D18" s="1472"/>
      <c r="E18" s="1472"/>
      <c r="F18" s="1472"/>
    </row>
    <row r="19" spans="1:6" x14ac:dyDescent="0.15">
      <c r="A19" s="1465"/>
      <c r="B19" s="1467"/>
      <c r="C19" s="1463"/>
      <c r="D19" s="1472"/>
      <c r="E19" s="1472"/>
      <c r="F19" s="1472"/>
    </row>
    <row r="20" spans="1:6" ht="13.5" customHeight="1" x14ac:dyDescent="0.15">
      <c r="A20" s="1466"/>
      <c r="B20" s="1467"/>
      <c r="C20" s="1463"/>
      <c r="D20" s="1472"/>
      <c r="E20" s="1472"/>
      <c r="F20" s="1472"/>
    </row>
    <row r="21" spans="1:6" x14ac:dyDescent="0.15">
      <c r="A21" s="1464">
        <f>A18+1</f>
        <v>4</v>
      </c>
      <c r="B21" s="1467" t="s">
        <v>624</v>
      </c>
      <c r="C21" s="249"/>
      <c r="D21" s="1472"/>
      <c r="E21" s="1472"/>
      <c r="F21" s="1472"/>
    </row>
    <row r="22" spans="1:6" x14ac:dyDescent="0.15">
      <c r="A22" s="1465"/>
      <c r="B22" s="1467"/>
      <c r="C22" s="249"/>
      <c r="D22" s="1472"/>
      <c r="E22" s="1472"/>
      <c r="F22" s="1472"/>
    </row>
    <row r="23" spans="1:6" ht="13.5" customHeight="1" x14ac:dyDescent="0.15">
      <c r="A23" s="1466"/>
      <c r="B23" s="1467"/>
      <c r="C23" s="249"/>
      <c r="D23" s="1472"/>
      <c r="E23" s="1472"/>
      <c r="F23" s="1472"/>
    </row>
    <row r="24" spans="1:6" x14ac:dyDescent="0.15">
      <c r="A24" s="1464">
        <f>A21+1</f>
        <v>5</v>
      </c>
      <c r="B24" s="1467" t="s">
        <v>270</v>
      </c>
      <c r="C24" s="1463"/>
      <c r="D24" s="1472"/>
      <c r="E24" s="1472"/>
      <c r="F24" s="1472"/>
    </row>
    <row r="25" spans="1:6" x14ac:dyDescent="0.15">
      <c r="A25" s="1465"/>
      <c r="B25" s="1467"/>
      <c r="C25" s="1463"/>
      <c r="D25" s="1472"/>
      <c r="E25" s="1472"/>
      <c r="F25" s="1472"/>
    </row>
    <row r="26" spans="1:6" ht="13.5" customHeight="1" x14ac:dyDescent="0.15">
      <c r="A26" s="1466"/>
      <c r="B26" s="1467"/>
      <c r="C26" s="1463"/>
      <c r="D26" s="1472"/>
      <c r="E26" s="1472"/>
      <c r="F26" s="1472"/>
    </row>
    <row r="27" spans="1:6" x14ac:dyDescent="0.15">
      <c r="A27" s="1464">
        <f>A24+1</f>
        <v>6</v>
      </c>
      <c r="B27" s="1467" t="s">
        <v>771</v>
      </c>
      <c r="C27" s="1463"/>
      <c r="D27" s="1472"/>
      <c r="E27" s="1472"/>
      <c r="F27" s="1472"/>
    </row>
    <row r="28" spans="1:6" x14ac:dyDescent="0.15">
      <c r="A28" s="1465"/>
      <c r="B28" s="1467"/>
      <c r="C28" s="1463"/>
      <c r="D28" s="1472"/>
      <c r="E28" s="1472"/>
      <c r="F28" s="1472"/>
    </row>
    <row r="29" spans="1:6" ht="13.5" customHeight="1" x14ac:dyDescent="0.15">
      <c r="A29" s="1466"/>
      <c r="B29" s="1467"/>
      <c r="C29" s="1463"/>
      <c r="D29" s="1472"/>
      <c r="E29" s="1472"/>
      <c r="F29" s="1472"/>
    </row>
    <row r="30" spans="1:6" x14ac:dyDescent="0.15">
      <c r="A30" s="1464">
        <f>A27+1</f>
        <v>7</v>
      </c>
      <c r="B30" s="1467" t="s">
        <v>752</v>
      </c>
      <c r="C30" s="248"/>
      <c r="D30" s="1472"/>
      <c r="E30" s="1472"/>
      <c r="F30" s="1472"/>
    </row>
    <row r="31" spans="1:6" x14ac:dyDescent="0.15">
      <c r="A31" s="1465"/>
      <c r="B31" s="1467"/>
      <c r="C31" s="248"/>
      <c r="D31" s="1472"/>
      <c r="E31" s="1472"/>
      <c r="F31" s="1472"/>
    </row>
    <row r="32" spans="1:6" ht="13.5" customHeight="1" x14ac:dyDescent="0.15">
      <c r="A32" s="1466"/>
      <c r="B32" s="1467"/>
      <c r="C32" s="248"/>
      <c r="D32" s="1472"/>
      <c r="E32" s="1472"/>
      <c r="F32" s="1472"/>
    </row>
    <row r="33" spans="1:26" ht="11.25" customHeight="1" x14ac:dyDescent="0.15">
      <c r="A33" s="1464">
        <f>A30+1</f>
        <v>8</v>
      </c>
      <c r="B33" s="1467" t="s">
        <v>1181</v>
      </c>
      <c r="C33" s="250"/>
      <c r="D33" s="1472"/>
      <c r="E33" s="1472"/>
      <c r="F33" s="1476"/>
    </row>
    <row r="34" spans="1:26" ht="11.25" customHeight="1" x14ac:dyDescent="0.15">
      <c r="A34" s="1465"/>
      <c r="B34" s="1467"/>
      <c r="C34" s="250"/>
      <c r="D34" s="1472"/>
      <c r="E34" s="1472"/>
      <c r="F34" s="1476"/>
    </row>
    <row r="35" spans="1:26" ht="13.5" customHeight="1" x14ac:dyDescent="0.15">
      <c r="A35" s="1466"/>
      <c r="B35" s="1467"/>
      <c r="C35" s="250"/>
      <c r="D35" s="1472"/>
      <c r="E35" s="1472"/>
      <c r="F35" s="1476"/>
    </row>
    <row r="36" spans="1:26" ht="11.25" customHeight="1" x14ac:dyDescent="0.15">
      <c r="A36" s="1464">
        <f>A33+1</f>
        <v>9</v>
      </c>
      <c r="B36" s="1467" t="s">
        <v>1182</v>
      </c>
      <c r="C36" s="250"/>
      <c r="D36" s="1472"/>
      <c r="E36" s="1472"/>
      <c r="F36" s="1476"/>
    </row>
    <row r="37" spans="1:26" s="55" customFormat="1" ht="11.25" customHeight="1" x14ac:dyDescent="0.15">
      <c r="A37" s="1465"/>
      <c r="B37" s="1467"/>
      <c r="C37" s="250"/>
      <c r="D37" s="1472"/>
      <c r="E37" s="1472"/>
      <c r="F37" s="1476"/>
      <c r="G37" s="43"/>
      <c r="H37" s="43"/>
      <c r="I37" s="43"/>
      <c r="J37" s="43"/>
      <c r="K37" s="43"/>
      <c r="L37" s="43"/>
      <c r="M37" s="43"/>
      <c r="N37" s="43"/>
      <c r="O37" s="43"/>
      <c r="P37" s="43"/>
      <c r="Q37" s="43"/>
      <c r="R37" s="43"/>
      <c r="S37" s="43"/>
      <c r="T37" s="43"/>
      <c r="U37" s="43"/>
      <c r="V37" s="43"/>
      <c r="W37" s="43"/>
      <c r="X37" s="43"/>
      <c r="Y37" s="43"/>
      <c r="Z37" s="43"/>
    </row>
    <row r="38" spans="1:26" ht="13.5" customHeight="1" x14ac:dyDescent="0.15">
      <c r="A38" s="1466"/>
      <c r="B38" s="1467"/>
      <c r="C38" s="250"/>
      <c r="D38" s="1472"/>
      <c r="E38" s="1472"/>
      <c r="F38" s="1476"/>
    </row>
    <row r="39" spans="1:26" ht="11.25" customHeight="1" x14ac:dyDescent="0.15">
      <c r="A39" s="1464">
        <f>A36+1</f>
        <v>10</v>
      </c>
      <c r="B39" s="1468" t="s">
        <v>1202</v>
      </c>
      <c r="C39" s="250"/>
      <c r="D39" s="1472"/>
      <c r="E39" s="1472"/>
      <c r="F39" s="1476"/>
    </row>
    <row r="40" spans="1:26" ht="11.25" customHeight="1" x14ac:dyDescent="0.15">
      <c r="A40" s="1465"/>
      <c r="B40" s="1468"/>
      <c r="C40" s="250"/>
      <c r="D40" s="1472"/>
      <c r="E40" s="1472"/>
      <c r="F40" s="1476"/>
    </row>
    <row r="41" spans="1:26" ht="15" customHeight="1" x14ac:dyDescent="0.15">
      <c r="A41" s="1466"/>
      <c r="B41" s="1468"/>
      <c r="C41" s="250"/>
      <c r="D41" s="1472"/>
      <c r="E41" s="1472"/>
      <c r="F41" s="1476"/>
    </row>
    <row r="42" spans="1:26" ht="11.25" customHeight="1" x14ac:dyDescent="0.15">
      <c r="A42" s="1464">
        <f>A39+1</f>
        <v>11</v>
      </c>
      <c r="B42" s="1467" t="str">
        <f>"Sluiten de totale opbrengsten "&amp;Voorblad!K4&amp;" ter dekking van het schaduwbudget met de opbrengsten uit de jaarrekening "&amp;Voorblad!K4&amp;"?"</f>
        <v>Sluiten de totale opbrengsten 2012 ter dekking van het schaduwbudget met de opbrengsten uit de jaarrekening 2012?</v>
      </c>
      <c r="C42" s="250"/>
      <c r="D42" s="1472"/>
      <c r="E42" s="1472"/>
      <c r="F42" s="1476"/>
    </row>
    <row r="43" spans="1:26" ht="11.25" customHeight="1" x14ac:dyDescent="0.15">
      <c r="A43" s="1465"/>
      <c r="B43" s="1467"/>
      <c r="C43" s="250"/>
      <c r="D43" s="1472"/>
      <c r="E43" s="1472"/>
      <c r="F43" s="1476"/>
    </row>
    <row r="44" spans="1:26" ht="15.75" customHeight="1" x14ac:dyDescent="0.15">
      <c r="A44" s="1466"/>
      <c r="B44" s="1467"/>
      <c r="C44" s="250"/>
      <c r="D44" s="1472"/>
      <c r="E44" s="1472"/>
      <c r="F44" s="1476"/>
    </row>
    <row r="45" spans="1:26" ht="11.25" customHeight="1" x14ac:dyDescent="0.15">
      <c r="A45" s="600"/>
      <c r="B45" s="600"/>
      <c r="C45" s="250"/>
      <c r="D45" s="624"/>
      <c r="E45" s="624"/>
      <c r="F45" s="624"/>
    </row>
    <row r="46" spans="1:26" x14ac:dyDescent="0.15">
      <c r="A46" s="600"/>
      <c r="B46" s="600"/>
      <c r="C46" s="600"/>
      <c r="D46" s="625"/>
      <c r="E46" s="626"/>
      <c r="F46" s="627">
        <f>F2+1</f>
        <v>24</v>
      </c>
    </row>
    <row r="47" spans="1:26" x14ac:dyDescent="0.15">
      <c r="A47" s="600"/>
      <c r="B47" s="600"/>
      <c r="C47" s="600"/>
      <c r="D47" s="625"/>
      <c r="E47" s="626"/>
      <c r="F47" s="628"/>
    </row>
    <row r="48" spans="1:26" x14ac:dyDescent="0.15">
      <c r="A48" s="246" t="s">
        <v>1183</v>
      </c>
      <c r="B48" s="241"/>
      <c r="C48" s="241"/>
      <c r="D48" s="1473" t="s">
        <v>590</v>
      </c>
      <c r="E48" s="1474"/>
      <c r="F48" s="1475"/>
    </row>
    <row r="49" spans="1:6" x14ac:dyDescent="0.15">
      <c r="A49" s="241"/>
      <c r="B49" s="241"/>
      <c r="C49" s="241"/>
      <c r="D49" s="622">
        <v>1</v>
      </c>
      <c r="E49" s="622">
        <v>2</v>
      </c>
      <c r="F49" s="622">
        <v>3</v>
      </c>
    </row>
    <row r="50" spans="1:6" ht="12.75" x14ac:dyDescent="0.2">
      <c r="A50" s="246" t="s">
        <v>699</v>
      </c>
      <c r="D50" s="435"/>
      <c r="E50" s="435"/>
      <c r="F50" s="435"/>
    </row>
    <row r="51" spans="1:6" ht="11.25" customHeight="1" x14ac:dyDescent="0.15">
      <c r="A51" s="1464">
        <v>12</v>
      </c>
      <c r="B51" s="1467" t="s">
        <v>622</v>
      </c>
      <c r="C51" s="1463"/>
      <c r="D51" s="1469"/>
      <c r="E51" s="1469"/>
      <c r="F51" s="1492"/>
    </row>
    <row r="52" spans="1:6" ht="11.25" customHeight="1" x14ac:dyDescent="0.15">
      <c r="A52" s="1465"/>
      <c r="B52" s="1467"/>
      <c r="C52" s="1463"/>
      <c r="D52" s="1470"/>
      <c r="E52" s="1470"/>
      <c r="F52" s="1493"/>
    </row>
    <row r="53" spans="1:6" ht="13.5" customHeight="1" x14ac:dyDescent="0.15">
      <c r="A53" s="1466"/>
      <c r="B53" s="1467"/>
      <c r="C53" s="1463"/>
      <c r="D53" s="1471"/>
      <c r="E53" s="1471"/>
      <c r="F53" s="1494"/>
    </row>
    <row r="54" spans="1:6" ht="11.25" customHeight="1" x14ac:dyDescent="0.15">
      <c r="A54" s="1464">
        <f>A51+1</f>
        <v>13</v>
      </c>
      <c r="B54" s="1467" t="s">
        <v>304</v>
      </c>
      <c r="C54" s="1463"/>
      <c r="D54" s="1469"/>
      <c r="E54" s="1469"/>
      <c r="F54" s="1492"/>
    </row>
    <row r="55" spans="1:6" ht="11.25" customHeight="1" x14ac:dyDescent="0.15">
      <c r="A55" s="1465"/>
      <c r="B55" s="1467"/>
      <c r="C55" s="1463"/>
      <c r="D55" s="1470"/>
      <c r="E55" s="1470"/>
      <c r="F55" s="1493"/>
    </row>
    <row r="56" spans="1:6" ht="13.5" customHeight="1" x14ac:dyDescent="0.15">
      <c r="A56" s="1466"/>
      <c r="B56" s="1467"/>
      <c r="C56" s="1463"/>
      <c r="D56" s="1471"/>
      <c r="E56" s="1471"/>
      <c r="F56" s="1494"/>
    </row>
    <row r="57" spans="1:6" ht="11.25" customHeight="1" x14ac:dyDescent="0.15">
      <c r="A57" s="1464">
        <f>A54+1</f>
        <v>14</v>
      </c>
      <c r="B57" s="1467" t="s">
        <v>934</v>
      </c>
      <c r="C57" s="1463"/>
      <c r="D57" s="1469"/>
      <c r="E57" s="1469"/>
      <c r="F57" s="1489"/>
    </row>
    <row r="58" spans="1:6" ht="11.25" customHeight="1" x14ac:dyDescent="0.15">
      <c r="A58" s="1465"/>
      <c r="B58" s="1467"/>
      <c r="C58" s="1463"/>
      <c r="D58" s="1470"/>
      <c r="E58" s="1470"/>
      <c r="F58" s="1490"/>
    </row>
    <row r="59" spans="1:6" ht="13.5" customHeight="1" x14ac:dyDescent="0.15">
      <c r="A59" s="1466"/>
      <c r="B59" s="1467"/>
      <c r="C59" s="1463"/>
      <c r="D59" s="1471"/>
      <c r="E59" s="1471"/>
      <c r="F59" s="1491"/>
    </row>
    <row r="60" spans="1:6" ht="11.25" customHeight="1" x14ac:dyDescent="0.15">
      <c r="A60" s="1464">
        <f>A57+1</f>
        <v>15</v>
      </c>
      <c r="B60" s="1467" t="str">
        <f>CONCATENATE("Zijn, voor de berekening van de nacalculeerbare afschrijvingskosten van de tot en met ",Voorblad!K4," geactiveerde activa, de afschrijvingspercentages gehanteerd zoals in de beleidsregel ""Transitie bekostigingsstructuur MSZ"" opgenomen? Indien in ",Voorblad!K4," geen activa zijn geactiveerd, kies dan 'nvt'")</f>
        <v>Zijn, voor de berekening van de nacalculeerbare afschrijvingskosten van de tot en met 2012 geactiveerde activa, de afschrijvingspercentages gehanteerd zoals in de beleidsregel "Transitie bekostigingsstructuur MSZ" opgenomen? Indien in 2012 geen activa zijn geactiveerd, kies dan 'nvt'</v>
      </c>
      <c r="C60" s="1463"/>
      <c r="D60" s="1469"/>
      <c r="E60" s="1469"/>
      <c r="F60" s="1469"/>
    </row>
    <row r="61" spans="1:6" x14ac:dyDescent="0.15">
      <c r="A61" s="1465"/>
      <c r="B61" s="1467"/>
      <c r="C61" s="1463"/>
      <c r="D61" s="1470"/>
      <c r="E61" s="1470"/>
      <c r="F61" s="1470"/>
    </row>
    <row r="62" spans="1:6" ht="13.5" customHeight="1" x14ac:dyDescent="0.15">
      <c r="A62" s="1466"/>
      <c r="B62" s="1467"/>
      <c r="C62" s="1463"/>
      <c r="D62" s="1471"/>
      <c r="E62" s="1471"/>
      <c r="F62" s="1471"/>
    </row>
    <row r="63" spans="1:6" x14ac:dyDescent="0.15">
      <c r="A63" s="1464">
        <f>A60+1</f>
        <v>16</v>
      </c>
      <c r="B63" s="1467" t="str">
        <f>CONCATENATE("Passen de in ",Voorblad!K4," geactiveerde investeringen in immateriele en materiele vaste activa (investeringskosten) binnen de WZV/WTZi-vergunningen die voor deze projecten zijn afgegeven? Als er geen investeringen zijn geactiveerd, kies dan 'nvt'")</f>
        <v>Passen de in 2012 geactiveerde investeringen in immateriele en materiele vaste activa (investeringskosten) binnen de WZV/WTZi-vergunningen die voor deze projecten zijn afgegeven? Als er geen investeringen zijn geactiveerd, kies dan 'nvt'</v>
      </c>
      <c r="C63" s="1463"/>
      <c r="D63" s="1469"/>
      <c r="E63" s="1469"/>
      <c r="F63" s="1469"/>
    </row>
    <row r="64" spans="1:6" x14ac:dyDescent="0.15">
      <c r="A64" s="1465"/>
      <c r="B64" s="1467"/>
      <c r="C64" s="1463"/>
      <c r="D64" s="1470"/>
      <c r="E64" s="1470"/>
      <c r="F64" s="1470"/>
    </row>
    <row r="65" spans="1:6" ht="13.5" customHeight="1" x14ac:dyDescent="0.15">
      <c r="A65" s="1466"/>
      <c r="B65" s="1467"/>
      <c r="C65" s="1463"/>
      <c r="D65" s="1471"/>
      <c r="E65" s="1471"/>
      <c r="F65" s="1471"/>
    </row>
    <row r="66" spans="1:6" x14ac:dyDescent="0.15">
      <c r="A66" s="1464">
        <f>A63+1</f>
        <v>17</v>
      </c>
      <c r="B66" s="1467" t="s">
        <v>271</v>
      </c>
      <c r="C66" s="248"/>
      <c r="D66" s="1469"/>
      <c r="E66" s="1469"/>
      <c r="F66" s="1469"/>
    </row>
    <row r="67" spans="1:6" x14ac:dyDescent="0.15">
      <c r="A67" s="1465"/>
      <c r="B67" s="1467"/>
      <c r="C67" s="248"/>
      <c r="D67" s="1470"/>
      <c r="E67" s="1470"/>
      <c r="F67" s="1470"/>
    </row>
    <row r="68" spans="1:6" s="55" customFormat="1" ht="13.5" customHeight="1" x14ac:dyDescent="0.15">
      <c r="A68" s="1466"/>
      <c r="B68" s="1467"/>
      <c r="C68" s="248"/>
      <c r="D68" s="1471"/>
      <c r="E68" s="1471"/>
      <c r="F68" s="1471"/>
    </row>
    <row r="69" spans="1:6" x14ac:dyDescent="0.15">
      <c r="A69" s="1464">
        <f>A66+1</f>
        <v>18</v>
      </c>
      <c r="B69" s="1467" t="str">
        <f>CONCATENATE("Is eerst de jaarlijkse investeringsruimte volledig benut (in het onderdeel van het nacalculatieformulier over instandhoudingsinvesteringen), ","alvorens trekkingsrechten zijn aangesproken voor incidentele instandhoudingsinvesteringen? Indien geen instandhoudingsinvesteringen in ",Voorblad!K4,", kies dan 'nvt'")</f>
        <v>Is eerst de jaarlijkse investeringsruimte volledig benut (in het onderdeel van het nacalculatieformulier over instandhoudingsinvesteringen), alvorens trekkingsrechten zijn aangesproken voor incidentele instandhoudingsinvesteringen? Indien geen instandhoudingsinvesteringen in 2012, kies dan 'nvt'</v>
      </c>
      <c r="C69" s="1463"/>
      <c r="D69" s="1469"/>
      <c r="E69" s="1469"/>
      <c r="F69" s="1469"/>
    </row>
    <row r="70" spans="1:6" x14ac:dyDescent="0.15">
      <c r="A70" s="1465"/>
      <c r="B70" s="1467"/>
      <c r="C70" s="1463"/>
      <c r="D70" s="1470"/>
      <c r="E70" s="1470"/>
      <c r="F70" s="1470"/>
    </row>
    <row r="71" spans="1:6" ht="13.5" customHeight="1" x14ac:dyDescent="0.15">
      <c r="A71" s="1466"/>
      <c r="B71" s="1467"/>
      <c r="C71" s="1463"/>
      <c r="D71" s="1471"/>
      <c r="E71" s="1471"/>
      <c r="F71" s="1471"/>
    </row>
    <row r="72" spans="1:6" x14ac:dyDescent="0.15">
      <c r="A72" s="1464">
        <f>A69+1</f>
        <v>19</v>
      </c>
      <c r="B72" s="1467" t="s">
        <v>625</v>
      </c>
      <c r="C72" s="1463"/>
      <c r="D72" s="1469"/>
      <c r="E72" s="1469"/>
      <c r="F72" s="1469"/>
    </row>
    <row r="73" spans="1:6" x14ac:dyDescent="0.15">
      <c r="A73" s="1465"/>
      <c r="B73" s="1467"/>
      <c r="C73" s="1463"/>
      <c r="D73" s="1470"/>
      <c r="E73" s="1470"/>
      <c r="F73" s="1470"/>
    </row>
    <row r="74" spans="1:6" ht="13.5" customHeight="1" x14ac:dyDescent="0.15">
      <c r="A74" s="1466"/>
      <c r="B74" s="1467"/>
      <c r="C74" s="1463"/>
      <c r="D74" s="1471"/>
      <c r="E74" s="1471"/>
      <c r="F74" s="1471"/>
    </row>
    <row r="75" spans="1:6" ht="13.5" customHeight="1" x14ac:dyDescent="0.15">
      <c r="A75" s="1464">
        <f>A72+1</f>
        <v>20</v>
      </c>
      <c r="B75" s="1467" t="s">
        <v>305</v>
      </c>
      <c r="C75" s="1463"/>
      <c r="D75" s="1469"/>
      <c r="E75" s="1469"/>
      <c r="F75" s="1492"/>
    </row>
    <row r="76" spans="1:6" ht="13.5" customHeight="1" x14ac:dyDescent="0.15">
      <c r="A76" s="1465"/>
      <c r="B76" s="1467"/>
      <c r="C76" s="1463"/>
      <c r="D76" s="1470"/>
      <c r="E76" s="1470"/>
      <c r="F76" s="1493"/>
    </row>
    <row r="77" spans="1:6" ht="13.5" customHeight="1" x14ac:dyDescent="0.15">
      <c r="A77" s="1466"/>
      <c r="B77" s="1467"/>
      <c r="C77" s="1463"/>
      <c r="D77" s="1471"/>
      <c r="E77" s="1471"/>
      <c r="F77" s="1494"/>
    </row>
    <row r="78" spans="1:6" ht="11.25" customHeight="1" x14ac:dyDescent="0.15">
      <c r="A78" s="1464">
        <f>A75+1</f>
        <v>21</v>
      </c>
      <c r="B78" s="1467" t="s">
        <v>769</v>
      </c>
      <c r="C78" s="1463"/>
      <c r="D78" s="1469"/>
      <c r="E78" s="1469"/>
      <c r="F78" s="1469"/>
    </row>
    <row r="79" spans="1:6" x14ac:dyDescent="0.15">
      <c r="A79" s="1465"/>
      <c r="B79" s="1467"/>
      <c r="C79" s="1463"/>
      <c r="D79" s="1470"/>
      <c r="E79" s="1470"/>
      <c r="F79" s="1470"/>
    </row>
    <row r="80" spans="1:6" ht="13.5" customHeight="1" x14ac:dyDescent="0.15">
      <c r="A80" s="1466"/>
      <c r="B80" s="1467"/>
      <c r="C80" s="1463"/>
      <c r="D80" s="1471"/>
      <c r="E80" s="1471"/>
      <c r="F80" s="1471"/>
    </row>
    <row r="81" spans="1:6" ht="12" customHeight="1" x14ac:dyDescent="0.15">
      <c r="A81" s="1483">
        <f>A78+1</f>
        <v>22</v>
      </c>
      <c r="B81" s="1478" t="s">
        <v>933</v>
      </c>
      <c r="C81" s="1463"/>
      <c r="D81" s="1469"/>
      <c r="E81" s="1469"/>
      <c r="F81" s="1469"/>
    </row>
    <row r="82" spans="1:6" x14ac:dyDescent="0.15">
      <c r="A82" s="1484"/>
      <c r="B82" s="1481"/>
      <c r="C82" s="1463"/>
      <c r="D82" s="1470"/>
      <c r="E82" s="1470"/>
      <c r="F82" s="1470"/>
    </row>
    <row r="83" spans="1:6" ht="10.5" customHeight="1" x14ac:dyDescent="0.15">
      <c r="A83" s="1485"/>
      <c r="B83" s="1482"/>
      <c r="C83" s="1463"/>
      <c r="D83" s="1471"/>
      <c r="E83" s="1471"/>
      <c r="F83" s="1471"/>
    </row>
    <row r="84" spans="1:6" x14ac:dyDescent="0.15">
      <c r="A84" s="1483">
        <f>A81+1</f>
        <v>23</v>
      </c>
      <c r="B84" s="1478" t="s">
        <v>626</v>
      </c>
      <c r="C84" s="1463"/>
      <c r="D84" s="1469"/>
      <c r="E84" s="1469"/>
      <c r="F84" s="1469"/>
    </row>
    <row r="85" spans="1:6" x14ac:dyDescent="0.15">
      <c r="A85" s="1484"/>
      <c r="B85" s="1481"/>
      <c r="C85" s="1463"/>
      <c r="D85" s="1470"/>
      <c r="E85" s="1470"/>
      <c r="F85" s="1470"/>
    </row>
    <row r="86" spans="1:6" ht="16.5" customHeight="1" x14ac:dyDescent="0.15">
      <c r="A86" s="1485"/>
      <c r="B86" s="1482"/>
      <c r="C86" s="1463"/>
      <c r="D86" s="1471"/>
      <c r="E86" s="1471"/>
      <c r="F86" s="1471"/>
    </row>
    <row r="87" spans="1:6" ht="12.75" x14ac:dyDescent="0.2">
      <c r="A87" s="246" t="s">
        <v>726</v>
      </c>
      <c r="D87" s="435"/>
      <c r="E87" s="435"/>
      <c r="F87" s="1220">
        <f>F46+1</f>
        <v>25</v>
      </c>
    </row>
    <row r="88" spans="1:6" ht="11.25" customHeight="1" x14ac:dyDescent="0.15">
      <c r="A88" s="1483">
        <f>A84+1</f>
        <v>24</v>
      </c>
      <c r="B88" s="1478" t="s">
        <v>727</v>
      </c>
      <c r="C88" s="1463"/>
      <c r="D88" s="1472"/>
      <c r="E88" s="1472"/>
      <c r="F88" s="1476"/>
    </row>
    <row r="89" spans="1:6" ht="11.25" customHeight="1" x14ac:dyDescent="0.15">
      <c r="A89" s="1484"/>
      <c r="B89" s="1481"/>
      <c r="C89" s="1463"/>
      <c r="D89" s="1472"/>
      <c r="E89" s="1472"/>
      <c r="F89" s="1476"/>
    </row>
    <row r="90" spans="1:6" ht="13.5" customHeight="1" x14ac:dyDescent="0.15">
      <c r="A90" s="1485"/>
      <c r="B90" s="1482"/>
      <c r="C90" s="1463"/>
      <c r="D90" s="1472"/>
      <c r="E90" s="1472"/>
      <c r="F90" s="1476"/>
    </row>
    <row r="91" spans="1:6" ht="11.25" customHeight="1" x14ac:dyDescent="0.15">
      <c r="A91" s="1483">
        <f>A88+1</f>
        <v>25</v>
      </c>
      <c r="B91" s="1478" t="str">
        <f>"Zijn de overige mutaties op regel "&amp;'4 overzicht mutaties'!A19&amp;" toegelicht? Indien geen overige mutaties zijn opgevoerd, kies dan nvt."</f>
        <v>Zijn de overige mutaties op regel 2011 toegelicht? Indien geen overige mutaties zijn opgevoerd, kies dan nvt.</v>
      </c>
      <c r="C91" s="250"/>
      <c r="D91" s="1472"/>
      <c r="E91" s="1472"/>
      <c r="F91" s="1472"/>
    </row>
    <row r="92" spans="1:6" x14ac:dyDescent="0.15">
      <c r="A92" s="1484"/>
      <c r="B92" s="1481"/>
      <c r="C92" s="250"/>
      <c r="D92" s="1472"/>
      <c r="E92" s="1472"/>
      <c r="F92" s="1472"/>
    </row>
    <row r="93" spans="1:6" ht="13.5" customHeight="1" x14ac:dyDescent="0.15">
      <c r="A93" s="1485"/>
      <c r="B93" s="1482"/>
      <c r="C93" s="250"/>
      <c r="D93" s="1472"/>
      <c r="E93" s="1472"/>
      <c r="F93" s="1472"/>
    </row>
    <row r="94" spans="1:6" x14ac:dyDescent="0.15">
      <c r="A94" s="1483">
        <f>A91+1</f>
        <v>26</v>
      </c>
      <c r="B94" s="1486"/>
      <c r="C94" s="250"/>
      <c r="D94" s="1472"/>
      <c r="E94" s="1472"/>
      <c r="F94" s="1472"/>
    </row>
    <row r="95" spans="1:6" x14ac:dyDescent="0.15">
      <c r="A95" s="1484"/>
      <c r="B95" s="1487"/>
      <c r="C95" s="250"/>
      <c r="D95" s="1472"/>
      <c r="E95" s="1472"/>
      <c r="F95" s="1472"/>
    </row>
    <row r="96" spans="1:6" ht="13.5" customHeight="1" x14ac:dyDescent="0.15">
      <c r="A96" s="1485"/>
      <c r="B96" s="1488"/>
      <c r="C96" s="250"/>
      <c r="D96" s="1472"/>
      <c r="E96" s="1472"/>
      <c r="F96" s="1472"/>
    </row>
    <row r="97" spans="1:6" ht="12.75" x14ac:dyDescent="0.2">
      <c r="A97" s="241"/>
      <c r="B97" s="241"/>
      <c r="C97" s="241"/>
      <c r="D97" s="435"/>
      <c r="E97" s="435"/>
      <c r="F97" s="435"/>
    </row>
    <row r="98" spans="1:6" x14ac:dyDescent="0.15">
      <c r="C98" s="241"/>
    </row>
  </sheetData>
  <sheetProtection password="CA39" sheet="1" objects="1" scenarios="1"/>
  <customSheetViews>
    <customSheetView guid="{52EB1485-ECFC-4D16-B893-125E4D85986E}" scale="75" showPageBreaks="1" showGridLines="0" printArea="1" showRuler="0" topLeftCell="A46">
      <selection activeCell="D61" sqref="D61:D63"/>
      <rowBreaks count="2" manualBreakCount="2">
        <brk id="51" max="6" man="1"/>
        <brk id="91" max="6" man="1"/>
      </rowBreaks>
      <pageMargins left="0.39370078740157483" right="0.39370078740157483" top="0.39370078740157483" bottom="0.39370078740157483" header="0.62992125984251968" footer="0.11811023622047245"/>
      <pageSetup paperSize="9" scale="85" orientation="landscape" r:id="rId1"/>
      <headerFooter alignWithMargins="0"/>
    </customSheetView>
  </customSheetViews>
  <mergeCells count="151">
    <mergeCell ref="F10:F12"/>
    <mergeCell ref="F75:F77"/>
    <mergeCell ref="D27:D29"/>
    <mergeCell ref="B81:B83"/>
    <mergeCell ref="D78:D80"/>
    <mergeCell ref="C78:C80"/>
    <mergeCell ref="E30:E32"/>
    <mergeCell ref="E69:E71"/>
    <mergeCell ref="E60:E62"/>
    <mergeCell ref="E24:E26"/>
    <mergeCell ref="F81:F83"/>
    <mergeCell ref="F78:F80"/>
    <mergeCell ref="F54:F56"/>
    <mergeCell ref="F30:F32"/>
    <mergeCell ref="E54:E56"/>
    <mergeCell ref="F36:F38"/>
    <mergeCell ref="D36:D38"/>
    <mergeCell ref="E36:E38"/>
    <mergeCell ref="D39:D41"/>
    <mergeCell ref="D13:D15"/>
    <mergeCell ref="F13:F15"/>
    <mergeCell ref="D18:D20"/>
    <mergeCell ref="E18:E20"/>
    <mergeCell ref="E13:E15"/>
    <mergeCell ref="A3:D3"/>
    <mergeCell ref="B75:B77"/>
    <mergeCell ref="C75:C77"/>
    <mergeCell ref="D75:D77"/>
    <mergeCell ref="D7:F7"/>
    <mergeCell ref="E57:E59"/>
    <mergeCell ref="F24:F26"/>
    <mergeCell ref="E72:E74"/>
    <mergeCell ref="D10:D12"/>
    <mergeCell ref="E10:E12"/>
    <mergeCell ref="E27:E29"/>
    <mergeCell ref="F66:F68"/>
    <mergeCell ref="F39:F41"/>
    <mergeCell ref="F21:F23"/>
    <mergeCell ref="E21:E23"/>
    <mergeCell ref="F72:F74"/>
    <mergeCell ref="F27:F29"/>
    <mergeCell ref="F63:F65"/>
    <mergeCell ref="F57:F59"/>
    <mergeCell ref="F51:F53"/>
    <mergeCell ref="F33:F35"/>
    <mergeCell ref="D66:D68"/>
    <mergeCell ref="D21:D23"/>
    <mergeCell ref="D24:D26"/>
    <mergeCell ref="D94:D96"/>
    <mergeCell ref="E94:E96"/>
    <mergeCell ref="F94:F96"/>
    <mergeCell ref="E84:E86"/>
    <mergeCell ref="D88:D90"/>
    <mergeCell ref="E88:E90"/>
    <mergeCell ref="D91:D93"/>
    <mergeCell ref="E91:E93"/>
    <mergeCell ref="F91:F93"/>
    <mergeCell ref="F88:F90"/>
    <mergeCell ref="F84:F86"/>
    <mergeCell ref="F18:F20"/>
    <mergeCell ref="A94:A96"/>
    <mergeCell ref="A78:A80"/>
    <mergeCell ref="A63:A65"/>
    <mergeCell ref="A75:A77"/>
    <mergeCell ref="A72:A74"/>
    <mergeCell ref="A81:A83"/>
    <mergeCell ref="A84:A86"/>
    <mergeCell ref="A66:A68"/>
    <mergeCell ref="A69:A71"/>
    <mergeCell ref="A91:A93"/>
    <mergeCell ref="B94:B96"/>
    <mergeCell ref="E63:E65"/>
    <mergeCell ref="B66:B68"/>
    <mergeCell ref="B72:B74"/>
    <mergeCell ref="B69:B71"/>
    <mergeCell ref="D72:D74"/>
    <mergeCell ref="E81:E83"/>
    <mergeCell ref="D81:D83"/>
    <mergeCell ref="E75:E77"/>
    <mergeCell ref="B91:B93"/>
    <mergeCell ref="A88:A90"/>
    <mergeCell ref="C88:C90"/>
    <mergeCell ref="B88:B90"/>
    <mergeCell ref="E78:E80"/>
    <mergeCell ref="D84:D86"/>
    <mergeCell ref="B78:B80"/>
    <mergeCell ref="C81:C83"/>
    <mergeCell ref="C84:C86"/>
    <mergeCell ref="B84:B86"/>
    <mergeCell ref="C63:C65"/>
    <mergeCell ref="C72:C74"/>
    <mergeCell ref="F60:F62"/>
    <mergeCell ref="F69:F71"/>
    <mergeCell ref="D60:D62"/>
    <mergeCell ref="C60:C62"/>
    <mergeCell ref="D63:D65"/>
    <mergeCell ref="E66:E68"/>
    <mergeCell ref="C69:C71"/>
    <mergeCell ref="D69:D71"/>
    <mergeCell ref="B63:B65"/>
    <mergeCell ref="B60:B62"/>
    <mergeCell ref="B21:B23"/>
    <mergeCell ref="A24:A26"/>
    <mergeCell ref="A27:A29"/>
    <mergeCell ref="B13:B15"/>
    <mergeCell ref="A10:A12"/>
    <mergeCell ref="B10:B12"/>
    <mergeCell ref="C10:C12"/>
    <mergeCell ref="B27:B29"/>
    <mergeCell ref="B24:B26"/>
    <mergeCell ref="C24:C26"/>
    <mergeCell ref="C27:C29"/>
    <mergeCell ref="A21:A23"/>
    <mergeCell ref="C18:C20"/>
    <mergeCell ref="A6:B8"/>
    <mergeCell ref="A13:A15"/>
    <mergeCell ref="A60:A62"/>
    <mergeCell ref="B57:B59"/>
    <mergeCell ref="D57:D59"/>
    <mergeCell ref="C54:C56"/>
    <mergeCell ref="D30:D32"/>
    <mergeCell ref="D42:D44"/>
    <mergeCell ref="D48:F48"/>
    <mergeCell ref="D51:D53"/>
    <mergeCell ref="E51:E53"/>
    <mergeCell ref="D54:D56"/>
    <mergeCell ref="F42:F44"/>
    <mergeCell ref="E39:E41"/>
    <mergeCell ref="B42:B44"/>
    <mergeCell ref="E42:E44"/>
    <mergeCell ref="B33:B35"/>
    <mergeCell ref="B36:B38"/>
    <mergeCell ref="E33:E35"/>
    <mergeCell ref="D33:D35"/>
    <mergeCell ref="C13:C15"/>
    <mergeCell ref="C51:C53"/>
    <mergeCell ref="A18:A20"/>
    <mergeCell ref="B18:B20"/>
    <mergeCell ref="C57:C59"/>
    <mergeCell ref="A30:A32"/>
    <mergeCell ref="A33:A35"/>
    <mergeCell ref="A57:A59"/>
    <mergeCell ref="A42:A44"/>
    <mergeCell ref="B30:B32"/>
    <mergeCell ref="B54:B56"/>
    <mergeCell ref="B51:B53"/>
    <mergeCell ref="A54:A56"/>
    <mergeCell ref="A51:A53"/>
    <mergeCell ref="A39:A41"/>
    <mergeCell ref="B39:B41"/>
    <mergeCell ref="A36:A38"/>
  </mergeCells>
  <phoneticPr fontId="12" type="noConversion"/>
  <conditionalFormatting sqref="D88:E96 F91:F96 D78:F86 D33:E44 D10:E15 D18:F32 F60:F74 D51:E77">
    <cfRule type="expression" dxfId="13" priority="1" stopIfTrue="1">
      <formula>$C$2=TRUE</formula>
    </cfRule>
  </conditionalFormatting>
  <conditionalFormatting sqref="A3">
    <cfRule type="cellIs" dxfId="12" priority="2" stopIfTrue="1" operator="equal">
      <formula>"Vul het Nza-nummer in op het voorblad"</formula>
    </cfRule>
  </conditionalFormatting>
  <pageMargins left="0.39370078740157483" right="0.39370078740157483" top="0.39370078740157483" bottom="0.39370078740157483" header="0.51181102362204722" footer="0.51181102362204722"/>
  <pageSetup paperSize="9" scale="91" fitToHeight="2" orientation="landscape" cellComments="asDisplayed" r:id="rId2"/>
  <headerFooter alignWithMargins="0"/>
  <rowBreaks count="2" manualBreakCount="2">
    <brk id="45" max="5" man="1"/>
    <brk id="86" max="5" man="1"/>
  </rowBreaks>
  <ignoredErrors>
    <ignoredError sqref="A91" formula="1"/>
  </ignoredErrors>
  <drawing r:id="rId3"/>
  <legacyDrawing r:id="rId4"/>
  <oleObjects>
    <mc:AlternateContent xmlns:mc="http://schemas.openxmlformats.org/markup-compatibility/2006">
      <mc:Choice Requires="x14">
        <oleObject progId="MSPhotoEd.3" shapeId="62839" r:id="rId5">
          <objectPr defaultSize="0" autoPict="0" r:id="rId6">
            <anchor moveWithCells="1" sizeWithCells="1">
              <from>
                <xdr:col>1</xdr:col>
                <xdr:colOff>6762750</xdr:colOff>
                <xdr:row>68</xdr:row>
                <xdr:rowOff>0</xdr:rowOff>
              </from>
              <to>
                <xdr:col>3</xdr:col>
                <xdr:colOff>0</xdr:colOff>
                <xdr:row>68</xdr:row>
                <xdr:rowOff>0</xdr:rowOff>
              </to>
            </anchor>
          </objectPr>
        </oleObject>
      </mc:Choice>
      <mc:Fallback>
        <oleObject progId="MSPhotoEd.3" shapeId="62839" r:id="rId5"/>
      </mc:Fallback>
    </mc:AlternateContent>
    <mc:AlternateContent xmlns:mc="http://schemas.openxmlformats.org/markup-compatibility/2006">
      <mc:Choice Requires="x14">
        <oleObject progId="MSPhotoEd.3" shapeId="62864" r:id="rId7">
          <objectPr defaultSize="0" autoPict="0" r:id="rId6">
            <anchor moveWithCells="1" sizeWithCells="1">
              <from>
                <xdr:col>12</xdr:col>
                <xdr:colOff>323850</xdr:colOff>
                <xdr:row>1</xdr:row>
                <xdr:rowOff>76200</xdr:rowOff>
              </from>
              <to>
                <xdr:col>15</xdr:col>
                <xdr:colOff>57150</xdr:colOff>
                <xdr:row>2</xdr:row>
                <xdr:rowOff>66675</xdr:rowOff>
              </to>
            </anchor>
          </objectPr>
        </oleObject>
      </mc:Choice>
      <mc:Fallback>
        <oleObject progId="MSPhotoEd.3" shapeId="62864" r:id="rId7"/>
      </mc:Fallback>
    </mc:AlternateContent>
    <mc:AlternateContent xmlns:mc="http://schemas.openxmlformats.org/markup-compatibility/2006">
      <mc:Choice Requires="x14">
        <oleObject progId="MSPhotoEd.3" shapeId="62865" r:id="rId8">
          <objectPr defaultSize="0" autoPict="0" r:id="rId6">
            <anchor moveWithCells="1" sizeWithCells="1">
              <from>
                <xdr:col>12</xdr:col>
                <xdr:colOff>323850</xdr:colOff>
                <xdr:row>1</xdr:row>
                <xdr:rowOff>76200</xdr:rowOff>
              </from>
              <to>
                <xdr:col>15</xdr:col>
                <xdr:colOff>57150</xdr:colOff>
                <xdr:row>2</xdr:row>
                <xdr:rowOff>66675</xdr:rowOff>
              </to>
            </anchor>
          </objectPr>
        </oleObject>
      </mc:Choice>
      <mc:Fallback>
        <oleObject progId="MSPhotoEd.3" shapeId="62865" r:id="rId8"/>
      </mc:Fallback>
    </mc:AlternateContent>
    <mc:AlternateContent xmlns:mc="http://schemas.openxmlformats.org/markup-compatibility/2006">
      <mc:Choice Requires="x14">
        <oleObject progId="MSPhotoEd.3" shapeId="62866" r:id="rId9">
          <objectPr defaultSize="0" autoPict="0" r:id="rId6">
            <anchor moveWithCells="1" sizeWithCells="1">
              <from>
                <xdr:col>12</xdr:col>
                <xdr:colOff>323850</xdr:colOff>
                <xdr:row>2</xdr:row>
                <xdr:rowOff>76200</xdr:rowOff>
              </from>
              <to>
                <xdr:col>15</xdr:col>
                <xdr:colOff>57150</xdr:colOff>
                <xdr:row>3</xdr:row>
                <xdr:rowOff>66675</xdr:rowOff>
              </to>
            </anchor>
          </objectPr>
        </oleObject>
      </mc:Choice>
      <mc:Fallback>
        <oleObject progId="MSPhotoEd.3" shapeId="62866" r:id="rId9"/>
      </mc:Fallback>
    </mc:AlternateContent>
    <mc:AlternateContent xmlns:mc="http://schemas.openxmlformats.org/markup-compatibility/2006">
      <mc:Choice Requires="x14">
        <oleObject progId="MSPhotoEd.3" shapeId="63207" r:id="rId10">
          <objectPr defaultSize="0" autoPict="0" r:id="rId6">
            <anchor moveWithCells="1" sizeWithCells="1">
              <from>
                <xdr:col>2</xdr:col>
                <xdr:colOff>47625</xdr:colOff>
                <xdr:row>68</xdr:row>
                <xdr:rowOff>0</xdr:rowOff>
              </from>
              <to>
                <xdr:col>5</xdr:col>
                <xdr:colOff>295275</xdr:colOff>
                <xdr:row>68</xdr:row>
                <xdr:rowOff>0</xdr:rowOff>
              </to>
            </anchor>
          </objectPr>
        </oleObject>
      </mc:Choice>
      <mc:Fallback>
        <oleObject progId="MSPhotoEd.3" shapeId="63207" r:id="rId10"/>
      </mc:Fallback>
    </mc:AlternateContent>
    <mc:AlternateContent xmlns:mc="http://schemas.openxmlformats.org/markup-compatibility/2006">
      <mc:Choice Requires="x14">
        <oleObject progId="MSPhotoEd.3" shapeId="63216" r:id="rId11">
          <objectPr defaultSize="0" autoPict="0" r:id="rId6">
            <anchor moveWithCells="1" sizeWithCells="1">
              <from>
                <xdr:col>2</xdr:col>
                <xdr:colOff>57150</xdr:colOff>
                <xdr:row>45</xdr:row>
                <xdr:rowOff>19050</xdr:rowOff>
              </from>
              <to>
                <xdr:col>5</xdr:col>
                <xdr:colOff>304800</xdr:colOff>
                <xdr:row>46</xdr:row>
                <xdr:rowOff>9525</xdr:rowOff>
              </to>
            </anchor>
          </objectPr>
        </oleObject>
      </mc:Choice>
      <mc:Fallback>
        <oleObject progId="MSPhotoEd.3" shapeId="63216" r:id="rId11"/>
      </mc:Fallback>
    </mc:AlternateContent>
    <mc:AlternateContent xmlns:mc="http://schemas.openxmlformats.org/markup-compatibility/2006">
      <mc:Choice Requires="x14">
        <oleObject progId="MSPhotoEd.3" shapeId="63243" r:id="rId12">
          <objectPr defaultSize="0" autoPict="0" r:id="rId6">
            <anchor moveWithCells="1" sizeWithCells="1">
              <from>
                <xdr:col>1</xdr:col>
                <xdr:colOff>7572375</xdr:colOff>
                <xdr:row>1</xdr:row>
                <xdr:rowOff>19050</xdr:rowOff>
              </from>
              <to>
                <xdr:col>5</xdr:col>
                <xdr:colOff>200025</xdr:colOff>
                <xdr:row>2</xdr:row>
                <xdr:rowOff>19050</xdr:rowOff>
              </to>
            </anchor>
          </objectPr>
        </oleObject>
      </mc:Choice>
      <mc:Fallback>
        <oleObject progId="MSPhotoEd.3" shapeId="63243" r:id="rId12"/>
      </mc:Fallback>
    </mc:AlternateContent>
  </oleObjects>
  <mc:AlternateContent xmlns:mc="http://schemas.openxmlformats.org/markup-compatibility/2006">
    <mc:Choice Requires="x14">
      <controls>
        <mc:AlternateContent xmlns:mc="http://schemas.openxmlformats.org/markup-compatibility/2006">
          <mc:Choice Requires="x14">
            <control shapeId="63118" r:id="rId13" name="Option Button 654">
              <controlPr defaultSize="0" autoFill="0" autoLine="0" autoPict="0">
                <anchor moveWithCells="1">
                  <from>
                    <xdr:col>3</xdr:col>
                    <xdr:colOff>142875</xdr:colOff>
                    <xdr:row>9</xdr:row>
                    <xdr:rowOff>114300</xdr:rowOff>
                  </from>
                  <to>
                    <xdr:col>3</xdr:col>
                    <xdr:colOff>495300</xdr:colOff>
                    <xdr:row>11</xdr:row>
                    <xdr:rowOff>28575</xdr:rowOff>
                  </to>
                </anchor>
              </controlPr>
            </control>
          </mc:Choice>
        </mc:AlternateContent>
        <mc:AlternateContent xmlns:mc="http://schemas.openxmlformats.org/markup-compatibility/2006">
          <mc:Choice Requires="x14">
            <control shapeId="63119" r:id="rId14" name="Option Button 655">
              <controlPr defaultSize="0" autoFill="0" autoLine="0" autoPict="0">
                <anchor moveWithCells="1">
                  <from>
                    <xdr:col>4</xdr:col>
                    <xdr:colOff>123825</xdr:colOff>
                    <xdr:row>9</xdr:row>
                    <xdr:rowOff>66675</xdr:rowOff>
                  </from>
                  <to>
                    <xdr:col>4</xdr:col>
                    <xdr:colOff>495300</xdr:colOff>
                    <xdr:row>11</xdr:row>
                    <xdr:rowOff>85725</xdr:rowOff>
                  </to>
                </anchor>
              </controlPr>
            </control>
          </mc:Choice>
        </mc:AlternateContent>
        <mc:AlternateContent xmlns:mc="http://schemas.openxmlformats.org/markup-compatibility/2006">
          <mc:Choice Requires="x14">
            <control shapeId="63120" r:id="rId15" name="Option Button 656">
              <controlPr defaultSize="0" autoFill="0" autoLine="0" autoPict="0">
                <anchor moveWithCells="1">
                  <from>
                    <xdr:col>4</xdr:col>
                    <xdr:colOff>123825</xdr:colOff>
                    <xdr:row>20</xdr:row>
                    <xdr:rowOff>66675</xdr:rowOff>
                  </from>
                  <to>
                    <xdr:col>4</xdr:col>
                    <xdr:colOff>495300</xdr:colOff>
                    <xdr:row>22</xdr:row>
                    <xdr:rowOff>85725</xdr:rowOff>
                  </to>
                </anchor>
              </controlPr>
            </control>
          </mc:Choice>
        </mc:AlternateContent>
        <mc:AlternateContent xmlns:mc="http://schemas.openxmlformats.org/markup-compatibility/2006">
          <mc:Choice Requires="x14">
            <control shapeId="63121" r:id="rId16" name="Option Button 657">
              <controlPr defaultSize="0" autoFill="0" autoLine="0" autoPict="0">
                <anchor moveWithCells="1">
                  <from>
                    <xdr:col>5</xdr:col>
                    <xdr:colOff>123825</xdr:colOff>
                    <xdr:row>20</xdr:row>
                    <xdr:rowOff>66675</xdr:rowOff>
                  </from>
                  <to>
                    <xdr:col>5</xdr:col>
                    <xdr:colOff>495300</xdr:colOff>
                    <xdr:row>22</xdr:row>
                    <xdr:rowOff>85725</xdr:rowOff>
                  </to>
                </anchor>
              </controlPr>
            </control>
          </mc:Choice>
        </mc:AlternateContent>
        <mc:AlternateContent xmlns:mc="http://schemas.openxmlformats.org/markup-compatibility/2006">
          <mc:Choice Requires="x14">
            <control shapeId="63122" r:id="rId17" name="Option Button 658">
              <controlPr defaultSize="0" autoFill="0" autoLine="0" autoPict="0">
                <anchor moveWithCells="1">
                  <from>
                    <xdr:col>4</xdr:col>
                    <xdr:colOff>114300</xdr:colOff>
                    <xdr:row>23</xdr:row>
                    <xdr:rowOff>76200</xdr:rowOff>
                  </from>
                  <to>
                    <xdr:col>4</xdr:col>
                    <xdr:colOff>485775</xdr:colOff>
                    <xdr:row>25</xdr:row>
                    <xdr:rowOff>95250</xdr:rowOff>
                  </to>
                </anchor>
              </controlPr>
            </control>
          </mc:Choice>
        </mc:AlternateContent>
        <mc:AlternateContent xmlns:mc="http://schemas.openxmlformats.org/markup-compatibility/2006">
          <mc:Choice Requires="x14">
            <control shapeId="63123" r:id="rId18" name="Option Button 659">
              <controlPr defaultSize="0" autoFill="0" autoLine="0" autoPict="0">
                <anchor moveWithCells="1">
                  <from>
                    <xdr:col>5</xdr:col>
                    <xdr:colOff>95250</xdr:colOff>
                    <xdr:row>23</xdr:row>
                    <xdr:rowOff>76200</xdr:rowOff>
                  </from>
                  <to>
                    <xdr:col>5</xdr:col>
                    <xdr:colOff>466725</xdr:colOff>
                    <xdr:row>25</xdr:row>
                    <xdr:rowOff>95250</xdr:rowOff>
                  </to>
                </anchor>
              </controlPr>
            </control>
          </mc:Choice>
        </mc:AlternateContent>
        <mc:AlternateContent xmlns:mc="http://schemas.openxmlformats.org/markup-compatibility/2006">
          <mc:Choice Requires="x14">
            <control shapeId="63124" r:id="rId19" name="Option Button 660">
              <controlPr defaultSize="0" autoFill="0" autoLine="0" autoPict="0">
                <anchor moveWithCells="1">
                  <from>
                    <xdr:col>3</xdr:col>
                    <xdr:colOff>142875</xdr:colOff>
                    <xdr:row>50</xdr:row>
                    <xdr:rowOff>114300</xdr:rowOff>
                  </from>
                  <to>
                    <xdr:col>3</xdr:col>
                    <xdr:colOff>495300</xdr:colOff>
                    <xdr:row>52</xdr:row>
                    <xdr:rowOff>28575</xdr:rowOff>
                  </to>
                </anchor>
              </controlPr>
            </control>
          </mc:Choice>
        </mc:AlternateContent>
        <mc:AlternateContent xmlns:mc="http://schemas.openxmlformats.org/markup-compatibility/2006">
          <mc:Choice Requires="x14">
            <control shapeId="63125" r:id="rId20" name="Option Button 661">
              <controlPr defaultSize="0" autoFill="0" autoLine="0" autoPict="0">
                <anchor moveWithCells="1">
                  <from>
                    <xdr:col>4</xdr:col>
                    <xdr:colOff>123825</xdr:colOff>
                    <xdr:row>50</xdr:row>
                    <xdr:rowOff>66675</xdr:rowOff>
                  </from>
                  <to>
                    <xdr:col>4</xdr:col>
                    <xdr:colOff>495300</xdr:colOff>
                    <xdr:row>52</xdr:row>
                    <xdr:rowOff>85725</xdr:rowOff>
                  </to>
                </anchor>
              </controlPr>
            </control>
          </mc:Choice>
        </mc:AlternateContent>
        <mc:AlternateContent xmlns:mc="http://schemas.openxmlformats.org/markup-compatibility/2006">
          <mc:Choice Requires="x14">
            <control shapeId="63126" r:id="rId21" name="Option Button 662">
              <controlPr defaultSize="0" autoFill="0" autoLine="0" autoPict="0">
                <anchor moveWithCells="1">
                  <from>
                    <xdr:col>3</xdr:col>
                    <xdr:colOff>142875</xdr:colOff>
                    <xdr:row>59</xdr:row>
                    <xdr:rowOff>114300</xdr:rowOff>
                  </from>
                  <to>
                    <xdr:col>3</xdr:col>
                    <xdr:colOff>495300</xdr:colOff>
                    <xdr:row>61</xdr:row>
                    <xdr:rowOff>28575</xdr:rowOff>
                  </to>
                </anchor>
              </controlPr>
            </control>
          </mc:Choice>
        </mc:AlternateContent>
        <mc:AlternateContent xmlns:mc="http://schemas.openxmlformats.org/markup-compatibility/2006">
          <mc:Choice Requires="x14">
            <control shapeId="63127" r:id="rId22" name="Option Button 663">
              <controlPr defaultSize="0" autoFill="0" autoLine="0" autoPict="0">
                <anchor moveWithCells="1">
                  <from>
                    <xdr:col>4</xdr:col>
                    <xdr:colOff>123825</xdr:colOff>
                    <xdr:row>59</xdr:row>
                    <xdr:rowOff>66675</xdr:rowOff>
                  </from>
                  <to>
                    <xdr:col>4</xdr:col>
                    <xdr:colOff>495300</xdr:colOff>
                    <xdr:row>61</xdr:row>
                    <xdr:rowOff>85725</xdr:rowOff>
                  </to>
                </anchor>
              </controlPr>
            </control>
          </mc:Choice>
        </mc:AlternateContent>
        <mc:AlternateContent xmlns:mc="http://schemas.openxmlformats.org/markup-compatibility/2006">
          <mc:Choice Requires="x14">
            <control shapeId="63128" r:id="rId23" name="Option Button 664">
              <controlPr defaultSize="0" autoFill="0" autoLine="0" autoPict="0">
                <anchor moveWithCells="1">
                  <from>
                    <xdr:col>5</xdr:col>
                    <xdr:colOff>123825</xdr:colOff>
                    <xdr:row>59</xdr:row>
                    <xdr:rowOff>66675</xdr:rowOff>
                  </from>
                  <to>
                    <xdr:col>5</xdr:col>
                    <xdr:colOff>495300</xdr:colOff>
                    <xdr:row>61</xdr:row>
                    <xdr:rowOff>85725</xdr:rowOff>
                  </to>
                </anchor>
              </controlPr>
            </control>
          </mc:Choice>
        </mc:AlternateContent>
        <mc:AlternateContent xmlns:mc="http://schemas.openxmlformats.org/markup-compatibility/2006">
          <mc:Choice Requires="x14">
            <control shapeId="63129" r:id="rId24" name="Option Button 665">
              <controlPr defaultSize="0" autoFill="0" autoLine="0" autoPict="0">
                <anchor moveWithCells="1">
                  <from>
                    <xdr:col>4</xdr:col>
                    <xdr:colOff>95250</xdr:colOff>
                    <xdr:row>62</xdr:row>
                    <xdr:rowOff>76200</xdr:rowOff>
                  </from>
                  <to>
                    <xdr:col>4</xdr:col>
                    <xdr:colOff>466725</xdr:colOff>
                    <xdr:row>64</xdr:row>
                    <xdr:rowOff>95250</xdr:rowOff>
                  </to>
                </anchor>
              </controlPr>
            </control>
          </mc:Choice>
        </mc:AlternateContent>
        <mc:AlternateContent xmlns:mc="http://schemas.openxmlformats.org/markup-compatibility/2006">
          <mc:Choice Requires="x14">
            <control shapeId="63130" r:id="rId25" name="Option Button 666">
              <controlPr defaultSize="0" autoFill="0" autoLine="0" autoPict="0">
                <anchor moveWithCells="1">
                  <from>
                    <xdr:col>3</xdr:col>
                    <xdr:colOff>142875</xdr:colOff>
                    <xdr:row>62</xdr:row>
                    <xdr:rowOff>114300</xdr:rowOff>
                  </from>
                  <to>
                    <xdr:col>3</xdr:col>
                    <xdr:colOff>495300</xdr:colOff>
                    <xdr:row>64</xdr:row>
                    <xdr:rowOff>28575</xdr:rowOff>
                  </to>
                </anchor>
              </controlPr>
            </control>
          </mc:Choice>
        </mc:AlternateContent>
        <mc:AlternateContent xmlns:mc="http://schemas.openxmlformats.org/markup-compatibility/2006">
          <mc:Choice Requires="x14">
            <control shapeId="63131" r:id="rId26" name="Option Button 667">
              <controlPr defaultSize="0" autoFill="0" autoLine="0" autoPict="0">
                <anchor moveWithCells="1">
                  <from>
                    <xdr:col>5</xdr:col>
                    <xdr:colOff>123825</xdr:colOff>
                    <xdr:row>62</xdr:row>
                    <xdr:rowOff>66675</xdr:rowOff>
                  </from>
                  <to>
                    <xdr:col>5</xdr:col>
                    <xdr:colOff>495300</xdr:colOff>
                    <xdr:row>64</xdr:row>
                    <xdr:rowOff>85725</xdr:rowOff>
                  </to>
                </anchor>
              </controlPr>
            </control>
          </mc:Choice>
        </mc:AlternateContent>
        <mc:AlternateContent xmlns:mc="http://schemas.openxmlformats.org/markup-compatibility/2006">
          <mc:Choice Requires="x14">
            <control shapeId="63132" r:id="rId27" name="Option Button 668">
              <controlPr defaultSize="0" autoFill="0" autoLine="0" autoPict="0">
                <anchor moveWithCells="1">
                  <from>
                    <xdr:col>3</xdr:col>
                    <xdr:colOff>142875</xdr:colOff>
                    <xdr:row>68</xdr:row>
                    <xdr:rowOff>114300</xdr:rowOff>
                  </from>
                  <to>
                    <xdr:col>3</xdr:col>
                    <xdr:colOff>495300</xdr:colOff>
                    <xdr:row>70</xdr:row>
                    <xdr:rowOff>28575</xdr:rowOff>
                  </to>
                </anchor>
              </controlPr>
            </control>
          </mc:Choice>
        </mc:AlternateContent>
        <mc:AlternateContent xmlns:mc="http://schemas.openxmlformats.org/markup-compatibility/2006">
          <mc:Choice Requires="x14">
            <control shapeId="63133" r:id="rId28" name="Option Button 669">
              <controlPr defaultSize="0" autoFill="0" autoLine="0" autoPict="0">
                <anchor moveWithCells="1">
                  <from>
                    <xdr:col>4</xdr:col>
                    <xdr:colOff>123825</xdr:colOff>
                    <xdr:row>68</xdr:row>
                    <xdr:rowOff>66675</xdr:rowOff>
                  </from>
                  <to>
                    <xdr:col>4</xdr:col>
                    <xdr:colOff>495300</xdr:colOff>
                    <xdr:row>70</xdr:row>
                    <xdr:rowOff>85725</xdr:rowOff>
                  </to>
                </anchor>
              </controlPr>
            </control>
          </mc:Choice>
        </mc:AlternateContent>
        <mc:AlternateContent xmlns:mc="http://schemas.openxmlformats.org/markup-compatibility/2006">
          <mc:Choice Requires="x14">
            <control shapeId="63134" r:id="rId29" name="Option Button 670">
              <controlPr defaultSize="0" autoFill="0" autoLine="0" autoPict="0">
                <anchor moveWithCells="1">
                  <from>
                    <xdr:col>5</xdr:col>
                    <xdr:colOff>123825</xdr:colOff>
                    <xdr:row>68</xdr:row>
                    <xdr:rowOff>66675</xdr:rowOff>
                  </from>
                  <to>
                    <xdr:col>5</xdr:col>
                    <xdr:colOff>495300</xdr:colOff>
                    <xdr:row>70</xdr:row>
                    <xdr:rowOff>85725</xdr:rowOff>
                  </to>
                </anchor>
              </controlPr>
            </control>
          </mc:Choice>
        </mc:AlternateContent>
        <mc:AlternateContent xmlns:mc="http://schemas.openxmlformats.org/markup-compatibility/2006">
          <mc:Choice Requires="x14">
            <control shapeId="63135" r:id="rId30" name="Option Button 671">
              <controlPr defaultSize="0" autoFill="0" autoLine="0" autoPict="0">
                <anchor moveWithCells="1">
                  <from>
                    <xdr:col>3</xdr:col>
                    <xdr:colOff>142875</xdr:colOff>
                    <xdr:row>71</xdr:row>
                    <xdr:rowOff>114300</xdr:rowOff>
                  </from>
                  <to>
                    <xdr:col>3</xdr:col>
                    <xdr:colOff>495300</xdr:colOff>
                    <xdr:row>73</xdr:row>
                    <xdr:rowOff>28575</xdr:rowOff>
                  </to>
                </anchor>
              </controlPr>
            </control>
          </mc:Choice>
        </mc:AlternateContent>
        <mc:AlternateContent xmlns:mc="http://schemas.openxmlformats.org/markup-compatibility/2006">
          <mc:Choice Requires="x14">
            <control shapeId="63136" r:id="rId31" name="Option Button 672">
              <controlPr defaultSize="0" autoFill="0" autoLine="0" autoPict="0">
                <anchor moveWithCells="1">
                  <from>
                    <xdr:col>4</xdr:col>
                    <xdr:colOff>123825</xdr:colOff>
                    <xdr:row>71</xdr:row>
                    <xdr:rowOff>66675</xdr:rowOff>
                  </from>
                  <to>
                    <xdr:col>4</xdr:col>
                    <xdr:colOff>495300</xdr:colOff>
                    <xdr:row>73</xdr:row>
                    <xdr:rowOff>85725</xdr:rowOff>
                  </to>
                </anchor>
              </controlPr>
            </control>
          </mc:Choice>
        </mc:AlternateContent>
        <mc:AlternateContent xmlns:mc="http://schemas.openxmlformats.org/markup-compatibility/2006">
          <mc:Choice Requires="x14">
            <control shapeId="63137" r:id="rId32" name="Option Button 673">
              <controlPr defaultSize="0" autoFill="0" autoLine="0" autoPict="0">
                <anchor moveWithCells="1">
                  <from>
                    <xdr:col>5</xdr:col>
                    <xdr:colOff>123825</xdr:colOff>
                    <xdr:row>71</xdr:row>
                    <xdr:rowOff>66675</xdr:rowOff>
                  </from>
                  <to>
                    <xdr:col>5</xdr:col>
                    <xdr:colOff>495300</xdr:colOff>
                    <xdr:row>73</xdr:row>
                    <xdr:rowOff>85725</xdr:rowOff>
                  </to>
                </anchor>
              </controlPr>
            </control>
          </mc:Choice>
        </mc:AlternateContent>
        <mc:AlternateContent xmlns:mc="http://schemas.openxmlformats.org/markup-compatibility/2006">
          <mc:Choice Requires="x14">
            <control shapeId="63140" r:id="rId33" name="Option Button 676">
              <controlPr defaultSize="0" autoFill="0" autoLine="0" autoPict="0">
                <anchor moveWithCells="1">
                  <from>
                    <xdr:col>3</xdr:col>
                    <xdr:colOff>142875</xdr:colOff>
                    <xdr:row>77</xdr:row>
                    <xdr:rowOff>114300</xdr:rowOff>
                  </from>
                  <to>
                    <xdr:col>3</xdr:col>
                    <xdr:colOff>495300</xdr:colOff>
                    <xdr:row>78</xdr:row>
                    <xdr:rowOff>123825</xdr:rowOff>
                  </to>
                </anchor>
              </controlPr>
            </control>
          </mc:Choice>
        </mc:AlternateContent>
        <mc:AlternateContent xmlns:mc="http://schemas.openxmlformats.org/markup-compatibility/2006">
          <mc:Choice Requires="x14">
            <control shapeId="63141" r:id="rId34" name="Option Button 677">
              <controlPr defaultSize="0" autoFill="0" autoLine="0" autoPict="0">
                <anchor moveWithCells="1">
                  <from>
                    <xdr:col>4</xdr:col>
                    <xdr:colOff>123825</xdr:colOff>
                    <xdr:row>77</xdr:row>
                    <xdr:rowOff>66675</xdr:rowOff>
                  </from>
                  <to>
                    <xdr:col>4</xdr:col>
                    <xdr:colOff>495300</xdr:colOff>
                    <xdr:row>79</xdr:row>
                    <xdr:rowOff>9525</xdr:rowOff>
                  </to>
                </anchor>
              </controlPr>
            </control>
          </mc:Choice>
        </mc:AlternateContent>
        <mc:AlternateContent xmlns:mc="http://schemas.openxmlformats.org/markup-compatibility/2006">
          <mc:Choice Requires="x14">
            <control shapeId="63142" r:id="rId35" name="Option Button 678">
              <controlPr defaultSize="0" autoFill="0" autoLine="0" autoPict="0">
                <anchor moveWithCells="1">
                  <from>
                    <xdr:col>5</xdr:col>
                    <xdr:colOff>123825</xdr:colOff>
                    <xdr:row>77</xdr:row>
                    <xdr:rowOff>66675</xdr:rowOff>
                  </from>
                  <to>
                    <xdr:col>5</xdr:col>
                    <xdr:colOff>495300</xdr:colOff>
                    <xdr:row>79</xdr:row>
                    <xdr:rowOff>9525</xdr:rowOff>
                  </to>
                </anchor>
              </controlPr>
            </control>
          </mc:Choice>
        </mc:AlternateContent>
        <mc:AlternateContent xmlns:mc="http://schemas.openxmlformats.org/markup-compatibility/2006">
          <mc:Choice Requires="x14">
            <control shapeId="63143" r:id="rId36" name="Option Button 679">
              <controlPr defaultSize="0" autoFill="0" autoLine="0" autoPict="0">
                <anchor moveWithCells="1">
                  <from>
                    <xdr:col>3</xdr:col>
                    <xdr:colOff>142875</xdr:colOff>
                    <xdr:row>80</xdr:row>
                    <xdr:rowOff>114300</xdr:rowOff>
                  </from>
                  <to>
                    <xdr:col>3</xdr:col>
                    <xdr:colOff>495300</xdr:colOff>
                    <xdr:row>81</xdr:row>
                    <xdr:rowOff>123825</xdr:rowOff>
                  </to>
                </anchor>
              </controlPr>
            </control>
          </mc:Choice>
        </mc:AlternateContent>
        <mc:AlternateContent xmlns:mc="http://schemas.openxmlformats.org/markup-compatibility/2006">
          <mc:Choice Requires="x14">
            <control shapeId="63144" r:id="rId37" name="Option Button 680">
              <controlPr defaultSize="0" autoFill="0" autoLine="0" autoPict="0">
                <anchor moveWithCells="1">
                  <from>
                    <xdr:col>4</xdr:col>
                    <xdr:colOff>123825</xdr:colOff>
                    <xdr:row>80</xdr:row>
                    <xdr:rowOff>66675</xdr:rowOff>
                  </from>
                  <to>
                    <xdr:col>4</xdr:col>
                    <xdr:colOff>495300</xdr:colOff>
                    <xdr:row>82</xdr:row>
                    <xdr:rowOff>0</xdr:rowOff>
                  </to>
                </anchor>
              </controlPr>
            </control>
          </mc:Choice>
        </mc:AlternateContent>
        <mc:AlternateContent xmlns:mc="http://schemas.openxmlformats.org/markup-compatibility/2006">
          <mc:Choice Requires="x14">
            <control shapeId="63145" r:id="rId38" name="Option Button 681">
              <controlPr defaultSize="0" autoFill="0" autoLine="0" autoPict="0">
                <anchor moveWithCells="1">
                  <from>
                    <xdr:col>5</xdr:col>
                    <xdr:colOff>123825</xdr:colOff>
                    <xdr:row>80</xdr:row>
                    <xdr:rowOff>66675</xdr:rowOff>
                  </from>
                  <to>
                    <xdr:col>5</xdr:col>
                    <xdr:colOff>495300</xdr:colOff>
                    <xdr:row>82</xdr:row>
                    <xdr:rowOff>0</xdr:rowOff>
                  </to>
                </anchor>
              </controlPr>
            </control>
          </mc:Choice>
        </mc:AlternateContent>
        <mc:AlternateContent xmlns:mc="http://schemas.openxmlformats.org/markup-compatibility/2006">
          <mc:Choice Requires="x14">
            <control shapeId="63146" r:id="rId39" name="Option Button 682">
              <controlPr defaultSize="0" autoFill="0" autoLine="0" autoPict="0">
                <anchor moveWithCells="1">
                  <from>
                    <xdr:col>3</xdr:col>
                    <xdr:colOff>76200</xdr:colOff>
                    <xdr:row>18</xdr:row>
                    <xdr:rowOff>0</xdr:rowOff>
                  </from>
                  <to>
                    <xdr:col>3</xdr:col>
                    <xdr:colOff>447675</xdr:colOff>
                    <xdr:row>19</xdr:row>
                    <xdr:rowOff>76200</xdr:rowOff>
                  </to>
                </anchor>
              </controlPr>
            </control>
          </mc:Choice>
        </mc:AlternateContent>
        <mc:AlternateContent xmlns:mc="http://schemas.openxmlformats.org/markup-compatibility/2006">
          <mc:Choice Requires="x14">
            <control shapeId="63147" r:id="rId40" name="Option Button 683">
              <controlPr defaultSize="0" autoFill="0" autoLine="0" autoPict="0">
                <anchor moveWithCells="1">
                  <from>
                    <xdr:col>4</xdr:col>
                    <xdr:colOff>85725</xdr:colOff>
                    <xdr:row>18</xdr:row>
                    <xdr:rowOff>0</xdr:rowOff>
                  </from>
                  <to>
                    <xdr:col>5</xdr:col>
                    <xdr:colOff>495300</xdr:colOff>
                    <xdr:row>19</xdr:row>
                    <xdr:rowOff>76200</xdr:rowOff>
                  </to>
                </anchor>
              </controlPr>
            </control>
          </mc:Choice>
        </mc:AlternateContent>
        <mc:AlternateContent xmlns:mc="http://schemas.openxmlformats.org/markup-compatibility/2006">
          <mc:Choice Requires="x14">
            <control shapeId="63148" r:id="rId41" name="Option Button 684">
              <controlPr defaultSize="0" autoFill="0" autoLine="0" autoPict="0">
                <anchor moveWithCells="1">
                  <from>
                    <xdr:col>5</xdr:col>
                    <xdr:colOff>66675</xdr:colOff>
                    <xdr:row>17</xdr:row>
                    <xdr:rowOff>114300</xdr:rowOff>
                  </from>
                  <to>
                    <xdr:col>5</xdr:col>
                    <xdr:colOff>438150</xdr:colOff>
                    <xdr:row>19</xdr:row>
                    <xdr:rowOff>133350</xdr:rowOff>
                  </to>
                </anchor>
              </controlPr>
            </control>
          </mc:Choice>
        </mc:AlternateContent>
        <mc:AlternateContent xmlns:mc="http://schemas.openxmlformats.org/markup-compatibility/2006">
          <mc:Choice Requires="x14">
            <control shapeId="63149" r:id="rId42" name="Option Button 685">
              <controlPr defaultSize="0" autoFill="0" autoLine="0" autoPict="0">
                <anchor moveWithCells="1">
                  <from>
                    <xdr:col>3</xdr:col>
                    <xdr:colOff>142875</xdr:colOff>
                    <xdr:row>9</xdr:row>
                    <xdr:rowOff>114300</xdr:rowOff>
                  </from>
                  <to>
                    <xdr:col>3</xdr:col>
                    <xdr:colOff>495300</xdr:colOff>
                    <xdr:row>11</xdr:row>
                    <xdr:rowOff>28575</xdr:rowOff>
                  </to>
                </anchor>
              </controlPr>
            </control>
          </mc:Choice>
        </mc:AlternateContent>
        <mc:AlternateContent xmlns:mc="http://schemas.openxmlformats.org/markup-compatibility/2006">
          <mc:Choice Requires="x14">
            <control shapeId="63150" r:id="rId43" name="Option Button 686">
              <controlPr defaultSize="0" autoFill="0" autoLine="0" autoPict="0">
                <anchor moveWithCells="1">
                  <from>
                    <xdr:col>4</xdr:col>
                    <xdr:colOff>123825</xdr:colOff>
                    <xdr:row>9</xdr:row>
                    <xdr:rowOff>66675</xdr:rowOff>
                  </from>
                  <to>
                    <xdr:col>4</xdr:col>
                    <xdr:colOff>495300</xdr:colOff>
                    <xdr:row>11</xdr:row>
                    <xdr:rowOff>85725</xdr:rowOff>
                  </to>
                </anchor>
              </controlPr>
            </control>
          </mc:Choice>
        </mc:AlternateContent>
        <mc:AlternateContent xmlns:mc="http://schemas.openxmlformats.org/markup-compatibility/2006">
          <mc:Choice Requires="x14">
            <control shapeId="63151" r:id="rId44" name="Option Button 687">
              <controlPr defaultSize="0" autoFill="0" autoLine="0" autoPict="0">
                <anchor moveWithCells="1">
                  <from>
                    <xdr:col>3</xdr:col>
                    <xdr:colOff>123825</xdr:colOff>
                    <xdr:row>23</xdr:row>
                    <xdr:rowOff>114300</xdr:rowOff>
                  </from>
                  <to>
                    <xdr:col>3</xdr:col>
                    <xdr:colOff>476250</xdr:colOff>
                    <xdr:row>25</xdr:row>
                    <xdr:rowOff>28575</xdr:rowOff>
                  </to>
                </anchor>
              </controlPr>
            </control>
          </mc:Choice>
        </mc:AlternateContent>
        <mc:AlternateContent xmlns:mc="http://schemas.openxmlformats.org/markup-compatibility/2006">
          <mc:Choice Requires="x14">
            <control shapeId="63152" r:id="rId45" name="Option Button 688">
              <controlPr defaultSize="0" autoFill="0" autoLine="0" autoPict="0">
                <anchor moveWithCells="1">
                  <from>
                    <xdr:col>3</xdr:col>
                    <xdr:colOff>142875</xdr:colOff>
                    <xdr:row>26</xdr:row>
                    <xdr:rowOff>114300</xdr:rowOff>
                  </from>
                  <to>
                    <xdr:col>3</xdr:col>
                    <xdr:colOff>495300</xdr:colOff>
                    <xdr:row>28</xdr:row>
                    <xdr:rowOff>28575</xdr:rowOff>
                  </to>
                </anchor>
              </controlPr>
            </control>
          </mc:Choice>
        </mc:AlternateContent>
        <mc:AlternateContent xmlns:mc="http://schemas.openxmlformats.org/markup-compatibility/2006">
          <mc:Choice Requires="x14">
            <control shapeId="63153" r:id="rId46" name="Option Button 689">
              <controlPr defaultSize="0" autoFill="0" autoLine="0" autoPict="0">
                <anchor moveWithCells="1">
                  <from>
                    <xdr:col>4</xdr:col>
                    <xdr:colOff>123825</xdr:colOff>
                    <xdr:row>26</xdr:row>
                    <xdr:rowOff>66675</xdr:rowOff>
                  </from>
                  <to>
                    <xdr:col>4</xdr:col>
                    <xdr:colOff>495300</xdr:colOff>
                    <xdr:row>28</xdr:row>
                    <xdr:rowOff>85725</xdr:rowOff>
                  </to>
                </anchor>
              </controlPr>
            </control>
          </mc:Choice>
        </mc:AlternateContent>
        <mc:AlternateContent xmlns:mc="http://schemas.openxmlformats.org/markup-compatibility/2006">
          <mc:Choice Requires="x14">
            <control shapeId="63154" r:id="rId47" name="Option Button 690">
              <controlPr defaultSize="0" autoFill="0" autoLine="0" autoPict="0">
                <anchor moveWithCells="1">
                  <from>
                    <xdr:col>5</xdr:col>
                    <xdr:colOff>123825</xdr:colOff>
                    <xdr:row>26</xdr:row>
                    <xdr:rowOff>66675</xdr:rowOff>
                  </from>
                  <to>
                    <xdr:col>5</xdr:col>
                    <xdr:colOff>495300</xdr:colOff>
                    <xdr:row>28</xdr:row>
                    <xdr:rowOff>85725</xdr:rowOff>
                  </to>
                </anchor>
              </controlPr>
            </control>
          </mc:Choice>
        </mc:AlternateContent>
        <mc:AlternateContent xmlns:mc="http://schemas.openxmlformats.org/markup-compatibility/2006">
          <mc:Choice Requires="x14">
            <control shapeId="63155" r:id="rId48" name="Option Button 691">
              <controlPr defaultSize="0" autoFill="0" autoLine="0" autoPict="0">
                <anchor moveWithCells="1">
                  <from>
                    <xdr:col>3</xdr:col>
                    <xdr:colOff>142875</xdr:colOff>
                    <xdr:row>50</xdr:row>
                    <xdr:rowOff>114300</xdr:rowOff>
                  </from>
                  <to>
                    <xdr:col>3</xdr:col>
                    <xdr:colOff>495300</xdr:colOff>
                    <xdr:row>52</xdr:row>
                    <xdr:rowOff>28575</xdr:rowOff>
                  </to>
                </anchor>
              </controlPr>
            </control>
          </mc:Choice>
        </mc:AlternateContent>
        <mc:AlternateContent xmlns:mc="http://schemas.openxmlformats.org/markup-compatibility/2006">
          <mc:Choice Requires="x14">
            <control shapeId="63156" r:id="rId49" name="Option Button 692">
              <controlPr defaultSize="0" autoFill="0" autoLine="0" autoPict="0">
                <anchor moveWithCells="1">
                  <from>
                    <xdr:col>4</xdr:col>
                    <xdr:colOff>123825</xdr:colOff>
                    <xdr:row>50</xdr:row>
                    <xdr:rowOff>66675</xdr:rowOff>
                  </from>
                  <to>
                    <xdr:col>4</xdr:col>
                    <xdr:colOff>495300</xdr:colOff>
                    <xdr:row>52</xdr:row>
                    <xdr:rowOff>85725</xdr:rowOff>
                  </to>
                </anchor>
              </controlPr>
            </control>
          </mc:Choice>
        </mc:AlternateContent>
        <mc:AlternateContent xmlns:mc="http://schemas.openxmlformats.org/markup-compatibility/2006">
          <mc:Choice Requires="x14">
            <control shapeId="63157" r:id="rId50" name="Option Button 693">
              <controlPr defaultSize="0" autoFill="0" autoLine="0" autoPict="0">
                <anchor moveWithCells="1">
                  <from>
                    <xdr:col>3</xdr:col>
                    <xdr:colOff>142875</xdr:colOff>
                    <xdr:row>53</xdr:row>
                    <xdr:rowOff>114300</xdr:rowOff>
                  </from>
                  <to>
                    <xdr:col>3</xdr:col>
                    <xdr:colOff>495300</xdr:colOff>
                    <xdr:row>55</xdr:row>
                    <xdr:rowOff>28575</xdr:rowOff>
                  </to>
                </anchor>
              </controlPr>
            </control>
          </mc:Choice>
        </mc:AlternateContent>
        <mc:AlternateContent xmlns:mc="http://schemas.openxmlformats.org/markup-compatibility/2006">
          <mc:Choice Requires="x14">
            <control shapeId="63158" r:id="rId51" name="Option Button 694">
              <controlPr defaultSize="0" autoFill="0" autoLine="0" autoPict="0">
                <anchor moveWithCells="1">
                  <from>
                    <xdr:col>4</xdr:col>
                    <xdr:colOff>123825</xdr:colOff>
                    <xdr:row>53</xdr:row>
                    <xdr:rowOff>66675</xdr:rowOff>
                  </from>
                  <to>
                    <xdr:col>4</xdr:col>
                    <xdr:colOff>495300</xdr:colOff>
                    <xdr:row>55</xdr:row>
                    <xdr:rowOff>85725</xdr:rowOff>
                  </to>
                </anchor>
              </controlPr>
            </control>
          </mc:Choice>
        </mc:AlternateContent>
        <mc:AlternateContent xmlns:mc="http://schemas.openxmlformats.org/markup-compatibility/2006">
          <mc:Choice Requires="x14">
            <control shapeId="63159" r:id="rId52" name="Option Button 695">
              <controlPr defaultSize="0" autoFill="0" autoLine="0" autoPict="0">
                <anchor moveWithCells="1">
                  <from>
                    <xdr:col>4</xdr:col>
                    <xdr:colOff>123825</xdr:colOff>
                    <xdr:row>59</xdr:row>
                    <xdr:rowOff>66675</xdr:rowOff>
                  </from>
                  <to>
                    <xdr:col>4</xdr:col>
                    <xdr:colOff>495300</xdr:colOff>
                    <xdr:row>61</xdr:row>
                    <xdr:rowOff>85725</xdr:rowOff>
                  </to>
                </anchor>
              </controlPr>
            </control>
          </mc:Choice>
        </mc:AlternateContent>
        <mc:AlternateContent xmlns:mc="http://schemas.openxmlformats.org/markup-compatibility/2006">
          <mc:Choice Requires="x14">
            <control shapeId="63160" r:id="rId53" name="Option Button 696">
              <controlPr defaultSize="0" autoFill="0" autoLine="0" autoPict="0">
                <anchor moveWithCells="1">
                  <from>
                    <xdr:col>5</xdr:col>
                    <xdr:colOff>123825</xdr:colOff>
                    <xdr:row>59</xdr:row>
                    <xdr:rowOff>66675</xdr:rowOff>
                  </from>
                  <to>
                    <xdr:col>5</xdr:col>
                    <xdr:colOff>495300</xdr:colOff>
                    <xdr:row>61</xdr:row>
                    <xdr:rowOff>85725</xdr:rowOff>
                  </to>
                </anchor>
              </controlPr>
            </control>
          </mc:Choice>
        </mc:AlternateContent>
        <mc:AlternateContent xmlns:mc="http://schemas.openxmlformats.org/markup-compatibility/2006">
          <mc:Choice Requires="x14">
            <control shapeId="63161" r:id="rId54" name="Option Button 697">
              <controlPr defaultSize="0" autoFill="0" autoLine="0" autoPict="0">
                <anchor moveWithCells="1">
                  <from>
                    <xdr:col>3</xdr:col>
                    <xdr:colOff>142875</xdr:colOff>
                    <xdr:row>62</xdr:row>
                    <xdr:rowOff>114300</xdr:rowOff>
                  </from>
                  <to>
                    <xdr:col>3</xdr:col>
                    <xdr:colOff>495300</xdr:colOff>
                    <xdr:row>64</xdr:row>
                    <xdr:rowOff>28575</xdr:rowOff>
                  </to>
                </anchor>
              </controlPr>
            </control>
          </mc:Choice>
        </mc:AlternateContent>
        <mc:AlternateContent xmlns:mc="http://schemas.openxmlformats.org/markup-compatibility/2006">
          <mc:Choice Requires="x14">
            <control shapeId="63162" r:id="rId55" name="Option Button 698">
              <controlPr defaultSize="0" autoFill="0" autoLine="0" autoPict="0">
                <anchor moveWithCells="1">
                  <from>
                    <xdr:col>5</xdr:col>
                    <xdr:colOff>123825</xdr:colOff>
                    <xdr:row>62</xdr:row>
                    <xdr:rowOff>66675</xdr:rowOff>
                  </from>
                  <to>
                    <xdr:col>5</xdr:col>
                    <xdr:colOff>495300</xdr:colOff>
                    <xdr:row>64</xdr:row>
                    <xdr:rowOff>85725</xdr:rowOff>
                  </to>
                </anchor>
              </controlPr>
            </control>
          </mc:Choice>
        </mc:AlternateContent>
        <mc:AlternateContent xmlns:mc="http://schemas.openxmlformats.org/markup-compatibility/2006">
          <mc:Choice Requires="x14">
            <control shapeId="63163" r:id="rId56" name="Option Button 699">
              <controlPr defaultSize="0" autoFill="0" autoLine="0" autoPict="0">
                <anchor moveWithCells="1">
                  <from>
                    <xdr:col>4</xdr:col>
                    <xdr:colOff>123825</xdr:colOff>
                    <xdr:row>68</xdr:row>
                    <xdr:rowOff>66675</xdr:rowOff>
                  </from>
                  <to>
                    <xdr:col>4</xdr:col>
                    <xdr:colOff>495300</xdr:colOff>
                    <xdr:row>70</xdr:row>
                    <xdr:rowOff>85725</xdr:rowOff>
                  </to>
                </anchor>
              </controlPr>
            </control>
          </mc:Choice>
        </mc:AlternateContent>
        <mc:AlternateContent xmlns:mc="http://schemas.openxmlformats.org/markup-compatibility/2006">
          <mc:Choice Requires="x14">
            <control shapeId="63164" r:id="rId57" name="Option Button 700">
              <controlPr defaultSize="0" autoFill="0" autoLine="0" autoPict="0">
                <anchor moveWithCells="1">
                  <from>
                    <xdr:col>5</xdr:col>
                    <xdr:colOff>123825</xdr:colOff>
                    <xdr:row>68</xdr:row>
                    <xdr:rowOff>66675</xdr:rowOff>
                  </from>
                  <to>
                    <xdr:col>5</xdr:col>
                    <xdr:colOff>495300</xdr:colOff>
                    <xdr:row>70</xdr:row>
                    <xdr:rowOff>85725</xdr:rowOff>
                  </to>
                </anchor>
              </controlPr>
            </control>
          </mc:Choice>
        </mc:AlternateContent>
        <mc:AlternateContent xmlns:mc="http://schemas.openxmlformats.org/markup-compatibility/2006">
          <mc:Choice Requires="x14">
            <control shapeId="63165" r:id="rId58" name="Option Button 701">
              <controlPr defaultSize="0" autoFill="0" autoLine="0" autoPict="0">
                <anchor moveWithCells="1">
                  <from>
                    <xdr:col>3</xdr:col>
                    <xdr:colOff>142875</xdr:colOff>
                    <xdr:row>71</xdr:row>
                    <xdr:rowOff>114300</xdr:rowOff>
                  </from>
                  <to>
                    <xdr:col>3</xdr:col>
                    <xdr:colOff>495300</xdr:colOff>
                    <xdr:row>73</xdr:row>
                    <xdr:rowOff>28575</xdr:rowOff>
                  </to>
                </anchor>
              </controlPr>
            </control>
          </mc:Choice>
        </mc:AlternateContent>
        <mc:AlternateContent xmlns:mc="http://schemas.openxmlformats.org/markup-compatibility/2006">
          <mc:Choice Requires="x14">
            <control shapeId="63166" r:id="rId59" name="Option Button 702">
              <controlPr defaultSize="0" autoFill="0" autoLine="0" autoPict="0">
                <anchor moveWithCells="1">
                  <from>
                    <xdr:col>4</xdr:col>
                    <xdr:colOff>123825</xdr:colOff>
                    <xdr:row>71</xdr:row>
                    <xdr:rowOff>66675</xdr:rowOff>
                  </from>
                  <to>
                    <xdr:col>4</xdr:col>
                    <xdr:colOff>495300</xdr:colOff>
                    <xdr:row>73</xdr:row>
                    <xdr:rowOff>85725</xdr:rowOff>
                  </to>
                </anchor>
              </controlPr>
            </control>
          </mc:Choice>
        </mc:AlternateContent>
        <mc:AlternateContent xmlns:mc="http://schemas.openxmlformats.org/markup-compatibility/2006">
          <mc:Choice Requires="x14">
            <control shapeId="63167" r:id="rId60" name="Option Button 703">
              <controlPr defaultSize="0" autoFill="0" autoLine="0" autoPict="0">
                <anchor moveWithCells="1">
                  <from>
                    <xdr:col>5</xdr:col>
                    <xdr:colOff>123825</xdr:colOff>
                    <xdr:row>71</xdr:row>
                    <xdr:rowOff>66675</xdr:rowOff>
                  </from>
                  <to>
                    <xdr:col>5</xdr:col>
                    <xdr:colOff>495300</xdr:colOff>
                    <xdr:row>73</xdr:row>
                    <xdr:rowOff>85725</xdr:rowOff>
                  </to>
                </anchor>
              </controlPr>
            </control>
          </mc:Choice>
        </mc:AlternateContent>
        <mc:AlternateContent xmlns:mc="http://schemas.openxmlformats.org/markup-compatibility/2006">
          <mc:Choice Requires="x14">
            <control shapeId="63168" r:id="rId61" name="Option Button 704">
              <controlPr defaultSize="0" autoFill="0" autoLine="0" autoPict="0">
                <anchor moveWithCells="1">
                  <from>
                    <xdr:col>3</xdr:col>
                    <xdr:colOff>142875</xdr:colOff>
                    <xdr:row>87</xdr:row>
                    <xdr:rowOff>114300</xdr:rowOff>
                  </from>
                  <to>
                    <xdr:col>3</xdr:col>
                    <xdr:colOff>495300</xdr:colOff>
                    <xdr:row>89</xdr:row>
                    <xdr:rowOff>28575</xdr:rowOff>
                  </to>
                </anchor>
              </controlPr>
            </control>
          </mc:Choice>
        </mc:AlternateContent>
        <mc:AlternateContent xmlns:mc="http://schemas.openxmlformats.org/markup-compatibility/2006">
          <mc:Choice Requires="x14">
            <control shapeId="63169" r:id="rId62" name="Option Button 705">
              <controlPr defaultSize="0" autoFill="0" autoLine="0" autoPict="0">
                <anchor moveWithCells="1">
                  <from>
                    <xdr:col>3</xdr:col>
                    <xdr:colOff>142875</xdr:colOff>
                    <xdr:row>77</xdr:row>
                    <xdr:rowOff>114300</xdr:rowOff>
                  </from>
                  <to>
                    <xdr:col>3</xdr:col>
                    <xdr:colOff>495300</xdr:colOff>
                    <xdr:row>78</xdr:row>
                    <xdr:rowOff>123825</xdr:rowOff>
                  </to>
                </anchor>
              </controlPr>
            </control>
          </mc:Choice>
        </mc:AlternateContent>
        <mc:AlternateContent xmlns:mc="http://schemas.openxmlformats.org/markup-compatibility/2006">
          <mc:Choice Requires="x14">
            <control shapeId="63170" r:id="rId63" name="Option Button 706">
              <controlPr defaultSize="0" autoFill="0" autoLine="0" autoPict="0">
                <anchor moveWithCells="1">
                  <from>
                    <xdr:col>4</xdr:col>
                    <xdr:colOff>123825</xdr:colOff>
                    <xdr:row>77</xdr:row>
                    <xdr:rowOff>66675</xdr:rowOff>
                  </from>
                  <to>
                    <xdr:col>4</xdr:col>
                    <xdr:colOff>495300</xdr:colOff>
                    <xdr:row>79</xdr:row>
                    <xdr:rowOff>9525</xdr:rowOff>
                  </to>
                </anchor>
              </controlPr>
            </control>
          </mc:Choice>
        </mc:AlternateContent>
        <mc:AlternateContent xmlns:mc="http://schemas.openxmlformats.org/markup-compatibility/2006">
          <mc:Choice Requires="x14">
            <control shapeId="63171" r:id="rId64" name="Option Button 707">
              <controlPr defaultSize="0" autoFill="0" autoLine="0" autoPict="0">
                <anchor moveWithCells="1">
                  <from>
                    <xdr:col>5</xdr:col>
                    <xdr:colOff>123825</xdr:colOff>
                    <xdr:row>77</xdr:row>
                    <xdr:rowOff>66675</xdr:rowOff>
                  </from>
                  <to>
                    <xdr:col>5</xdr:col>
                    <xdr:colOff>495300</xdr:colOff>
                    <xdr:row>79</xdr:row>
                    <xdr:rowOff>9525</xdr:rowOff>
                  </to>
                </anchor>
              </controlPr>
            </control>
          </mc:Choice>
        </mc:AlternateContent>
        <mc:AlternateContent xmlns:mc="http://schemas.openxmlformats.org/markup-compatibility/2006">
          <mc:Choice Requires="x14">
            <control shapeId="63172" r:id="rId65" name="Option Button 708">
              <controlPr defaultSize="0" autoFill="0" autoLine="0" autoPict="0">
                <anchor moveWithCells="1">
                  <from>
                    <xdr:col>4</xdr:col>
                    <xdr:colOff>123825</xdr:colOff>
                    <xdr:row>80</xdr:row>
                    <xdr:rowOff>66675</xdr:rowOff>
                  </from>
                  <to>
                    <xdr:col>4</xdr:col>
                    <xdr:colOff>495300</xdr:colOff>
                    <xdr:row>82</xdr:row>
                    <xdr:rowOff>0</xdr:rowOff>
                  </to>
                </anchor>
              </controlPr>
            </control>
          </mc:Choice>
        </mc:AlternateContent>
        <mc:AlternateContent xmlns:mc="http://schemas.openxmlformats.org/markup-compatibility/2006">
          <mc:Choice Requires="x14">
            <control shapeId="63173" r:id="rId66" name="Option Button 709">
              <controlPr defaultSize="0" autoFill="0" autoLine="0" autoPict="0">
                <anchor moveWithCells="1">
                  <from>
                    <xdr:col>5</xdr:col>
                    <xdr:colOff>123825</xdr:colOff>
                    <xdr:row>80</xdr:row>
                    <xdr:rowOff>66675</xdr:rowOff>
                  </from>
                  <to>
                    <xdr:col>5</xdr:col>
                    <xdr:colOff>495300</xdr:colOff>
                    <xdr:row>82</xdr:row>
                    <xdr:rowOff>0</xdr:rowOff>
                  </to>
                </anchor>
              </controlPr>
            </control>
          </mc:Choice>
        </mc:AlternateContent>
        <mc:AlternateContent xmlns:mc="http://schemas.openxmlformats.org/markup-compatibility/2006">
          <mc:Choice Requires="x14">
            <control shapeId="63174" r:id="rId67" name="Option Button 710">
              <controlPr defaultSize="0" autoFill="0" autoLine="0" autoPict="0">
                <anchor moveWithCells="1">
                  <from>
                    <xdr:col>3</xdr:col>
                    <xdr:colOff>142875</xdr:colOff>
                    <xdr:row>83</xdr:row>
                    <xdr:rowOff>114300</xdr:rowOff>
                  </from>
                  <to>
                    <xdr:col>3</xdr:col>
                    <xdr:colOff>495300</xdr:colOff>
                    <xdr:row>85</xdr:row>
                    <xdr:rowOff>28575</xdr:rowOff>
                  </to>
                </anchor>
              </controlPr>
            </control>
          </mc:Choice>
        </mc:AlternateContent>
        <mc:AlternateContent xmlns:mc="http://schemas.openxmlformats.org/markup-compatibility/2006">
          <mc:Choice Requires="x14">
            <control shapeId="63175" r:id="rId68" name="Option Button 711">
              <controlPr defaultSize="0" autoFill="0" autoLine="0" autoPict="0">
                <anchor moveWithCells="1">
                  <from>
                    <xdr:col>5</xdr:col>
                    <xdr:colOff>123825</xdr:colOff>
                    <xdr:row>83</xdr:row>
                    <xdr:rowOff>66675</xdr:rowOff>
                  </from>
                  <to>
                    <xdr:col>5</xdr:col>
                    <xdr:colOff>495300</xdr:colOff>
                    <xdr:row>85</xdr:row>
                    <xdr:rowOff>85725</xdr:rowOff>
                  </to>
                </anchor>
              </controlPr>
            </control>
          </mc:Choice>
        </mc:AlternateContent>
        <mc:AlternateContent xmlns:mc="http://schemas.openxmlformats.org/markup-compatibility/2006">
          <mc:Choice Requires="x14">
            <control shapeId="63176" r:id="rId69" name="Option Button 712">
              <controlPr defaultSize="0" autoFill="0" autoLine="0" autoPict="0">
                <anchor moveWithCells="1">
                  <from>
                    <xdr:col>3</xdr:col>
                    <xdr:colOff>76200</xdr:colOff>
                    <xdr:row>21</xdr:row>
                    <xdr:rowOff>0</xdr:rowOff>
                  </from>
                  <to>
                    <xdr:col>3</xdr:col>
                    <xdr:colOff>447675</xdr:colOff>
                    <xdr:row>22</xdr:row>
                    <xdr:rowOff>76200</xdr:rowOff>
                  </to>
                </anchor>
              </controlPr>
            </control>
          </mc:Choice>
        </mc:AlternateContent>
        <mc:AlternateContent xmlns:mc="http://schemas.openxmlformats.org/markup-compatibility/2006">
          <mc:Choice Requires="x14">
            <control shapeId="63177" r:id="rId70" name="Option Button 713">
              <controlPr defaultSize="0" autoFill="0" autoLine="0" autoPict="0">
                <anchor moveWithCells="1">
                  <from>
                    <xdr:col>4</xdr:col>
                    <xdr:colOff>123825</xdr:colOff>
                    <xdr:row>83</xdr:row>
                    <xdr:rowOff>66675</xdr:rowOff>
                  </from>
                  <to>
                    <xdr:col>4</xdr:col>
                    <xdr:colOff>495300</xdr:colOff>
                    <xdr:row>85</xdr:row>
                    <xdr:rowOff>85725</xdr:rowOff>
                  </to>
                </anchor>
              </controlPr>
            </control>
          </mc:Choice>
        </mc:AlternateContent>
        <mc:AlternateContent xmlns:mc="http://schemas.openxmlformats.org/markup-compatibility/2006">
          <mc:Choice Requires="x14">
            <control shapeId="63178" r:id="rId71" name="Option Button 714">
              <controlPr defaultSize="0" autoFill="0" autoLine="0" autoPict="0">
                <anchor moveWithCells="1">
                  <from>
                    <xdr:col>4</xdr:col>
                    <xdr:colOff>142875</xdr:colOff>
                    <xdr:row>12</xdr:row>
                    <xdr:rowOff>114300</xdr:rowOff>
                  </from>
                  <to>
                    <xdr:col>4</xdr:col>
                    <xdr:colOff>495300</xdr:colOff>
                    <xdr:row>14</xdr:row>
                    <xdr:rowOff>28575</xdr:rowOff>
                  </to>
                </anchor>
              </controlPr>
            </control>
          </mc:Choice>
        </mc:AlternateContent>
        <mc:AlternateContent xmlns:mc="http://schemas.openxmlformats.org/markup-compatibility/2006">
          <mc:Choice Requires="x14">
            <control shapeId="63179" r:id="rId72" name="Option Button 715">
              <controlPr defaultSize="0" autoFill="0" autoLine="0" autoPict="0">
                <anchor moveWithCells="1">
                  <from>
                    <xdr:col>4</xdr:col>
                    <xdr:colOff>142875</xdr:colOff>
                    <xdr:row>12</xdr:row>
                    <xdr:rowOff>114300</xdr:rowOff>
                  </from>
                  <to>
                    <xdr:col>4</xdr:col>
                    <xdr:colOff>495300</xdr:colOff>
                    <xdr:row>14</xdr:row>
                    <xdr:rowOff>28575</xdr:rowOff>
                  </to>
                </anchor>
              </controlPr>
            </control>
          </mc:Choice>
        </mc:AlternateContent>
        <mc:AlternateContent xmlns:mc="http://schemas.openxmlformats.org/markup-compatibility/2006">
          <mc:Choice Requires="x14">
            <control shapeId="63180" r:id="rId73" name="Option Button 716">
              <controlPr defaultSize="0" autoFill="0" autoLine="0" autoPict="0">
                <anchor moveWithCells="1">
                  <from>
                    <xdr:col>3</xdr:col>
                    <xdr:colOff>123825</xdr:colOff>
                    <xdr:row>12</xdr:row>
                    <xdr:rowOff>66675</xdr:rowOff>
                  </from>
                  <to>
                    <xdr:col>3</xdr:col>
                    <xdr:colOff>495300</xdr:colOff>
                    <xdr:row>14</xdr:row>
                    <xdr:rowOff>85725</xdr:rowOff>
                  </to>
                </anchor>
              </controlPr>
            </control>
          </mc:Choice>
        </mc:AlternateContent>
        <mc:AlternateContent xmlns:mc="http://schemas.openxmlformats.org/markup-compatibility/2006">
          <mc:Choice Requires="x14">
            <control shapeId="63181" r:id="rId74" name="Option Button 717">
              <controlPr defaultSize="0" autoFill="0" autoLine="0" autoPict="0">
                <anchor moveWithCells="1">
                  <from>
                    <xdr:col>3</xdr:col>
                    <xdr:colOff>142875</xdr:colOff>
                    <xdr:row>26</xdr:row>
                    <xdr:rowOff>114300</xdr:rowOff>
                  </from>
                  <to>
                    <xdr:col>3</xdr:col>
                    <xdr:colOff>495300</xdr:colOff>
                    <xdr:row>28</xdr:row>
                    <xdr:rowOff>28575</xdr:rowOff>
                  </to>
                </anchor>
              </controlPr>
            </control>
          </mc:Choice>
        </mc:AlternateContent>
        <mc:AlternateContent xmlns:mc="http://schemas.openxmlformats.org/markup-compatibility/2006">
          <mc:Choice Requires="x14">
            <control shapeId="63182" r:id="rId75" name="Option Button 718">
              <controlPr defaultSize="0" autoFill="0" autoLine="0" autoPict="0">
                <anchor moveWithCells="1">
                  <from>
                    <xdr:col>4</xdr:col>
                    <xdr:colOff>142875</xdr:colOff>
                    <xdr:row>56</xdr:row>
                    <xdr:rowOff>114300</xdr:rowOff>
                  </from>
                  <to>
                    <xdr:col>4</xdr:col>
                    <xdr:colOff>495300</xdr:colOff>
                    <xdr:row>58</xdr:row>
                    <xdr:rowOff>28575</xdr:rowOff>
                  </to>
                </anchor>
              </controlPr>
            </control>
          </mc:Choice>
        </mc:AlternateContent>
        <mc:AlternateContent xmlns:mc="http://schemas.openxmlformats.org/markup-compatibility/2006">
          <mc:Choice Requires="x14">
            <control shapeId="63183" r:id="rId76" name="Option Button 719">
              <controlPr defaultSize="0" autoFill="0" autoLine="0" autoPict="0">
                <anchor moveWithCells="1">
                  <from>
                    <xdr:col>3</xdr:col>
                    <xdr:colOff>123825</xdr:colOff>
                    <xdr:row>56</xdr:row>
                    <xdr:rowOff>66675</xdr:rowOff>
                  </from>
                  <to>
                    <xdr:col>3</xdr:col>
                    <xdr:colOff>495300</xdr:colOff>
                    <xdr:row>58</xdr:row>
                    <xdr:rowOff>85725</xdr:rowOff>
                  </to>
                </anchor>
              </controlPr>
            </control>
          </mc:Choice>
        </mc:AlternateContent>
        <mc:AlternateContent xmlns:mc="http://schemas.openxmlformats.org/markup-compatibility/2006">
          <mc:Choice Requires="x14">
            <control shapeId="63184" r:id="rId77" name="Option Button 720">
              <controlPr defaultSize="0" autoFill="0" autoLine="0" autoPict="0">
                <anchor moveWithCells="1">
                  <from>
                    <xdr:col>3</xdr:col>
                    <xdr:colOff>123825</xdr:colOff>
                    <xdr:row>56</xdr:row>
                    <xdr:rowOff>66675</xdr:rowOff>
                  </from>
                  <to>
                    <xdr:col>3</xdr:col>
                    <xdr:colOff>495300</xdr:colOff>
                    <xdr:row>58</xdr:row>
                    <xdr:rowOff>85725</xdr:rowOff>
                  </to>
                </anchor>
              </controlPr>
            </control>
          </mc:Choice>
        </mc:AlternateContent>
        <mc:AlternateContent xmlns:mc="http://schemas.openxmlformats.org/markup-compatibility/2006">
          <mc:Choice Requires="x14">
            <control shapeId="63185" r:id="rId78" name="Option Button 721">
              <controlPr defaultSize="0" autoFill="0" autoLine="0" autoPict="0">
                <anchor moveWithCells="1">
                  <from>
                    <xdr:col>3</xdr:col>
                    <xdr:colOff>142875</xdr:colOff>
                    <xdr:row>65</xdr:row>
                    <xdr:rowOff>114300</xdr:rowOff>
                  </from>
                  <to>
                    <xdr:col>3</xdr:col>
                    <xdr:colOff>495300</xdr:colOff>
                    <xdr:row>67</xdr:row>
                    <xdr:rowOff>28575</xdr:rowOff>
                  </to>
                </anchor>
              </controlPr>
            </control>
          </mc:Choice>
        </mc:AlternateContent>
        <mc:AlternateContent xmlns:mc="http://schemas.openxmlformats.org/markup-compatibility/2006">
          <mc:Choice Requires="x14">
            <control shapeId="63186" r:id="rId79" name="Option Button 722">
              <controlPr defaultSize="0" autoFill="0" autoLine="0" autoPict="0">
                <anchor moveWithCells="1">
                  <from>
                    <xdr:col>4</xdr:col>
                    <xdr:colOff>123825</xdr:colOff>
                    <xdr:row>65</xdr:row>
                    <xdr:rowOff>66675</xdr:rowOff>
                  </from>
                  <to>
                    <xdr:col>4</xdr:col>
                    <xdr:colOff>495300</xdr:colOff>
                    <xdr:row>67</xdr:row>
                    <xdr:rowOff>85725</xdr:rowOff>
                  </to>
                </anchor>
              </controlPr>
            </control>
          </mc:Choice>
        </mc:AlternateContent>
        <mc:AlternateContent xmlns:mc="http://schemas.openxmlformats.org/markup-compatibility/2006">
          <mc:Choice Requires="x14">
            <control shapeId="63187" r:id="rId80" name="Option Button 723">
              <controlPr defaultSize="0" autoFill="0" autoLine="0" autoPict="0">
                <anchor moveWithCells="1">
                  <from>
                    <xdr:col>5</xdr:col>
                    <xdr:colOff>123825</xdr:colOff>
                    <xdr:row>65</xdr:row>
                    <xdr:rowOff>66675</xdr:rowOff>
                  </from>
                  <to>
                    <xdr:col>5</xdr:col>
                    <xdr:colOff>495300</xdr:colOff>
                    <xdr:row>67</xdr:row>
                    <xdr:rowOff>85725</xdr:rowOff>
                  </to>
                </anchor>
              </controlPr>
            </control>
          </mc:Choice>
        </mc:AlternateContent>
        <mc:AlternateContent xmlns:mc="http://schemas.openxmlformats.org/markup-compatibility/2006">
          <mc:Choice Requires="x14">
            <control shapeId="63188" r:id="rId81" name="Option Button 724">
              <controlPr defaultSize="0" autoFill="0" autoLine="0" autoPict="0">
                <anchor moveWithCells="1">
                  <from>
                    <xdr:col>3</xdr:col>
                    <xdr:colOff>142875</xdr:colOff>
                    <xdr:row>65</xdr:row>
                    <xdr:rowOff>114300</xdr:rowOff>
                  </from>
                  <to>
                    <xdr:col>3</xdr:col>
                    <xdr:colOff>495300</xdr:colOff>
                    <xdr:row>67</xdr:row>
                    <xdr:rowOff>28575</xdr:rowOff>
                  </to>
                </anchor>
              </controlPr>
            </control>
          </mc:Choice>
        </mc:AlternateContent>
        <mc:AlternateContent xmlns:mc="http://schemas.openxmlformats.org/markup-compatibility/2006">
          <mc:Choice Requires="x14">
            <control shapeId="63189" r:id="rId82" name="Option Button 725">
              <controlPr defaultSize="0" autoFill="0" autoLine="0" autoPict="0">
                <anchor moveWithCells="1">
                  <from>
                    <xdr:col>4</xdr:col>
                    <xdr:colOff>123825</xdr:colOff>
                    <xdr:row>65</xdr:row>
                    <xdr:rowOff>66675</xdr:rowOff>
                  </from>
                  <to>
                    <xdr:col>4</xdr:col>
                    <xdr:colOff>495300</xdr:colOff>
                    <xdr:row>67</xdr:row>
                    <xdr:rowOff>85725</xdr:rowOff>
                  </to>
                </anchor>
              </controlPr>
            </control>
          </mc:Choice>
        </mc:AlternateContent>
        <mc:AlternateContent xmlns:mc="http://schemas.openxmlformats.org/markup-compatibility/2006">
          <mc:Choice Requires="x14">
            <control shapeId="63190" r:id="rId83" name="Option Button 726">
              <controlPr defaultSize="0" autoFill="0" autoLine="0" autoPict="0">
                <anchor moveWithCells="1">
                  <from>
                    <xdr:col>5</xdr:col>
                    <xdr:colOff>123825</xdr:colOff>
                    <xdr:row>65</xdr:row>
                    <xdr:rowOff>66675</xdr:rowOff>
                  </from>
                  <to>
                    <xdr:col>5</xdr:col>
                    <xdr:colOff>495300</xdr:colOff>
                    <xdr:row>67</xdr:row>
                    <xdr:rowOff>85725</xdr:rowOff>
                  </to>
                </anchor>
              </controlPr>
            </control>
          </mc:Choice>
        </mc:AlternateContent>
        <mc:AlternateContent xmlns:mc="http://schemas.openxmlformats.org/markup-compatibility/2006">
          <mc:Choice Requires="x14">
            <control shapeId="63191" r:id="rId84" name="Option Button 727">
              <controlPr defaultSize="0" autoFill="0" autoLine="0" autoPict="0">
                <anchor moveWithCells="1">
                  <from>
                    <xdr:col>3</xdr:col>
                    <xdr:colOff>142875</xdr:colOff>
                    <xdr:row>90</xdr:row>
                    <xdr:rowOff>114300</xdr:rowOff>
                  </from>
                  <to>
                    <xdr:col>3</xdr:col>
                    <xdr:colOff>495300</xdr:colOff>
                    <xdr:row>92</xdr:row>
                    <xdr:rowOff>28575</xdr:rowOff>
                  </to>
                </anchor>
              </controlPr>
            </control>
          </mc:Choice>
        </mc:AlternateContent>
        <mc:AlternateContent xmlns:mc="http://schemas.openxmlformats.org/markup-compatibility/2006">
          <mc:Choice Requires="x14">
            <control shapeId="63192" r:id="rId85" name="Option Button 728">
              <controlPr defaultSize="0" autoFill="0" autoLine="0" autoPict="0">
                <anchor moveWithCells="1">
                  <from>
                    <xdr:col>5</xdr:col>
                    <xdr:colOff>123825</xdr:colOff>
                    <xdr:row>90</xdr:row>
                    <xdr:rowOff>66675</xdr:rowOff>
                  </from>
                  <to>
                    <xdr:col>5</xdr:col>
                    <xdr:colOff>495300</xdr:colOff>
                    <xdr:row>92</xdr:row>
                    <xdr:rowOff>85725</xdr:rowOff>
                  </to>
                </anchor>
              </controlPr>
            </control>
          </mc:Choice>
        </mc:AlternateContent>
        <mc:AlternateContent xmlns:mc="http://schemas.openxmlformats.org/markup-compatibility/2006">
          <mc:Choice Requires="x14">
            <control shapeId="63193" r:id="rId86" name="Option Button 729">
              <controlPr defaultSize="0" autoFill="0" autoLine="0" autoPict="0">
                <anchor moveWithCells="1">
                  <from>
                    <xdr:col>4</xdr:col>
                    <xdr:colOff>123825</xdr:colOff>
                    <xdr:row>90</xdr:row>
                    <xdr:rowOff>66675</xdr:rowOff>
                  </from>
                  <to>
                    <xdr:col>4</xdr:col>
                    <xdr:colOff>495300</xdr:colOff>
                    <xdr:row>92</xdr:row>
                    <xdr:rowOff>85725</xdr:rowOff>
                  </to>
                </anchor>
              </controlPr>
            </control>
          </mc:Choice>
        </mc:AlternateContent>
        <mc:AlternateContent xmlns:mc="http://schemas.openxmlformats.org/markup-compatibility/2006">
          <mc:Choice Requires="x14">
            <control shapeId="63194" r:id="rId87" name="Option Button 730">
              <controlPr defaultSize="0" autoFill="0" autoLine="0" autoPict="0">
                <anchor moveWithCells="1">
                  <from>
                    <xdr:col>3</xdr:col>
                    <xdr:colOff>142875</xdr:colOff>
                    <xdr:row>93</xdr:row>
                    <xdr:rowOff>114300</xdr:rowOff>
                  </from>
                  <to>
                    <xdr:col>3</xdr:col>
                    <xdr:colOff>495300</xdr:colOff>
                    <xdr:row>95</xdr:row>
                    <xdr:rowOff>28575</xdr:rowOff>
                  </to>
                </anchor>
              </controlPr>
            </control>
          </mc:Choice>
        </mc:AlternateContent>
        <mc:AlternateContent xmlns:mc="http://schemas.openxmlformats.org/markup-compatibility/2006">
          <mc:Choice Requires="x14">
            <control shapeId="63195" r:id="rId88" name="Option Button 731">
              <controlPr defaultSize="0" autoFill="0" autoLine="0" autoPict="0">
                <anchor moveWithCells="1">
                  <from>
                    <xdr:col>5</xdr:col>
                    <xdr:colOff>123825</xdr:colOff>
                    <xdr:row>93</xdr:row>
                    <xdr:rowOff>66675</xdr:rowOff>
                  </from>
                  <to>
                    <xdr:col>5</xdr:col>
                    <xdr:colOff>495300</xdr:colOff>
                    <xdr:row>95</xdr:row>
                    <xdr:rowOff>85725</xdr:rowOff>
                  </to>
                </anchor>
              </controlPr>
            </control>
          </mc:Choice>
        </mc:AlternateContent>
        <mc:AlternateContent xmlns:mc="http://schemas.openxmlformats.org/markup-compatibility/2006">
          <mc:Choice Requires="x14">
            <control shapeId="63196" r:id="rId89" name="Option Button 732">
              <controlPr defaultSize="0" autoFill="0" autoLine="0" autoPict="0">
                <anchor moveWithCells="1">
                  <from>
                    <xdr:col>4</xdr:col>
                    <xdr:colOff>123825</xdr:colOff>
                    <xdr:row>93</xdr:row>
                    <xdr:rowOff>66675</xdr:rowOff>
                  </from>
                  <to>
                    <xdr:col>4</xdr:col>
                    <xdr:colOff>495300</xdr:colOff>
                    <xdr:row>95</xdr:row>
                    <xdr:rowOff>85725</xdr:rowOff>
                  </to>
                </anchor>
              </controlPr>
            </control>
          </mc:Choice>
        </mc:AlternateContent>
        <mc:AlternateContent xmlns:mc="http://schemas.openxmlformats.org/markup-compatibility/2006">
          <mc:Choice Requires="x14">
            <control shapeId="63197" r:id="rId90" name="Option Button 733">
              <controlPr defaultSize="0" autoFill="0" autoLine="0" autoPict="0">
                <anchor moveWithCells="1">
                  <from>
                    <xdr:col>3</xdr:col>
                    <xdr:colOff>133350</xdr:colOff>
                    <xdr:row>32</xdr:row>
                    <xdr:rowOff>123825</xdr:rowOff>
                  </from>
                  <to>
                    <xdr:col>3</xdr:col>
                    <xdr:colOff>485775</xdr:colOff>
                    <xdr:row>34</xdr:row>
                    <xdr:rowOff>38100</xdr:rowOff>
                  </to>
                </anchor>
              </controlPr>
            </control>
          </mc:Choice>
        </mc:AlternateContent>
        <mc:AlternateContent xmlns:mc="http://schemas.openxmlformats.org/markup-compatibility/2006">
          <mc:Choice Requires="x14">
            <control shapeId="63198" r:id="rId91" name="Option Button 734">
              <controlPr defaultSize="0" autoFill="0" autoLine="0" autoPict="0">
                <anchor moveWithCells="1">
                  <from>
                    <xdr:col>4</xdr:col>
                    <xdr:colOff>114300</xdr:colOff>
                    <xdr:row>32</xdr:row>
                    <xdr:rowOff>104775</xdr:rowOff>
                  </from>
                  <to>
                    <xdr:col>4</xdr:col>
                    <xdr:colOff>476250</xdr:colOff>
                    <xdr:row>34</xdr:row>
                    <xdr:rowOff>123825</xdr:rowOff>
                  </to>
                </anchor>
              </controlPr>
            </control>
          </mc:Choice>
        </mc:AlternateContent>
        <mc:AlternateContent xmlns:mc="http://schemas.openxmlformats.org/markup-compatibility/2006">
          <mc:Choice Requires="x14">
            <control shapeId="63199" r:id="rId92" name="Option Button 735">
              <controlPr defaultSize="0" autoFill="0" autoLine="0" autoPict="0">
                <anchor moveWithCells="1">
                  <from>
                    <xdr:col>3</xdr:col>
                    <xdr:colOff>142875</xdr:colOff>
                    <xdr:row>41</xdr:row>
                    <xdr:rowOff>114300</xdr:rowOff>
                  </from>
                  <to>
                    <xdr:col>3</xdr:col>
                    <xdr:colOff>495300</xdr:colOff>
                    <xdr:row>43</xdr:row>
                    <xdr:rowOff>47625</xdr:rowOff>
                  </to>
                </anchor>
              </controlPr>
            </control>
          </mc:Choice>
        </mc:AlternateContent>
        <mc:AlternateContent xmlns:mc="http://schemas.openxmlformats.org/markup-compatibility/2006">
          <mc:Choice Requires="x14">
            <control shapeId="63200" r:id="rId93" name="Option Button 736">
              <controlPr defaultSize="0" autoFill="0" autoLine="0" autoPict="0">
                <anchor moveWithCells="1">
                  <from>
                    <xdr:col>4</xdr:col>
                    <xdr:colOff>123825</xdr:colOff>
                    <xdr:row>41</xdr:row>
                    <xdr:rowOff>66675</xdr:rowOff>
                  </from>
                  <to>
                    <xdr:col>4</xdr:col>
                    <xdr:colOff>495300</xdr:colOff>
                    <xdr:row>43</xdr:row>
                    <xdr:rowOff>85725</xdr:rowOff>
                  </to>
                </anchor>
              </controlPr>
            </control>
          </mc:Choice>
        </mc:AlternateContent>
        <mc:AlternateContent xmlns:mc="http://schemas.openxmlformats.org/markup-compatibility/2006">
          <mc:Choice Requires="x14">
            <control shapeId="63201" r:id="rId94" name="Option Button 737">
              <controlPr defaultSize="0" autoFill="0" autoLine="0" autoPict="0">
                <anchor moveWithCells="1">
                  <from>
                    <xdr:col>3</xdr:col>
                    <xdr:colOff>142875</xdr:colOff>
                    <xdr:row>41</xdr:row>
                    <xdr:rowOff>114300</xdr:rowOff>
                  </from>
                  <to>
                    <xdr:col>3</xdr:col>
                    <xdr:colOff>495300</xdr:colOff>
                    <xdr:row>43</xdr:row>
                    <xdr:rowOff>47625</xdr:rowOff>
                  </to>
                </anchor>
              </controlPr>
            </control>
          </mc:Choice>
        </mc:AlternateContent>
        <mc:AlternateContent xmlns:mc="http://schemas.openxmlformats.org/markup-compatibility/2006">
          <mc:Choice Requires="x14">
            <control shapeId="63202" r:id="rId95" name="Option Button 738">
              <controlPr defaultSize="0" autoFill="0" autoLine="0" autoPict="0">
                <anchor moveWithCells="1">
                  <from>
                    <xdr:col>4</xdr:col>
                    <xdr:colOff>123825</xdr:colOff>
                    <xdr:row>41</xdr:row>
                    <xdr:rowOff>66675</xdr:rowOff>
                  </from>
                  <to>
                    <xdr:col>4</xdr:col>
                    <xdr:colOff>495300</xdr:colOff>
                    <xdr:row>43</xdr:row>
                    <xdr:rowOff>85725</xdr:rowOff>
                  </to>
                </anchor>
              </controlPr>
            </control>
          </mc:Choice>
        </mc:AlternateContent>
        <mc:AlternateContent xmlns:mc="http://schemas.openxmlformats.org/markup-compatibility/2006">
          <mc:Choice Requires="x14">
            <control shapeId="63203" r:id="rId96" name="Option Button 739">
              <controlPr defaultSize="0" autoFill="0" autoLine="0" autoPict="0">
                <anchor moveWithCells="1">
                  <from>
                    <xdr:col>3</xdr:col>
                    <xdr:colOff>142875</xdr:colOff>
                    <xdr:row>29</xdr:row>
                    <xdr:rowOff>114300</xdr:rowOff>
                  </from>
                  <to>
                    <xdr:col>3</xdr:col>
                    <xdr:colOff>495300</xdr:colOff>
                    <xdr:row>31</xdr:row>
                    <xdr:rowOff>28575</xdr:rowOff>
                  </to>
                </anchor>
              </controlPr>
            </control>
          </mc:Choice>
        </mc:AlternateContent>
        <mc:AlternateContent xmlns:mc="http://schemas.openxmlformats.org/markup-compatibility/2006">
          <mc:Choice Requires="x14">
            <control shapeId="63204" r:id="rId97" name="Option Button 740">
              <controlPr defaultSize="0" autoFill="0" autoLine="0" autoPict="0">
                <anchor moveWithCells="1">
                  <from>
                    <xdr:col>4</xdr:col>
                    <xdr:colOff>123825</xdr:colOff>
                    <xdr:row>29</xdr:row>
                    <xdr:rowOff>66675</xdr:rowOff>
                  </from>
                  <to>
                    <xdr:col>4</xdr:col>
                    <xdr:colOff>495300</xdr:colOff>
                    <xdr:row>31</xdr:row>
                    <xdr:rowOff>85725</xdr:rowOff>
                  </to>
                </anchor>
              </controlPr>
            </control>
          </mc:Choice>
        </mc:AlternateContent>
        <mc:AlternateContent xmlns:mc="http://schemas.openxmlformats.org/markup-compatibility/2006">
          <mc:Choice Requires="x14">
            <control shapeId="63205" r:id="rId98" name="Option Button 741">
              <controlPr defaultSize="0" autoFill="0" autoLine="0" autoPict="0">
                <anchor moveWithCells="1">
                  <from>
                    <xdr:col>5</xdr:col>
                    <xdr:colOff>123825</xdr:colOff>
                    <xdr:row>29</xdr:row>
                    <xdr:rowOff>66675</xdr:rowOff>
                  </from>
                  <to>
                    <xdr:col>5</xdr:col>
                    <xdr:colOff>495300</xdr:colOff>
                    <xdr:row>31</xdr:row>
                    <xdr:rowOff>85725</xdr:rowOff>
                  </to>
                </anchor>
              </controlPr>
            </control>
          </mc:Choice>
        </mc:AlternateContent>
        <mc:AlternateContent xmlns:mc="http://schemas.openxmlformats.org/markup-compatibility/2006">
          <mc:Choice Requires="x14">
            <control shapeId="63206" r:id="rId99" name="Option Button 742">
              <controlPr defaultSize="0" autoFill="0" autoLine="0" autoPict="0">
                <anchor moveWithCells="1">
                  <from>
                    <xdr:col>4</xdr:col>
                    <xdr:colOff>142875</xdr:colOff>
                    <xdr:row>87</xdr:row>
                    <xdr:rowOff>114300</xdr:rowOff>
                  </from>
                  <to>
                    <xdr:col>4</xdr:col>
                    <xdr:colOff>495300</xdr:colOff>
                    <xdr:row>89</xdr:row>
                    <xdr:rowOff>28575</xdr:rowOff>
                  </to>
                </anchor>
              </controlPr>
            </control>
          </mc:Choice>
        </mc:AlternateContent>
        <mc:AlternateContent xmlns:mc="http://schemas.openxmlformats.org/markup-compatibility/2006">
          <mc:Choice Requires="x14">
            <control shapeId="63208" r:id="rId100" name="Option Button 744">
              <controlPr defaultSize="0" autoFill="0" autoLine="0" autoPict="0">
                <anchor moveWithCells="1">
                  <from>
                    <xdr:col>3</xdr:col>
                    <xdr:colOff>142875</xdr:colOff>
                    <xdr:row>35</xdr:row>
                    <xdr:rowOff>114300</xdr:rowOff>
                  </from>
                  <to>
                    <xdr:col>3</xdr:col>
                    <xdr:colOff>495300</xdr:colOff>
                    <xdr:row>37</xdr:row>
                    <xdr:rowOff>47625</xdr:rowOff>
                  </to>
                </anchor>
              </controlPr>
            </control>
          </mc:Choice>
        </mc:AlternateContent>
        <mc:AlternateContent xmlns:mc="http://schemas.openxmlformats.org/markup-compatibility/2006">
          <mc:Choice Requires="x14">
            <control shapeId="63209" r:id="rId101" name="Option Button 745">
              <controlPr defaultSize="0" autoFill="0" autoLine="0" autoPict="0">
                <anchor moveWithCells="1">
                  <from>
                    <xdr:col>4</xdr:col>
                    <xdr:colOff>123825</xdr:colOff>
                    <xdr:row>35</xdr:row>
                    <xdr:rowOff>66675</xdr:rowOff>
                  </from>
                  <to>
                    <xdr:col>4</xdr:col>
                    <xdr:colOff>495300</xdr:colOff>
                    <xdr:row>37</xdr:row>
                    <xdr:rowOff>85725</xdr:rowOff>
                  </to>
                </anchor>
              </controlPr>
            </control>
          </mc:Choice>
        </mc:AlternateContent>
        <mc:AlternateContent xmlns:mc="http://schemas.openxmlformats.org/markup-compatibility/2006">
          <mc:Choice Requires="x14">
            <control shapeId="63210" r:id="rId102" name="Option Button 746">
              <controlPr defaultSize="0" autoFill="0" autoLine="0" autoPict="0">
                <anchor moveWithCells="1">
                  <from>
                    <xdr:col>3</xdr:col>
                    <xdr:colOff>142875</xdr:colOff>
                    <xdr:row>35</xdr:row>
                    <xdr:rowOff>114300</xdr:rowOff>
                  </from>
                  <to>
                    <xdr:col>3</xdr:col>
                    <xdr:colOff>495300</xdr:colOff>
                    <xdr:row>37</xdr:row>
                    <xdr:rowOff>47625</xdr:rowOff>
                  </to>
                </anchor>
              </controlPr>
            </control>
          </mc:Choice>
        </mc:AlternateContent>
        <mc:AlternateContent xmlns:mc="http://schemas.openxmlformats.org/markup-compatibility/2006">
          <mc:Choice Requires="x14">
            <control shapeId="63211" r:id="rId103" name="Option Button 747">
              <controlPr defaultSize="0" autoFill="0" autoLine="0" autoPict="0">
                <anchor moveWithCells="1">
                  <from>
                    <xdr:col>4</xdr:col>
                    <xdr:colOff>123825</xdr:colOff>
                    <xdr:row>35</xdr:row>
                    <xdr:rowOff>66675</xdr:rowOff>
                  </from>
                  <to>
                    <xdr:col>4</xdr:col>
                    <xdr:colOff>495300</xdr:colOff>
                    <xdr:row>37</xdr:row>
                    <xdr:rowOff>85725</xdr:rowOff>
                  </to>
                </anchor>
              </controlPr>
            </control>
          </mc:Choice>
        </mc:AlternateContent>
        <mc:AlternateContent xmlns:mc="http://schemas.openxmlformats.org/markup-compatibility/2006">
          <mc:Choice Requires="x14">
            <control shapeId="63212" r:id="rId104" name="Option Button 748">
              <controlPr defaultSize="0" autoFill="0" autoLine="0" autoPict="0">
                <anchor moveWithCells="1">
                  <from>
                    <xdr:col>3</xdr:col>
                    <xdr:colOff>142875</xdr:colOff>
                    <xdr:row>38</xdr:row>
                    <xdr:rowOff>114300</xdr:rowOff>
                  </from>
                  <to>
                    <xdr:col>3</xdr:col>
                    <xdr:colOff>495300</xdr:colOff>
                    <xdr:row>40</xdr:row>
                    <xdr:rowOff>47625</xdr:rowOff>
                  </to>
                </anchor>
              </controlPr>
            </control>
          </mc:Choice>
        </mc:AlternateContent>
        <mc:AlternateContent xmlns:mc="http://schemas.openxmlformats.org/markup-compatibility/2006">
          <mc:Choice Requires="x14">
            <control shapeId="63213" r:id="rId105" name="Option Button 749">
              <controlPr defaultSize="0" autoFill="0" autoLine="0" autoPict="0">
                <anchor moveWithCells="1">
                  <from>
                    <xdr:col>4</xdr:col>
                    <xdr:colOff>123825</xdr:colOff>
                    <xdr:row>38</xdr:row>
                    <xdr:rowOff>66675</xdr:rowOff>
                  </from>
                  <to>
                    <xdr:col>4</xdr:col>
                    <xdr:colOff>495300</xdr:colOff>
                    <xdr:row>40</xdr:row>
                    <xdr:rowOff>85725</xdr:rowOff>
                  </to>
                </anchor>
              </controlPr>
            </control>
          </mc:Choice>
        </mc:AlternateContent>
        <mc:AlternateContent xmlns:mc="http://schemas.openxmlformats.org/markup-compatibility/2006">
          <mc:Choice Requires="x14">
            <control shapeId="63214" r:id="rId106" name="Option Button 750">
              <controlPr defaultSize="0" autoFill="0" autoLine="0" autoPict="0">
                <anchor moveWithCells="1">
                  <from>
                    <xdr:col>3</xdr:col>
                    <xdr:colOff>142875</xdr:colOff>
                    <xdr:row>38</xdr:row>
                    <xdr:rowOff>114300</xdr:rowOff>
                  </from>
                  <to>
                    <xdr:col>3</xdr:col>
                    <xdr:colOff>495300</xdr:colOff>
                    <xdr:row>40</xdr:row>
                    <xdr:rowOff>47625</xdr:rowOff>
                  </to>
                </anchor>
              </controlPr>
            </control>
          </mc:Choice>
        </mc:AlternateContent>
        <mc:AlternateContent xmlns:mc="http://schemas.openxmlformats.org/markup-compatibility/2006">
          <mc:Choice Requires="x14">
            <control shapeId="63215" r:id="rId107" name="Option Button 751">
              <controlPr defaultSize="0" autoFill="0" autoLine="0" autoPict="0">
                <anchor moveWithCells="1">
                  <from>
                    <xdr:col>4</xdr:col>
                    <xdr:colOff>123825</xdr:colOff>
                    <xdr:row>38</xdr:row>
                    <xdr:rowOff>66675</xdr:rowOff>
                  </from>
                  <to>
                    <xdr:col>4</xdr:col>
                    <xdr:colOff>495300</xdr:colOff>
                    <xdr:row>40</xdr:row>
                    <xdr:rowOff>85725</xdr:rowOff>
                  </to>
                </anchor>
              </controlPr>
            </control>
          </mc:Choice>
        </mc:AlternateContent>
        <mc:AlternateContent xmlns:mc="http://schemas.openxmlformats.org/markup-compatibility/2006">
          <mc:Choice Requires="x14">
            <control shapeId="63217" r:id="rId108" name="Group Box 753">
              <controlPr defaultSize="0" autoFill="0" autoPict="0">
                <anchor moveWithCells="1">
                  <from>
                    <xdr:col>3</xdr:col>
                    <xdr:colOff>0</xdr:colOff>
                    <xdr:row>9</xdr:row>
                    <xdr:rowOff>0</xdr:rowOff>
                  </from>
                  <to>
                    <xdr:col>5</xdr:col>
                    <xdr:colOff>0</xdr:colOff>
                    <xdr:row>12</xdr:row>
                    <xdr:rowOff>0</xdr:rowOff>
                  </to>
                </anchor>
              </controlPr>
            </control>
          </mc:Choice>
        </mc:AlternateContent>
        <mc:AlternateContent xmlns:mc="http://schemas.openxmlformats.org/markup-compatibility/2006">
          <mc:Choice Requires="x14">
            <control shapeId="63218" r:id="rId109" name="Group Box 754">
              <controlPr defaultSize="0" autoFill="0" autoPict="0">
                <anchor moveWithCells="1">
                  <from>
                    <xdr:col>3</xdr:col>
                    <xdr:colOff>0</xdr:colOff>
                    <xdr:row>12</xdr:row>
                    <xdr:rowOff>0</xdr:rowOff>
                  </from>
                  <to>
                    <xdr:col>5</xdr:col>
                    <xdr:colOff>0</xdr:colOff>
                    <xdr:row>15</xdr:row>
                    <xdr:rowOff>0</xdr:rowOff>
                  </to>
                </anchor>
              </controlPr>
            </control>
          </mc:Choice>
        </mc:AlternateContent>
        <mc:AlternateContent xmlns:mc="http://schemas.openxmlformats.org/markup-compatibility/2006">
          <mc:Choice Requires="x14">
            <control shapeId="63219" r:id="rId110" name="Group Box 755">
              <controlPr defaultSize="0" autoFill="0" autoPict="0">
                <anchor moveWithCells="1">
                  <from>
                    <xdr:col>3</xdr:col>
                    <xdr:colOff>0</xdr:colOff>
                    <xdr:row>17</xdr:row>
                    <xdr:rowOff>0</xdr:rowOff>
                  </from>
                  <to>
                    <xdr:col>6</xdr:col>
                    <xdr:colOff>0</xdr:colOff>
                    <xdr:row>20</xdr:row>
                    <xdr:rowOff>0</xdr:rowOff>
                  </to>
                </anchor>
              </controlPr>
            </control>
          </mc:Choice>
        </mc:AlternateContent>
        <mc:AlternateContent xmlns:mc="http://schemas.openxmlformats.org/markup-compatibility/2006">
          <mc:Choice Requires="x14">
            <control shapeId="63220" r:id="rId111" name="Group Box 756">
              <controlPr defaultSize="0" autoFill="0" autoPict="0">
                <anchor moveWithCells="1">
                  <from>
                    <xdr:col>3</xdr:col>
                    <xdr:colOff>0</xdr:colOff>
                    <xdr:row>20</xdr:row>
                    <xdr:rowOff>0</xdr:rowOff>
                  </from>
                  <to>
                    <xdr:col>6</xdr:col>
                    <xdr:colOff>0</xdr:colOff>
                    <xdr:row>23</xdr:row>
                    <xdr:rowOff>0</xdr:rowOff>
                  </to>
                </anchor>
              </controlPr>
            </control>
          </mc:Choice>
        </mc:AlternateContent>
        <mc:AlternateContent xmlns:mc="http://schemas.openxmlformats.org/markup-compatibility/2006">
          <mc:Choice Requires="x14">
            <control shapeId="63221" r:id="rId112" name="Group Box 757">
              <controlPr defaultSize="0" autoFill="0" autoPict="0">
                <anchor moveWithCells="1">
                  <from>
                    <xdr:col>3</xdr:col>
                    <xdr:colOff>0</xdr:colOff>
                    <xdr:row>23</xdr:row>
                    <xdr:rowOff>0</xdr:rowOff>
                  </from>
                  <to>
                    <xdr:col>6</xdr:col>
                    <xdr:colOff>0</xdr:colOff>
                    <xdr:row>26</xdr:row>
                    <xdr:rowOff>0</xdr:rowOff>
                  </to>
                </anchor>
              </controlPr>
            </control>
          </mc:Choice>
        </mc:AlternateContent>
        <mc:AlternateContent xmlns:mc="http://schemas.openxmlformats.org/markup-compatibility/2006">
          <mc:Choice Requires="x14">
            <control shapeId="63222" r:id="rId113" name="Group Box 758">
              <controlPr defaultSize="0" autoFill="0" autoPict="0">
                <anchor moveWithCells="1">
                  <from>
                    <xdr:col>3</xdr:col>
                    <xdr:colOff>0</xdr:colOff>
                    <xdr:row>26</xdr:row>
                    <xdr:rowOff>0</xdr:rowOff>
                  </from>
                  <to>
                    <xdr:col>6</xdr:col>
                    <xdr:colOff>0</xdr:colOff>
                    <xdr:row>29</xdr:row>
                    <xdr:rowOff>0</xdr:rowOff>
                  </to>
                </anchor>
              </controlPr>
            </control>
          </mc:Choice>
        </mc:AlternateContent>
        <mc:AlternateContent xmlns:mc="http://schemas.openxmlformats.org/markup-compatibility/2006">
          <mc:Choice Requires="x14">
            <control shapeId="63223" r:id="rId114" name="Group Box 759">
              <controlPr defaultSize="0" autoFill="0" autoPict="0">
                <anchor moveWithCells="1">
                  <from>
                    <xdr:col>3</xdr:col>
                    <xdr:colOff>0</xdr:colOff>
                    <xdr:row>29</xdr:row>
                    <xdr:rowOff>0</xdr:rowOff>
                  </from>
                  <to>
                    <xdr:col>6</xdr:col>
                    <xdr:colOff>0</xdr:colOff>
                    <xdr:row>32</xdr:row>
                    <xdr:rowOff>0</xdr:rowOff>
                  </to>
                </anchor>
              </controlPr>
            </control>
          </mc:Choice>
        </mc:AlternateContent>
        <mc:AlternateContent xmlns:mc="http://schemas.openxmlformats.org/markup-compatibility/2006">
          <mc:Choice Requires="x14">
            <control shapeId="63224" r:id="rId115" name="Group Box 760">
              <controlPr defaultSize="0" autoFill="0" autoPict="0">
                <anchor moveWithCells="1">
                  <from>
                    <xdr:col>3</xdr:col>
                    <xdr:colOff>0</xdr:colOff>
                    <xdr:row>32</xdr:row>
                    <xdr:rowOff>0</xdr:rowOff>
                  </from>
                  <to>
                    <xdr:col>6</xdr:col>
                    <xdr:colOff>0</xdr:colOff>
                    <xdr:row>35</xdr:row>
                    <xdr:rowOff>0</xdr:rowOff>
                  </to>
                </anchor>
              </controlPr>
            </control>
          </mc:Choice>
        </mc:AlternateContent>
        <mc:AlternateContent xmlns:mc="http://schemas.openxmlformats.org/markup-compatibility/2006">
          <mc:Choice Requires="x14">
            <control shapeId="63225" r:id="rId116" name="Group Box 761">
              <controlPr defaultSize="0" autoFill="0" autoPict="0">
                <anchor moveWithCells="1">
                  <from>
                    <xdr:col>3</xdr:col>
                    <xdr:colOff>0</xdr:colOff>
                    <xdr:row>35</xdr:row>
                    <xdr:rowOff>0</xdr:rowOff>
                  </from>
                  <to>
                    <xdr:col>6</xdr:col>
                    <xdr:colOff>0</xdr:colOff>
                    <xdr:row>38</xdr:row>
                    <xdr:rowOff>0</xdr:rowOff>
                  </to>
                </anchor>
              </controlPr>
            </control>
          </mc:Choice>
        </mc:AlternateContent>
        <mc:AlternateContent xmlns:mc="http://schemas.openxmlformats.org/markup-compatibility/2006">
          <mc:Choice Requires="x14">
            <control shapeId="63226" r:id="rId117" name="Group Box 762">
              <controlPr defaultSize="0" autoFill="0" autoPict="0">
                <anchor moveWithCells="1">
                  <from>
                    <xdr:col>3</xdr:col>
                    <xdr:colOff>0</xdr:colOff>
                    <xdr:row>38</xdr:row>
                    <xdr:rowOff>0</xdr:rowOff>
                  </from>
                  <to>
                    <xdr:col>6</xdr:col>
                    <xdr:colOff>0</xdr:colOff>
                    <xdr:row>41</xdr:row>
                    <xdr:rowOff>0</xdr:rowOff>
                  </to>
                </anchor>
              </controlPr>
            </control>
          </mc:Choice>
        </mc:AlternateContent>
        <mc:AlternateContent xmlns:mc="http://schemas.openxmlformats.org/markup-compatibility/2006">
          <mc:Choice Requires="x14">
            <control shapeId="63227" r:id="rId118" name="Group Box 763">
              <controlPr defaultSize="0" autoFill="0" autoPict="0">
                <anchor moveWithCells="1">
                  <from>
                    <xdr:col>3</xdr:col>
                    <xdr:colOff>0</xdr:colOff>
                    <xdr:row>41</xdr:row>
                    <xdr:rowOff>0</xdr:rowOff>
                  </from>
                  <to>
                    <xdr:col>6</xdr:col>
                    <xdr:colOff>0</xdr:colOff>
                    <xdr:row>44</xdr:row>
                    <xdr:rowOff>0</xdr:rowOff>
                  </to>
                </anchor>
              </controlPr>
            </control>
          </mc:Choice>
        </mc:AlternateContent>
        <mc:AlternateContent xmlns:mc="http://schemas.openxmlformats.org/markup-compatibility/2006">
          <mc:Choice Requires="x14">
            <control shapeId="63228" r:id="rId119" name="Group Box 764">
              <controlPr defaultSize="0" autoFill="0" autoPict="0">
                <anchor moveWithCells="1">
                  <from>
                    <xdr:col>3</xdr:col>
                    <xdr:colOff>0</xdr:colOff>
                    <xdr:row>50</xdr:row>
                    <xdr:rowOff>0</xdr:rowOff>
                  </from>
                  <to>
                    <xdr:col>6</xdr:col>
                    <xdr:colOff>0</xdr:colOff>
                    <xdr:row>53</xdr:row>
                    <xdr:rowOff>0</xdr:rowOff>
                  </to>
                </anchor>
              </controlPr>
            </control>
          </mc:Choice>
        </mc:AlternateContent>
        <mc:AlternateContent xmlns:mc="http://schemas.openxmlformats.org/markup-compatibility/2006">
          <mc:Choice Requires="x14">
            <control shapeId="63229" r:id="rId120" name="Group Box 765">
              <controlPr defaultSize="0" autoFill="0" autoPict="0">
                <anchor moveWithCells="1">
                  <from>
                    <xdr:col>3</xdr:col>
                    <xdr:colOff>0</xdr:colOff>
                    <xdr:row>53</xdr:row>
                    <xdr:rowOff>0</xdr:rowOff>
                  </from>
                  <to>
                    <xdr:col>6</xdr:col>
                    <xdr:colOff>0</xdr:colOff>
                    <xdr:row>56</xdr:row>
                    <xdr:rowOff>0</xdr:rowOff>
                  </to>
                </anchor>
              </controlPr>
            </control>
          </mc:Choice>
        </mc:AlternateContent>
        <mc:AlternateContent xmlns:mc="http://schemas.openxmlformats.org/markup-compatibility/2006">
          <mc:Choice Requires="x14">
            <control shapeId="63230" r:id="rId121" name="Group Box 766">
              <controlPr defaultSize="0" autoFill="0" autoPict="0">
                <anchor moveWithCells="1">
                  <from>
                    <xdr:col>3</xdr:col>
                    <xdr:colOff>0</xdr:colOff>
                    <xdr:row>56</xdr:row>
                    <xdr:rowOff>0</xdr:rowOff>
                  </from>
                  <to>
                    <xdr:col>6</xdr:col>
                    <xdr:colOff>0</xdr:colOff>
                    <xdr:row>59</xdr:row>
                    <xdr:rowOff>0</xdr:rowOff>
                  </to>
                </anchor>
              </controlPr>
            </control>
          </mc:Choice>
        </mc:AlternateContent>
        <mc:AlternateContent xmlns:mc="http://schemas.openxmlformats.org/markup-compatibility/2006">
          <mc:Choice Requires="x14">
            <control shapeId="63231" r:id="rId122" name="Group Box 767">
              <controlPr defaultSize="0" autoFill="0" autoPict="0">
                <anchor moveWithCells="1">
                  <from>
                    <xdr:col>3</xdr:col>
                    <xdr:colOff>0</xdr:colOff>
                    <xdr:row>59</xdr:row>
                    <xdr:rowOff>0</xdr:rowOff>
                  </from>
                  <to>
                    <xdr:col>6</xdr:col>
                    <xdr:colOff>0</xdr:colOff>
                    <xdr:row>62</xdr:row>
                    <xdr:rowOff>0</xdr:rowOff>
                  </to>
                </anchor>
              </controlPr>
            </control>
          </mc:Choice>
        </mc:AlternateContent>
        <mc:AlternateContent xmlns:mc="http://schemas.openxmlformats.org/markup-compatibility/2006">
          <mc:Choice Requires="x14">
            <control shapeId="63232" r:id="rId123" name="Group Box 768">
              <controlPr defaultSize="0" autoFill="0" autoPict="0">
                <anchor moveWithCells="1">
                  <from>
                    <xdr:col>3</xdr:col>
                    <xdr:colOff>0</xdr:colOff>
                    <xdr:row>62</xdr:row>
                    <xdr:rowOff>0</xdr:rowOff>
                  </from>
                  <to>
                    <xdr:col>6</xdr:col>
                    <xdr:colOff>0</xdr:colOff>
                    <xdr:row>65</xdr:row>
                    <xdr:rowOff>0</xdr:rowOff>
                  </to>
                </anchor>
              </controlPr>
            </control>
          </mc:Choice>
        </mc:AlternateContent>
        <mc:AlternateContent xmlns:mc="http://schemas.openxmlformats.org/markup-compatibility/2006">
          <mc:Choice Requires="x14">
            <control shapeId="63233" r:id="rId124" name="Group Box 769">
              <controlPr defaultSize="0" autoFill="0" autoPict="0">
                <anchor moveWithCells="1">
                  <from>
                    <xdr:col>3</xdr:col>
                    <xdr:colOff>0</xdr:colOff>
                    <xdr:row>65</xdr:row>
                    <xdr:rowOff>0</xdr:rowOff>
                  </from>
                  <to>
                    <xdr:col>6</xdr:col>
                    <xdr:colOff>0</xdr:colOff>
                    <xdr:row>68</xdr:row>
                    <xdr:rowOff>0</xdr:rowOff>
                  </to>
                </anchor>
              </controlPr>
            </control>
          </mc:Choice>
        </mc:AlternateContent>
        <mc:AlternateContent xmlns:mc="http://schemas.openxmlformats.org/markup-compatibility/2006">
          <mc:Choice Requires="x14">
            <control shapeId="63234" r:id="rId125" name="Group Box 770">
              <controlPr defaultSize="0" autoFill="0" autoPict="0">
                <anchor moveWithCells="1">
                  <from>
                    <xdr:col>3</xdr:col>
                    <xdr:colOff>0</xdr:colOff>
                    <xdr:row>68</xdr:row>
                    <xdr:rowOff>0</xdr:rowOff>
                  </from>
                  <to>
                    <xdr:col>6</xdr:col>
                    <xdr:colOff>0</xdr:colOff>
                    <xdr:row>71</xdr:row>
                    <xdr:rowOff>0</xdr:rowOff>
                  </to>
                </anchor>
              </controlPr>
            </control>
          </mc:Choice>
        </mc:AlternateContent>
        <mc:AlternateContent xmlns:mc="http://schemas.openxmlformats.org/markup-compatibility/2006">
          <mc:Choice Requires="x14">
            <control shapeId="63235" r:id="rId126" name="Group Box 771">
              <controlPr defaultSize="0" autoFill="0" autoPict="0">
                <anchor moveWithCells="1">
                  <from>
                    <xdr:col>3</xdr:col>
                    <xdr:colOff>0</xdr:colOff>
                    <xdr:row>71</xdr:row>
                    <xdr:rowOff>0</xdr:rowOff>
                  </from>
                  <to>
                    <xdr:col>6</xdr:col>
                    <xdr:colOff>0</xdr:colOff>
                    <xdr:row>74</xdr:row>
                    <xdr:rowOff>0</xdr:rowOff>
                  </to>
                </anchor>
              </controlPr>
            </control>
          </mc:Choice>
        </mc:AlternateContent>
        <mc:AlternateContent xmlns:mc="http://schemas.openxmlformats.org/markup-compatibility/2006">
          <mc:Choice Requires="x14">
            <control shapeId="63237" r:id="rId127" name="Group Box 773">
              <controlPr defaultSize="0" autoFill="0" autoPict="0">
                <anchor moveWithCells="1">
                  <from>
                    <xdr:col>3</xdr:col>
                    <xdr:colOff>0</xdr:colOff>
                    <xdr:row>77</xdr:row>
                    <xdr:rowOff>0</xdr:rowOff>
                  </from>
                  <to>
                    <xdr:col>6</xdr:col>
                    <xdr:colOff>0</xdr:colOff>
                    <xdr:row>80</xdr:row>
                    <xdr:rowOff>0</xdr:rowOff>
                  </to>
                </anchor>
              </controlPr>
            </control>
          </mc:Choice>
        </mc:AlternateContent>
        <mc:AlternateContent xmlns:mc="http://schemas.openxmlformats.org/markup-compatibility/2006">
          <mc:Choice Requires="x14">
            <control shapeId="63238" r:id="rId128" name="Group Box 774">
              <controlPr defaultSize="0" autoFill="0" autoPict="0">
                <anchor moveWithCells="1">
                  <from>
                    <xdr:col>3</xdr:col>
                    <xdr:colOff>0</xdr:colOff>
                    <xdr:row>80</xdr:row>
                    <xdr:rowOff>0</xdr:rowOff>
                  </from>
                  <to>
                    <xdr:col>6</xdr:col>
                    <xdr:colOff>0</xdr:colOff>
                    <xdr:row>83</xdr:row>
                    <xdr:rowOff>0</xdr:rowOff>
                  </to>
                </anchor>
              </controlPr>
            </control>
          </mc:Choice>
        </mc:AlternateContent>
        <mc:AlternateContent xmlns:mc="http://schemas.openxmlformats.org/markup-compatibility/2006">
          <mc:Choice Requires="x14">
            <control shapeId="63239" r:id="rId129" name="Group Box 775">
              <controlPr defaultSize="0" autoFill="0" autoPict="0">
                <anchor moveWithCells="1">
                  <from>
                    <xdr:col>3</xdr:col>
                    <xdr:colOff>0</xdr:colOff>
                    <xdr:row>83</xdr:row>
                    <xdr:rowOff>0</xdr:rowOff>
                  </from>
                  <to>
                    <xdr:col>6</xdr:col>
                    <xdr:colOff>0</xdr:colOff>
                    <xdr:row>86</xdr:row>
                    <xdr:rowOff>0</xdr:rowOff>
                  </to>
                </anchor>
              </controlPr>
            </control>
          </mc:Choice>
        </mc:AlternateContent>
        <mc:AlternateContent xmlns:mc="http://schemas.openxmlformats.org/markup-compatibility/2006">
          <mc:Choice Requires="x14">
            <control shapeId="63240" r:id="rId130" name="Group Box 776">
              <controlPr defaultSize="0" autoFill="0" autoPict="0">
                <anchor moveWithCells="1">
                  <from>
                    <xdr:col>3</xdr:col>
                    <xdr:colOff>0</xdr:colOff>
                    <xdr:row>87</xdr:row>
                    <xdr:rowOff>0</xdr:rowOff>
                  </from>
                  <to>
                    <xdr:col>6</xdr:col>
                    <xdr:colOff>0</xdr:colOff>
                    <xdr:row>90</xdr:row>
                    <xdr:rowOff>0</xdr:rowOff>
                  </to>
                </anchor>
              </controlPr>
            </control>
          </mc:Choice>
        </mc:AlternateContent>
        <mc:AlternateContent xmlns:mc="http://schemas.openxmlformats.org/markup-compatibility/2006">
          <mc:Choice Requires="x14">
            <control shapeId="63241" r:id="rId131" name="Group Box 777">
              <controlPr defaultSize="0" autoFill="0" autoPict="0">
                <anchor moveWithCells="1">
                  <from>
                    <xdr:col>3</xdr:col>
                    <xdr:colOff>0</xdr:colOff>
                    <xdr:row>93</xdr:row>
                    <xdr:rowOff>0</xdr:rowOff>
                  </from>
                  <to>
                    <xdr:col>6</xdr:col>
                    <xdr:colOff>0</xdr:colOff>
                    <xdr:row>96</xdr:row>
                    <xdr:rowOff>0</xdr:rowOff>
                  </to>
                </anchor>
              </controlPr>
            </control>
          </mc:Choice>
        </mc:AlternateContent>
        <mc:AlternateContent xmlns:mc="http://schemas.openxmlformats.org/markup-compatibility/2006">
          <mc:Choice Requires="x14">
            <control shapeId="63242" r:id="rId132" name="Group Box 778">
              <controlPr defaultSize="0" autoFill="0" autoPict="0">
                <anchor moveWithCells="1">
                  <from>
                    <xdr:col>3</xdr:col>
                    <xdr:colOff>0</xdr:colOff>
                    <xdr:row>90</xdr:row>
                    <xdr:rowOff>0</xdr:rowOff>
                  </from>
                  <to>
                    <xdr:col>6</xdr:col>
                    <xdr:colOff>0</xdr:colOff>
                    <xdr:row>93</xdr:row>
                    <xdr:rowOff>0</xdr:rowOff>
                  </to>
                </anchor>
              </controlPr>
            </control>
          </mc:Choice>
        </mc:AlternateContent>
        <mc:AlternateContent xmlns:mc="http://schemas.openxmlformats.org/markup-compatibility/2006">
          <mc:Choice Requires="x14">
            <control shapeId="63244" r:id="rId133" name="Option Button 780">
              <controlPr defaultSize="0" autoFill="0" autoLine="0" autoPict="0">
                <anchor moveWithCells="1">
                  <from>
                    <xdr:col>3</xdr:col>
                    <xdr:colOff>142875</xdr:colOff>
                    <xdr:row>74</xdr:row>
                    <xdr:rowOff>114300</xdr:rowOff>
                  </from>
                  <to>
                    <xdr:col>3</xdr:col>
                    <xdr:colOff>495300</xdr:colOff>
                    <xdr:row>75</xdr:row>
                    <xdr:rowOff>142875</xdr:rowOff>
                  </to>
                </anchor>
              </controlPr>
            </control>
          </mc:Choice>
        </mc:AlternateContent>
        <mc:AlternateContent xmlns:mc="http://schemas.openxmlformats.org/markup-compatibility/2006">
          <mc:Choice Requires="x14">
            <control shapeId="63245" r:id="rId134" name="Option Button 781">
              <controlPr defaultSize="0" autoFill="0" autoLine="0" autoPict="0">
                <anchor moveWithCells="1">
                  <from>
                    <xdr:col>4</xdr:col>
                    <xdr:colOff>123825</xdr:colOff>
                    <xdr:row>74</xdr:row>
                    <xdr:rowOff>66675</xdr:rowOff>
                  </from>
                  <to>
                    <xdr:col>4</xdr:col>
                    <xdr:colOff>495300</xdr:colOff>
                    <xdr:row>76</xdr:row>
                    <xdr:rowOff>28575</xdr:rowOff>
                  </to>
                </anchor>
              </controlPr>
            </control>
          </mc:Choice>
        </mc:AlternateContent>
        <mc:AlternateContent xmlns:mc="http://schemas.openxmlformats.org/markup-compatibility/2006">
          <mc:Choice Requires="x14">
            <control shapeId="63247" r:id="rId135" name="Option Button 783">
              <controlPr defaultSize="0" autoFill="0" autoLine="0" autoPict="0">
                <anchor moveWithCells="1">
                  <from>
                    <xdr:col>3</xdr:col>
                    <xdr:colOff>142875</xdr:colOff>
                    <xdr:row>74</xdr:row>
                    <xdr:rowOff>114300</xdr:rowOff>
                  </from>
                  <to>
                    <xdr:col>3</xdr:col>
                    <xdr:colOff>495300</xdr:colOff>
                    <xdr:row>75</xdr:row>
                    <xdr:rowOff>142875</xdr:rowOff>
                  </to>
                </anchor>
              </controlPr>
            </control>
          </mc:Choice>
        </mc:AlternateContent>
        <mc:AlternateContent xmlns:mc="http://schemas.openxmlformats.org/markup-compatibility/2006">
          <mc:Choice Requires="x14">
            <control shapeId="63248" r:id="rId136" name="Option Button 784">
              <controlPr defaultSize="0" autoFill="0" autoLine="0" autoPict="0">
                <anchor moveWithCells="1">
                  <from>
                    <xdr:col>4</xdr:col>
                    <xdr:colOff>123825</xdr:colOff>
                    <xdr:row>74</xdr:row>
                    <xdr:rowOff>66675</xdr:rowOff>
                  </from>
                  <to>
                    <xdr:col>4</xdr:col>
                    <xdr:colOff>495300</xdr:colOff>
                    <xdr:row>76</xdr:row>
                    <xdr:rowOff>28575</xdr:rowOff>
                  </to>
                </anchor>
              </controlPr>
            </control>
          </mc:Choice>
        </mc:AlternateContent>
        <mc:AlternateContent xmlns:mc="http://schemas.openxmlformats.org/markup-compatibility/2006">
          <mc:Choice Requires="x14">
            <control shapeId="63250" r:id="rId137" name="Group Box 786">
              <controlPr defaultSize="0" autoFill="0" autoPict="0">
                <anchor moveWithCells="1">
                  <from>
                    <xdr:col>3</xdr:col>
                    <xdr:colOff>0</xdr:colOff>
                    <xdr:row>74</xdr:row>
                    <xdr:rowOff>0</xdr:rowOff>
                  </from>
                  <to>
                    <xdr:col>6</xdr:col>
                    <xdr:colOff>0</xdr:colOff>
                    <xdr:row>77</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3"/>
  <dimension ref="A1:L259"/>
  <sheetViews>
    <sheetView showGridLines="0" showZeros="0" showOutlineSymbols="0" zoomScaleNormal="100" zoomScaleSheetLayoutView="100" workbookViewId="0">
      <selection activeCell="B1" sqref="B1"/>
    </sheetView>
  </sheetViews>
  <sheetFormatPr defaultRowHeight="12" x14ac:dyDescent="0.2"/>
  <cols>
    <col min="1" max="1" width="41.42578125" style="20" customWidth="1"/>
    <col min="2" max="3" width="12.7109375" style="20" bestFit="1" customWidth="1"/>
    <col min="4" max="4" width="1.42578125" style="20" customWidth="1"/>
    <col min="5" max="5" width="42" style="21" customWidth="1"/>
    <col min="6" max="7" width="14.5703125" style="283" bestFit="1" customWidth="1"/>
    <col min="8" max="8" width="10" style="698" bestFit="1" customWidth="1"/>
    <col min="9" max="9" width="3" style="696" customWidth="1"/>
    <col min="10" max="10" width="12.42578125" style="696" bestFit="1" customWidth="1"/>
    <col min="11" max="11" width="27.28515625" style="20" customWidth="1"/>
    <col min="12" max="12" width="11.28515625" style="20" customWidth="1"/>
    <col min="13" max="16384" width="9.140625" style="20"/>
  </cols>
  <sheetData>
    <row r="1" spans="1:12" ht="15.95" customHeight="1" x14ac:dyDescent="0.2">
      <c r="A1" s="35"/>
      <c r="B1" s="772"/>
      <c r="C1" s="37"/>
      <c r="D1" s="36"/>
      <c r="E1" s="30"/>
      <c r="F1" s="278"/>
      <c r="G1" s="278"/>
      <c r="H1" s="690"/>
      <c r="I1" s="691"/>
      <c r="J1" s="691"/>
    </row>
    <row r="2" spans="1:12" s="13" customFormat="1" ht="15.75" customHeight="1" x14ac:dyDescent="0.2">
      <c r="A2" s="39" t="str">
        <f>inhoud!A2</f>
        <v>Vaststelling Transitiebedrag 2012</v>
      </c>
      <c r="B2" s="40"/>
      <c r="C2" s="41" t="b">
        <v>1</v>
      </c>
      <c r="D2" s="39"/>
      <c r="E2" s="39"/>
      <c r="F2" s="279"/>
      <c r="G2" s="239">
        <f>vragen!F87+1</f>
        <v>26</v>
      </c>
      <c r="H2" s="692"/>
      <c r="I2" s="693"/>
      <c r="J2" s="693"/>
    </row>
    <row r="3" spans="1:12" s="14" customFormat="1" ht="15.75" customHeight="1" x14ac:dyDescent="0.2">
      <c r="A3" s="39"/>
      <c r="B3" s="40"/>
      <c r="C3" s="39"/>
      <c r="D3" s="39"/>
      <c r="E3" s="39"/>
      <c r="F3" s="279"/>
      <c r="G3" s="279"/>
      <c r="H3" s="694"/>
      <c r="I3" s="695"/>
      <c r="J3" s="695"/>
    </row>
    <row r="4" spans="1:12" x14ac:dyDescent="0.2">
      <c r="A4" s="59" t="s">
        <v>439</v>
      </c>
      <c r="B4" s="43"/>
      <c r="C4" s="43"/>
      <c r="D4" s="43"/>
      <c r="E4" s="55"/>
      <c r="F4" s="280"/>
      <c r="G4" s="280"/>
      <c r="H4" s="696"/>
    </row>
    <row r="5" spans="1:12" ht="12.75" x14ac:dyDescent="0.2">
      <c r="A5" s="43"/>
      <c r="B5" s="43"/>
      <c r="C5" s="43"/>
      <c r="D5" s="43"/>
      <c r="E5" s="28"/>
      <c r="F5" s="281"/>
      <c r="G5" s="281"/>
      <c r="H5" s="696"/>
    </row>
    <row r="6" spans="1:12" ht="12.75" x14ac:dyDescent="0.2">
      <c r="A6" s="43"/>
      <c r="B6" s="1352" t="str">
        <f>"nacalc " &amp; Voorblad!K4</f>
        <v>nacalc 2012</v>
      </c>
      <c r="C6" s="1495"/>
      <c r="D6" s="604"/>
      <c r="E6" s="605"/>
      <c r="F6" s="281"/>
      <c r="G6" s="281"/>
      <c r="H6" s="696"/>
    </row>
    <row r="7" spans="1:12" ht="12.75" x14ac:dyDescent="0.2">
      <c r="A7" s="43"/>
      <c r="B7" s="1352" t="str">
        <f>"prijspeil ultimo " &amp; Voorblad!K4-1</f>
        <v>prijspeil ultimo 2011</v>
      </c>
      <c r="C7" s="1495"/>
      <c r="D7" s="604"/>
      <c r="E7" s="605"/>
      <c r="F7" s="281"/>
      <c r="G7" s="281"/>
      <c r="H7" s="696"/>
    </row>
    <row r="8" spans="1:12" ht="12.75" x14ac:dyDescent="0.2">
      <c r="A8" s="157" t="s">
        <v>731</v>
      </c>
      <c r="B8" s="658" t="s">
        <v>145</v>
      </c>
      <c r="C8" s="658" t="s">
        <v>146</v>
      </c>
      <c r="D8" s="604"/>
      <c r="E8" s="606"/>
      <c r="F8" s="282"/>
      <c r="G8" s="282"/>
      <c r="H8" s="696"/>
    </row>
    <row r="9" spans="1:12" ht="12.75" x14ac:dyDescent="0.2">
      <c r="A9" s="32" t="str">
        <f>"Prijsindexcijfer "&amp;Voorblad!K4</f>
        <v>Prijsindexcijfer 2012</v>
      </c>
      <c r="B9" s="174">
        <f>1+2.95%</f>
        <v>1.0295000000000001</v>
      </c>
      <c r="C9" s="174">
        <f>1+2.41%</f>
        <v>1.0241</v>
      </c>
      <c r="D9" s="604"/>
      <c r="E9" s="605"/>
      <c r="F9" s="281"/>
      <c r="G9" s="281"/>
      <c r="H9" s="696"/>
    </row>
    <row r="10" spans="1:12" ht="12.75" x14ac:dyDescent="0.2">
      <c r="A10" s="32" t="str">
        <f>"Prijsindexcijfer "&amp;Voorblad!K4-1</f>
        <v>Prijsindexcijfer 2011</v>
      </c>
      <c r="B10" s="174">
        <f>1+3.11%</f>
        <v>1.0310999999999999</v>
      </c>
      <c r="C10" s="174">
        <f>1+1.98%</f>
        <v>1.0198</v>
      </c>
      <c r="D10" s="43"/>
      <c r="E10" s="28"/>
      <c r="F10" s="281"/>
      <c r="G10" s="281"/>
      <c r="H10" s="696"/>
      <c r="J10" s="760"/>
      <c r="K10" s="761"/>
      <c r="L10" s="761"/>
    </row>
    <row r="11" spans="1:12" ht="12.75" x14ac:dyDescent="0.2">
      <c r="A11" s="62" t="s">
        <v>923</v>
      </c>
      <c r="B11" s="664">
        <v>0</v>
      </c>
      <c r="C11" s="664">
        <v>0</v>
      </c>
      <c r="D11" s="43"/>
      <c r="E11" s="28"/>
      <c r="F11" s="281"/>
      <c r="G11" s="281"/>
      <c r="H11" s="696"/>
      <c r="J11" s="760"/>
      <c r="K11" s="761"/>
      <c r="L11" s="761"/>
    </row>
    <row r="12" spans="1:12" x14ac:dyDescent="0.2">
      <c r="A12" s="107" t="s">
        <v>147</v>
      </c>
      <c r="B12" s="659">
        <v>29.4</v>
      </c>
      <c r="C12" s="630">
        <v>7.59</v>
      </c>
      <c r="D12" s="43"/>
      <c r="E12" s="158" t="s">
        <v>698</v>
      </c>
      <c r="F12" s="630">
        <v>0</v>
      </c>
      <c r="G12" s="630">
        <v>3498.95</v>
      </c>
      <c r="H12" s="696"/>
      <c r="I12" s="701"/>
      <c r="J12" s="701"/>
      <c r="K12" s="701"/>
    </row>
    <row r="13" spans="1:12" x14ac:dyDescent="0.2">
      <c r="A13" s="107" t="s">
        <v>148</v>
      </c>
      <c r="B13" s="659">
        <v>12.23</v>
      </c>
      <c r="C13" s="659">
        <v>3.15</v>
      </c>
      <c r="D13" s="43"/>
      <c r="E13" s="158" t="s">
        <v>803</v>
      </c>
      <c r="F13" s="630">
        <v>1128.9000000000001</v>
      </c>
      <c r="G13" s="630">
        <v>78.86</v>
      </c>
      <c r="H13" s="696"/>
      <c r="I13" s="701"/>
      <c r="J13" s="701"/>
      <c r="K13" s="701"/>
    </row>
    <row r="14" spans="1:12" x14ac:dyDescent="0.2">
      <c r="A14" s="62" t="s">
        <v>925</v>
      </c>
      <c r="B14" s="664">
        <v>0</v>
      </c>
      <c r="C14" s="664">
        <v>0</v>
      </c>
      <c r="D14" s="43"/>
      <c r="E14" s="158" t="s">
        <v>804</v>
      </c>
      <c r="F14" s="630">
        <v>3926.36</v>
      </c>
      <c r="G14" s="630">
        <v>1625.78</v>
      </c>
      <c r="H14" s="696"/>
      <c r="I14" s="701"/>
      <c r="J14" s="701"/>
      <c r="K14" s="701"/>
      <c r="L14" s="786"/>
    </row>
    <row r="15" spans="1:12" x14ac:dyDescent="0.2">
      <c r="A15" s="107" t="s">
        <v>149</v>
      </c>
      <c r="B15" s="630">
        <v>213774.88</v>
      </c>
      <c r="C15" s="630">
        <v>7366.05</v>
      </c>
      <c r="D15" s="43"/>
      <c r="E15" s="158" t="s">
        <v>724</v>
      </c>
      <c r="F15" s="630">
        <v>22369.25</v>
      </c>
      <c r="G15" s="630">
        <v>0</v>
      </c>
      <c r="H15" s="696"/>
      <c r="I15" s="701"/>
      <c r="J15" s="701"/>
      <c r="K15" s="701"/>
      <c r="L15" s="763"/>
    </row>
    <row r="16" spans="1:12" x14ac:dyDescent="0.2">
      <c r="A16" s="107" t="s">
        <v>150</v>
      </c>
      <c r="B16" s="630">
        <v>7897.9</v>
      </c>
      <c r="C16" s="630">
        <v>153.82</v>
      </c>
      <c r="D16" s="43"/>
      <c r="E16" s="158" t="s">
        <v>725</v>
      </c>
      <c r="F16" s="630">
        <v>712.89</v>
      </c>
      <c r="G16" s="630">
        <v>0</v>
      </c>
      <c r="H16" s="696"/>
      <c r="I16" s="701"/>
      <c r="J16" s="701"/>
      <c r="K16" s="701"/>
      <c r="L16" s="763"/>
    </row>
    <row r="17" spans="1:12" x14ac:dyDescent="0.2">
      <c r="A17" s="107" t="s">
        <v>309</v>
      </c>
      <c r="B17" s="630">
        <v>0</v>
      </c>
      <c r="C17" s="630">
        <v>43559.46</v>
      </c>
      <c r="D17" s="43"/>
      <c r="E17" s="107" t="s">
        <v>163</v>
      </c>
      <c r="F17" s="630">
        <v>481.05</v>
      </c>
      <c r="G17" s="630">
        <v>294.16000000000003</v>
      </c>
      <c r="H17" s="696"/>
      <c r="I17" s="701"/>
      <c r="J17" s="701"/>
      <c r="K17" s="701"/>
      <c r="L17" s="762"/>
    </row>
    <row r="18" spans="1:12" x14ac:dyDescent="0.2">
      <c r="A18" s="107" t="s">
        <v>151</v>
      </c>
      <c r="B18" s="630">
        <v>87040.7</v>
      </c>
      <c r="C18" s="630">
        <v>1858.18</v>
      </c>
      <c r="D18" s="43"/>
      <c r="E18" s="107" t="s">
        <v>164</v>
      </c>
      <c r="F18" s="630">
        <v>1232.04</v>
      </c>
      <c r="G18" s="630">
        <v>74.44</v>
      </c>
      <c r="H18" s="696"/>
      <c r="I18" s="701"/>
      <c r="J18" s="701"/>
      <c r="K18" s="701"/>
      <c r="L18" s="787"/>
    </row>
    <row r="19" spans="1:12" x14ac:dyDescent="0.2">
      <c r="A19" s="107" t="s">
        <v>152</v>
      </c>
      <c r="B19" s="630">
        <v>51705.78</v>
      </c>
      <c r="C19" s="630">
        <v>4600.32</v>
      </c>
      <c r="D19" s="43"/>
      <c r="E19" s="107" t="s">
        <v>165</v>
      </c>
      <c r="F19" s="630">
        <v>41.76</v>
      </c>
      <c r="G19" s="630">
        <v>21.55</v>
      </c>
      <c r="H19" s="696"/>
      <c r="I19" s="701"/>
      <c r="J19" s="701"/>
      <c r="K19" s="701"/>
      <c r="L19" s="762"/>
    </row>
    <row r="20" spans="1:12" x14ac:dyDescent="0.2">
      <c r="A20" s="107" t="s">
        <v>153</v>
      </c>
      <c r="B20" s="630">
        <v>10903.42</v>
      </c>
      <c r="C20" s="630">
        <v>18623.8</v>
      </c>
      <c r="D20" s="43"/>
      <c r="E20" s="107" t="s">
        <v>179</v>
      </c>
      <c r="F20" s="630">
        <v>2736.94</v>
      </c>
      <c r="G20" s="630">
        <v>1202.0899999999999</v>
      </c>
      <c r="H20" s="696"/>
      <c r="I20" s="701"/>
      <c r="J20" s="701"/>
      <c r="K20" s="701"/>
      <c r="L20" s="762"/>
    </row>
    <row r="21" spans="1:12" ht="12.75" x14ac:dyDescent="0.2">
      <c r="A21" s="62" t="s">
        <v>927</v>
      </c>
      <c r="B21" s="664">
        <v>0</v>
      </c>
      <c r="C21" s="664">
        <v>0</v>
      </c>
      <c r="D21" s="43"/>
      <c r="E21" s="107" t="s">
        <v>180</v>
      </c>
      <c r="F21" s="630">
        <v>690.81</v>
      </c>
      <c r="G21" s="630">
        <v>118.8</v>
      </c>
      <c r="H21" s="696"/>
      <c r="I21" s="701"/>
      <c r="J21" s="701"/>
      <c r="K21" s="701"/>
      <c r="L21"/>
    </row>
    <row r="22" spans="1:12" ht="12.75" x14ac:dyDescent="0.2">
      <c r="A22" s="107" t="s">
        <v>154</v>
      </c>
      <c r="B22" s="630">
        <v>3224.04</v>
      </c>
      <c r="C22" s="630">
        <v>4695.6899999999996</v>
      </c>
      <c r="D22" s="43"/>
      <c r="E22" s="158" t="s">
        <v>872</v>
      </c>
      <c r="F22" s="630">
        <v>5715.91</v>
      </c>
      <c r="G22" s="630">
        <v>1151.6199999999999</v>
      </c>
      <c r="H22" s="696"/>
      <c r="I22" s="701"/>
      <c r="J22" s="701"/>
      <c r="K22" s="701"/>
      <c r="L22"/>
    </row>
    <row r="23" spans="1:12" ht="12.75" x14ac:dyDescent="0.2">
      <c r="A23" s="158" t="s">
        <v>913</v>
      </c>
      <c r="B23" s="630">
        <v>1971.26</v>
      </c>
      <c r="C23" s="630">
        <v>311.20999999999998</v>
      </c>
      <c r="D23" s="43"/>
      <c r="E23" s="158" t="s">
        <v>871</v>
      </c>
      <c r="F23" s="630">
        <v>6210.68</v>
      </c>
      <c r="G23" s="630">
        <v>1444.91</v>
      </c>
      <c r="H23" s="696"/>
      <c r="I23" s="701"/>
      <c r="J23" s="701"/>
      <c r="K23" s="701"/>
      <c r="L23"/>
    </row>
    <row r="24" spans="1:12" ht="12.75" x14ac:dyDescent="0.2">
      <c r="A24" s="158" t="s">
        <v>864</v>
      </c>
      <c r="B24" s="630">
        <v>9874.81</v>
      </c>
      <c r="C24" s="630">
        <v>6390.81</v>
      </c>
      <c r="D24" s="43"/>
      <c r="E24" s="158" t="s">
        <v>181</v>
      </c>
      <c r="F24" s="630">
        <v>205.16</v>
      </c>
      <c r="G24" s="630">
        <v>151.68</v>
      </c>
      <c r="H24" s="696"/>
      <c r="I24" s="701"/>
      <c r="J24" s="701"/>
      <c r="K24" s="701"/>
      <c r="L24"/>
    </row>
    <row r="25" spans="1:12" ht="12.75" x14ac:dyDescent="0.2">
      <c r="A25" s="158" t="s">
        <v>865</v>
      </c>
      <c r="B25" s="660">
        <v>13799.35</v>
      </c>
      <c r="C25" s="660">
        <v>7500.39</v>
      </c>
      <c r="D25" s="43"/>
      <c r="E25" s="107" t="s">
        <v>182</v>
      </c>
      <c r="F25" s="630">
        <v>20.96</v>
      </c>
      <c r="G25" s="630">
        <v>88.72</v>
      </c>
      <c r="H25" s="696"/>
      <c r="I25" s="701"/>
      <c r="J25" s="701"/>
      <c r="K25" s="701"/>
      <c r="L25"/>
    </row>
    <row r="26" spans="1:12" ht="12.75" x14ac:dyDescent="0.2">
      <c r="A26" s="107" t="s">
        <v>155</v>
      </c>
      <c r="B26" s="661">
        <v>0</v>
      </c>
      <c r="C26" s="661">
        <v>4570.93</v>
      </c>
      <c r="D26" s="43"/>
      <c r="E26" s="107" t="s">
        <v>183</v>
      </c>
      <c r="F26" s="630">
        <v>205.16</v>
      </c>
      <c r="G26" s="630">
        <v>218.29</v>
      </c>
      <c r="H26" s="696"/>
      <c r="I26" s="701"/>
      <c r="J26" s="701"/>
      <c r="K26" s="701"/>
      <c r="L26"/>
    </row>
    <row r="27" spans="1:12" ht="12.75" x14ac:dyDescent="0.2">
      <c r="A27" s="107" t="s">
        <v>156</v>
      </c>
      <c r="B27" s="630">
        <v>0</v>
      </c>
      <c r="C27" s="630">
        <v>932.21</v>
      </c>
      <c r="D27" s="43"/>
      <c r="E27" s="107" t="s">
        <v>184</v>
      </c>
      <c r="F27" s="630">
        <v>20.96</v>
      </c>
      <c r="G27" s="630">
        <v>111.41</v>
      </c>
      <c r="H27" s="696"/>
      <c r="I27" s="701"/>
      <c r="J27" s="701"/>
      <c r="K27" s="701"/>
      <c r="L27"/>
    </row>
    <row r="28" spans="1:12" ht="12.75" x14ac:dyDescent="0.2">
      <c r="A28" s="662" t="s">
        <v>805</v>
      </c>
      <c r="B28" s="630">
        <v>0</v>
      </c>
      <c r="C28" s="630">
        <v>1369.02</v>
      </c>
      <c r="D28" s="43"/>
      <c r="E28" s="107" t="s">
        <v>193</v>
      </c>
      <c r="F28" s="630">
        <v>124.84</v>
      </c>
      <c r="G28" s="630">
        <v>123.32</v>
      </c>
      <c r="H28" s="696"/>
      <c r="I28" s="701"/>
      <c r="J28" s="701"/>
      <c r="K28" s="701"/>
      <c r="L28"/>
    </row>
    <row r="29" spans="1:12" ht="12.75" x14ac:dyDescent="0.2">
      <c r="A29" s="663" t="s">
        <v>806</v>
      </c>
      <c r="B29" s="630">
        <v>0</v>
      </c>
      <c r="C29" s="630">
        <v>2358.61</v>
      </c>
      <c r="D29" s="43"/>
      <c r="E29" s="107" t="s">
        <v>194</v>
      </c>
      <c r="F29" s="630">
        <v>124.84</v>
      </c>
      <c r="G29" s="630">
        <v>191.37</v>
      </c>
      <c r="H29" s="696"/>
      <c r="I29" s="701"/>
      <c r="J29" s="701"/>
      <c r="K29" s="701"/>
      <c r="L29"/>
    </row>
    <row r="30" spans="1:12" ht="12.75" x14ac:dyDescent="0.2">
      <c r="A30" s="158" t="s">
        <v>807</v>
      </c>
      <c r="B30" s="630">
        <v>14706.43</v>
      </c>
      <c r="C30" s="630">
        <v>4387.0200000000004</v>
      </c>
      <c r="D30" s="43"/>
      <c r="E30" s="107" t="s">
        <v>195</v>
      </c>
      <c r="F30" s="630">
        <v>292.72000000000003</v>
      </c>
      <c r="G30" s="630">
        <v>123.32</v>
      </c>
      <c r="H30" s="696"/>
      <c r="I30" s="701"/>
      <c r="J30" s="701"/>
      <c r="K30" s="701"/>
      <c r="L30"/>
    </row>
    <row r="31" spans="1:12" x14ac:dyDescent="0.2">
      <c r="A31" s="158" t="s">
        <v>318</v>
      </c>
      <c r="B31" s="630">
        <v>0</v>
      </c>
      <c r="C31" s="630">
        <v>33889.47</v>
      </c>
      <c r="D31" s="43"/>
      <c r="E31" s="107" t="s">
        <v>196</v>
      </c>
      <c r="F31" s="630">
        <v>292.72000000000003</v>
      </c>
      <c r="G31" s="630">
        <v>191.37</v>
      </c>
      <c r="H31" s="696"/>
      <c r="I31" s="701"/>
      <c r="J31" s="701"/>
      <c r="K31" s="701"/>
    </row>
    <row r="32" spans="1:12" x14ac:dyDescent="0.2">
      <c r="A32" s="158" t="s">
        <v>157</v>
      </c>
      <c r="B32" s="630">
        <v>0</v>
      </c>
      <c r="C32" s="630">
        <v>4214.55</v>
      </c>
      <c r="D32" s="43"/>
      <c r="E32" s="107" t="s">
        <v>197</v>
      </c>
      <c r="F32" s="630">
        <v>20.96</v>
      </c>
      <c r="G32" s="630">
        <v>99.56</v>
      </c>
      <c r="H32" s="696"/>
      <c r="I32" s="701"/>
      <c r="J32" s="701"/>
      <c r="K32" s="701"/>
    </row>
    <row r="33" spans="1:11" x14ac:dyDescent="0.2">
      <c r="A33" s="158" t="s">
        <v>158</v>
      </c>
      <c r="B33" s="630">
        <v>91136.67</v>
      </c>
      <c r="C33" s="630">
        <v>118974.53</v>
      </c>
      <c r="D33" s="43"/>
      <c r="E33" s="107" t="s">
        <v>198</v>
      </c>
      <c r="F33" s="630">
        <v>20.96</v>
      </c>
      <c r="G33" s="630">
        <v>122.24</v>
      </c>
      <c r="H33" s="696"/>
      <c r="I33" s="701"/>
      <c r="J33" s="701"/>
      <c r="K33" s="701"/>
    </row>
    <row r="34" spans="1:11" x14ac:dyDescent="0.2">
      <c r="A34" s="158" t="s">
        <v>159</v>
      </c>
      <c r="B34" s="630">
        <v>17925.939999999999</v>
      </c>
      <c r="C34" s="630">
        <v>6163.08</v>
      </c>
      <c r="D34" s="43"/>
      <c r="E34" s="107" t="s">
        <v>936</v>
      </c>
      <c r="F34" s="630">
        <v>75.02</v>
      </c>
      <c r="G34" s="630">
        <v>11.03</v>
      </c>
      <c r="H34" s="696"/>
      <c r="I34" s="701"/>
      <c r="J34" s="701"/>
      <c r="K34" s="701"/>
    </row>
    <row r="35" spans="1:11" x14ac:dyDescent="0.2">
      <c r="A35" s="123" t="s">
        <v>437</v>
      </c>
      <c r="B35" s="630">
        <v>9620.92</v>
      </c>
      <c r="C35" s="630">
        <v>5528.38</v>
      </c>
      <c r="D35" s="43"/>
      <c r="E35" s="62" t="s">
        <v>930</v>
      </c>
      <c r="F35" s="664">
        <v>0</v>
      </c>
      <c r="G35" s="664">
        <v>0</v>
      </c>
      <c r="H35" s="696"/>
      <c r="I35" s="701"/>
      <c r="J35" s="701"/>
      <c r="K35" s="701"/>
    </row>
    <row r="36" spans="1:11" x14ac:dyDescent="0.2">
      <c r="A36" s="158" t="s">
        <v>160</v>
      </c>
      <c r="B36" s="630">
        <v>948.96</v>
      </c>
      <c r="C36" s="630">
        <v>463.37</v>
      </c>
      <c r="D36" s="43"/>
      <c r="E36" s="158" t="s">
        <v>94</v>
      </c>
      <c r="F36" s="630">
        <v>207.5</v>
      </c>
      <c r="G36" s="630">
        <v>46.29</v>
      </c>
      <c r="H36" s="696"/>
      <c r="I36" s="701"/>
      <c r="J36" s="701"/>
      <c r="K36" s="701"/>
    </row>
    <row r="37" spans="1:11" x14ac:dyDescent="0.2">
      <c r="A37" s="158" t="s">
        <v>121</v>
      </c>
      <c r="B37" s="630">
        <v>28742.79</v>
      </c>
      <c r="C37" s="630">
        <v>17466.03</v>
      </c>
      <c r="D37" s="43"/>
      <c r="E37" s="158" t="s">
        <v>95</v>
      </c>
      <c r="F37" s="630">
        <v>112.77</v>
      </c>
      <c r="G37" s="630">
        <v>25.16</v>
      </c>
      <c r="H37" s="696"/>
      <c r="I37" s="701"/>
      <c r="J37" s="701"/>
      <c r="K37" s="701"/>
    </row>
    <row r="38" spans="1:11" x14ac:dyDescent="0.2">
      <c r="A38" s="158" t="s">
        <v>122</v>
      </c>
      <c r="B38" s="630">
        <v>25724.29</v>
      </c>
      <c r="C38" s="630">
        <v>31745.89</v>
      </c>
      <c r="D38" s="43"/>
      <c r="E38" s="158" t="s">
        <v>96</v>
      </c>
      <c r="F38" s="630">
        <v>260.12</v>
      </c>
      <c r="G38" s="630">
        <v>58.04</v>
      </c>
      <c r="H38" s="696"/>
      <c r="I38" s="701"/>
      <c r="J38" s="701"/>
      <c r="K38" s="701"/>
    </row>
    <row r="39" spans="1:11" x14ac:dyDescent="0.2">
      <c r="A39" s="158" t="s">
        <v>123</v>
      </c>
      <c r="B39" s="630">
        <v>14842.66</v>
      </c>
      <c r="C39" s="630">
        <v>29619.040000000001</v>
      </c>
      <c r="D39" s="43"/>
      <c r="E39" s="158" t="s">
        <v>97</v>
      </c>
      <c r="F39" s="630">
        <v>518.45000000000005</v>
      </c>
      <c r="G39" s="630">
        <v>115.67</v>
      </c>
      <c r="H39" s="696"/>
      <c r="I39" s="701"/>
      <c r="J39" s="701"/>
      <c r="K39" s="701"/>
    </row>
    <row r="40" spans="1:11" x14ac:dyDescent="0.2">
      <c r="A40" s="158" t="s">
        <v>124</v>
      </c>
      <c r="B40" s="630">
        <v>74502.48</v>
      </c>
      <c r="C40" s="630">
        <v>63506.13</v>
      </c>
      <c r="D40" s="43"/>
      <c r="E40" s="158" t="s">
        <v>98</v>
      </c>
      <c r="F40" s="630">
        <v>938.89</v>
      </c>
      <c r="G40" s="630">
        <v>209.47</v>
      </c>
      <c r="H40" s="696"/>
      <c r="I40" s="701"/>
      <c r="J40" s="701"/>
      <c r="K40" s="701"/>
    </row>
    <row r="41" spans="1:11" x14ac:dyDescent="0.2">
      <c r="A41" s="158" t="s">
        <v>125</v>
      </c>
      <c r="B41" s="630">
        <v>7602.91</v>
      </c>
      <c r="C41" s="630">
        <v>4220.8900000000003</v>
      </c>
      <c r="D41" s="43"/>
      <c r="E41" s="62" t="s">
        <v>926</v>
      </c>
      <c r="F41" s="664">
        <v>0</v>
      </c>
      <c r="G41" s="664">
        <v>0</v>
      </c>
      <c r="H41" s="696"/>
      <c r="I41" s="701"/>
      <c r="J41" s="701"/>
      <c r="K41" s="701"/>
    </row>
    <row r="42" spans="1:11" x14ac:dyDescent="0.2">
      <c r="A42" s="123" t="s">
        <v>703</v>
      </c>
      <c r="B42" s="630">
        <v>22733.56</v>
      </c>
      <c r="C42" s="630">
        <v>1940.69</v>
      </c>
      <c r="D42" s="43"/>
      <c r="E42" s="158" t="s">
        <v>888</v>
      </c>
      <c r="F42" s="630">
        <v>484.85</v>
      </c>
      <c r="G42" s="630">
        <v>536.92999999999995</v>
      </c>
      <c r="H42" s="696"/>
      <c r="I42" s="701"/>
      <c r="J42" s="701"/>
      <c r="K42" s="701"/>
    </row>
    <row r="43" spans="1:11" x14ac:dyDescent="0.2">
      <c r="A43" s="158" t="s">
        <v>704</v>
      </c>
      <c r="B43" s="630">
        <v>48544.72</v>
      </c>
      <c r="C43" s="630">
        <v>28460.41</v>
      </c>
      <c r="D43" s="43"/>
      <c r="E43" s="158" t="s">
        <v>891</v>
      </c>
      <c r="F43" s="630">
        <v>503.54</v>
      </c>
      <c r="G43" s="630">
        <v>590.84</v>
      </c>
      <c r="H43" s="696"/>
      <c r="I43" s="701"/>
      <c r="J43" s="701"/>
      <c r="K43" s="701"/>
    </row>
    <row r="44" spans="1:11" x14ac:dyDescent="0.2">
      <c r="A44" s="158" t="s">
        <v>705</v>
      </c>
      <c r="B44" s="630">
        <v>17768.8</v>
      </c>
      <c r="C44" s="630">
        <v>8173.02</v>
      </c>
      <c r="D44" s="43"/>
      <c r="E44" s="107" t="s">
        <v>892</v>
      </c>
      <c r="F44" s="630">
        <v>45.39</v>
      </c>
      <c r="G44" s="630">
        <v>9.7899999999999991</v>
      </c>
      <c r="H44" s="696"/>
      <c r="I44" s="701"/>
      <c r="J44" s="701"/>
      <c r="K44" s="701"/>
    </row>
    <row r="45" spans="1:11" x14ac:dyDescent="0.2">
      <c r="A45" s="158" t="s">
        <v>706</v>
      </c>
      <c r="B45" s="630">
        <v>635.20000000000005</v>
      </c>
      <c r="C45" s="630">
        <v>2236.4299999999998</v>
      </c>
      <c r="D45" s="43"/>
      <c r="E45" s="107" t="s">
        <v>893</v>
      </c>
      <c r="F45" s="630">
        <v>46.86</v>
      </c>
      <c r="G45" s="630">
        <v>10.029999999999999</v>
      </c>
      <c r="H45" s="696"/>
      <c r="I45" s="701"/>
      <c r="J45" s="701"/>
      <c r="K45" s="701"/>
    </row>
    <row r="46" spans="1:11" x14ac:dyDescent="0.2">
      <c r="A46" s="158" t="s">
        <v>707</v>
      </c>
      <c r="B46" s="630">
        <v>1231.95</v>
      </c>
      <c r="C46" s="630">
        <v>4986.66</v>
      </c>
      <c r="D46" s="43"/>
      <c r="E46" s="107" t="s">
        <v>894</v>
      </c>
      <c r="F46" s="630">
        <v>89.89</v>
      </c>
      <c r="G46" s="630">
        <v>42.07</v>
      </c>
      <c r="H46" s="696"/>
      <c r="I46" s="701"/>
      <c r="J46" s="701"/>
      <c r="K46" s="701"/>
    </row>
    <row r="47" spans="1:11" x14ac:dyDescent="0.2">
      <c r="A47" s="158" t="s">
        <v>708</v>
      </c>
      <c r="B47" s="630">
        <v>1536.48</v>
      </c>
      <c r="C47" s="630">
        <v>7299.42</v>
      </c>
      <c r="D47" s="43"/>
      <c r="E47" s="107" t="s">
        <v>895</v>
      </c>
      <c r="F47" s="630">
        <v>93.59</v>
      </c>
      <c r="G47" s="630">
        <v>46.14</v>
      </c>
      <c r="H47" s="696"/>
      <c r="I47" s="701"/>
      <c r="J47" s="701"/>
      <c r="K47" s="701"/>
    </row>
    <row r="48" spans="1:11" x14ac:dyDescent="0.2">
      <c r="A48" s="158" t="s">
        <v>709</v>
      </c>
      <c r="B48" s="630">
        <v>23936.29</v>
      </c>
      <c r="C48" s="630">
        <v>2384.9899999999998</v>
      </c>
      <c r="D48" s="43"/>
      <c r="E48" s="107" t="s">
        <v>896</v>
      </c>
      <c r="F48" s="630">
        <v>253</v>
      </c>
      <c r="G48" s="630">
        <v>115.58</v>
      </c>
      <c r="H48" s="696"/>
      <c r="I48" s="701"/>
      <c r="J48" s="701"/>
      <c r="K48" s="701"/>
    </row>
    <row r="49" spans="1:12" x14ac:dyDescent="0.2">
      <c r="A49" s="158" t="s">
        <v>710</v>
      </c>
      <c r="B49" s="630">
        <v>50434.96</v>
      </c>
      <c r="C49" s="630">
        <v>29648.83</v>
      </c>
      <c r="D49" s="43"/>
      <c r="E49" s="107" t="s">
        <v>897</v>
      </c>
      <c r="F49" s="630">
        <v>257.89</v>
      </c>
      <c r="G49" s="630">
        <v>122.22</v>
      </c>
      <c r="H49" s="696"/>
      <c r="I49" s="701"/>
      <c r="J49" s="701"/>
      <c r="K49" s="701"/>
    </row>
    <row r="50" spans="1:12" x14ac:dyDescent="0.2">
      <c r="A50" s="158" t="s">
        <v>711</v>
      </c>
      <c r="B50" s="630">
        <v>18756.23</v>
      </c>
      <c r="C50" s="630">
        <v>8791.76</v>
      </c>
      <c r="D50" s="43"/>
      <c r="E50" s="107" t="s">
        <v>898</v>
      </c>
      <c r="F50" s="630">
        <v>575.59</v>
      </c>
      <c r="G50" s="630">
        <v>556.48</v>
      </c>
      <c r="H50" s="696"/>
      <c r="I50" s="701"/>
      <c r="J50" s="701"/>
      <c r="K50" s="701"/>
    </row>
    <row r="51" spans="1:12" x14ac:dyDescent="0.2">
      <c r="A51" s="158" t="s">
        <v>712</v>
      </c>
      <c r="B51" s="630">
        <v>5538.43</v>
      </c>
      <c r="C51" s="630">
        <v>1342.4</v>
      </c>
      <c r="D51" s="43"/>
      <c r="E51" s="107" t="s">
        <v>901</v>
      </c>
      <c r="F51" s="630">
        <v>597.28</v>
      </c>
      <c r="G51" s="630">
        <v>610.88</v>
      </c>
      <c r="H51" s="696"/>
      <c r="I51" s="701"/>
      <c r="J51" s="701"/>
      <c r="K51" s="701"/>
    </row>
    <row r="52" spans="1:12" x14ac:dyDescent="0.2">
      <c r="A52" s="158" t="s">
        <v>713</v>
      </c>
      <c r="B52" s="630">
        <v>70192.44</v>
      </c>
      <c r="C52" s="630">
        <v>17958.28</v>
      </c>
      <c r="D52" s="43"/>
      <c r="E52" s="107" t="s">
        <v>525</v>
      </c>
      <c r="F52" s="630">
        <v>6.39</v>
      </c>
      <c r="G52" s="630">
        <v>0</v>
      </c>
      <c r="H52" s="696"/>
      <c r="I52" s="701"/>
      <c r="J52" s="701"/>
      <c r="K52" s="701"/>
    </row>
    <row r="53" spans="1:12" x14ac:dyDescent="0.2">
      <c r="A53" s="158" t="s">
        <v>714</v>
      </c>
      <c r="B53" s="630">
        <v>25797.32</v>
      </c>
      <c r="C53" s="630">
        <v>6066.05</v>
      </c>
      <c r="D53" s="43"/>
      <c r="E53" s="107" t="s">
        <v>902</v>
      </c>
      <c r="F53" s="630">
        <v>253</v>
      </c>
      <c r="G53" s="630">
        <v>115.58</v>
      </c>
      <c r="H53" s="696"/>
      <c r="I53" s="701"/>
      <c r="J53" s="701"/>
      <c r="K53" s="701"/>
    </row>
    <row r="54" spans="1:12" x14ac:dyDescent="0.2">
      <c r="A54" s="158" t="s">
        <v>715</v>
      </c>
      <c r="B54" s="630">
        <v>8957.19</v>
      </c>
      <c r="C54" s="630">
        <v>45857.74</v>
      </c>
      <c r="D54" s="43"/>
      <c r="E54" s="107" t="s">
        <v>903</v>
      </c>
      <c r="F54" s="630">
        <v>257.89</v>
      </c>
      <c r="G54" s="630">
        <v>122.22</v>
      </c>
      <c r="H54" s="696"/>
      <c r="I54" s="701"/>
      <c r="J54" s="701"/>
      <c r="K54" s="701"/>
    </row>
    <row r="55" spans="1:12" s="104" customFormat="1" x14ac:dyDescent="0.2">
      <c r="A55" s="158" t="s">
        <v>716</v>
      </c>
      <c r="B55" s="630">
        <v>2037.77</v>
      </c>
      <c r="C55" s="630">
        <v>1427.47</v>
      </c>
      <c r="D55" s="123"/>
      <c r="E55" s="62" t="s">
        <v>932</v>
      </c>
      <c r="F55" s="664">
        <v>0</v>
      </c>
      <c r="G55" s="664">
        <v>0</v>
      </c>
      <c r="H55" s="696"/>
      <c r="I55" s="701"/>
      <c r="J55" s="701"/>
      <c r="K55" s="701"/>
      <c r="L55" s="20"/>
    </row>
    <row r="56" spans="1:12" x14ac:dyDescent="0.2">
      <c r="A56" s="158" t="s">
        <v>720</v>
      </c>
      <c r="B56" s="630">
        <v>7354.84</v>
      </c>
      <c r="C56" s="630">
        <v>37744.17</v>
      </c>
      <c r="D56" s="43"/>
      <c r="E56" s="107" t="s">
        <v>904</v>
      </c>
      <c r="F56" s="630">
        <v>253</v>
      </c>
      <c r="G56" s="630">
        <v>115.58</v>
      </c>
      <c r="H56" s="696"/>
      <c r="I56" s="701"/>
      <c r="J56" s="701"/>
      <c r="K56" s="701"/>
    </row>
    <row r="57" spans="1:12" x14ac:dyDescent="0.2">
      <c r="A57" s="158" t="s">
        <v>721</v>
      </c>
      <c r="B57" s="630">
        <v>1339.62</v>
      </c>
      <c r="C57" s="630">
        <v>1872.56</v>
      </c>
      <c r="D57" s="43"/>
      <c r="E57" s="107" t="s">
        <v>905</v>
      </c>
      <c r="F57" s="630">
        <v>257.89</v>
      </c>
      <c r="G57" s="630">
        <v>122.22</v>
      </c>
      <c r="H57" s="696"/>
      <c r="I57" s="701"/>
      <c r="J57" s="701"/>
      <c r="K57" s="701"/>
    </row>
    <row r="58" spans="1:12" x14ac:dyDescent="0.2">
      <c r="A58" s="107" t="s">
        <v>101</v>
      </c>
      <c r="B58" s="630">
        <v>0</v>
      </c>
      <c r="C58" s="630">
        <v>13628.6</v>
      </c>
      <c r="D58" s="43"/>
      <c r="E58" s="107" t="s">
        <v>199</v>
      </c>
      <c r="F58" s="630">
        <v>11.43</v>
      </c>
      <c r="G58" s="630">
        <v>5.9</v>
      </c>
      <c r="H58" s="696"/>
      <c r="I58" s="701"/>
      <c r="J58" s="701"/>
      <c r="K58" s="701"/>
    </row>
    <row r="59" spans="1:12" x14ac:dyDescent="0.2">
      <c r="A59" s="107" t="s">
        <v>102</v>
      </c>
      <c r="B59" s="630">
        <v>0</v>
      </c>
      <c r="C59" s="630">
        <v>22760.23</v>
      </c>
      <c r="D59" s="43"/>
      <c r="E59" s="107" t="s">
        <v>200</v>
      </c>
      <c r="F59" s="630">
        <v>7</v>
      </c>
      <c r="G59" s="630">
        <v>2.41</v>
      </c>
      <c r="H59" s="696"/>
      <c r="I59" s="701"/>
      <c r="J59" s="701"/>
      <c r="K59" s="701"/>
    </row>
    <row r="60" spans="1:12" x14ac:dyDescent="0.2">
      <c r="A60" s="107" t="s">
        <v>103</v>
      </c>
      <c r="B60" s="630">
        <v>0</v>
      </c>
      <c r="C60" s="630">
        <v>10902.64</v>
      </c>
      <c r="D60" s="43"/>
      <c r="E60" s="107" t="s">
        <v>906</v>
      </c>
      <c r="F60" s="630">
        <v>4.3899999999999997</v>
      </c>
      <c r="G60" s="630">
        <v>1.52</v>
      </c>
      <c r="H60" s="696"/>
      <c r="I60" s="701"/>
      <c r="J60" s="701"/>
      <c r="K60" s="701"/>
    </row>
    <row r="61" spans="1:12" x14ac:dyDescent="0.2">
      <c r="A61" s="107" t="s">
        <v>106</v>
      </c>
      <c r="B61" s="630">
        <v>0</v>
      </c>
      <c r="C61" s="630">
        <v>17171.759999999998</v>
      </c>
      <c r="D61" s="43"/>
      <c r="E61" s="107" t="s">
        <v>907</v>
      </c>
      <c r="F61" s="630">
        <v>10.9</v>
      </c>
      <c r="G61" s="630">
        <v>3.76</v>
      </c>
      <c r="H61" s="696"/>
      <c r="I61" s="701"/>
      <c r="J61" s="701"/>
      <c r="K61" s="701"/>
    </row>
    <row r="62" spans="1:12" x14ac:dyDescent="0.2">
      <c r="A62" s="158" t="s">
        <v>836</v>
      </c>
      <c r="B62" s="630">
        <v>0</v>
      </c>
      <c r="C62" s="630">
        <v>15934.66</v>
      </c>
      <c r="D62" s="43"/>
      <c r="E62" s="107" t="s">
        <v>201</v>
      </c>
      <c r="F62" s="665">
        <v>0.49</v>
      </c>
      <c r="G62" s="665">
        <v>0.51</v>
      </c>
      <c r="H62" s="696"/>
      <c r="I62" s="701"/>
      <c r="J62" s="701"/>
      <c r="K62" s="701"/>
    </row>
    <row r="63" spans="1:12" x14ac:dyDescent="0.2">
      <c r="A63" s="158" t="s">
        <v>808</v>
      </c>
      <c r="B63" s="630">
        <v>0</v>
      </c>
      <c r="C63" s="630">
        <v>13307.51</v>
      </c>
      <c r="E63" s="107" t="s">
        <v>202</v>
      </c>
      <c r="F63" s="630">
        <v>8.27</v>
      </c>
      <c r="G63" s="630">
        <v>2.19</v>
      </c>
      <c r="H63" s="696"/>
      <c r="I63" s="701"/>
      <c r="J63" s="701"/>
      <c r="K63" s="701"/>
    </row>
    <row r="64" spans="1:12" x14ac:dyDescent="0.2">
      <c r="A64" s="158" t="s">
        <v>809</v>
      </c>
      <c r="B64" s="630">
        <v>0</v>
      </c>
      <c r="C64" s="630">
        <v>10735.48</v>
      </c>
      <c r="E64" s="107" t="s">
        <v>203</v>
      </c>
      <c r="F64" s="630">
        <v>280.26</v>
      </c>
      <c r="G64" s="630">
        <v>222.65</v>
      </c>
      <c r="H64" s="696"/>
      <c r="I64" s="701"/>
      <c r="J64" s="701"/>
      <c r="K64" s="701"/>
    </row>
    <row r="65" spans="1:11" x14ac:dyDescent="0.2">
      <c r="A65" s="158" t="s">
        <v>866</v>
      </c>
      <c r="B65" s="660">
        <v>0</v>
      </c>
      <c r="C65" s="660">
        <v>12202.22</v>
      </c>
      <c r="E65" s="107" t="s">
        <v>204</v>
      </c>
      <c r="F65" s="630">
        <v>238.3</v>
      </c>
      <c r="G65" s="630">
        <v>702.18</v>
      </c>
      <c r="H65" s="696"/>
      <c r="I65" s="701"/>
      <c r="J65" s="701"/>
      <c r="K65" s="701"/>
    </row>
    <row r="66" spans="1:11" x14ac:dyDescent="0.2">
      <c r="A66" s="158" t="s">
        <v>867</v>
      </c>
      <c r="B66" s="660">
        <v>11896.21</v>
      </c>
      <c r="C66" s="660">
        <v>13438.96</v>
      </c>
      <c r="E66" s="107" t="s">
        <v>205</v>
      </c>
      <c r="F66" s="665">
        <v>0.41299999999999998</v>
      </c>
      <c r="G66" s="665">
        <v>8.5000000000000006E-2</v>
      </c>
      <c r="H66" s="696"/>
      <c r="I66" s="701"/>
      <c r="J66" s="701"/>
      <c r="K66" s="701"/>
    </row>
    <row r="67" spans="1:11" x14ac:dyDescent="0.2">
      <c r="A67" s="158" t="s">
        <v>868</v>
      </c>
      <c r="B67" s="660">
        <v>4226.17</v>
      </c>
      <c r="C67" s="660">
        <v>7382.45</v>
      </c>
      <c r="E67" s="107" t="s">
        <v>206</v>
      </c>
      <c r="F67" s="665">
        <v>0.46300000000000002</v>
      </c>
      <c r="G67" s="665">
        <v>0.108</v>
      </c>
      <c r="H67" s="696"/>
      <c r="I67" s="701"/>
      <c r="J67" s="701"/>
      <c r="K67" s="701"/>
    </row>
    <row r="68" spans="1:11" x14ac:dyDescent="0.2">
      <c r="A68" s="158" t="s">
        <v>869</v>
      </c>
      <c r="B68" s="660">
        <v>2396.8200000000002</v>
      </c>
      <c r="C68" s="660">
        <v>5644.26</v>
      </c>
      <c r="E68" s="107" t="s">
        <v>207</v>
      </c>
      <c r="F68" s="666">
        <v>0.84899999999999998</v>
      </c>
      <c r="G68" s="666">
        <v>0.17</v>
      </c>
      <c r="H68" s="696"/>
      <c r="I68" s="701"/>
      <c r="J68" s="701"/>
      <c r="K68" s="701"/>
    </row>
    <row r="69" spans="1:11" x14ac:dyDescent="0.2">
      <c r="A69" s="158" t="s">
        <v>870</v>
      </c>
      <c r="B69" s="660">
        <v>849.57</v>
      </c>
      <c r="C69" s="660">
        <v>5349.95</v>
      </c>
      <c r="E69" s="107" t="s">
        <v>810</v>
      </c>
      <c r="F69" s="665">
        <v>0.84899999999999998</v>
      </c>
      <c r="G69" s="665">
        <v>0.17</v>
      </c>
      <c r="H69" s="696"/>
      <c r="I69" s="701"/>
      <c r="J69" s="701"/>
      <c r="K69" s="701"/>
    </row>
    <row r="70" spans="1:11" x14ac:dyDescent="0.2">
      <c r="A70" s="158" t="s">
        <v>982</v>
      </c>
      <c r="B70" s="630">
        <v>11458.95</v>
      </c>
      <c r="C70" s="630">
        <v>5989.93</v>
      </c>
      <c r="E70" s="788" t="s">
        <v>924</v>
      </c>
      <c r="F70" s="664">
        <v>0</v>
      </c>
      <c r="G70" s="664">
        <v>0</v>
      </c>
      <c r="H70" s="696"/>
      <c r="I70" s="701"/>
      <c r="J70" s="701"/>
    </row>
    <row r="71" spans="1:11" x14ac:dyDescent="0.2">
      <c r="A71" s="158" t="s">
        <v>722</v>
      </c>
      <c r="B71" s="630">
        <v>3603.37</v>
      </c>
      <c r="C71" s="630">
        <v>2070.4</v>
      </c>
      <c r="E71" s="158" t="s">
        <v>208</v>
      </c>
      <c r="F71" s="630">
        <v>328680.11</v>
      </c>
      <c r="G71" s="630">
        <v>50876.28</v>
      </c>
      <c r="H71" s="696"/>
      <c r="I71" s="701"/>
      <c r="J71" s="701"/>
    </row>
    <row r="72" spans="1:11" x14ac:dyDescent="0.2">
      <c r="A72" s="158" t="s">
        <v>161</v>
      </c>
      <c r="B72" s="630">
        <v>1001.79</v>
      </c>
      <c r="C72" s="630">
        <v>99.68</v>
      </c>
      <c r="E72" s="158" t="s">
        <v>209</v>
      </c>
      <c r="F72" s="630">
        <v>637622.53</v>
      </c>
      <c r="G72" s="630">
        <v>58345.9</v>
      </c>
      <c r="H72" s="696"/>
      <c r="I72" s="701"/>
      <c r="J72" s="701"/>
    </row>
    <row r="73" spans="1:11" x14ac:dyDescent="0.2">
      <c r="A73" s="158" t="s">
        <v>928</v>
      </c>
      <c r="B73" s="630">
        <v>9924.7199999999993</v>
      </c>
      <c r="C73" s="630">
        <v>13826.59</v>
      </c>
      <c r="E73" s="158" t="s">
        <v>811</v>
      </c>
      <c r="F73" s="630">
        <v>0</v>
      </c>
      <c r="G73" s="630">
        <v>10166.64</v>
      </c>
      <c r="H73" s="696"/>
      <c r="I73" s="701"/>
      <c r="J73" s="701"/>
    </row>
    <row r="74" spans="1:11" x14ac:dyDescent="0.2">
      <c r="A74" s="107" t="s">
        <v>929</v>
      </c>
      <c r="B74" s="630">
        <v>0</v>
      </c>
      <c r="C74" s="630">
        <v>5337.84</v>
      </c>
      <c r="E74" s="788" t="s">
        <v>931</v>
      </c>
      <c r="F74" s="664">
        <v>0</v>
      </c>
      <c r="G74" s="664">
        <v>0</v>
      </c>
      <c r="H74" s="696"/>
      <c r="I74" s="701"/>
      <c r="J74" s="701"/>
    </row>
    <row r="75" spans="1:11" x14ac:dyDescent="0.2">
      <c r="A75" s="107" t="s">
        <v>162</v>
      </c>
      <c r="B75" s="630">
        <v>0</v>
      </c>
      <c r="C75" s="630">
        <v>3296.32</v>
      </c>
      <c r="D75" s="104"/>
      <c r="E75" s="158" t="s">
        <v>210</v>
      </c>
      <c r="F75" s="630">
        <v>528.48</v>
      </c>
      <c r="G75" s="630">
        <v>0</v>
      </c>
      <c r="H75" s="696"/>
      <c r="I75" s="701"/>
      <c r="J75" s="701"/>
      <c r="K75" s="696"/>
    </row>
    <row r="76" spans="1:11" x14ac:dyDescent="0.2">
      <c r="A76" s="107" t="s">
        <v>863</v>
      </c>
      <c r="B76" s="597">
        <v>18659.169999999998</v>
      </c>
      <c r="C76" s="597">
        <v>7071.72</v>
      </c>
      <c r="D76" s="104"/>
      <c r="E76" s="158" t="s">
        <v>211</v>
      </c>
      <c r="F76" s="630">
        <v>0</v>
      </c>
      <c r="G76" s="630">
        <v>0</v>
      </c>
      <c r="H76" s="701"/>
      <c r="I76" s="701"/>
      <c r="J76" s="701"/>
      <c r="K76" s="696"/>
    </row>
    <row r="77" spans="1:11" x14ac:dyDescent="0.2">
      <c r="A77" s="158" t="s">
        <v>107</v>
      </c>
      <c r="B77" s="597">
        <v>381.29</v>
      </c>
      <c r="C77" s="597">
        <v>59.84</v>
      </c>
      <c r="D77" s="104"/>
      <c r="E77" s="158" t="s">
        <v>212</v>
      </c>
      <c r="F77" s="630">
        <v>0</v>
      </c>
      <c r="G77" s="630">
        <v>19759.97</v>
      </c>
      <c r="H77" s="701"/>
      <c r="I77" s="701"/>
      <c r="J77" s="701"/>
      <c r="K77" s="696"/>
    </row>
    <row r="78" spans="1:11" x14ac:dyDescent="0.2">
      <c r="A78" s="158" t="s">
        <v>108</v>
      </c>
      <c r="B78" s="597">
        <v>1221.3499999999999</v>
      </c>
      <c r="C78" s="597">
        <v>190.34</v>
      </c>
      <c r="D78" s="21"/>
      <c r="E78" s="158" t="s">
        <v>766</v>
      </c>
      <c r="F78" s="630">
        <v>900051.01</v>
      </c>
      <c r="G78" s="630">
        <v>81597.72</v>
      </c>
      <c r="H78" s="701"/>
      <c r="I78" s="701"/>
      <c r="J78" s="701"/>
      <c r="K78" s="696"/>
    </row>
    <row r="79" spans="1:11" x14ac:dyDescent="0.2">
      <c r="A79" s="158" t="s">
        <v>109</v>
      </c>
      <c r="B79" s="597">
        <v>2092.5500000000002</v>
      </c>
      <c r="C79" s="597">
        <v>325.98</v>
      </c>
      <c r="D79" s="104"/>
      <c r="E79" s="158" t="s">
        <v>436</v>
      </c>
      <c r="F79" s="630">
        <v>36300.6</v>
      </c>
      <c r="G79" s="630">
        <v>3247.71</v>
      </c>
      <c r="H79" s="701"/>
      <c r="I79" s="701"/>
      <c r="J79" s="701"/>
      <c r="K79" s="696"/>
    </row>
    <row r="80" spans="1:11" x14ac:dyDescent="0.2">
      <c r="A80" s="158" t="s">
        <v>110</v>
      </c>
      <c r="B80" s="597">
        <v>3515.27</v>
      </c>
      <c r="C80" s="597">
        <v>547.09</v>
      </c>
      <c r="E80" s="158" t="s">
        <v>438</v>
      </c>
      <c r="F80" s="630">
        <v>20181.46</v>
      </c>
      <c r="G80" s="630">
        <v>0</v>
      </c>
      <c r="H80" s="701"/>
      <c r="I80" s="701"/>
      <c r="J80" s="701"/>
      <c r="K80" s="696"/>
    </row>
    <row r="81" spans="1:10" x14ac:dyDescent="0.2">
      <c r="A81" s="158" t="s">
        <v>111</v>
      </c>
      <c r="B81" s="597">
        <v>185.45</v>
      </c>
      <c r="C81" s="597">
        <v>29.06</v>
      </c>
      <c r="E81" s="760"/>
      <c r="H81" s="701"/>
      <c r="I81" s="701"/>
      <c r="J81" s="701"/>
    </row>
    <row r="82" spans="1:10" x14ac:dyDescent="0.2">
      <c r="A82" s="158" t="s">
        <v>112</v>
      </c>
      <c r="B82" s="597">
        <v>317.12</v>
      </c>
      <c r="C82" s="597">
        <v>43.89</v>
      </c>
      <c r="F82" s="283">
        <v>0</v>
      </c>
      <c r="G82" s="283">
        <v>0</v>
      </c>
      <c r="H82" s="701"/>
      <c r="I82" s="701"/>
      <c r="J82" s="701"/>
    </row>
    <row r="83" spans="1:10" x14ac:dyDescent="0.2">
      <c r="A83" s="158" t="s">
        <v>113</v>
      </c>
      <c r="B83" s="597">
        <v>645.61</v>
      </c>
      <c r="C83" s="597">
        <v>100.29</v>
      </c>
      <c r="F83" s="283">
        <v>0</v>
      </c>
      <c r="G83" s="283">
        <v>0</v>
      </c>
      <c r="H83" s="701"/>
      <c r="I83" s="701"/>
      <c r="J83" s="701"/>
    </row>
    <row r="84" spans="1:10" x14ac:dyDescent="0.2">
      <c r="A84" s="158" t="s">
        <v>114</v>
      </c>
      <c r="B84" s="597">
        <v>2284.92</v>
      </c>
      <c r="C84" s="597">
        <v>356.19</v>
      </c>
      <c r="F84" s="283">
        <v>0</v>
      </c>
      <c r="G84" s="283">
        <v>0</v>
      </c>
      <c r="H84" s="701"/>
      <c r="I84" s="701"/>
      <c r="J84" s="701"/>
    </row>
    <row r="85" spans="1:10" x14ac:dyDescent="0.2">
      <c r="A85" s="158" t="s">
        <v>120</v>
      </c>
      <c r="B85" s="597">
        <v>2284.92</v>
      </c>
      <c r="C85" s="597">
        <v>4923.24</v>
      </c>
      <c r="H85" s="701"/>
      <c r="I85" s="701"/>
      <c r="J85" s="701"/>
    </row>
    <row r="86" spans="1:10" x14ac:dyDescent="0.2">
      <c r="B86" s="20">
        <v>0</v>
      </c>
      <c r="C86" s="20">
        <v>0</v>
      </c>
      <c r="H86" s="701"/>
      <c r="I86" s="701"/>
      <c r="J86" s="701"/>
    </row>
    <row r="87" spans="1:10" ht="12.75" x14ac:dyDescent="0.2">
      <c r="E87" s="160"/>
      <c r="F87" s="284"/>
      <c r="G87" s="284"/>
      <c r="H87" s="701"/>
    </row>
    <row r="88" spans="1:10" ht="12.75" x14ac:dyDescent="0.2">
      <c r="E88" s="160"/>
      <c r="F88" s="284"/>
      <c r="G88" s="284"/>
      <c r="H88" s="701"/>
    </row>
    <row r="89" spans="1:10" ht="12.75" x14ac:dyDescent="0.2">
      <c r="B89" s="361"/>
      <c r="C89" s="361"/>
      <c r="E89" s="160"/>
      <c r="F89" s="284"/>
      <c r="G89" s="284"/>
      <c r="H89" s="697"/>
    </row>
    <row r="90" spans="1:10" ht="12.75" x14ac:dyDescent="0.2">
      <c r="B90" s="361"/>
      <c r="C90" s="361"/>
      <c r="E90" s="20"/>
      <c r="F90" s="113"/>
      <c r="G90" s="113"/>
      <c r="H90" s="697"/>
    </row>
    <row r="91" spans="1:10" ht="12.75" x14ac:dyDescent="0.2">
      <c r="B91" s="361"/>
      <c r="C91" s="361"/>
      <c r="E91" s="20"/>
      <c r="F91" s="113"/>
      <c r="G91" s="113"/>
      <c r="H91" s="697"/>
    </row>
    <row r="92" spans="1:10" ht="12.75" x14ac:dyDescent="0.2">
      <c r="B92" s="361"/>
      <c r="C92" s="361"/>
      <c r="E92" s="160"/>
      <c r="F92" s="361"/>
      <c r="G92" s="361"/>
      <c r="H92" s="697"/>
    </row>
    <row r="93" spans="1:10" ht="12.75" x14ac:dyDescent="0.2">
      <c r="B93" s="361"/>
      <c r="C93" s="361"/>
      <c r="E93" s="160"/>
      <c r="F93" s="361"/>
      <c r="G93" s="361"/>
      <c r="H93" s="697"/>
    </row>
    <row r="94" spans="1:10" ht="12.75" x14ac:dyDescent="0.2">
      <c r="B94" s="361"/>
      <c r="C94" s="361"/>
      <c r="E94" s="160"/>
      <c r="F94" s="361"/>
      <c r="G94" s="361"/>
      <c r="H94" s="697"/>
    </row>
    <row r="95" spans="1:10" ht="12.75" x14ac:dyDescent="0.2">
      <c r="B95" s="361"/>
      <c r="C95" s="361"/>
      <c r="E95" s="160"/>
      <c r="F95" s="361"/>
      <c r="G95" s="361"/>
      <c r="H95" s="697"/>
    </row>
    <row r="96" spans="1:10" ht="12.75" x14ac:dyDescent="0.2">
      <c r="B96" s="361"/>
      <c r="C96" s="361"/>
      <c r="E96" s="160"/>
      <c r="F96" s="361"/>
      <c r="G96" s="361"/>
      <c r="H96" s="697"/>
    </row>
    <row r="97" spans="2:8" ht="12.75" x14ac:dyDescent="0.2">
      <c r="B97" s="361"/>
      <c r="C97" s="361"/>
      <c r="E97" s="160"/>
      <c r="F97" s="361"/>
      <c r="G97" s="361"/>
      <c r="H97" s="697"/>
    </row>
    <row r="98" spans="2:8" ht="12.75" x14ac:dyDescent="0.2">
      <c r="B98" s="361"/>
      <c r="C98" s="361"/>
      <c r="E98" s="160"/>
      <c r="F98" s="361"/>
      <c r="G98" s="361"/>
      <c r="H98" s="697"/>
    </row>
    <row r="99" spans="2:8" ht="12.75" x14ac:dyDescent="0.2">
      <c r="B99" s="361"/>
      <c r="C99" s="361"/>
      <c r="E99" s="160"/>
      <c r="F99" s="361"/>
      <c r="G99" s="361"/>
      <c r="H99" s="697"/>
    </row>
    <row r="100" spans="2:8" ht="12.75" x14ac:dyDescent="0.2">
      <c r="B100" s="361"/>
      <c r="C100" s="361"/>
      <c r="E100" s="160"/>
      <c r="F100" s="361"/>
      <c r="G100" s="361"/>
      <c r="H100" s="700"/>
    </row>
    <row r="101" spans="2:8" ht="12.75" x14ac:dyDescent="0.2">
      <c r="B101" s="361"/>
      <c r="C101" s="361"/>
      <c r="E101" s="160"/>
      <c r="F101" s="361"/>
      <c r="G101" s="361"/>
      <c r="H101" s="699"/>
    </row>
    <row r="102" spans="2:8" ht="12.75" x14ac:dyDescent="0.2">
      <c r="B102" s="361"/>
      <c r="C102" s="361"/>
      <c r="E102" s="160"/>
      <c r="F102" s="361"/>
      <c r="G102" s="361"/>
      <c r="H102" s="699"/>
    </row>
    <row r="103" spans="2:8" ht="12.75" x14ac:dyDescent="0.2">
      <c r="B103" s="361"/>
      <c r="C103" s="361"/>
      <c r="E103" s="160"/>
      <c r="F103" s="361"/>
      <c r="G103" s="361"/>
      <c r="H103" s="699"/>
    </row>
    <row r="104" spans="2:8" ht="12.75" x14ac:dyDescent="0.2">
      <c r="B104" s="361"/>
      <c r="C104" s="361"/>
      <c r="E104" s="160"/>
      <c r="F104" s="361"/>
      <c r="G104" s="361"/>
      <c r="H104" s="699"/>
    </row>
    <row r="105" spans="2:8" ht="12.75" x14ac:dyDescent="0.2">
      <c r="B105" s="361"/>
      <c r="C105" s="361"/>
      <c r="E105" s="160"/>
      <c r="F105" s="361"/>
      <c r="G105" s="361"/>
      <c r="H105" s="699"/>
    </row>
    <row r="106" spans="2:8" ht="12.75" x14ac:dyDescent="0.2">
      <c r="B106" s="361"/>
      <c r="C106" s="361"/>
      <c r="E106" s="160"/>
      <c r="F106" s="361"/>
      <c r="G106" s="361"/>
      <c r="H106" s="699"/>
    </row>
    <row r="107" spans="2:8" ht="12.75" x14ac:dyDescent="0.2">
      <c r="B107" s="361"/>
      <c r="C107" s="361"/>
      <c r="E107" s="160"/>
      <c r="F107" s="361"/>
      <c r="G107" s="361"/>
      <c r="H107" s="699"/>
    </row>
    <row r="108" spans="2:8" ht="12.75" x14ac:dyDescent="0.2">
      <c r="B108" s="361"/>
      <c r="C108" s="361"/>
      <c r="E108" s="160"/>
      <c r="F108" s="361"/>
      <c r="G108" s="361"/>
      <c r="H108" s="699"/>
    </row>
    <row r="109" spans="2:8" ht="12.75" x14ac:dyDescent="0.2">
      <c r="B109" s="361"/>
      <c r="C109" s="361"/>
      <c r="E109" s="160"/>
      <c r="F109" s="361"/>
      <c r="G109" s="361"/>
      <c r="H109" s="699"/>
    </row>
    <row r="110" spans="2:8" ht="12.75" x14ac:dyDescent="0.2">
      <c r="B110" s="361"/>
      <c r="C110" s="361"/>
      <c r="E110" s="160"/>
      <c r="F110" s="361"/>
      <c r="G110" s="361"/>
      <c r="H110" s="699"/>
    </row>
    <row r="111" spans="2:8" ht="12.75" x14ac:dyDescent="0.2">
      <c r="B111" s="361"/>
      <c r="C111" s="361"/>
      <c r="E111" s="160"/>
      <c r="F111" s="361"/>
      <c r="G111" s="361"/>
      <c r="H111" s="699"/>
    </row>
    <row r="112" spans="2:8" ht="12.75" x14ac:dyDescent="0.2">
      <c r="B112" s="361"/>
      <c r="C112" s="361"/>
      <c r="E112" s="160"/>
      <c r="F112" s="361"/>
      <c r="G112" s="361"/>
      <c r="H112" s="699"/>
    </row>
    <row r="113" spans="2:8" ht="12.75" x14ac:dyDescent="0.2">
      <c r="B113" s="361"/>
      <c r="C113" s="361"/>
      <c r="E113" s="160"/>
      <c r="F113" s="361"/>
      <c r="G113" s="361"/>
      <c r="H113" s="699"/>
    </row>
    <row r="114" spans="2:8" ht="12.75" x14ac:dyDescent="0.2">
      <c r="B114" s="361"/>
      <c r="C114" s="361"/>
      <c r="E114" s="160"/>
      <c r="F114" s="361"/>
      <c r="G114" s="361"/>
      <c r="H114" s="699"/>
    </row>
    <row r="115" spans="2:8" ht="12.75" x14ac:dyDescent="0.2">
      <c r="B115" s="361"/>
      <c r="C115" s="361"/>
      <c r="E115" s="160"/>
      <c r="F115" s="361"/>
      <c r="G115" s="361"/>
      <c r="H115" s="699"/>
    </row>
    <row r="116" spans="2:8" ht="12.75" x14ac:dyDescent="0.2">
      <c r="B116" s="361"/>
      <c r="C116" s="361"/>
      <c r="E116" s="160"/>
      <c r="F116" s="361"/>
      <c r="G116" s="361"/>
      <c r="H116" s="699"/>
    </row>
    <row r="117" spans="2:8" ht="12.75" x14ac:dyDescent="0.2">
      <c r="B117" s="361"/>
      <c r="C117" s="361"/>
      <c r="E117" s="160"/>
      <c r="F117" s="361"/>
      <c r="G117" s="361"/>
      <c r="H117" s="699"/>
    </row>
    <row r="118" spans="2:8" ht="12.75" x14ac:dyDescent="0.2">
      <c r="B118" s="361"/>
      <c r="C118" s="361"/>
      <c r="E118" s="160"/>
      <c r="F118" s="361"/>
      <c r="G118" s="361"/>
      <c r="H118" s="700"/>
    </row>
    <row r="119" spans="2:8" ht="12.75" x14ac:dyDescent="0.2">
      <c r="B119" s="361"/>
      <c r="C119" s="361"/>
      <c r="E119" s="160"/>
      <c r="F119" s="361"/>
      <c r="G119" s="361"/>
      <c r="H119" s="700"/>
    </row>
    <row r="120" spans="2:8" ht="12.75" x14ac:dyDescent="0.2">
      <c r="B120" s="361"/>
      <c r="C120" s="361"/>
      <c r="E120" s="160"/>
      <c r="F120" s="361"/>
      <c r="G120" s="361"/>
      <c r="H120" s="700"/>
    </row>
    <row r="121" spans="2:8" ht="12.75" x14ac:dyDescent="0.2">
      <c r="B121" s="361"/>
      <c r="C121" s="361"/>
      <c r="E121" s="160"/>
      <c r="F121" s="361"/>
      <c r="G121" s="361"/>
      <c r="H121" s="700"/>
    </row>
    <row r="122" spans="2:8" ht="12.75" x14ac:dyDescent="0.2">
      <c r="B122" s="361"/>
      <c r="C122" s="361"/>
      <c r="E122" s="160"/>
      <c r="F122" s="361"/>
      <c r="G122" s="361"/>
      <c r="H122" s="700"/>
    </row>
    <row r="123" spans="2:8" ht="12.75" x14ac:dyDescent="0.2">
      <c r="B123" s="361"/>
      <c r="C123" s="361"/>
      <c r="E123" s="160"/>
      <c r="F123" s="361"/>
      <c r="G123" s="361"/>
      <c r="H123" s="700"/>
    </row>
    <row r="124" spans="2:8" ht="12.75" x14ac:dyDescent="0.2">
      <c r="B124" s="361"/>
      <c r="C124" s="361"/>
      <c r="E124" s="160"/>
      <c r="F124" s="361"/>
      <c r="G124" s="361"/>
      <c r="H124" s="700"/>
    </row>
    <row r="125" spans="2:8" ht="12.75" x14ac:dyDescent="0.2">
      <c r="B125" s="361"/>
      <c r="C125" s="361"/>
      <c r="E125" s="160"/>
      <c r="F125" s="361"/>
      <c r="G125" s="361"/>
      <c r="H125" s="700"/>
    </row>
    <row r="126" spans="2:8" ht="12.75" x14ac:dyDescent="0.2">
      <c r="B126" s="361"/>
      <c r="C126" s="361"/>
      <c r="E126" s="160"/>
      <c r="F126" s="361"/>
      <c r="G126" s="361"/>
      <c r="H126" s="700"/>
    </row>
    <row r="127" spans="2:8" ht="12.75" x14ac:dyDescent="0.2">
      <c r="B127" s="361"/>
      <c r="C127" s="361"/>
      <c r="E127" s="160"/>
      <c r="F127" s="361"/>
      <c r="G127" s="361"/>
      <c r="H127" s="700"/>
    </row>
    <row r="128" spans="2:8" ht="12.75" x14ac:dyDescent="0.2">
      <c r="B128" s="361"/>
      <c r="C128" s="361"/>
      <c r="E128" s="160"/>
      <c r="F128" s="361"/>
      <c r="G128" s="361"/>
      <c r="H128" s="700"/>
    </row>
    <row r="129" spans="2:8" ht="12.75" x14ac:dyDescent="0.2">
      <c r="B129" s="361"/>
      <c r="C129" s="361"/>
      <c r="E129" s="160"/>
      <c r="F129" s="361"/>
      <c r="G129" s="361"/>
      <c r="H129" s="700"/>
    </row>
    <row r="130" spans="2:8" ht="12.75" x14ac:dyDescent="0.2">
      <c r="B130" s="361"/>
      <c r="C130" s="361"/>
      <c r="E130" s="160"/>
      <c r="F130" s="361"/>
      <c r="G130" s="361"/>
      <c r="H130" s="700"/>
    </row>
    <row r="131" spans="2:8" ht="12.75" x14ac:dyDescent="0.2">
      <c r="B131" s="361"/>
      <c r="C131" s="361"/>
      <c r="E131" s="160"/>
      <c r="F131" s="361"/>
      <c r="G131" s="361"/>
      <c r="H131" s="700"/>
    </row>
    <row r="132" spans="2:8" ht="12.75" x14ac:dyDescent="0.2">
      <c r="B132" s="361"/>
      <c r="C132" s="361"/>
      <c r="E132" s="160"/>
      <c r="F132" s="361"/>
      <c r="G132" s="361"/>
      <c r="H132" s="700"/>
    </row>
    <row r="133" spans="2:8" ht="12.75" x14ac:dyDescent="0.2">
      <c r="B133" s="361"/>
      <c r="C133" s="361"/>
      <c r="E133" s="160"/>
      <c r="F133" s="361"/>
      <c r="G133" s="361"/>
      <c r="H133" s="700"/>
    </row>
    <row r="134" spans="2:8" ht="12.75" x14ac:dyDescent="0.2">
      <c r="B134" s="361"/>
      <c r="C134" s="361"/>
      <c r="E134" s="160"/>
      <c r="F134" s="361"/>
      <c r="G134" s="361"/>
      <c r="H134" s="700"/>
    </row>
    <row r="135" spans="2:8" ht="12.75" x14ac:dyDescent="0.2">
      <c r="B135" s="361"/>
      <c r="C135" s="361"/>
      <c r="E135" s="160"/>
      <c r="F135" s="361"/>
      <c r="G135" s="361"/>
      <c r="H135" s="700"/>
    </row>
    <row r="136" spans="2:8" ht="12.75" x14ac:dyDescent="0.2">
      <c r="B136" s="361"/>
      <c r="C136" s="361"/>
      <c r="E136" s="160"/>
      <c r="F136" s="361"/>
      <c r="G136" s="361"/>
      <c r="H136" s="700"/>
    </row>
    <row r="137" spans="2:8" ht="12.75" x14ac:dyDescent="0.2">
      <c r="B137" s="361"/>
      <c r="C137" s="361"/>
      <c r="E137" s="160"/>
      <c r="F137" s="361"/>
      <c r="G137" s="361"/>
      <c r="H137" s="700"/>
    </row>
    <row r="138" spans="2:8" ht="12.75" x14ac:dyDescent="0.2">
      <c r="B138" s="361"/>
      <c r="C138" s="361"/>
      <c r="E138" s="160"/>
      <c r="F138" s="361"/>
      <c r="G138" s="361"/>
      <c r="H138" s="700"/>
    </row>
    <row r="139" spans="2:8" ht="12.75" x14ac:dyDescent="0.2">
      <c r="B139" s="361"/>
      <c r="C139" s="361"/>
      <c r="E139" s="160"/>
      <c r="F139" s="361"/>
      <c r="G139" s="361"/>
      <c r="H139" s="700"/>
    </row>
    <row r="140" spans="2:8" ht="12.75" x14ac:dyDescent="0.2">
      <c r="B140" s="361"/>
      <c r="C140" s="361"/>
      <c r="E140" s="160"/>
      <c r="F140" s="361"/>
      <c r="G140" s="361"/>
      <c r="H140" s="700"/>
    </row>
    <row r="141" spans="2:8" ht="12.75" x14ac:dyDescent="0.2">
      <c r="B141" s="361"/>
      <c r="C141" s="361"/>
      <c r="E141" s="160"/>
      <c r="F141" s="361"/>
      <c r="G141" s="361"/>
      <c r="H141" s="700"/>
    </row>
    <row r="142" spans="2:8" ht="12.75" x14ac:dyDescent="0.2">
      <c r="B142" s="361"/>
      <c r="C142" s="361"/>
      <c r="E142" s="160"/>
      <c r="F142" s="361"/>
      <c r="G142" s="361"/>
      <c r="H142" s="700"/>
    </row>
    <row r="143" spans="2:8" ht="12.75" x14ac:dyDescent="0.2">
      <c r="B143" s="361"/>
      <c r="C143" s="361"/>
      <c r="E143" s="160"/>
      <c r="F143" s="361"/>
      <c r="G143" s="361"/>
      <c r="H143" s="700"/>
    </row>
    <row r="144" spans="2:8" ht="12.75" x14ac:dyDescent="0.2">
      <c r="B144" s="361"/>
      <c r="C144" s="361"/>
      <c r="E144" s="160"/>
      <c r="F144" s="361"/>
      <c r="G144" s="361"/>
      <c r="H144" s="700"/>
    </row>
    <row r="145" spans="2:8" ht="12.75" x14ac:dyDescent="0.2">
      <c r="B145" s="361"/>
      <c r="C145" s="361"/>
      <c r="E145" s="160"/>
      <c r="F145" s="361"/>
      <c r="G145" s="361"/>
      <c r="H145" s="700"/>
    </row>
    <row r="146" spans="2:8" ht="12.75" x14ac:dyDescent="0.2">
      <c r="B146" s="361"/>
      <c r="C146" s="361"/>
      <c r="E146" s="160"/>
      <c r="F146" s="361"/>
      <c r="G146" s="361"/>
      <c r="H146" s="700"/>
    </row>
    <row r="147" spans="2:8" ht="12.75" x14ac:dyDescent="0.2">
      <c r="B147" s="361"/>
      <c r="C147" s="361"/>
      <c r="E147" s="160"/>
      <c r="F147" s="361"/>
      <c r="G147" s="361"/>
      <c r="H147" s="700"/>
    </row>
    <row r="148" spans="2:8" ht="12.75" x14ac:dyDescent="0.2">
      <c r="B148" s="361"/>
      <c r="C148" s="361"/>
      <c r="E148" s="160"/>
      <c r="F148" s="361"/>
      <c r="G148" s="361"/>
      <c r="H148" s="700"/>
    </row>
    <row r="149" spans="2:8" ht="12.75" x14ac:dyDescent="0.2">
      <c r="B149" s="361"/>
      <c r="C149" s="361"/>
      <c r="E149" s="160"/>
      <c r="F149" s="361"/>
      <c r="G149" s="361"/>
      <c r="H149" s="700"/>
    </row>
    <row r="150" spans="2:8" ht="12.75" x14ac:dyDescent="0.2">
      <c r="B150" s="361"/>
      <c r="C150" s="361"/>
      <c r="E150" s="160"/>
      <c r="F150" s="361"/>
      <c r="G150" s="361"/>
      <c r="H150" s="700"/>
    </row>
    <row r="151" spans="2:8" ht="12.75" x14ac:dyDescent="0.2">
      <c r="B151" s="361"/>
      <c r="C151" s="361"/>
      <c r="E151" s="160"/>
      <c r="F151" s="361"/>
      <c r="G151" s="361"/>
      <c r="H151" s="700"/>
    </row>
    <row r="152" spans="2:8" ht="12.75" x14ac:dyDescent="0.2">
      <c r="B152" s="361"/>
      <c r="C152" s="361"/>
      <c r="E152" s="160"/>
      <c r="F152" s="361"/>
      <c r="G152" s="361"/>
      <c r="H152" s="700"/>
    </row>
    <row r="153" spans="2:8" ht="12.75" x14ac:dyDescent="0.2">
      <c r="B153" s="361"/>
      <c r="C153" s="361"/>
      <c r="E153" s="160"/>
      <c r="F153" s="361"/>
      <c r="G153" s="361"/>
      <c r="H153" s="700"/>
    </row>
    <row r="154" spans="2:8" ht="12.75" x14ac:dyDescent="0.2">
      <c r="B154" s="361"/>
      <c r="C154" s="361"/>
      <c r="E154" s="160"/>
      <c r="F154" s="361"/>
      <c r="G154" s="361"/>
      <c r="H154" s="700"/>
    </row>
    <row r="155" spans="2:8" ht="12.75" x14ac:dyDescent="0.2">
      <c r="B155" s="361"/>
      <c r="C155" s="361"/>
      <c r="E155" s="160"/>
      <c r="F155" s="361"/>
      <c r="G155" s="361"/>
      <c r="H155" s="700"/>
    </row>
    <row r="156" spans="2:8" ht="12.75" x14ac:dyDescent="0.2">
      <c r="B156" s="361"/>
      <c r="C156" s="361"/>
      <c r="E156" s="160"/>
      <c r="F156" s="361"/>
      <c r="G156" s="361"/>
    </row>
    <row r="157" spans="2:8" ht="12.75" x14ac:dyDescent="0.2">
      <c r="B157" s="361"/>
      <c r="C157" s="361"/>
      <c r="E157" s="160"/>
      <c r="F157" s="361"/>
      <c r="G157" s="361"/>
    </row>
    <row r="158" spans="2:8" x14ac:dyDescent="0.2">
      <c r="B158" s="361"/>
      <c r="C158" s="361"/>
    </row>
    <row r="159" spans="2:8" x14ac:dyDescent="0.2">
      <c r="B159" s="361"/>
      <c r="C159" s="361"/>
    </row>
    <row r="160" spans="2:8" x14ac:dyDescent="0.2">
      <c r="B160" s="361"/>
      <c r="C160" s="361"/>
    </row>
    <row r="161" spans="2:3" x14ac:dyDescent="0.2">
      <c r="B161" s="361"/>
      <c r="C161" s="361"/>
    </row>
    <row r="162" spans="2:3" x14ac:dyDescent="0.2">
      <c r="B162" s="361"/>
      <c r="C162" s="361"/>
    </row>
    <row r="163" spans="2:3" x14ac:dyDescent="0.2">
      <c r="B163" s="361"/>
      <c r="C163" s="361"/>
    </row>
    <row r="164" spans="2:3" x14ac:dyDescent="0.2">
      <c r="B164" s="361"/>
      <c r="C164" s="361"/>
    </row>
    <row r="165" spans="2:3" x14ac:dyDescent="0.2">
      <c r="B165" s="361"/>
      <c r="C165" s="361"/>
    </row>
    <row r="166" spans="2:3" x14ac:dyDescent="0.2">
      <c r="B166" s="361"/>
      <c r="C166" s="361"/>
    </row>
    <row r="167" spans="2:3" x14ac:dyDescent="0.2">
      <c r="B167" s="361"/>
      <c r="C167" s="361"/>
    </row>
    <row r="168" spans="2:3" x14ac:dyDescent="0.2">
      <c r="B168" s="361"/>
      <c r="C168" s="361"/>
    </row>
    <row r="169" spans="2:3" x14ac:dyDescent="0.2">
      <c r="B169" s="361"/>
      <c r="C169" s="361"/>
    </row>
    <row r="170" spans="2:3" x14ac:dyDescent="0.2">
      <c r="B170" s="361"/>
      <c r="C170" s="361"/>
    </row>
    <row r="171" spans="2:3" x14ac:dyDescent="0.2">
      <c r="B171" s="361"/>
      <c r="C171" s="361"/>
    </row>
    <row r="172" spans="2:3" x14ac:dyDescent="0.2">
      <c r="B172" s="361"/>
      <c r="C172" s="361"/>
    </row>
    <row r="173" spans="2:3" x14ac:dyDescent="0.2">
      <c r="B173" s="361"/>
      <c r="C173" s="361"/>
    </row>
    <row r="174" spans="2:3" x14ac:dyDescent="0.2">
      <c r="B174" s="361"/>
      <c r="C174" s="361"/>
    </row>
    <row r="175" spans="2:3" x14ac:dyDescent="0.2">
      <c r="B175" s="361"/>
      <c r="C175" s="361"/>
    </row>
    <row r="176" spans="2:3" x14ac:dyDescent="0.2">
      <c r="B176" s="361"/>
      <c r="C176" s="361"/>
    </row>
    <row r="177" spans="2:3" x14ac:dyDescent="0.2">
      <c r="B177" s="361"/>
      <c r="C177" s="361"/>
    </row>
    <row r="178" spans="2:3" x14ac:dyDescent="0.2">
      <c r="B178" s="361"/>
      <c r="C178" s="361"/>
    </row>
    <row r="179" spans="2:3" x14ac:dyDescent="0.2">
      <c r="B179" s="361"/>
      <c r="C179" s="361"/>
    </row>
    <row r="180" spans="2:3" x14ac:dyDescent="0.2">
      <c r="B180" s="361"/>
      <c r="C180" s="361"/>
    </row>
    <row r="181" spans="2:3" x14ac:dyDescent="0.2">
      <c r="B181" s="361"/>
      <c r="C181" s="361"/>
    </row>
    <row r="182" spans="2:3" x14ac:dyDescent="0.2">
      <c r="B182" s="361"/>
      <c r="C182" s="361"/>
    </row>
    <row r="183" spans="2:3" x14ac:dyDescent="0.2">
      <c r="B183" s="361"/>
      <c r="C183" s="361"/>
    </row>
    <row r="184" spans="2:3" x14ac:dyDescent="0.2">
      <c r="B184" s="361"/>
      <c r="C184" s="361"/>
    </row>
    <row r="185" spans="2:3" x14ac:dyDescent="0.2">
      <c r="B185" s="361"/>
      <c r="C185" s="361"/>
    </row>
    <row r="186" spans="2:3" x14ac:dyDescent="0.2">
      <c r="B186" s="361"/>
      <c r="C186" s="361"/>
    </row>
    <row r="187" spans="2:3" x14ac:dyDescent="0.2">
      <c r="B187" s="361"/>
      <c r="C187" s="361"/>
    </row>
    <row r="188" spans="2:3" x14ac:dyDescent="0.2">
      <c r="B188" s="361"/>
      <c r="C188" s="361"/>
    </row>
    <row r="189" spans="2:3" x14ac:dyDescent="0.2">
      <c r="B189" s="361"/>
      <c r="C189" s="361"/>
    </row>
    <row r="190" spans="2:3" x14ac:dyDescent="0.2">
      <c r="B190" s="361"/>
      <c r="C190" s="361"/>
    </row>
    <row r="191" spans="2:3" x14ac:dyDescent="0.2">
      <c r="B191" s="361"/>
      <c r="C191" s="361"/>
    </row>
    <row r="192" spans="2:3" x14ac:dyDescent="0.2">
      <c r="B192" s="361"/>
      <c r="C192" s="361"/>
    </row>
    <row r="193" spans="2:3" x14ac:dyDescent="0.2">
      <c r="B193" s="361"/>
      <c r="C193" s="361"/>
    </row>
    <row r="194" spans="2:3" x14ac:dyDescent="0.2">
      <c r="B194" s="361"/>
      <c r="C194" s="361"/>
    </row>
    <row r="195" spans="2:3" x14ac:dyDescent="0.2">
      <c r="B195" s="361"/>
      <c r="C195" s="361"/>
    </row>
    <row r="196" spans="2:3" x14ac:dyDescent="0.2">
      <c r="B196" s="361"/>
      <c r="C196" s="361"/>
    </row>
    <row r="197" spans="2:3" x14ac:dyDescent="0.2">
      <c r="B197" s="361"/>
      <c r="C197" s="361"/>
    </row>
    <row r="198" spans="2:3" x14ac:dyDescent="0.2">
      <c r="B198" s="361"/>
      <c r="C198" s="361"/>
    </row>
    <row r="199" spans="2:3" x14ac:dyDescent="0.2">
      <c r="B199" s="361"/>
      <c r="C199" s="361"/>
    </row>
    <row r="200" spans="2:3" x14ac:dyDescent="0.2">
      <c r="B200" s="361"/>
      <c r="C200" s="361"/>
    </row>
    <row r="201" spans="2:3" x14ac:dyDescent="0.2">
      <c r="B201" s="361"/>
      <c r="C201" s="361"/>
    </row>
    <row r="202" spans="2:3" x14ac:dyDescent="0.2">
      <c r="B202" s="361"/>
      <c r="C202" s="361"/>
    </row>
    <row r="203" spans="2:3" x14ac:dyDescent="0.2">
      <c r="B203" s="361"/>
      <c r="C203" s="361"/>
    </row>
    <row r="204" spans="2:3" x14ac:dyDescent="0.2">
      <c r="B204" s="361"/>
      <c r="C204" s="361"/>
    </row>
    <row r="205" spans="2:3" x14ac:dyDescent="0.2">
      <c r="B205" s="361"/>
      <c r="C205" s="361"/>
    </row>
    <row r="206" spans="2:3" x14ac:dyDescent="0.2">
      <c r="B206" s="361"/>
      <c r="C206" s="361"/>
    </row>
    <row r="207" spans="2:3" x14ac:dyDescent="0.2">
      <c r="B207" s="361"/>
      <c r="C207" s="361"/>
    </row>
    <row r="208" spans="2:3" x14ac:dyDescent="0.2">
      <c r="B208" s="361"/>
      <c r="C208" s="361"/>
    </row>
    <row r="209" spans="2:3" x14ac:dyDescent="0.2">
      <c r="B209" s="361"/>
      <c r="C209" s="361"/>
    </row>
    <row r="210" spans="2:3" x14ac:dyDescent="0.2">
      <c r="B210" s="361"/>
      <c r="C210" s="361"/>
    </row>
    <row r="211" spans="2:3" x14ac:dyDescent="0.2">
      <c r="B211" s="361"/>
      <c r="C211" s="361"/>
    </row>
    <row r="212" spans="2:3" x14ac:dyDescent="0.2">
      <c r="B212" s="361"/>
      <c r="C212" s="361"/>
    </row>
    <row r="213" spans="2:3" x14ac:dyDescent="0.2">
      <c r="B213" s="361"/>
      <c r="C213" s="361"/>
    </row>
    <row r="214" spans="2:3" x14ac:dyDescent="0.2">
      <c r="B214" s="361"/>
      <c r="C214" s="361"/>
    </row>
    <row r="215" spans="2:3" x14ac:dyDescent="0.2">
      <c r="B215" s="361"/>
      <c r="C215" s="361"/>
    </row>
    <row r="216" spans="2:3" x14ac:dyDescent="0.2">
      <c r="B216" s="361"/>
      <c r="C216" s="361"/>
    </row>
    <row r="217" spans="2:3" x14ac:dyDescent="0.2">
      <c r="B217" s="361"/>
      <c r="C217" s="361"/>
    </row>
    <row r="218" spans="2:3" x14ac:dyDescent="0.2">
      <c r="B218" s="361"/>
      <c r="C218" s="361"/>
    </row>
    <row r="219" spans="2:3" x14ac:dyDescent="0.2">
      <c r="B219" s="361"/>
      <c r="C219" s="361"/>
    </row>
    <row r="220" spans="2:3" x14ac:dyDescent="0.2">
      <c r="B220" s="361"/>
      <c r="C220" s="361"/>
    </row>
    <row r="221" spans="2:3" x14ac:dyDescent="0.2">
      <c r="B221" s="361"/>
      <c r="C221" s="361"/>
    </row>
    <row r="222" spans="2:3" x14ac:dyDescent="0.2">
      <c r="B222" s="361"/>
      <c r="C222" s="361"/>
    </row>
    <row r="223" spans="2:3" x14ac:dyDescent="0.2">
      <c r="B223" s="361"/>
      <c r="C223" s="361"/>
    </row>
    <row r="224" spans="2:3" x14ac:dyDescent="0.2">
      <c r="B224" s="361"/>
      <c r="C224" s="361"/>
    </row>
    <row r="225" spans="2:3" x14ac:dyDescent="0.2">
      <c r="B225" s="361"/>
      <c r="C225" s="361"/>
    </row>
    <row r="226" spans="2:3" x14ac:dyDescent="0.2">
      <c r="B226" s="361"/>
      <c r="C226" s="361"/>
    </row>
    <row r="227" spans="2:3" x14ac:dyDescent="0.2">
      <c r="B227" s="361"/>
      <c r="C227" s="361"/>
    </row>
    <row r="228" spans="2:3" x14ac:dyDescent="0.2">
      <c r="B228" s="361"/>
      <c r="C228" s="361"/>
    </row>
    <row r="229" spans="2:3" x14ac:dyDescent="0.2">
      <c r="B229" s="361"/>
      <c r="C229" s="361"/>
    </row>
    <row r="230" spans="2:3" x14ac:dyDescent="0.2">
      <c r="B230" s="361"/>
      <c r="C230" s="361"/>
    </row>
    <row r="231" spans="2:3" x14ac:dyDescent="0.2">
      <c r="B231" s="361"/>
      <c r="C231" s="361"/>
    </row>
    <row r="232" spans="2:3" x14ac:dyDescent="0.2">
      <c r="B232" s="361"/>
      <c r="C232" s="361"/>
    </row>
    <row r="233" spans="2:3" x14ac:dyDescent="0.2">
      <c r="B233" s="361"/>
      <c r="C233" s="361"/>
    </row>
    <row r="234" spans="2:3" x14ac:dyDescent="0.2">
      <c r="B234" s="361"/>
      <c r="C234" s="361"/>
    </row>
    <row r="235" spans="2:3" x14ac:dyDescent="0.2">
      <c r="B235" s="361"/>
      <c r="C235" s="361"/>
    </row>
    <row r="236" spans="2:3" x14ac:dyDescent="0.2">
      <c r="B236" s="361"/>
      <c r="C236" s="361"/>
    </row>
    <row r="237" spans="2:3" x14ac:dyDescent="0.2">
      <c r="B237" s="361"/>
      <c r="C237" s="361"/>
    </row>
    <row r="238" spans="2:3" x14ac:dyDescent="0.2">
      <c r="B238" s="361"/>
      <c r="C238" s="361"/>
    </row>
    <row r="239" spans="2:3" x14ac:dyDescent="0.2">
      <c r="B239" s="361"/>
      <c r="C239" s="361"/>
    </row>
    <row r="240" spans="2:3" x14ac:dyDescent="0.2">
      <c r="B240" s="361"/>
      <c r="C240" s="361"/>
    </row>
    <row r="241" spans="2:3" x14ac:dyDescent="0.2">
      <c r="B241" s="361"/>
      <c r="C241" s="361"/>
    </row>
    <row r="242" spans="2:3" x14ac:dyDescent="0.2">
      <c r="B242" s="361"/>
      <c r="C242" s="361"/>
    </row>
    <row r="243" spans="2:3" x14ac:dyDescent="0.2">
      <c r="B243" s="361"/>
      <c r="C243" s="361"/>
    </row>
    <row r="244" spans="2:3" x14ac:dyDescent="0.2">
      <c r="B244" s="361"/>
      <c r="C244" s="361"/>
    </row>
    <row r="245" spans="2:3" x14ac:dyDescent="0.2">
      <c r="B245" s="361"/>
      <c r="C245" s="361"/>
    </row>
    <row r="246" spans="2:3" x14ac:dyDescent="0.2">
      <c r="B246" s="361"/>
      <c r="C246" s="361"/>
    </row>
    <row r="247" spans="2:3" x14ac:dyDescent="0.2">
      <c r="B247" s="361"/>
      <c r="C247" s="361"/>
    </row>
    <row r="248" spans="2:3" x14ac:dyDescent="0.2">
      <c r="B248" s="361"/>
      <c r="C248" s="361"/>
    </row>
    <row r="249" spans="2:3" x14ac:dyDescent="0.2">
      <c r="B249" s="361"/>
      <c r="C249" s="361"/>
    </row>
    <row r="250" spans="2:3" x14ac:dyDescent="0.2">
      <c r="B250" s="361"/>
      <c r="C250" s="361"/>
    </row>
    <row r="251" spans="2:3" x14ac:dyDescent="0.2">
      <c r="B251" s="361"/>
      <c r="C251" s="361"/>
    </row>
    <row r="252" spans="2:3" x14ac:dyDescent="0.2">
      <c r="B252" s="361"/>
      <c r="C252" s="361"/>
    </row>
    <row r="253" spans="2:3" x14ac:dyDescent="0.2">
      <c r="B253" s="361"/>
      <c r="C253" s="361"/>
    </row>
    <row r="254" spans="2:3" x14ac:dyDescent="0.2">
      <c r="B254" s="361"/>
      <c r="C254" s="361"/>
    </row>
    <row r="255" spans="2:3" x14ac:dyDescent="0.2">
      <c r="B255" s="361"/>
      <c r="C255" s="361"/>
    </row>
    <row r="256" spans="2:3" x14ac:dyDescent="0.2">
      <c r="B256" s="361"/>
      <c r="C256" s="361"/>
    </row>
    <row r="257" spans="2:3" x14ac:dyDescent="0.2">
      <c r="B257" s="361"/>
      <c r="C257" s="361"/>
    </row>
    <row r="258" spans="2:3" x14ac:dyDescent="0.2">
      <c r="B258" s="361"/>
      <c r="C258" s="361"/>
    </row>
    <row r="259" spans="2:3" x14ac:dyDescent="0.2">
      <c r="B259" s="361"/>
      <c r="C259" s="361"/>
    </row>
  </sheetData>
  <sheetProtection password="CA39" sheet="1" objects="1" scenarios="1"/>
  <mergeCells count="2">
    <mergeCell ref="B6:C6"/>
    <mergeCell ref="B7:C7"/>
  </mergeCells>
  <phoneticPr fontId="12" type="noConversion"/>
  <pageMargins left="0.39370078740157483" right="0.39370078740157483" top="0.39370078740157483" bottom="0.39370078740157483" header="0.51181102362204722" footer="0.51181102362204722"/>
  <pageSetup paperSize="9" scale="74" orientation="portrait" cellComments="asDisplayed" horizontalDpi="1200" verticalDpi="1200" r:id="rId1"/>
  <headerFooter alignWithMargins="0"/>
  <drawing r:id="rId2"/>
  <legacyDrawing r:id="rId3"/>
  <oleObjects>
    <mc:AlternateContent xmlns:mc="http://schemas.openxmlformats.org/markup-compatibility/2006">
      <mc:Choice Requires="x14">
        <oleObject progId="MSPhotoEd.3" shapeId="85008" r:id="rId4">
          <objectPr defaultSize="0" autoPict="0" r:id="rId5">
            <anchor moveWithCells="1" sizeWithCells="1">
              <from>
                <xdr:col>5</xdr:col>
                <xdr:colOff>152400</xdr:colOff>
                <xdr:row>1</xdr:row>
                <xdr:rowOff>9525</xdr:rowOff>
              </from>
              <to>
                <xdr:col>6</xdr:col>
                <xdr:colOff>714375</xdr:colOff>
                <xdr:row>1</xdr:row>
                <xdr:rowOff>152400</xdr:rowOff>
              </to>
            </anchor>
          </objectPr>
        </oleObject>
      </mc:Choice>
      <mc:Fallback>
        <oleObject progId="MSPhotoEd.3" shapeId="85008" r:id="rId4"/>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tabColor indexed="44"/>
    <pageSetUpPr fitToPage="1"/>
  </sheetPr>
  <dimension ref="A1:R51"/>
  <sheetViews>
    <sheetView showGridLines="0" showZeros="0" showOutlineSymbols="0" zoomScaleNormal="100" zoomScaleSheetLayoutView="100" workbookViewId="0">
      <selection activeCell="C1" sqref="C1"/>
    </sheetView>
  </sheetViews>
  <sheetFormatPr defaultRowHeight="12.75" x14ac:dyDescent="0.2"/>
  <cols>
    <col min="1" max="1" width="8.85546875" style="135" customWidth="1"/>
    <col min="2" max="2" width="6.7109375" style="2" customWidth="1"/>
    <col min="3" max="3" width="8.140625" style="135" customWidth="1"/>
    <col min="4" max="4" width="29.7109375" style="135" customWidth="1"/>
    <col min="5" max="5" width="6.7109375" style="135" customWidth="1"/>
    <col min="6" max="6" width="7.28515625" style="135" customWidth="1"/>
    <col min="7" max="7" width="3.42578125" style="135" customWidth="1"/>
    <col min="8" max="8" width="6.7109375" style="135" customWidth="1"/>
    <col min="9" max="9" width="6.7109375" style="2" customWidth="1"/>
    <col min="10" max="10" width="9" style="2" customWidth="1"/>
    <col min="11" max="11" width="14.28515625" style="2" customWidth="1"/>
    <col min="12" max="12" width="14.42578125" style="2" customWidth="1"/>
    <col min="13" max="14" width="6.7109375" style="135" customWidth="1"/>
    <col min="15" max="16384" width="9.140625" style="135"/>
  </cols>
  <sheetData>
    <row r="1" spans="1:18" s="133" customFormat="1" ht="15" customHeight="1" x14ac:dyDescent="0.2">
      <c r="A1" s="537"/>
      <c r="B1" s="538"/>
      <c r="C1" s="772"/>
      <c r="D1" s="538"/>
      <c r="E1" s="538"/>
      <c r="F1" s="25"/>
      <c r="G1" s="25"/>
      <c r="H1" s="25"/>
      <c r="I1" s="102"/>
      <c r="J1" s="102"/>
      <c r="K1" s="102"/>
      <c r="L1" s="102"/>
      <c r="M1" s="25"/>
      <c r="N1" s="25"/>
      <c r="O1" s="25"/>
      <c r="P1" s="25"/>
      <c r="Q1" s="25"/>
      <c r="R1" s="25"/>
    </row>
    <row r="2" spans="1:18" s="134" customFormat="1" ht="18" x14ac:dyDescent="0.25">
      <c r="A2" s="30" t="str">
        <f>"Bijlage bij " &amp; inhoud!A2 &amp;" algemene ziekenhuizen (010)"</f>
        <v>Bijlage bij Vaststelling Transitiebedrag 2012 algemene ziekenhuizen (010)</v>
      </c>
      <c r="B2" s="96"/>
      <c r="C2" s="96"/>
      <c r="E2" s="98"/>
      <c r="F2" s="99"/>
      <c r="G2" s="100"/>
      <c r="H2" s="100"/>
      <c r="I2" s="96"/>
      <c r="J2" s="96"/>
      <c r="K2" s="29"/>
      <c r="L2" s="101">
        <f>IF(OR(D4=1996,D4=2000,D4=2004),366,365)</f>
        <v>365</v>
      </c>
      <c r="M2" s="29"/>
      <c r="N2" s="29"/>
      <c r="O2" s="28"/>
      <c r="P2" s="28"/>
      <c r="Q2" s="28"/>
      <c r="R2" s="28"/>
    </row>
    <row r="3" spans="1:18" ht="18" x14ac:dyDescent="0.25">
      <c r="B3" s="27"/>
      <c r="C3" s="26"/>
      <c r="D3" s="97"/>
      <c r="E3" s="26"/>
      <c r="F3" s="26"/>
      <c r="G3" s="28"/>
      <c r="H3" s="26"/>
      <c r="I3" s="27"/>
      <c r="J3" s="27"/>
      <c r="K3" s="27"/>
      <c r="L3" s="27"/>
      <c r="M3" s="26"/>
      <c r="N3" s="26"/>
      <c r="O3" s="26"/>
      <c r="P3" s="26"/>
      <c r="Q3" s="26"/>
      <c r="R3" s="26"/>
    </row>
    <row r="4" spans="1:18" ht="18" x14ac:dyDescent="0.25">
      <c r="A4" s="362" t="str">
        <f>"Rentenormeringsbalans "&amp;Voorblad!K4</f>
        <v>Rentenormeringsbalans 2012</v>
      </c>
      <c r="B4" s="27"/>
      <c r="C4" s="26"/>
      <c r="D4" s="97"/>
      <c r="E4" s="285"/>
      <c r="F4" s="159"/>
      <c r="G4" s="166"/>
      <c r="H4" s="159"/>
      <c r="I4" s="286"/>
      <c r="J4" s="27"/>
      <c r="K4" s="27"/>
      <c r="L4" s="27"/>
      <c r="M4" s="26"/>
      <c r="N4" s="26"/>
      <c r="O4" s="26"/>
      <c r="P4" s="26"/>
      <c r="Q4" s="26"/>
      <c r="R4" s="26"/>
    </row>
    <row r="5" spans="1:18" x14ac:dyDescent="0.2">
      <c r="A5" s="1496" t="s">
        <v>301</v>
      </c>
      <c r="B5" s="1496"/>
      <c r="C5" s="1496"/>
      <c r="D5" s="1496"/>
      <c r="E5" s="1496"/>
      <c r="F5" s="1496"/>
      <c r="G5" s="1496"/>
      <c r="H5" s="1496"/>
      <c r="I5" s="1496"/>
      <c r="J5" s="1496"/>
      <c r="K5" s="1496"/>
      <c r="L5" s="27"/>
      <c r="M5" s="26"/>
      <c r="N5" s="26"/>
      <c r="O5" s="26"/>
      <c r="P5" s="26"/>
      <c r="Q5" s="26"/>
      <c r="R5" s="26"/>
    </row>
    <row r="6" spans="1:18" x14ac:dyDescent="0.2">
      <c r="A6" s="1496"/>
      <c r="B6" s="1496"/>
      <c r="C6" s="1496"/>
      <c r="D6" s="1496"/>
      <c r="E6" s="1496"/>
      <c r="F6" s="1496"/>
      <c r="G6" s="1496"/>
      <c r="H6" s="1496"/>
      <c r="I6" s="1496"/>
      <c r="J6" s="1496"/>
      <c r="K6" s="1496"/>
      <c r="L6" s="27"/>
      <c r="M6" s="26"/>
      <c r="N6" s="26"/>
      <c r="O6" s="26"/>
      <c r="P6" s="26"/>
      <c r="Q6" s="26"/>
      <c r="R6" s="26"/>
    </row>
    <row r="7" spans="1:18" ht="12.75" customHeight="1" x14ac:dyDescent="0.2">
      <c r="A7" s="27"/>
      <c r="B7" s="26"/>
      <c r="C7" s="26"/>
      <c r="D7" s="26"/>
      <c r="E7" s="26"/>
      <c r="F7" s="26"/>
      <c r="G7" s="26"/>
      <c r="I7" s="135"/>
      <c r="J7" s="135"/>
      <c r="K7" s="135"/>
      <c r="L7" s="135"/>
    </row>
    <row r="8" spans="1:18" s="118" customFormat="1" ht="12.75" customHeight="1" x14ac:dyDescent="0.2">
      <c r="A8" s="1497" t="str">
        <f>"Deze bijlage dient te worden gebruikt om de aanvaardbare rentekosten "&amp;Voorblad!K4&amp;" te berekenen. Het berekende bedrag op regel 417 wordt ingevuld in het formulier " &amp;  inhoud!A2 &amp; " op regel "&amp;'4 overzicht mutaties'!A23&amp;"."</f>
        <v>Deze bijlage dient te worden gebruikt om de aanvaardbare rentekosten 2012 te berekenen. Het berekende bedrag op regel 417 wordt ingevuld in het formulier Vaststelling Transitiebedrag 2012 op regel 2015.</v>
      </c>
      <c r="B8" s="1318"/>
      <c r="C8" s="1318"/>
      <c r="D8" s="1318"/>
      <c r="E8" s="1318"/>
      <c r="F8" s="1318"/>
      <c r="G8" s="1318"/>
      <c r="H8" s="1318"/>
      <c r="I8" s="1318"/>
      <c r="J8" s="1318"/>
      <c r="K8" s="1318"/>
    </row>
    <row r="9" spans="1:18" s="118" customFormat="1" ht="12" customHeight="1" x14ac:dyDescent="0.2">
      <c r="A9" s="1318"/>
      <c r="B9" s="1318"/>
      <c r="C9" s="1318"/>
      <c r="D9" s="1318"/>
      <c r="E9" s="1318"/>
      <c r="F9" s="1318"/>
      <c r="G9" s="1318"/>
      <c r="H9" s="1318"/>
      <c r="I9" s="1318"/>
      <c r="J9" s="1318"/>
      <c r="K9" s="1318"/>
    </row>
    <row r="10" spans="1:18" s="118" customFormat="1" ht="12" customHeight="1" x14ac:dyDescent="0.2">
      <c r="A10" s="1318"/>
      <c r="B10" s="1318"/>
      <c r="C10" s="1318"/>
      <c r="D10" s="1318"/>
      <c r="E10" s="1318"/>
      <c r="F10" s="1318"/>
      <c r="G10" s="1318"/>
      <c r="H10" s="1318"/>
      <c r="I10" s="1318"/>
      <c r="J10" s="1318"/>
      <c r="K10" s="1318"/>
    </row>
    <row r="11" spans="1:18" s="118" customFormat="1" thickBot="1" x14ac:dyDescent="0.25">
      <c r="A11" s="76"/>
      <c r="B11" s="76"/>
      <c r="C11" s="76"/>
      <c r="D11" s="137"/>
      <c r="E11" s="76"/>
      <c r="F11" s="76"/>
      <c r="G11" s="76"/>
      <c r="H11" s="76"/>
      <c r="I11" s="76"/>
      <c r="J11" s="76"/>
      <c r="K11" s="76"/>
      <c r="L11" s="76"/>
      <c r="M11" s="76"/>
      <c r="N11" s="76"/>
      <c r="O11" s="55"/>
      <c r="P11" s="55"/>
    </row>
    <row r="12" spans="1:18" s="136" customFormat="1" ht="12" x14ac:dyDescent="0.2">
      <c r="A12" s="43"/>
      <c r="B12" s="138"/>
      <c r="C12" s="139" t="s">
        <v>770</v>
      </c>
      <c r="D12" s="140"/>
      <c r="E12" s="140"/>
      <c r="F12" s="140"/>
      <c r="G12" s="140"/>
      <c r="H12" s="140"/>
      <c r="I12" s="141"/>
      <c r="J12" s="141"/>
      <c r="K12" s="141"/>
      <c r="L12" s="141"/>
      <c r="M12" s="142"/>
      <c r="N12" s="43"/>
      <c r="O12" s="43"/>
      <c r="P12" s="43"/>
      <c r="Q12" s="55"/>
      <c r="R12" s="55"/>
    </row>
    <row r="13" spans="1:18" s="136" customFormat="1" ht="12" x14ac:dyDescent="0.2">
      <c r="A13" s="43"/>
      <c r="B13" s="143"/>
      <c r="C13" s="43"/>
      <c r="D13" s="55"/>
      <c r="E13" s="55"/>
      <c r="F13" s="55"/>
      <c r="G13" s="55"/>
      <c r="H13" s="55"/>
      <c r="I13" s="31"/>
      <c r="J13" s="31"/>
      <c r="K13" s="31"/>
      <c r="L13" s="31"/>
      <c r="M13" s="144"/>
      <c r="N13" s="43"/>
      <c r="O13" s="43"/>
      <c r="P13" s="43"/>
      <c r="Q13" s="55"/>
      <c r="R13" s="55"/>
    </row>
    <row r="14" spans="1:18" s="21" customFormat="1" ht="12.75" customHeight="1" x14ac:dyDescent="0.2">
      <c r="A14" s="43"/>
      <c r="B14" s="143"/>
      <c r="C14" s="55"/>
      <c r="D14" s="1497" t="s">
        <v>563</v>
      </c>
      <c r="E14" s="1498"/>
      <c r="F14" s="1498"/>
      <c r="G14" s="1498"/>
      <c r="H14" s="1498"/>
      <c r="I14" s="1498"/>
      <c r="J14" s="1498"/>
      <c r="K14" s="1498"/>
      <c r="L14" s="1498"/>
      <c r="M14" s="144"/>
      <c r="N14" s="43"/>
      <c r="O14" s="43"/>
      <c r="P14" s="43"/>
      <c r="Q14" s="55"/>
      <c r="R14" s="55"/>
    </row>
    <row r="15" spans="1:18" s="117" customFormat="1" ht="12" x14ac:dyDescent="0.2">
      <c r="A15" s="43"/>
      <c r="B15" s="143"/>
      <c r="C15" s="43"/>
      <c r="D15" s="1498"/>
      <c r="E15" s="1498"/>
      <c r="F15" s="1498"/>
      <c r="G15" s="1498"/>
      <c r="H15" s="1498"/>
      <c r="I15" s="1498"/>
      <c r="J15" s="1498"/>
      <c r="K15" s="1498"/>
      <c r="L15" s="1498"/>
      <c r="M15" s="144"/>
      <c r="N15" s="43"/>
      <c r="O15" s="43"/>
      <c r="P15" s="43"/>
      <c r="Q15" s="43"/>
      <c r="R15" s="43"/>
    </row>
    <row r="16" spans="1:18" s="117" customFormat="1" ht="12" x14ac:dyDescent="0.2">
      <c r="A16" s="43"/>
      <c r="B16" s="143"/>
      <c r="C16" s="55"/>
      <c r="D16" s="1500" t="s">
        <v>850</v>
      </c>
      <c r="E16" s="1500"/>
      <c r="F16" s="1500"/>
      <c r="G16" s="1500"/>
      <c r="H16" s="1500"/>
      <c r="I16" s="1500"/>
      <c r="J16" s="1500"/>
      <c r="K16" s="1500"/>
      <c r="L16" s="1500"/>
      <c r="M16" s="144"/>
      <c r="N16" s="43"/>
      <c r="O16" s="43"/>
      <c r="P16" s="43"/>
      <c r="Q16" s="43"/>
      <c r="R16" s="43"/>
    </row>
    <row r="17" spans="1:18" s="117" customFormat="1" ht="12" x14ac:dyDescent="0.2">
      <c r="A17" s="43"/>
      <c r="B17" s="143"/>
      <c r="C17" s="55"/>
      <c r="D17" s="1500"/>
      <c r="E17" s="1500"/>
      <c r="F17" s="1500"/>
      <c r="G17" s="1500"/>
      <c r="H17" s="1500"/>
      <c r="I17" s="1500"/>
      <c r="J17" s="1500"/>
      <c r="K17" s="1500"/>
      <c r="L17" s="1500"/>
      <c r="M17" s="144"/>
      <c r="N17" s="43"/>
      <c r="O17" s="43"/>
      <c r="P17" s="43"/>
      <c r="Q17" s="43"/>
      <c r="R17" s="43"/>
    </row>
    <row r="18" spans="1:18" s="117" customFormat="1" ht="12.75" customHeight="1" x14ac:dyDescent="0.2">
      <c r="A18" s="43"/>
      <c r="B18" s="143"/>
      <c r="C18" s="55"/>
      <c r="D18" s="1500"/>
      <c r="E18" s="1500"/>
      <c r="F18" s="1500"/>
      <c r="G18" s="1500"/>
      <c r="H18" s="1500"/>
      <c r="I18" s="1500"/>
      <c r="J18" s="1500"/>
      <c r="K18" s="1500"/>
      <c r="L18" s="1500"/>
      <c r="M18" s="144"/>
      <c r="N18" s="43"/>
      <c r="O18" s="43"/>
      <c r="P18" s="43"/>
      <c r="Q18" s="43"/>
      <c r="R18" s="43"/>
    </row>
    <row r="19" spans="1:18" s="117" customFormat="1" ht="12" x14ac:dyDescent="0.2">
      <c r="A19" s="43"/>
      <c r="B19" s="143"/>
      <c r="C19" s="55"/>
      <c r="D19" s="1499" t="s">
        <v>589</v>
      </c>
      <c r="E19" s="1499"/>
      <c r="F19" s="1499"/>
      <c r="G19" s="1499"/>
      <c r="H19" s="1499"/>
      <c r="I19" s="1499"/>
      <c r="J19" s="1499"/>
      <c r="K19" s="1499"/>
      <c r="L19" s="1499"/>
      <c r="M19" s="144"/>
      <c r="N19" s="43"/>
      <c r="O19" s="43"/>
      <c r="P19" s="43"/>
      <c r="Q19" s="43"/>
      <c r="R19" s="43"/>
    </row>
    <row r="20" spans="1:18" s="117" customFormat="1" ht="12" x14ac:dyDescent="0.2">
      <c r="A20" s="43"/>
      <c r="B20" s="143"/>
      <c r="C20" s="55"/>
      <c r="D20" s="1499"/>
      <c r="E20" s="1499"/>
      <c r="F20" s="1499"/>
      <c r="G20" s="1499"/>
      <c r="H20" s="1499"/>
      <c r="I20" s="1499"/>
      <c r="J20" s="1499"/>
      <c r="K20" s="1499"/>
      <c r="L20" s="1499"/>
      <c r="M20" s="144"/>
      <c r="N20" s="43"/>
      <c r="O20" s="43"/>
      <c r="P20" s="55"/>
      <c r="Q20" s="43"/>
      <c r="R20" s="43"/>
    </row>
    <row r="21" spans="1:18" s="117" customFormat="1" ht="12" x14ac:dyDescent="0.2">
      <c r="A21" s="43"/>
      <c r="B21" s="143"/>
      <c r="C21" s="55"/>
      <c r="D21" s="1499"/>
      <c r="E21" s="1499"/>
      <c r="F21" s="1499"/>
      <c r="G21" s="1499"/>
      <c r="H21" s="1499"/>
      <c r="I21" s="1499"/>
      <c r="J21" s="1499"/>
      <c r="K21" s="1499"/>
      <c r="L21" s="1499"/>
      <c r="M21" s="144"/>
      <c r="N21" s="43"/>
      <c r="O21" s="43"/>
      <c r="P21" s="43"/>
      <c r="Q21" s="43"/>
      <c r="R21" s="43"/>
    </row>
    <row r="22" spans="1:18" s="117" customFormat="1" ht="12" x14ac:dyDescent="0.2">
      <c r="A22" s="43"/>
      <c r="B22" s="143"/>
      <c r="C22" s="55"/>
      <c r="D22" s="31"/>
      <c r="E22" s="31"/>
      <c r="F22" s="31"/>
      <c r="G22" s="31"/>
      <c r="H22" s="31"/>
      <c r="I22" s="31"/>
      <c r="J22" s="31"/>
      <c r="K22" s="31"/>
      <c r="L22" s="31"/>
      <c r="M22" s="144"/>
      <c r="N22" s="43"/>
      <c r="O22" s="43"/>
      <c r="P22" s="43"/>
      <c r="Q22" s="43"/>
      <c r="R22" s="43"/>
    </row>
    <row r="23" spans="1:18" s="117" customFormat="1" ht="12" x14ac:dyDescent="0.2">
      <c r="A23" s="43"/>
      <c r="B23" s="143"/>
      <c r="C23" s="55"/>
      <c r="D23" s="145" t="str">
        <f>IF(D24=TRUE,"      Invulvelden gearceerd","      Invulvelden niet gearceerd")</f>
        <v xml:space="preserve">      Invulvelden gearceerd</v>
      </c>
      <c r="E23" s="146"/>
      <c r="F23" s="147"/>
      <c r="G23" s="55"/>
      <c r="H23" s="55"/>
      <c r="I23" s="43"/>
      <c r="J23" s="43"/>
      <c r="K23" s="43"/>
      <c r="L23" s="43"/>
      <c r="M23" s="148"/>
      <c r="N23" s="43"/>
      <c r="O23" s="43"/>
      <c r="P23" s="43"/>
      <c r="Q23" s="43"/>
      <c r="R23" s="43"/>
    </row>
    <row r="24" spans="1:18" s="117" customFormat="1" thickBot="1" x14ac:dyDescent="0.25">
      <c r="A24" s="123"/>
      <c r="B24" s="149"/>
      <c r="C24" s="150"/>
      <c r="D24" s="238" t="b">
        <v>1</v>
      </c>
      <c r="E24" s="152"/>
      <c r="F24" s="152"/>
      <c r="G24" s="150"/>
      <c r="H24" s="150"/>
      <c r="I24" s="151"/>
      <c r="J24" s="152"/>
      <c r="K24" s="152"/>
      <c r="L24" s="153"/>
      <c r="M24" s="154"/>
      <c r="N24" s="123"/>
      <c r="O24" s="123"/>
      <c r="P24" s="123"/>
      <c r="Q24" s="43"/>
      <c r="R24" s="43"/>
    </row>
    <row r="25" spans="1:18" s="117" customFormat="1" ht="12" x14ac:dyDescent="0.2">
      <c r="A25" s="43"/>
      <c r="B25" s="36"/>
      <c r="C25" s="43"/>
      <c r="D25" s="43"/>
      <c r="E25" s="43"/>
      <c r="F25" s="43"/>
      <c r="G25" s="55"/>
      <c r="H25" s="55"/>
      <c r="I25" s="31"/>
      <c r="J25" s="31"/>
      <c r="K25" s="156"/>
      <c r="L25" s="31"/>
      <c r="M25" s="33"/>
      <c r="N25" s="33"/>
      <c r="O25" s="55"/>
      <c r="P25" s="55"/>
      <c r="Q25" s="43"/>
      <c r="R25" s="43"/>
    </row>
    <row r="26" spans="1:18" s="117" customFormat="1" ht="12" x14ac:dyDescent="0.2">
      <c r="A26" s="40"/>
      <c r="B26" s="40"/>
      <c r="C26" s="40"/>
      <c r="D26" s="40"/>
      <c r="E26" s="40"/>
      <c r="F26" s="40"/>
      <c r="G26" s="40"/>
      <c r="H26" s="40"/>
      <c r="I26" s="40"/>
      <c r="J26" s="40"/>
      <c r="K26" s="40"/>
      <c r="L26" s="13"/>
      <c r="M26" s="13"/>
      <c r="N26" s="13"/>
      <c r="O26" s="13"/>
      <c r="P26" s="13"/>
      <c r="Q26" s="43"/>
      <c r="R26" s="43"/>
    </row>
    <row r="27" spans="1:18" s="155" customFormat="1" ht="12" x14ac:dyDescent="0.2">
      <c r="A27" s="48"/>
      <c r="B27" s="48"/>
      <c r="C27" s="48"/>
      <c r="D27" s="14"/>
      <c r="E27" s="14"/>
      <c r="F27" s="14"/>
      <c r="G27" s="14"/>
      <c r="H27" s="14"/>
      <c r="I27" s="14"/>
      <c r="J27" s="14"/>
      <c r="K27" s="14"/>
      <c r="L27" s="14"/>
      <c r="M27" s="14"/>
      <c r="N27" s="14"/>
      <c r="O27" s="14"/>
      <c r="P27" s="14"/>
      <c r="Q27" s="123"/>
      <c r="R27" s="123"/>
    </row>
    <row r="28" spans="1:18" s="21" customFormat="1" ht="12.75" customHeight="1" x14ac:dyDescent="0.2">
      <c r="A28" s="48"/>
      <c r="B28" s="48"/>
      <c r="C28" s="48"/>
      <c r="D28" s="14"/>
      <c r="E28" s="14"/>
      <c r="F28" s="14"/>
      <c r="G28" s="14"/>
      <c r="H28" s="14"/>
      <c r="I28" s="14"/>
      <c r="J28" s="14"/>
      <c r="K28" s="14"/>
      <c r="L28" s="14"/>
      <c r="M28" s="14"/>
      <c r="N28" s="14"/>
      <c r="O28" s="14"/>
      <c r="P28" s="14"/>
      <c r="Q28" s="128"/>
      <c r="R28" s="55"/>
    </row>
    <row r="29" spans="1:18" s="13" customFormat="1" ht="16.5" customHeight="1" x14ac:dyDescent="0.2">
      <c r="A29" s="48"/>
      <c r="B29" s="48"/>
      <c r="C29" s="48"/>
      <c r="D29" s="14"/>
      <c r="E29" s="14"/>
      <c r="F29" s="14"/>
      <c r="G29" s="14"/>
      <c r="H29" s="14"/>
      <c r="I29" s="14"/>
      <c r="J29" s="14"/>
      <c r="K29" s="14"/>
      <c r="L29" s="14"/>
      <c r="M29" s="14"/>
      <c r="N29" s="14"/>
      <c r="O29" s="14"/>
      <c r="P29" s="14"/>
    </row>
    <row r="30" spans="1:18" s="14" customFormat="1" ht="16.5" customHeight="1" x14ac:dyDescent="0.2">
      <c r="A30" s="48"/>
      <c r="B30" s="48"/>
      <c r="C30" s="48"/>
    </row>
    <row r="31" spans="1:18" s="14" customFormat="1" ht="16.5" customHeight="1" x14ac:dyDescent="0.2">
      <c r="A31" s="48"/>
      <c r="B31" s="48"/>
      <c r="C31" s="48"/>
    </row>
    <row r="32" spans="1:18" s="14" customFormat="1" ht="16.5" customHeight="1" x14ac:dyDescent="0.2">
      <c r="A32" s="48"/>
      <c r="B32" s="48"/>
      <c r="C32" s="48"/>
    </row>
    <row r="33" spans="1:18" s="14" customFormat="1" ht="16.5" customHeight="1" x14ac:dyDescent="0.2">
      <c r="A33" s="48"/>
      <c r="B33" s="48"/>
      <c r="C33" s="48"/>
      <c r="D33" s="48"/>
      <c r="E33" s="48"/>
    </row>
    <row r="34" spans="1:18" s="14" customFormat="1" ht="16.5" customHeight="1" x14ac:dyDescent="0.2">
      <c r="A34" s="48"/>
      <c r="B34" s="48"/>
      <c r="C34" s="48"/>
      <c r="D34" s="48"/>
      <c r="E34" s="48"/>
    </row>
    <row r="35" spans="1:18" s="14" customFormat="1" ht="16.5" customHeight="1" x14ac:dyDescent="0.2">
      <c r="A35" s="48"/>
      <c r="B35" s="48"/>
      <c r="C35" s="48"/>
      <c r="D35" s="48"/>
      <c r="E35" s="48"/>
    </row>
    <row r="36" spans="1:18" s="14" customFormat="1" ht="16.5" customHeight="1" x14ac:dyDescent="0.2">
      <c r="A36" s="48"/>
      <c r="B36" s="48"/>
      <c r="C36" s="48"/>
      <c r="D36" s="48"/>
      <c r="E36" s="48"/>
    </row>
    <row r="37" spans="1:18" s="14" customFormat="1" ht="16.5" customHeight="1" x14ac:dyDescent="0.2">
      <c r="A37" s="48"/>
      <c r="B37" s="48"/>
      <c r="C37" s="48"/>
      <c r="D37" s="48"/>
      <c r="E37" s="48"/>
    </row>
    <row r="38" spans="1:18" s="14" customFormat="1" ht="16.5" customHeight="1" x14ac:dyDescent="0.2">
      <c r="A38" s="48"/>
      <c r="B38" s="48"/>
      <c r="C38" s="48"/>
      <c r="D38" s="48"/>
      <c r="E38" s="48"/>
      <c r="F38" s="48"/>
      <c r="G38" s="48"/>
      <c r="H38" s="48"/>
      <c r="I38" s="48"/>
      <c r="J38" s="48"/>
      <c r="K38" s="48"/>
      <c r="L38" s="48"/>
      <c r="M38" s="48"/>
      <c r="N38" s="48"/>
      <c r="O38" s="48"/>
      <c r="P38" s="48"/>
    </row>
    <row r="39" spans="1:18" s="14" customFormat="1" ht="16.5" customHeight="1" x14ac:dyDescent="0.15">
      <c r="A39" s="43"/>
      <c r="B39" s="36"/>
      <c r="C39" s="43"/>
      <c r="D39" s="43"/>
      <c r="E39" s="43"/>
      <c r="F39" s="43"/>
      <c r="G39" s="43"/>
      <c r="H39" s="43"/>
      <c r="I39" s="36"/>
      <c r="J39" s="36"/>
      <c r="K39" s="36"/>
      <c r="L39" s="36"/>
      <c r="M39" s="43"/>
      <c r="N39" s="43"/>
      <c r="O39" s="43"/>
      <c r="P39" s="36"/>
    </row>
    <row r="40" spans="1:18" s="14" customFormat="1" ht="16.5" customHeight="1" x14ac:dyDescent="0.15">
      <c r="A40" s="43"/>
      <c r="B40" s="36"/>
      <c r="C40" s="43"/>
      <c r="D40" s="43"/>
      <c r="E40" s="43"/>
      <c r="F40" s="43"/>
      <c r="G40" s="43"/>
      <c r="H40" s="43"/>
      <c r="I40" s="36"/>
      <c r="J40" s="36" t="s">
        <v>746</v>
      </c>
      <c r="K40" s="36"/>
      <c r="L40" s="36"/>
      <c r="M40" s="43"/>
      <c r="N40" s="43"/>
      <c r="O40" s="43"/>
      <c r="P40" s="43"/>
    </row>
    <row r="41" spans="1:18" s="14" customFormat="1" ht="16.5" customHeight="1" x14ac:dyDescent="0.15">
      <c r="A41" s="43"/>
      <c r="B41" s="36"/>
      <c r="C41" s="43"/>
      <c r="D41" s="43"/>
      <c r="E41" s="43"/>
      <c r="F41" s="43"/>
      <c r="G41" s="43"/>
      <c r="H41" s="43"/>
      <c r="I41" s="36"/>
      <c r="J41" s="36"/>
      <c r="K41" s="36"/>
      <c r="L41" s="36"/>
      <c r="M41" s="43"/>
      <c r="N41" s="43"/>
      <c r="O41" s="43"/>
      <c r="P41" s="43"/>
      <c r="Q41" s="48"/>
      <c r="R41" s="48"/>
    </row>
    <row r="42" spans="1:18" s="6" customFormat="1" ht="16.5" customHeight="1" x14ac:dyDescent="0.2">
      <c r="A42" s="43"/>
      <c r="B42" s="36"/>
      <c r="C42" s="43"/>
      <c r="D42" s="43"/>
      <c r="E42" s="43"/>
      <c r="F42" s="43"/>
      <c r="G42" s="43"/>
      <c r="H42" s="43"/>
      <c r="I42" s="36"/>
      <c r="J42" s="36"/>
      <c r="K42" s="36"/>
      <c r="L42" s="36"/>
      <c r="M42" s="43"/>
      <c r="N42" s="43"/>
      <c r="O42" s="43"/>
      <c r="P42" s="43"/>
      <c r="Q42" s="36"/>
      <c r="R42" s="36"/>
    </row>
    <row r="43" spans="1:18" s="117" customFormat="1" ht="12" x14ac:dyDescent="0.2">
      <c r="A43" s="43"/>
      <c r="B43" s="36"/>
      <c r="C43" s="43"/>
      <c r="D43" s="43"/>
      <c r="E43" s="43"/>
      <c r="F43" s="43"/>
      <c r="G43" s="43"/>
      <c r="H43" s="43"/>
      <c r="I43" s="36"/>
      <c r="J43" s="36"/>
      <c r="K43" s="36"/>
      <c r="L43" s="36"/>
      <c r="M43" s="43"/>
      <c r="N43" s="43"/>
      <c r="O43" s="43"/>
      <c r="P43" s="43"/>
      <c r="Q43" s="43"/>
      <c r="R43" s="43"/>
    </row>
    <row r="44" spans="1:18" s="117" customFormat="1" x14ac:dyDescent="0.2">
      <c r="A44" s="26"/>
      <c r="B44" s="27"/>
      <c r="C44" s="26"/>
      <c r="D44" s="26"/>
      <c r="E44" s="26"/>
      <c r="F44" s="26"/>
      <c r="G44" s="26"/>
      <c r="H44" s="26"/>
      <c r="I44" s="27"/>
      <c r="J44" s="27"/>
      <c r="K44" s="27"/>
      <c r="L44" s="27"/>
      <c r="M44" s="26"/>
      <c r="N44" s="26"/>
      <c r="O44" s="26"/>
      <c r="P44" s="43"/>
      <c r="Q44" s="43"/>
      <c r="R44" s="43"/>
    </row>
    <row r="45" spans="1:18" s="117" customFormat="1" x14ac:dyDescent="0.2">
      <c r="A45" s="135"/>
      <c r="B45" s="2"/>
      <c r="C45" s="135"/>
      <c r="D45" s="135"/>
      <c r="E45" s="135"/>
      <c r="F45" s="135"/>
      <c r="G45" s="135"/>
      <c r="H45" s="135"/>
      <c r="I45" s="2"/>
      <c r="J45" s="2"/>
      <c r="K45" s="2"/>
      <c r="L45" s="2"/>
      <c r="M45" s="135"/>
      <c r="N45" s="135"/>
      <c r="O45" s="135"/>
      <c r="P45" s="43"/>
      <c r="Q45" s="43"/>
      <c r="R45" s="43"/>
    </row>
    <row r="46" spans="1:18" s="117" customFormat="1" x14ac:dyDescent="0.2">
      <c r="A46" s="135"/>
      <c r="B46" s="2"/>
      <c r="C46" s="135"/>
      <c r="D46" s="135"/>
      <c r="E46" s="135"/>
      <c r="F46" s="135"/>
      <c r="G46" s="135"/>
      <c r="H46" s="135"/>
      <c r="I46" s="2"/>
      <c r="J46" s="2"/>
      <c r="K46" s="2"/>
      <c r="L46" s="2"/>
      <c r="M46" s="135"/>
      <c r="N46" s="135"/>
      <c r="O46" s="135"/>
      <c r="P46" s="43"/>
      <c r="Q46" s="43"/>
      <c r="R46" s="43"/>
    </row>
    <row r="47" spans="1:18" s="117" customFormat="1" x14ac:dyDescent="0.2">
      <c r="A47" s="135"/>
      <c r="B47" s="2"/>
      <c r="C47" s="135"/>
      <c r="D47" s="135"/>
      <c r="E47" s="135"/>
      <c r="F47" s="135"/>
      <c r="G47" s="135"/>
      <c r="H47" s="135"/>
      <c r="I47" s="2"/>
      <c r="J47" s="2"/>
      <c r="K47" s="2"/>
      <c r="L47" s="2"/>
      <c r="M47" s="135"/>
      <c r="N47" s="135"/>
      <c r="O47" s="135"/>
      <c r="P47" s="43"/>
      <c r="Q47" s="43"/>
      <c r="R47" s="43"/>
    </row>
    <row r="48" spans="1:18" s="117" customFormat="1" x14ac:dyDescent="0.2">
      <c r="A48" s="135"/>
      <c r="B48" s="2"/>
      <c r="C48" s="135"/>
      <c r="D48" s="135"/>
      <c r="E48" s="135"/>
      <c r="F48" s="135"/>
      <c r="G48" s="135"/>
      <c r="H48" s="135"/>
      <c r="I48" s="2"/>
      <c r="J48" s="2"/>
      <c r="K48" s="2"/>
      <c r="L48" s="2"/>
      <c r="M48" s="135"/>
      <c r="N48" s="135"/>
      <c r="O48" s="135"/>
      <c r="P48" s="26"/>
      <c r="Q48" s="43"/>
      <c r="R48" s="43"/>
    </row>
    <row r="49" spans="1:18" s="117" customFormat="1" x14ac:dyDescent="0.2">
      <c r="A49" s="135"/>
      <c r="B49" s="2"/>
      <c r="C49" s="135"/>
      <c r="D49" s="135"/>
      <c r="E49" s="135"/>
      <c r="F49" s="135"/>
      <c r="G49" s="135"/>
      <c r="H49" s="135"/>
      <c r="I49" s="2"/>
      <c r="J49" s="2"/>
      <c r="K49" s="2"/>
      <c r="L49" s="2"/>
      <c r="M49" s="135"/>
      <c r="N49" s="135"/>
      <c r="O49" s="135"/>
      <c r="P49" s="135"/>
      <c r="Q49" s="43"/>
      <c r="R49" s="43"/>
    </row>
    <row r="50" spans="1:18" s="117" customFormat="1" x14ac:dyDescent="0.2">
      <c r="A50" s="135"/>
      <c r="B50" s="2"/>
      <c r="C50" s="135"/>
      <c r="D50" s="135"/>
      <c r="E50" s="135"/>
      <c r="F50" s="135"/>
      <c r="G50" s="135"/>
      <c r="H50" s="135"/>
      <c r="I50" s="2"/>
      <c r="J50" s="2"/>
      <c r="K50" s="2"/>
      <c r="L50" s="2"/>
      <c r="M50" s="135"/>
      <c r="N50" s="135"/>
      <c r="O50" s="135"/>
      <c r="P50" s="135"/>
      <c r="Q50" s="43"/>
      <c r="R50" s="43"/>
    </row>
    <row r="51" spans="1:18" x14ac:dyDescent="0.2">
      <c r="Q51" s="26"/>
      <c r="R51" s="26"/>
    </row>
  </sheetData>
  <sheetProtection password="CA39" sheet="1" objects="1" scenarios="1"/>
  <mergeCells count="5">
    <mergeCell ref="A5:K6"/>
    <mergeCell ref="A8:K10"/>
    <mergeCell ref="D14:L15"/>
    <mergeCell ref="D19:L21"/>
    <mergeCell ref="D16:L18"/>
  </mergeCells>
  <phoneticPr fontId="12" type="noConversion"/>
  <conditionalFormatting sqref="H40:N43 A39:F41">
    <cfRule type="expression" dxfId="11" priority="1" stopIfTrue="1">
      <formula>#REF!=TRUE</formula>
    </cfRule>
  </conditionalFormatting>
  <conditionalFormatting sqref="D23:E23">
    <cfRule type="expression" dxfId="10" priority="2" stopIfTrue="1">
      <formula>$D$24=TRUE</formula>
    </cfRule>
  </conditionalFormatting>
  <pageMargins left="0.39370078740157483" right="0.39370078740157483" top="0.39370078740157483" bottom="0.39370078740157483" header="0.51181102362204722" footer="0.51181102362204722"/>
  <pageSetup paperSize="9" scale="77" orientation="landscape"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locked="0" defaultSize="0" autoFill="0" autoLine="0" autoPict="0">
                <anchor moveWithCells="1">
                  <from>
                    <xdr:col>2</xdr:col>
                    <xdr:colOff>457200</xdr:colOff>
                    <xdr:row>21</xdr:row>
                    <xdr:rowOff>133350</xdr:rowOff>
                  </from>
                  <to>
                    <xdr:col>3</xdr:col>
                    <xdr:colOff>228600</xdr:colOff>
                    <xdr:row>23</xdr:row>
                    <xdr:rowOff>47625</xdr:rowOff>
                  </to>
                </anchor>
              </controlPr>
            </control>
          </mc:Choice>
        </mc:AlternateContent>
        <mc:AlternateContent xmlns:mc="http://schemas.openxmlformats.org/markup-compatibility/2006">
          <mc:Choice Requires="x14">
            <control shapeId="87042" r:id="rId5" name="Check Box 2">
              <controlPr locked="0" defaultSize="0" autoFill="0" autoLine="0" autoPict="0">
                <anchor moveWithCells="1">
                  <from>
                    <xdr:col>2</xdr:col>
                    <xdr:colOff>457200</xdr:colOff>
                    <xdr:row>21</xdr:row>
                    <xdr:rowOff>133350</xdr:rowOff>
                  </from>
                  <to>
                    <xdr:col>3</xdr:col>
                    <xdr:colOff>228600</xdr:colOff>
                    <xdr:row>23</xdr:row>
                    <xdr:rowOff>47625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tabColor indexed="44"/>
    <pageSetUpPr autoPageBreaks="0"/>
  </sheetPr>
  <dimension ref="A1:E67"/>
  <sheetViews>
    <sheetView showGridLines="0" showZeros="0" showOutlineSymbols="0" zoomScaleNormal="100" zoomScaleSheetLayoutView="100" workbookViewId="0">
      <selection activeCell="B1" sqref="B1"/>
    </sheetView>
  </sheetViews>
  <sheetFormatPr defaultRowHeight="11.25" x14ac:dyDescent="0.15"/>
  <cols>
    <col min="1" max="1" width="5.7109375" style="211" customWidth="1"/>
    <col min="2" max="2" width="100.140625" style="74" customWidth="1"/>
    <col min="3" max="3" width="21.42578125" style="74" customWidth="1"/>
    <col min="4" max="4" width="7.7109375" style="74" customWidth="1"/>
    <col min="5" max="5" width="5.7109375" style="74" customWidth="1"/>
    <col min="6" max="16384" width="9.140625" style="74"/>
  </cols>
  <sheetData>
    <row r="1" spans="1:5" s="43" customFormat="1" ht="15.95" customHeight="1" x14ac:dyDescent="0.15">
      <c r="B1" s="772"/>
      <c r="C1" s="31"/>
      <c r="D1" s="36"/>
    </row>
    <row r="2" spans="1:5" s="40" customFormat="1" ht="15" customHeight="1" x14ac:dyDescent="0.2">
      <c r="A2" s="66" t="str">
        <f>"Rentenormeringsbalans "&amp;Voorblad!K4&amp;" algemene ziekenhuizen"</f>
        <v>Rentenormeringsbalans 2012 algemene ziekenhuizen</v>
      </c>
      <c r="C2" s="39"/>
      <c r="E2" s="42">
        <v>2</v>
      </c>
    </row>
    <row r="3" spans="1:5" ht="23.25" customHeight="1" x14ac:dyDescent="0.2">
      <c r="A3" s="116" t="str">
        <f>"RENTENORMERINGSBALANS "&amp;Voorblad!K4</f>
        <v>RENTENORMERINGSBALANS 2012</v>
      </c>
      <c r="B3" s="51"/>
      <c r="C3" s="26"/>
      <c r="D3" s="26"/>
      <c r="E3" s="26"/>
    </row>
    <row r="4" spans="1:5" ht="9.75" customHeight="1" x14ac:dyDescent="0.15">
      <c r="A4" s="74"/>
    </row>
    <row r="5" spans="1:5" s="36" customFormat="1" ht="12" customHeight="1" x14ac:dyDescent="0.15">
      <c r="A5" s="35"/>
      <c r="B5" s="35"/>
      <c r="C5" s="39"/>
      <c r="D5" s="39"/>
      <c r="E5" s="42"/>
    </row>
    <row r="6" spans="1:5" s="36" customFormat="1" ht="36" customHeight="1" x14ac:dyDescent="0.15">
      <c r="A6" s="1501" t="s">
        <v>296</v>
      </c>
      <c r="B6" s="1501"/>
      <c r="C6" s="1501"/>
      <c r="D6" s="1501"/>
      <c r="E6" s="1501"/>
    </row>
    <row r="7" spans="1:5" s="36" customFormat="1" ht="12" customHeight="1" x14ac:dyDescent="0.15">
      <c r="A7" s="35" t="s">
        <v>758</v>
      </c>
      <c r="B7" s="35" t="s">
        <v>779</v>
      </c>
      <c r="C7" s="557"/>
      <c r="D7" s="557"/>
      <c r="E7" s="557"/>
    </row>
    <row r="8" spans="1:5" s="36" customFormat="1" ht="57.75" customHeight="1" x14ac:dyDescent="0.15">
      <c r="A8" s="1502" t="s">
        <v>12</v>
      </c>
      <c r="B8" s="1498"/>
      <c r="C8" s="1498"/>
      <c r="D8" s="1498"/>
      <c r="E8" s="1498"/>
    </row>
    <row r="9" spans="1:5" s="36" customFormat="1" ht="12" customHeight="1" x14ac:dyDescent="0.15">
      <c r="A9" s="35" t="s">
        <v>759</v>
      </c>
      <c r="B9" s="35" t="s">
        <v>297</v>
      </c>
      <c r="C9" s="75"/>
      <c r="D9" s="75"/>
    </row>
    <row r="10" spans="1:5" s="36" customFormat="1" ht="39" customHeight="1" x14ac:dyDescent="0.15">
      <c r="A10" s="1498" t="s">
        <v>13</v>
      </c>
      <c r="B10" s="1498"/>
      <c r="C10" s="1498"/>
      <c r="D10" s="1498"/>
      <c r="E10" s="1498"/>
    </row>
    <row r="11" spans="1:5" s="36" customFormat="1" ht="12" customHeight="1" x14ac:dyDescent="0.15">
      <c r="A11" s="35" t="s">
        <v>760</v>
      </c>
      <c r="B11" s="35" t="s">
        <v>311</v>
      </c>
      <c r="C11" s="75"/>
      <c r="D11" s="75"/>
    </row>
    <row r="12" spans="1:5" s="36" customFormat="1" ht="60" customHeight="1" x14ac:dyDescent="0.15">
      <c r="A12" s="1498" t="s">
        <v>616</v>
      </c>
      <c r="B12" s="1498"/>
      <c r="C12" s="1498"/>
      <c r="D12" s="1498"/>
      <c r="E12" s="1498"/>
    </row>
    <row r="13" spans="1:5" s="36" customFormat="1" ht="12.6" customHeight="1" x14ac:dyDescent="0.15">
      <c r="A13" s="35" t="s">
        <v>312</v>
      </c>
      <c r="B13" s="35" t="s">
        <v>313</v>
      </c>
      <c r="C13" s="39"/>
      <c r="D13" s="39"/>
      <c r="E13" s="42"/>
    </row>
    <row r="14" spans="1:5" s="36" customFormat="1" ht="24" customHeight="1" x14ac:dyDescent="0.15">
      <c r="A14" s="1498" t="s">
        <v>1066</v>
      </c>
      <c r="B14" s="1498"/>
      <c r="C14" s="1498"/>
      <c r="D14" s="1498"/>
      <c r="E14" s="1498"/>
    </row>
    <row r="15" spans="1:5" s="36" customFormat="1" ht="14.25" customHeight="1" x14ac:dyDescent="0.15">
      <c r="A15" s="35" t="s">
        <v>314</v>
      </c>
      <c r="B15" s="35" t="s">
        <v>315</v>
      </c>
      <c r="C15" s="39"/>
      <c r="D15" s="39"/>
      <c r="E15" s="42"/>
    </row>
    <row r="16" spans="1:5" s="36" customFormat="1" ht="90.75" customHeight="1" x14ac:dyDescent="0.15">
      <c r="A16" s="1498" t="s">
        <v>1067</v>
      </c>
      <c r="B16" s="1498"/>
      <c r="C16" s="1498"/>
      <c r="D16" s="1498"/>
      <c r="E16" s="1498"/>
    </row>
    <row r="17" spans="1:5" s="36" customFormat="1" ht="37.5" customHeight="1" x14ac:dyDescent="0.15">
      <c r="A17" s="1498" t="s">
        <v>618</v>
      </c>
      <c r="B17" s="1498"/>
      <c r="C17" s="1498"/>
      <c r="D17" s="1498"/>
      <c r="E17" s="1498"/>
    </row>
    <row r="18" spans="1:5" s="36" customFormat="1" ht="45.75" customHeight="1" x14ac:dyDescent="0.15">
      <c r="A18" s="554"/>
      <c r="B18" s="554"/>
      <c r="C18" s="554"/>
      <c r="D18" s="554"/>
      <c r="E18" s="554"/>
    </row>
    <row r="19" spans="1:5" s="73" customFormat="1" ht="54" customHeight="1" x14ac:dyDescent="0.15">
      <c r="A19" s="66" t="str">
        <f>A2</f>
        <v>Rentenormeringsbalans 2012 algemene ziekenhuizen</v>
      </c>
      <c r="B19" s="40"/>
      <c r="C19" s="39"/>
      <c r="D19" s="39"/>
      <c r="E19" s="42">
        <f>E2+1</f>
        <v>3</v>
      </c>
    </row>
    <row r="20" spans="1:5" s="36" customFormat="1" ht="22.5" customHeight="1" x14ac:dyDescent="0.15">
      <c r="A20" s="35" t="s">
        <v>774</v>
      </c>
      <c r="B20" s="35" t="s">
        <v>316</v>
      </c>
      <c r="C20" s="76"/>
      <c r="D20" s="76"/>
    </row>
    <row r="21" spans="1:5" s="36" customFormat="1" ht="29.25" customHeight="1" x14ac:dyDescent="0.15">
      <c r="A21" s="1498" t="s">
        <v>317</v>
      </c>
      <c r="B21" s="1503"/>
      <c r="C21" s="1503"/>
      <c r="D21" s="1503"/>
      <c r="E21" s="1503"/>
    </row>
    <row r="22" spans="1:5" s="36" customFormat="1" ht="60" customHeight="1" x14ac:dyDescent="0.15">
      <c r="A22" s="1498" t="s">
        <v>86</v>
      </c>
      <c r="B22" s="1503"/>
      <c r="C22" s="1503"/>
      <c r="D22" s="1503"/>
      <c r="E22" s="1503"/>
    </row>
    <row r="23" spans="1:5" s="43" customFormat="1" ht="51" customHeight="1" x14ac:dyDescent="0.15">
      <c r="A23" s="1498" t="s">
        <v>565</v>
      </c>
      <c r="B23" s="1503"/>
      <c r="C23" s="1503"/>
      <c r="D23" s="1503"/>
      <c r="E23" s="1503"/>
    </row>
    <row r="24" spans="1:5" s="40" customFormat="1" ht="48" customHeight="1" x14ac:dyDescent="0.2">
      <c r="A24" s="1498" t="s">
        <v>619</v>
      </c>
      <c r="B24" s="1498"/>
      <c r="C24" s="1498"/>
      <c r="D24" s="1498"/>
      <c r="E24" s="1498"/>
    </row>
    <row r="25" spans="1:5" s="48" customFormat="1" ht="37.5" customHeight="1" x14ac:dyDescent="0.2">
      <c r="A25" s="1498" t="s">
        <v>326</v>
      </c>
      <c r="B25" s="1498"/>
      <c r="C25" s="1498"/>
      <c r="D25" s="1498"/>
      <c r="E25" s="1498"/>
    </row>
    <row r="26" spans="1:5" s="48" customFormat="1" ht="12" customHeight="1" x14ac:dyDescent="0.15">
      <c r="A26" s="591" t="s">
        <v>776</v>
      </c>
      <c r="B26" s="591" t="s">
        <v>775</v>
      </c>
      <c r="C26" s="556"/>
      <c r="D26" s="556"/>
      <c r="E26" s="556"/>
    </row>
    <row r="27" spans="1:5" s="48" customFormat="1" ht="64.5" customHeight="1" x14ac:dyDescent="0.2">
      <c r="A27" s="1498" t="s">
        <v>620</v>
      </c>
      <c r="B27" s="1498"/>
      <c r="C27" s="1498"/>
      <c r="D27" s="1498"/>
      <c r="E27" s="1498"/>
    </row>
    <row r="28" spans="1:5" s="48" customFormat="1" ht="49.5" customHeight="1" x14ac:dyDescent="0.2">
      <c r="A28" s="1498" t="s">
        <v>566</v>
      </c>
      <c r="B28" s="1498"/>
      <c r="C28" s="1498"/>
      <c r="D28" s="1498"/>
      <c r="E28" s="1498"/>
    </row>
    <row r="29" spans="1:5" s="48" customFormat="1" ht="16.5" customHeight="1" x14ac:dyDescent="0.15">
      <c r="A29" s="591" t="s">
        <v>327</v>
      </c>
      <c r="B29" s="591" t="s">
        <v>328</v>
      </c>
      <c r="C29" s="75"/>
      <c r="D29" s="75"/>
      <c r="E29" s="75"/>
    </row>
    <row r="30" spans="1:5" s="48" customFormat="1" ht="61.5" customHeight="1" x14ac:dyDescent="0.2">
      <c r="A30" s="1498" t="s">
        <v>567</v>
      </c>
      <c r="B30" s="1498"/>
      <c r="C30" s="1498"/>
      <c r="D30" s="1498"/>
      <c r="E30" s="1498"/>
    </row>
    <row r="31" spans="1:5" s="48" customFormat="1" ht="48" customHeight="1" x14ac:dyDescent="0.15">
      <c r="A31" s="35"/>
      <c r="B31" s="36"/>
      <c r="C31" s="36"/>
      <c r="D31" s="36"/>
      <c r="E31" s="36"/>
    </row>
    <row r="32" spans="1:5" x14ac:dyDescent="0.15">
      <c r="A32" s="35"/>
      <c r="B32" s="36"/>
      <c r="C32" s="36"/>
      <c r="D32" s="36"/>
      <c r="E32" s="36"/>
    </row>
    <row r="33" spans="1:5" ht="60" customHeight="1" x14ac:dyDescent="0.15"/>
    <row r="34" spans="1:5" s="36" customFormat="1" x14ac:dyDescent="0.15">
      <c r="A34" s="211"/>
      <c r="B34" s="74"/>
      <c r="C34" s="74"/>
      <c r="D34" s="74"/>
      <c r="E34" s="74"/>
    </row>
    <row r="35" spans="1:5" s="36" customFormat="1" ht="15.75" customHeight="1" x14ac:dyDescent="0.15">
      <c r="A35" s="211"/>
      <c r="B35" s="74"/>
      <c r="C35" s="74"/>
      <c r="D35" s="74"/>
      <c r="E35" s="74"/>
    </row>
    <row r="36" spans="1:5" s="36" customFormat="1" ht="36" customHeight="1" x14ac:dyDescent="0.15">
      <c r="A36" s="211"/>
      <c r="B36" s="74"/>
      <c r="C36" s="74"/>
      <c r="D36" s="74"/>
      <c r="E36" s="74"/>
    </row>
    <row r="37" spans="1:5" s="36" customFormat="1" ht="15.75" customHeight="1" x14ac:dyDescent="0.15">
      <c r="A37" s="211"/>
      <c r="B37" s="74"/>
      <c r="C37" s="74"/>
      <c r="D37" s="74"/>
      <c r="E37" s="74"/>
    </row>
    <row r="38" spans="1:5" s="36" customFormat="1" ht="58.5" customHeight="1" x14ac:dyDescent="0.15">
      <c r="A38" s="211"/>
      <c r="B38" s="74"/>
      <c r="C38" s="74"/>
      <c r="D38" s="74"/>
      <c r="E38" s="74"/>
    </row>
    <row r="39" spans="1:5" s="36" customFormat="1" ht="54" customHeight="1" x14ac:dyDescent="0.15">
      <c r="A39" s="211"/>
      <c r="B39" s="74"/>
      <c r="C39" s="74"/>
      <c r="D39" s="74"/>
      <c r="E39" s="74"/>
    </row>
    <row r="40" spans="1:5" s="36" customFormat="1" ht="13.15" customHeight="1" x14ac:dyDescent="0.15">
      <c r="A40" s="211"/>
      <c r="B40" s="74"/>
      <c r="C40" s="74"/>
      <c r="D40" s="74"/>
      <c r="E40" s="74"/>
    </row>
    <row r="41" spans="1:5" s="36" customFormat="1" hidden="1" x14ac:dyDescent="0.15">
      <c r="A41" s="211"/>
      <c r="B41" s="74"/>
      <c r="C41" s="74"/>
      <c r="D41" s="74"/>
      <c r="E41" s="74"/>
    </row>
    <row r="42" spans="1:5" s="36" customFormat="1" hidden="1" x14ac:dyDescent="0.15">
      <c r="A42" s="211"/>
      <c r="B42" s="74"/>
      <c r="C42" s="74"/>
      <c r="D42" s="74"/>
      <c r="E42" s="74"/>
    </row>
    <row r="43" spans="1:5" s="36" customFormat="1" hidden="1" x14ac:dyDescent="0.15">
      <c r="A43" s="211"/>
      <c r="B43" s="74"/>
      <c r="C43" s="74"/>
      <c r="D43" s="74"/>
      <c r="E43" s="74"/>
    </row>
    <row r="44" spans="1:5" s="36" customFormat="1" hidden="1" x14ac:dyDescent="0.15">
      <c r="A44" s="211"/>
      <c r="B44" s="74"/>
      <c r="C44" s="74"/>
      <c r="D44" s="74"/>
      <c r="E44" s="74"/>
    </row>
    <row r="45" spans="1:5" s="36" customFormat="1" hidden="1" x14ac:dyDescent="0.15">
      <c r="A45" s="211"/>
      <c r="B45" s="74"/>
      <c r="C45" s="74"/>
      <c r="D45" s="74"/>
      <c r="E45" s="74"/>
    </row>
    <row r="46" spans="1:5" s="36" customFormat="1" hidden="1" x14ac:dyDescent="0.15">
      <c r="A46" s="211"/>
      <c r="B46" s="74"/>
      <c r="C46" s="74"/>
      <c r="D46" s="74"/>
      <c r="E46" s="74"/>
    </row>
    <row r="47" spans="1:5" s="36" customFormat="1" hidden="1" x14ac:dyDescent="0.15">
      <c r="A47" s="211"/>
      <c r="B47" s="74"/>
      <c r="C47" s="74"/>
      <c r="D47" s="74"/>
      <c r="E47" s="74"/>
    </row>
    <row r="48" spans="1:5" s="36" customFormat="1" hidden="1" x14ac:dyDescent="0.15">
      <c r="A48" s="211"/>
      <c r="B48" s="74"/>
      <c r="C48" s="74"/>
      <c r="D48" s="74"/>
      <c r="E48" s="74"/>
    </row>
    <row r="49" spans="1:5" s="36" customFormat="1" hidden="1" x14ac:dyDescent="0.15">
      <c r="A49" s="211"/>
      <c r="B49" s="74"/>
      <c r="C49" s="74"/>
      <c r="D49" s="74"/>
      <c r="E49" s="74"/>
    </row>
    <row r="50" spans="1:5" s="36" customFormat="1" hidden="1" x14ac:dyDescent="0.15">
      <c r="A50" s="211"/>
      <c r="B50" s="74"/>
      <c r="C50" s="74"/>
      <c r="D50" s="74"/>
      <c r="E50" s="74"/>
    </row>
    <row r="51" spans="1:5" s="36" customFormat="1" hidden="1" x14ac:dyDescent="0.15">
      <c r="A51" s="211"/>
      <c r="B51" s="74"/>
      <c r="C51" s="74"/>
      <c r="D51" s="74"/>
      <c r="E51" s="74"/>
    </row>
    <row r="52" spans="1:5" s="36" customFormat="1" hidden="1" x14ac:dyDescent="0.15">
      <c r="A52" s="211"/>
      <c r="B52" s="74"/>
      <c r="C52" s="74"/>
      <c r="D52" s="74"/>
      <c r="E52" s="74"/>
    </row>
    <row r="53" spans="1:5" s="31" customFormat="1" ht="15.75" customHeight="1" x14ac:dyDescent="0.15">
      <c r="A53" s="211"/>
      <c r="B53" s="74"/>
      <c r="C53" s="74"/>
      <c r="D53" s="74"/>
      <c r="E53" s="74"/>
    </row>
    <row r="54" spans="1:5" s="36" customFormat="1" ht="15.75" customHeight="1" x14ac:dyDescent="0.15">
      <c r="A54" s="211"/>
      <c r="B54" s="74"/>
      <c r="C54" s="74"/>
      <c r="D54" s="74"/>
      <c r="E54" s="74"/>
    </row>
    <row r="55" spans="1:5" s="36" customFormat="1" x14ac:dyDescent="0.15">
      <c r="A55" s="211"/>
      <c r="B55" s="74"/>
      <c r="C55" s="74"/>
      <c r="D55" s="74"/>
      <c r="E55" s="74"/>
    </row>
    <row r="56" spans="1:5" s="36" customFormat="1" ht="36" customHeight="1" x14ac:dyDescent="0.15">
      <c r="A56" s="211"/>
      <c r="B56" s="74"/>
      <c r="C56" s="74"/>
      <c r="D56" s="74"/>
      <c r="E56" s="74"/>
    </row>
    <row r="57" spans="1:5" s="36" customFormat="1" ht="48" customHeight="1" x14ac:dyDescent="0.15">
      <c r="A57" s="211"/>
      <c r="B57" s="74"/>
      <c r="C57" s="74"/>
      <c r="D57" s="74"/>
      <c r="E57" s="74"/>
    </row>
    <row r="58" spans="1:5" s="36" customFormat="1" ht="48" customHeight="1" x14ac:dyDescent="0.15">
      <c r="A58" s="211"/>
      <c r="B58" s="74"/>
      <c r="C58" s="74"/>
      <c r="D58" s="74"/>
      <c r="E58" s="74"/>
    </row>
    <row r="59" spans="1:5" s="36" customFormat="1" ht="48" customHeight="1" x14ac:dyDescent="0.15">
      <c r="A59" s="211"/>
      <c r="B59" s="74"/>
      <c r="C59" s="74"/>
      <c r="D59" s="74"/>
      <c r="E59" s="74"/>
    </row>
    <row r="60" spans="1:5" s="36" customFormat="1" ht="36" customHeight="1" x14ac:dyDescent="0.15">
      <c r="A60" s="211"/>
      <c r="B60" s="74"/>
      <c r="C60" s="74"/>
      <c r="D60" s="74"/>
      <c r="E60" s="74"/>
    </row>
    <row r="61" spans="1:5" s="36" customFormat="1" x14ac:dyDescent="0.15">
      <c r="A61" s="211"/>
      <c r="B61" s="74"/>
      <c r="C61" s="74"/>
      <c r="D61" s="74"/>
      <c r="E61" s="74"/>
    </row>
    <row r="62" spans="1:5" s="36" customFormat="1" ht="72" customHeight="1" x14ac:dyDescent="0.15">
      <c r="A62" s="211"/>
      <c r="B62" s="74"/>
      <c r="C62" s="74"/>
      <c r="D62" s="74"/>
      <c r="E62" s="74"/>
    </row>
    <row r="63" spans="1:5" s="36" customFormat="1" ht="48" customHeight="1" x14ac:dyDescent="0.15">
      <c r="A63" s="211"/>
      <c r="B63" s="74"/>
      <c r="C63" s="74"/>
      <c r="D63" s="74"/>
      <c r="E63" s="74"/>
    </row>
    <row r="64" spans="1:5" s="36" customFormat="1" x14ac:dyDescent="0.15">
      <c r="A64" s="211"/>
      <c r="B64" s="74"/>
      <c r="C64" s="74"/>
      <c r="D64" s="74"/>
      <c r="E64" s="74"/>
    </row>
    <row r="65" spans="1:5" s="36" customFormat="1" ht="48" customHeight="1" x14ac:dyDescent="0.15">
      <c r="A65" s="211"/>
      <c r="B65" s="74"/>
      <c r="C65" s="74"/>
      <c r="D65" s="74"/>
      <c r="E65" s="74"/>
    </row>
    <row r="66" spans="1:5" s="36" customFormat="1" x14ac:dyDescent="0.15">
      <c r="A66" s="211"/>
      <c r="B66" s="74"/>
      <c r="C66" s="74"/>
      <c r="D66" s="74"/>
      <c r="E66" s="74"/>
    </row>
    <row r="67" spans="1:5" s="36" customFormat="1" x14ac:dyDescent="0.15">
      <c r="A67" s="211"/>
      <c r="B67" s="74"/>
      <c r="C67" s="74"/>
      <c r="D67" s="74"/>
      <c r="E67" s="74"/>
    </row>
  </sheetData>
  <sheetProtection password="CA39" sheet="1" objects="1" scenarios="1"/>
  <mergeCells count="15">
    <mergeCell ref="A30:E30"/>
    <mergeCell ref="A27:E27"/>
    <mergeCell ref="A12:E12"/>
    <mergeCell ref="A24:E24"/>
    <mergeCell ref="A16:E16"/>
    <mergeCell ref="A14:E14"/>
    <mergeCell ref="A23:E23"/>
    <mergeCell ref="A6:E6"/>
    <mergeCell ref="A17:E17"/>
    <mergeCell ref="A8:E8"/>
    <mergeCell ref="A10:E10"/>
    <mergeCell ref="A28:E28"/>
    <mergeCell ref="A25:E25"/>
    <mergeCell ref="A21:E21"/>
    <mergeCell ref="A22:E22"/>
  </mergeCells>
  <phoneticPr fontId="12" type="noConversion"/>
  <pageMargins left="0.39370078740157483" right="0.39370078740157483" top="0.39370078740157483" bottom="0.39370078740157483" header="0.51181102362204722" footer="0.51181102362204722"/>
  <pageSetup paperSize="9" orientation="landscape" cellComments="asDisplayed" r:id="rId1"/>
  <headerFooter alignWithMargins="0"/>
  <rowBreaks count="1" manualBreakCount="1">
    <brk id="18" max="4" man="1"/>
  </rowBreaks>
  <drawing r:id="rId2"/>
  <legacyDrawing r:id="rId3"/>
  <oleObjects>
    <mc:AlternateContent xmlns:mc="http://schemas.openxmlformats.org/markup-compatibility/2006">
      <mc:Choice Requires="x14">
        <oleObject progId="MSPhotoEd.3" shapeId="88065" r:id="rId4">
          <objectPr defaultSize="0" autoPict="0" r:id="rId5">
            <anchor moveWithCells="1" sizeWithCells="1">
              <from>
                <xdr:col>2</xdr:col>
                <xdr:colOff>457200</xdr:colOff>
                <xdr:row>0</xdr:row>
                <xdr:rowOff>0</xdr:rowOff>
              </from>
              <to>
                <xdr:col>4</xdr:col>
                <xdr:colOff>47625</xdr:colOff>
                <xdr:row>0</xdr:row>
                <xdr:rowOff>0</xdr:rowOff>
              </to>
            </anchor>
          </objectPr>
        </oleObject>
      </mc:Choice>
      <mc:Fallback>
        <oleObject progId="MSPhotoEd.3" shapeId="88065" r:id="rId4"/>
      </mc:Fallback>
    </mc:AlternateContent>
    <mc:AlternateContent xmlns:mc="http://schemas.openxmlformats.org/markup-compatibility/2006">
      <mc:Choice Requires="x14">
        <oleObject progId="MSPhotoEd.3" shapeId="88066" r:id="rId6">
          <objectPr defaultSize="0" autoPict="0" r:id="rId5">
            <anchor moveWithCells="1" sizeWithCells="1">
              <from>
                <xdr:col>2</xdr:col>
                <xdr:colOff>447675</xdr:colOff>
                <xdr:row>0</xdr:row>
                <xdr:rowOff>0</xdr:rowOff>
              </from>
              <to>
                <xdr:col>4</xdr:col>
                <xdr:colOff>38100</xdr:colOff>
                <xdr:row>0</xdr:row>
                <xdr:rowOff>0</xdr:rowOff>
              </to>
            </anchor>
          </objectPr>
        </oleObject>
      </mc:Choice>
      <mc:Fallback>
        <oleObject progId="MSPhotoEd.3" shapeId="88066" r:id="rId6"/>
      </mc:Fallback>
    </mc:AlternateContent>
    <mc:AlternateContent xmlns:mc="http://schemas.openxmlformats.org/markup-compatibility/2006">
      <mc:Choice Requires="x14">
        <oleObject progId="MSPhotoEd.3" shapeId="88072" r:id="rId7">
          <objectPr defaultSize="0" autoPict="0" r:id="rId5">
            <anchor moveWithCells="1" sizeWithCells="1">
              <from>
                <xdr:col>2</xdr:col>
                <xdr:colOff>333375</xdr:colOff>
                <xdr:row>18</xdr:row>
                <xdr:rowOff>276225</xdr:rowOff>
              </from>
              <to>
                <xdr:col>3</xdr:col>
                <xdr:colOff>438150</xdr:colOff>
                <xdr:row>18</xdr:row>
                <xdr:rowOff>419100</xdr:rowOff>
              </to>
            </anchor>
          </objectPr>
        </oleObject>
      </mc:Choice>
      <mc:Fallback>
        <oleObject progId="MSPhotoEd.3" shapeId="88072" r:id="rId7"/>
      </mc:Fallback>
    </mc:AlternateContent>
    <mc:AlternateContent xmlns:mc="http://schemas.openxmlformats.org/markup-compatibility/2006">
      <mc:Choice Requires="x14">
        <oleObject progId="MSPhotoEd.3" shapeId="88073" r:id="rId8">
          <objectPr defaultSize="0" autoPict="0" r:id="rId5">
            <anchor moveWithCells="1" sizeWithCells="1">
              <from>
                <xdr:col>2</xdr:col>
                <xdr:colOff>276225</xdr:colOff>
                <xdr:row>1</xdr:row>
                <xdr:rowOff>47625</xdr:rowOff>
              </from>
              <to>
                <xdr:col>3</xdr:col>
                <xdr:colOff>381000</xdr:colOff>
                <xdr:row>1</xdr:row>
                <xdr:rowOff>190500</xdr:rowOff>
              </to>
            </anchor>
          </objectPr>
        </oleObject>
      </mc:Choice>
      <mc:Fallback>
        <oleObject progId="MSPhotoEd.3" shapeId="88073" r:id="rId8"/>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pageSetUpPr fitToPage="1"/>
  </sheetPr>
  <dimension ref="A1:R110"/>
  <sheetViews>
    <sheetView showGridLines="0" showZeros="0" showOutlineSymbols="0" zoomScaleNormal="100" zoomScaleSheetLayoutView="100" workbookViewId="0">
      <selection activeCell="C47" sqref="C47"/>
    </sheetView>
  </sheetViews>
  <sheetFormatPr defaultRowHeight="12.75" x14ac:dyDescent="0.2"/>
  <cols>
    <col min="1" max="1" width="2.7109375" style="236" customWidth="1"/>
    <col min="2" max="2" width="8.5703125" style="237" customWidth="1"/>
    <col min="3" max="3" width="64.85546875" style="224" customWidth="1"/>
    <col min="4" max="4" width="7.140625" style="224" customWidth="1"/>
    <col min="5" max="6" width="2.7109375" style="224" customWidth="1"/>
    <col min="7" max="7" width="6.140625" style="235" customWidth="1"/>
    <col min="8" max="8" width="50.7109375" style="224" customWidth="1"/>
    <col min="9" max="9" width="8" style="224" customWidth="1"/>
    <col min="10" max="16384" width="9.140625" style="224"/>
  </cols>
  <sheetData>
    <row r="1" spans="1:18" s="164" customFormat="1" ht="15.95" customHeight="1" x14ac:dyDescent="0.2">
      <c r="A1" s="214"/>
      <c r="B1" s="215"/>
      <c r="C1" s="27"/>
      <c r="D1" s="216"/>
      <c r="E1" s="216"/>
      <c r="F1" s="214"/>
      <c r="G1" s="127"/>
      <c r="H1" s="27"/>
      <c r="I1" s="26"/>
      <c r="J1" s="28"/>
      <c r="K1" s="26"/>
      <c r="L1" s="26"/>
      <c r="M1" s="26"/>
      <c r="N1" s="26"/>
      <c r="O1" s="26"/>
      <c r="P1" s="26"/>
      <c r="Q1" s="26"/>
      <c r="R1" s="26"/>
    </row>
    <row r="2" spans="1:18" s="163" customFormat="1" ht="12.75" customHeight="1" x14ac:dyDescent="0.2">
      <c r="A2" s="66" t="str">
        <f>CONCATENATE("Vaststelling Transitiebedrag ",Voorblad!K4)</f>
        <v>Vaststelling Transitiebedrag 2012</v>
      </c>
      <c r="B2" s="217"/>
      <c r="C2" s="218"/>
      <c r="D2" s="218"/>
      <c r="E2" s="218"/>
      <c r="F2" s="218"/>
      <c r="G2" s="219"/>
      <c r="H2" s="130"/>
      <c r="I2" s="131">
        <v>2</v>
      </c>
      <c r="J2" s="130"/>
      <c r="K2" s="130"/>
      <c r="L2" s="130"/>
      <c r="M2" s="130"/>
      <c r="N2" s="130"/>
      <c r="O2" s="130"/>
      <c r="P2" s="130"/>
      <c r="Q2" s="130"/>
      <c r="R2" s="130"/>
    </row>
    <row r="3" spans="1:18" ht="12.75" customHeight="1" x14ac:dyDescent="0.2">
      <c r="A3" s="220"/>
      <c r="B3" s="221"/>
      <c r="C3" s="221"/>
      <c r="D3" s="222"/>
      <c r="E3" s="222"/>
      <c r="F3" s="220"/>
      <c r="G3" s="223"/>
      <c r="H3" s="221"/>
      <c r="I3" s="221"/>
      <c r="J3" s="221"/>
      <c r="K3" s="221"/>
      <c r="L3" s="221"/>
      <c r="M3" s="221"/>
      <c r="N3" s="221"/>
      <c r="O3" s="221"/>
      <c r="P3" s="221"/>
      <c r="Q3" s="221"/>
      <c r="R3" s="221"/>
    </row>
    <row r="4" spans="1:18" s="6" customFormat="1" ht="12.75" customHeight="1" x14ac:dyDescent="0.2">
      <c r="A4" s="35" t="s">
        <v>813</v>
      </c>
      <c r="B4" s="93"/>
      <c r="C4" s="36"/>
      <c r="D4" s="225" t="s">
        <v>834</v>
      </c>
      <c r="E4" s="36"/>
      <c r="F4" s="36"/>
      <c r="G4" s="226"/>
      <c r="H4" s="36"/>
      <c r="I4" s="225" t="s">
        <v>834</v>
      </c>
      <c r="J4" s="36"/>
      <c r="K4" s="36"/>
      <c r="L4" s="36"/>
      <c r="M4" s="36"/>
      <c r="N4" s="36"/>
      <c r="O4" s="36"/>
      <c r="P4" s="36"/>
      <c r="Q4" s="36"/>
      <c r="R4" s="36"/>
    </row>
    <row r="5" spans="1:18" s="6" customFormat="1" ht="12.75" customHeight="1" x14ac:dyDescent="0.2">
      <c r="A5" s="35"/>
      <c r="B5" s="93"/>
      <c r="C5" s="36"/>
      <c r="D5" s="225"/>
      <c r="E5" s="35"/>
      <c r="F5" s="35"/>
      <c r="G5" s="90"/>
      <c r="H5" s="35"/>
      <c r="I5" s="227"/>
      <c r="J5" s="36"/>
      <c r="K5" s="36"/>
      <c r="L5" s="36"/>
      <c r="M5" s="36"/>
      <c r="N5" s="36"/>
      <c r="O5" s="36"/>
      <c r="P5" s="36"/>
      <c r="Q5" s="36"/>
      <c r="R5" s="36"/>
    </row>
    <row r="6" spans="1:18" s="9" customFormat="1" ht="12.75" customHeight="1" x14ac:dyDescent="0.2">
      <c r="A6" s="35" t="str">
        <f>instructie!A4</f>
        <v>TOELICHTING / INVULINSTRUCTIE</v>
      </c>
      <c r="B6" s="93"/>
      <c r="C6" s="36"/>
      <c r="D6" s="79">
        <f>instructie!H2</f>
        <v>3</v>
      </c>
      <c r="E6" s="73"/>
      <c r="F6" s="73"/>
      <c r="G6" s="51" t="str">
        <f>'4 overzicht mutaties'!A4</f>
        <v>RUBRIEK 4: OVERZICHT MUTATIES</v>
      </c>
      <c r="H6" s="83"/>
      <c r="I6" s="84"/>
      <c r="J6" s="79"/>
      <c r="K6" s="73"/>
      <c r="L6" s="73"/>
      <c r="M6" s="73"/>
      <c r="N6" s="73"/>
      <c r="O6" s="73"/>
      <c r="P6" s="73"/>
      <c r="Q6" s="73"/>
      <c r="R6" s="73"/>
    </row>
    <row r="7" spans="1:18" s="9" customFormat="1" ht="12.75" customHeight="1" x14ac:dyDescent="0.2">
      <c r="A7" s="35"/>
      <c r="B7" s="93"/>
      <c r="C7" s="36"/>
      <c r="D7" s="225"/>
      <c r="E7" s="73"/>
      <c r="F7" s="51"/>
      <c r="G7" s="74"/>
      <c r="H7" s="83"/>
      <c r="I7" s="79"/>
      <c r="K7" s="73"/>
      <c r="L7" s="73"/>
      <c r="M7" s="73"/>
      <c r="N7" s="73"/>
      <c r="O7" s="73"/>
      <c r="P7" s="73"/>
      <c r="Q7" s="73"/>
      <c r="R7" s="73"/>
    </row>
    <row r="8" spans="1:18" s="9" customFormat="1" ht="12.75" customHeight="1" x14ac:dyDescent="0.2">
      <c r="A8" s="51" t="str">
        <f>'1.1  realisatie'!A4</f>
        <v>RUBRIEK 1: NACALCULATIE PRODUCTIE</v>
      </c>
      <c r="B8" s="77"/>
      <c r="C8" s="78"/>
      <c r="D8" s="79"/>
      <c r="E8" s="36"/>
      <c r="F8" s="51"/>
      <c r="G8" s="83" t="str">
        <f>'4 overzicht mutaties'!A7</f>
        <v>4.1</v>
      </c>
      <c r="H8" s="84" t="str">
        <f>'4 overzicht mutaties'!B7</f>
        <v>Mutaties schaduwbudget 2012</v>
      </c>
      <c r="I8" s="79">
        <f>'4 overzicht mutaties'!E2</f>
        <v>20</v>
      </c>
      <c r="K8" s="73"/>
      <c r="L8" s="73"/>
      <c r="M8" s="73"/>
      <c r="N8" s="73"/>
      <c r="O8" s="73"/>
      <c r="P8" s="73"/>
      <c r="Q8" s="73"/>
      <c r="R8" s="73"/>
    </row>
    <row r="9" spans="1:18" s="6" customFormat="1" ht="12.75" customHeight="1" x14ac:dyDescent="0.2">
      <c r="A9" s="51"/>
      <c r="B9" s="80" t="str">
        <f>'1.1  realisatie'!A7</f>
        <v xml:space="preserve">1.1 </v>
      </c>
      <c r="C9" s="81" t="str">
        <f>'1.1  realisatie'!B7</f>
        <v>Productieaantallen en realisatie 2012</v>
      </c>
      <c r="D9" s="79">
        <f>'1.1  realisatie'!J2</f>
        <v>5</v>
      </c>
      <c r="E9" s="36"/>
      <c r="F9" s="36"/>
      <c r="G9" s="83" t="str">
        <f>'4 overzicht mutaties'!A28</f>
        <v>4.2</v>
      </c>
      <c r="H9" s="84" t="str">
        <f>'4 overzicht mutaties'!B28</f>
        <v>Opbrengstverrekening 2012 (ziekenhuis exclusief PAAZ)</v>
      </c>
      <c r="I9" s="79">
        <f>I8</f>
        <v>20</v>
      </c>
      <c r="K9" s="36"/>
      <c r="L9" s="36"/>
      <c r="M9" s="36"/>
      <c r="N9" s="36"/>
      <c r="O9" s="36"/>
      <c r="P9" s="36"/>
      <c r="Q9" s="36"/>
      <c r="R9" s="36"/>
    </row>
    <row r="10" spans="1:18" s="6" customFormat="1" ht="12.75" customHeight="1" x14ac:dyDescent="0.2">
      <c r="A10" s="51"/>
      <c r="B10" s="80" t="str">
        <f>'1.1  realisatie'!A135</f>
        <v>1.2</v>
      </c>
      <c r="C10" s="81" t="str">
        <f>'1.1  realisatie'!B135</f>
        <v>Eerstelijnsvoorzieningen / -functies</v>
      </c>
      <c r="D10" s="79">
        <f>'1.1  realisatie'!J132</f>
        <v>8</v>
      </c>
      <c r="E10" s="36"/>
      <c r="F10" s="36"/>
      <c r="G10" s="83"/>
      <c r="H10" s="84"/>
      <c r="I10" s="79"/>
      <c r="K10" s="36"/>
      <c r="L10" s="36"/>
      <c r="M10" s="36"/>
      <c r="N10" s="36"/>
      <c r="O10" s="36"/>
      <c r="P10" s="36"/>
      <c r="Q10" s="36"/>
      <c r="R10" s="36"/>
    </row>
    <row r="11" spans="1:18" s="6" customFormat="1" ht="12.75" customHeight="1" x14ac:dyDescent="0.2">
      <c r="A11" s="51"/>
      <c r="B11" s="80" t="str">
        <f>'1.3 Diverse aanvaardbare kosten'!A4</f>
        <v>1.3</v>
      </c>
      <c r="C11" s="80" t="str">
        <f>'1.3 Diverse aanvaardbare kosten'!B4</f>
        <v>Diverse aanvaardbare kosten</v>
      </c>
      <c r="D11" s="79">
        <f>'1.3 Diverse aanvaardbare kosten'!G2</f>
        <v>9</v>
      </c>
      <c r="E11" s="36"/>
      <c r="F11" s="36"/>
      <c r="H11" s="84"/>
      <c r="I11" s="79"/>
      <c r="J11" s="73"/>
      <c r="K11" s="36"/>
      <c r="L11" s="36"/>
      <c r="M11" s="36"/>
      <c r="N11" s="36"/>
      <c r="O11" s="36"/>
      <c r="P11" s="36"/>
      <c r="Q11" s="36"/>
      <c r="R11" s="36"/>
    </row>
    <row r="12" spans="1:18" s="6" customFormat="1" ht="12.75" customHeight="1" x14ac:dyDescent="0.2">
      <c r="A12" s="51"/>
      <c r="B12" s="226" t="s">
        <v>814</v>
      </c>
      <c r="C12" s="226" t="s">
        <v>91</v>
      </c>
      <c r="D12" s="79">
        <f>'1.4 dure geneesmiddelen'!G2</f>
        <v>10</v>
      </c>
      <c r="E12" s="36"/>
      <c r="F12" s="36"/>
      <c r="G12" s="441" t="s">
        <v>657</v>
      </c>
      <c r="H12" s="852"/>
      <c r="I12" s="853"/>
      <c r="J12" s="286"/>
      <c r="K12" s="36"/>
      <c r="L12" s="36"/>
      <c r="M12" s="36"/>
      <c r="N12" s="36"/>
      <c r="O12" s="36"/>
      <c r="P12" s="36"/>
      <c r="Q12" s="36"/>
      <c r="R12" s="36"/>
    </row>
    <row r="13" spans="1:18" s="6" customFormat="1" ht="12.75" customHeight="1" x14ac:dyDescent="0.2">
      <c r="A13" s="51"/>
      <c r="B13" s="80" t="str">
        <f>'1.5 opnamen, epb, extra opl.'!A5</f>
        <v>1.5</v>
      </c>
      <c r="C13" s="81" t="str">
        <f>'1.5 opnamen, epb, extra opl.'!B5</f>
        <v>Berekening (gewogen) opnamen en eerste polikliniekbezoeken 2012</v>
      </c>
      <c r="D13" s="79">
        <f>'1.5 opnamen, epb, extra opl.'!K2</f>
        <v>12</v>
      </c>
      <c r="E13" s="36"/>
      <c r="F13" s="36"/>
      <c r="G13" s="441" t="s">
        <v>691</v>
      </c>
      <c r="H13" s="441" t="s">
        <v>692</v>
      </c>
      <c r="I13" s="441">
        <v>19</v>
      </c>
      <c r="J13" s="286"/>
      <c r="K13" s="36"/>
      <c r="L13" s="36"/>
      <c r="M13" s="36"/>
      <c r="N13" s="36"/>
      <c r="O13" s="36"/>
      <c r="P13" s="36"/>
      <c r="Q13" s="36"/>
      <c r="R13" s="36"/>
    </row>
    <row r="14" spans="1:18" s="6" customFormat="1" ht="14.25" customHeight="1" x14ac:dyDescent="0.2">
      <c r="A14" s="51"/>
      <c r="B14" s="80" t="str">
        <f>'1.5 opnamen, epb, extra opl.'!A43</f>
        <v>1.6</v>
      </c>
      <c r="C14" s="80" t="str">
        <f>'1.5 opnamen, epb, extra opl.'!B43</f>
        <v>Berekening dagverpleging 2012</v>
      </c>
      <c r="D14" s="79">
        <f>'1.5 opnamen, epb, extra opl.'!K41</f>
        <v>13</v>
      </c>
      <c r="E14" s="36"/>
      <c r="F14" s="36"/>
      <c r="G14" s="441" t="s">
        <v>693</v>
      </c>
      <c r="H14" s="441" t="s">
        <v>694</v>
      </c>
      <c r="I14" s="441">
        <v>19</v>
      </c>
      <c r="J14" s="286"/>
      <c r="K14" s="36"/>
      <c r="L14" s="36"/>
      <c r="M14" s="36"/>
      <c r="N14" s="36"/>
      <c r="O14" s="36"/>
      <c r="P14" s="36"/>
      <c r="Q14" s="36"/>
      <c r="R14" s="36"/>
    </row>
    <row r="15" spans="1:18" s="6" customFormat="1" ht="12.75" customHeight="1" x14ac:dyDescent="0.2">
      <c r="A15" s="36"/>
      <c r="B15" s="80" t="s">
        <v>780</v>
      </c>
      <c r="C15" s="80" t="str">
        <f>"Mutaties specialisteneenheden " &amp; Voorblad!K4</f>
        <v>Mutaties specialisteneenheden 2012</v>
      </c>
      <c r="D15" s="79">
        <f>'1.7 specialisten'!H2</f>
        <v>14</v>
      </c>
      <c r="E15" s="36"/>
      <c r="F15" s="36"/>
      <c r="G15" s="441" t="s">
        <v>695</v>
      </c>
      <c r="H15" s="1296" t="s">
        <v>696</v>
      </c>
      <c r="I15" s="441">
        <v>19</v>
      </c>
      <c r="J15" s="286"/>
      <c r="K15" s="36"/>
      <c r="L15" s="36"/>
      <c r="M15" s="36"/>
      <c r="N15" s="36"/>
      <c r="O15" s="36"/>
      <c r="P15" s="36"/>
      <c r="Q15" s="36"/>
      <c r="R15" s="36"/>
    </row>
    <row r="16" spans="1:18" s="6" customFormat="1" ht="12.75" customHeight="1" x14ac:dyDescent="0.2">
      <c r="A16" s="36"/>
      <c r="E16" s="36"/>
      <c r="F16" s="36"/>
      <c r="G16" s="286"/>
      <c r="H16" s="1296"/>
      <c r="I16" s="286"/>
      <c r="J16" s="286"/>
      <c r="K16" s="36"/>
      <c r="L16" s="36"/>
      <c r="M16" s="36"/>
      <c r="N16" s="36"/>
      <c r="O16" s="36"/>
      <c r="P16" s="36"/>
      <c r="Q16" s="36"/>
      <c r="R16" s="36"/>
    </row>
    <row r="17" spans="1:18" s="213" customFormat="1" ht="12.75" customHeight="1" x14ac:dyDescent="0.2">
      <c r="A17" s="36"/>
      <c r="B17" s="6"/>
      <c r="C17" s="6"/>
      <c r="D17" s="6"/>
      <c r="E17" s="36"/>
      <c r="F17" s="36"/>
      <c r="J17" s="73"/>
      <c r="K17" s="212"/>
      <c r="L17" s="212"/>
      <c r="M17" s="212"/>
      <c r="N17" s="74"/>
      <c r="O17" s="74"/>
      <c r="P17" s="74"/>
      <c r="Q17" s="74"/>
      <c r="R17" s="74"/>
    </row>
    <row r="18" spans="1:18" s="9" customFormat="1" ht="12.75" customHeight="1" x14ac:dyDescent="0.2">
      <c r="A18" s="6"/>
      <c r="B18" s="92"/>
      <c r="C18" s="24"/>
      <c r="D18" s="79"/>
      <c r="E18" s="74"/>
      <c r="F18" s="36"/>
      <c r="G18" s="90" t="s">
        <v>295</v>
      </c>
      <c r="H18" s="87"/>
      <c r="I18" s="82"/>
      <c r="J18" s="73"/>
      <c r="K18" s="73"/>
      <c r="L18" s="73"/>
      <c r="M18" s="73"/>
      <c r="N18" s="73"/>
      <c r="O18" s="73"/>
      <c r="P18" s="73"/>
      <c r="Q18" s="73"/>
      <c r="R18" s="73"/>
    </row>
    <row r="19" spans="1:18" s="6" customFormat="1" ht="12.75" customHeight="1" x14ac:dyDescent="0.2">
      <c r="A19" s="51" t="str">
        <f>'2 afschrijv. instandhoud. '!A4</f>
        <v>RUBRIEK 2: KAPITAALLASTEN</v>
      </c>
      <c r="B19" s="85"/>
      <c r="C19" s="86"/>
      <c r="D19" s="79"/>
      <c r="E19" s="73"/>
      <c r="F19" s="94"/>
      <c r="J19" s="36"/>
      <c r="K19" s="36"/>
      <c r="L19" s="36"/>
      <c r="M19" s="36"/>
      <c r="N19" s="36"/>
      <c r="O19" s="36"/>
      <c r="P19" s="36"/>
      <c r="Q19" s="36"/>
      <c r="R19" s="36"/>
    </row>
    <row r="20" spans="1:18" s="213" customFormat="1" ht="12.75" customHeight="1" x14ac:dyDescent="0.2">
      <c r="A20" s="74"/>
      <c r="B20" s="83" t="str">
        <f>'2 afschrijv. instandhoud. '!A6</f>
        <v>2.1</v>
      </c>
      <c r="C20" s="84" t="str">
        <f>'2 afschrijv. instandhoud. '!B6</f>
        <v>Nacalculeerbare aanvaardbare afschrijvingskosten (normale en verkorte procedures)</v>
      </c>
      <c r="D20" s="79">
        <f>'2 afschrijv. instandhoud. '!P2</f>
        <v>15</v>
      </c>
      <c r="E20" s="36"/>
      <c r="G20" s="82" t="s">
        <v>939</v>
      </c>
      <c r="H20" s="6"/>
      <c r="I20" s="79">
        <f>'Overige mutaties'!O2</f>
        <v>21</v>
      </c>
      <c r="J20" s="36"/>
      <c r="K20" s="74"/>
      <c r="L20" s="74"/>
      <c r="M20" s="74"/>
      <c r="N20" s="74"/>
      <c r="O20" s="74"/>
      <c r="P20" s="74"/>
      <c r="Q20" s="74"/>
      <c r="R20" s="74"/>
    </row>
    <row r="21" spans="1:18" s="213" customFormat="1" ht="12.75" customHeight="1" x14ac:dyDescent="0.2">
      <c r="A21" s="74"/>
      <c r="B21" s="83" t="str">
        <f>'2 afschrijv. instandhoud. '!A25</f>
        <v>2.2</v>
      </c>
      <c r="C21" s="84" t="str">
        <f>'2 afschrijv. instandhoud. '!B25</f>
        <v>Instandhoudingsinvesteringen</v>
      </c>
      <c r="D21" s="79">
        <f>D20</f>
        <v>15</v>
      </c>
      <c r="E21" s="74"/>
      <c r="G21" s="82" t="str">
        <f>vragen!A4</f>
        <v>Vragenlijst berekening transitiebedrag</v>
      </c>
      <c r="H21" s="88"/>
      <c r="I21" s="79">
        <f>vragen!F2</f>
        <v>23</v>
      </c>
      <c r="J21" s="36"/>
      <c r="K21" s="74"/>
      <c r="L21" s="74"/>
      <c r="M21" s="74"/>
      <c r="N21" s="74"/>
      <c r="O21" s="74"/>
      <c r="P21" s="74"/>
      <c r="Q21" s="74"/>
      <c r="R21" s="74"/>
    </row>
    <row r="22" spans="1:18" s="213" customFormat="1" ht="12.75" customHeight="1" x14ac:dyDescent="0.2">
      <c r="A22" s="74"/>
      <c r="B22" s="83" t="str">
        <f>'2.3 inventaris '!A4</f>
        <v>2.3</v>
      </c>
      <c r="C22" s="84" t="str">
        <f>'2.3 inventaris '!B4</f>
        <v>Afschrijvingskosten medische en overige inventarissen</v>
      </c>
      <c r="D22" s="79">
        <f>'2.3 inventaris '!G2</f>
        <v>16</v>
      </c>
      <c r="E22" s="74"/>
      <c r="G22" s="90" t="str">
        <f>beleidsregelwaarden!A4</f>
        <v>Beleidsregelbedragen algemene ziekenhuizen (conform CU-2034)</v>
      </c>
      <c r="H22" s="91"/>
      <c r="I22" s="180">
        <f>beleidsregelwaarden!G2</f>
        <v>26</v>
      </c>
      <c r="J22" s="36"/>
      <c r="K22" s="74"/>
      <c r="L22" s="74"/>
      <c r="M22" s="74"/>
      <c r="N22" s="74"/>
      <c r="O22" s="74"/>
      <c r="P22" s="74"/>
      <c r="Q22" s="74"/>
      <c r="R22" s="74"/>
    </row>
    <row r="23" spans="1:18" s="213" customFormat="1" ht="12.75" customHeight="1" x14ac:dyDescent="0.2">
      <c r="B23" s="74"/>
      <c r="C23" s="88"/>
      <c r="D23" s="226"/>
      <c r="E23" s="74"/>
      <c r="G23" s="226"/>
      <c r="H23" s="229"/>
      <c r="I23" s="180"/>
      <c r="J23" s="36"/>
      <c r="K23" s="74"/>
      <c r="L23" s="74"/>
      <c r="M23" s="74"/>
      <c r="N23" s="74"/>
      <c r="O23" s="74"/>
      <c r="P23" s="74"/>
      <c r="Q23" s="74"/>
      <c r="R23" s="74"/>
    </row>
    <row r="24" spans="1:18" s="213" customFormat="1" ht="12.75" customHeight="1" x14ac:dyDescent="0.2">
      <c r="B24" s="74"/>
      <c r="C24" s="88"/>
      <c r="D24" s="226"/>
      <c r="E24" s="74"/>
      <c r="G24" s="186" t="str">
        <f>versiebeheer!A4</f>
        <v>Versiebeheer</v>
      </c>
      <c r="H24" s="229"/>
      <c r="I24" s="79"/>
      <c r="J24" s="36"/>
      <c r="K24" s="74"/>
      <c r="L24" s="74"/>
      <c r="M24" s="74"/>
      <c r="N24" s="74"/>
      <c r="O24" s="74"/>
      <c r="P24" s="74"/>
      <c r="Q24" s="74"/>
      <c r="R24" s="74"/>
    </row>
    <row r="25" spans="1:18" s="213" customFormat="1" ht="12.75" customHeight="1" x14ac:dyDescent="0.2">
      <c r="A25" s="51" t="str">
        <f>'3 opbrengsten'!A4</f>
        <v xml:space="preserve">RUBRIEK 3: OMZET UIT PRESTATIEBEKOSTIGING </v>
      </c>
      <c r="B25" s="85"/>
      <c r="C25" s="86"/>
      <c r="D25" s="79"/>
      <c r="E25" s="74"/>
      <c r="G25" s="9"/>
      <c r="J25" s="36"/>
      <c r="K25" s="74"/>
      <c r="L25" s="74"/>
      <c r="M25" s="74"/>
      <c r="N25" s="74"/>
      <c r="O25" s="74"/>
      <c r="P25" s="74"/>
      <c r="Q25" s="74"/>
      <c r="R25" s="74"/>
    </row>
    <row r="26" spans="1:18" s="213" customFormat="1" ht="12.75" customHeight="1" x14ac:dyDescent="0.2">
      <c r="A26" s="36"/>
      <c r="B26" s="83" t="str">
        <f>'3 opbrengsten'!A8</f>
        <v>3.1</v>
      </c>
      <c r="C26" s="83" t="str">
        <f>'3 opbrengsten'!B8</f>
        <v>DBC-A opbrengst (Overlopende DBC's geopend in 2011)</v>
      </c>
      <c r="D26" s="79">
        <f>'3 opbrengsten'!J2</f>
        <v>17</v>
      </c>
      <c r="E26" s="74"/>
      <c r="G26" s="540" t="s">
        <v>568</v>
      </c>
      <c r="J26" s="36"/>
      <c r="K26" s="74"/>
      <c r="L26" s="74"/>
      <c r="M26" s="74"/>
      <c r="N26" s="74"/>
      <c r="O26" s="74"/>
      <c r="P26" s="74"/>
      <c r="Q26" s="74"/>
      <c r="R26" s="74"/>
    </row>
    <row r="27" spans="1:18" s="213" customFormat="1" ht="12.75" customHeight="1" x14ac:dyDescent="0.2">
      <c r="A27" s="36"/>
      <c r="B27" s="83" t="str">
        <f>'3 opbrengsten'!A18</f>
        <v>3.2</v>
      </c>
      <c r="C27" s="83" t="str">
        <f>'3 opbrengsten'!B18</f>
        <v>Verrekening lumpsumbedragen</v>
      </c>
      <c r="D27" s="79">
        <f t="shared" ref="D27:D33" si="0">D26</f>
        <v>17</v>
      </c>
      <c r="E27" s="73"/>
      <c r="K27" s="74"/>
      <c r="L27" s="74"/>
      <c r="M27" s="74"/>
      <c r="N27" s="74"/>
      <c r="O27" s="74"/>
      <c r="P27" s="74"/>
      <c r="Q27" s="74"/>
      <c r="R27" s="74"/>
    </row>
    <row r="28" spans="1:18" s="9" customFormat="1" ht="12.75" customHeight="1" x14ac:dyDescent="0.2">
      <c r="A28" s="36"/>
      <c r="B28" s="83" t="str">
        <f>'3 opbrengsten'!A23</f>
        <v>3.3</v>
      </c>
      <c r="C28" s="83" t="str">
        <f>'3 opbrengsten'!B23</f>
        <v>DOT-A2012 opbrengst</v>
      </c>
      <c r="D28" s="79">
        <f t="shared" si="0"/>
        <v>17</v>
      </c>
      <c r="E28" s="74"/>
      <c r="K28" s="73"/>
      <c r="L28" s="73"/>
      <c r="M28" s="73"/>
      <c r="N28" s="73"/>
      <c r="O28" s="73"/>
      <c r="P28" s="73"/>
      <c r="Q28" s="73"/>
      <c r="R28" s="73"/>
    </row>
    <row r="29" spans="1:18" s="213" customFormat="1" ht="12.75" customHeight="1" x14ac:dyDescent="0.2">
      <c r="A29" s="36"/>
      <c r="B29" s="83" t="str">
        <f>'3 opbrengsten'!A34</f>
        <v>3.4</v>
      </c>
      <c r="C29" s="83" t="str">
        <f>'3 opbrengsten'!B34</f>
        <v>DOT-Bnieuw opbrengst</v>
      </c>
      <c r="D29" s="79">
        <f t="shared" si="0"/>
        <v>17</v>
      </c>
      <c r="E29" s="73"/>
      <c r="K29" s="74"/>
      <c r="L29" s="74"/>
      <c r="M29" s="74"/>
      <c r="N29" s="74"/>
      <c r="O29" s="74"/>
      <c r="P29" s="74"/>
      <c r="Q29" s="74"/>
      <c r="R29" s="74"/>
    </row>
    <row r="30" spans="1:18" s="9" customFormat="1" ht="12.75" customHeight="1" x14ac:dyDescent="0.2">
      <c r="A30" s="36"/>
      <c r="B30" s="89" t="str">
        <f>'3 opbrengsten'!A45</f>
        <v>3.5</v>
      </c>
      <c r="C30" s="89" t="str">
        <f>'3 opbrengsten'!B45</f>
        <v>Overige zorgproducten</v>
      </c>
      <c r="D30" s="79">
        <f t="shared" si="0"/>
        <v>17</v>
      </c>
      <c r="E30" s="74"/>
      <c r="F30" s="78"/>
      <c r="G30" s="213"/>
      <c r="H30" s="213"/>
      <c r="I30" s="213"/>
      <c r="J30" s="36"/>
      <c r="K30" s="73"/>
      <c r="L30" s="73"/>
      <c r="M30" s="73"/>
      <c r="N30" s="73"/>
      <c r="O30" s="73"/>
      <c r="P30" s="73"/>
      <c r="Q30" s="73"/>
      <c r="R30" s="73"/>
    </row>
    <row r="31" spans="1:18" s="213" customFormat="1" ht="12.75" customHeight="1" x14ac:dyDescent="0.2">
      <c r="A31" s="36"/>
      <c r="B31" s="89" t="str">
        <f>'3 opbrengsten'!G8</f>
        <v>3.6</v>
      </c>
      <c r="C31" s="89" t="str">
        <f>'3 opbrengsten'!H8</f>
        <v>Overige vergoedingen ter dekking van het budget</v>
      </c>
      <c r="D31" s="79">
        <f t="shared" si="0"/>
        <v>17</v>
      </c>
      <c r="E31" s="74"/>
      <c r="F31" s="74"/>
      <c r="G31" s="229"/>
      <c r="H31" s="230"/>
      <c r="I31" s="225"/>
      <c r="J31" s="74"/>
      <c r="K31" s="74"/>
      <c r="L31" s="74"/>
      <c r="M31" s="74"/>
      <c r="N31" s="74"/>
      <c r="O31" s="74"/>
      <c r="P31" s="74"/>
      <c r="Q31" s="74"/>
      <c r="R31" s="74"/>
    </row>
    <row r="32" spans="1:18" ht="12.75" customHeight="1" x14ac:dyDescent="0.2">
      <c r="A32" s="74"/>
      <c r="B32" s="89" t="str">
        <f>+'3 opbrengsten'!G19</f>
        <v>3.7</v>
      </c>
      <c r="C32" s="89" t="str">
        <f>+'3 opbrengsten'!H19</f>
        <v>Werkelijk verrekende opbrengsten via vaste bedragen in 2012*</v>
      </c>
      <c r="D32" s="79">
        <f t="shared" si="0"/>
        <v>17</v>
      </c>
      <c r="E32" s="74"/>
      <c r="F32" s="74"/>
      <c r="G32" s="229"/>
      <c r="H32" s="230"/>
      <c r="I32" s="225"/>
      <c r="J32" s="74"/>
      <c r="K32" s="221"/>
      <c r="L32" s="221"/>
      <c r="M32" s="221"/>
      <c r="N32" s="221"/>
      <c r="O32" s="221"/>
      <c r="P32" s="221"/>
      <c r="Q32" s="221"/>
      <c r="R32" s="221"/>
    </row>
    <row r="33" spans="1:18" s="213" customFormat="1" ht="12.75" customHeight="1" x14ac:dyDescent="0.2">
      <c r="A33" s="74"/>
      <c r="B33" s="74" t="str">
        <f>'3 opbrengsten'!G29</f>
        <v>3.8</v>
      </c>
      <c r="C33" s="74" t="str">
        <f>'3 opbrengsten'!H29</f>
        <v>Vergoedingen beschikbaarheidsbijdrage**</v>
      </c>
      <c r="D33" s="79">
        <f t="shared" si="0"/>
        <v>17</v>
      </c>
      <c r="F33" s="74"/>
      <c r="G33" s="228"/>
      <c r="H33" s="231"/>
      <c r="I33" s="225"/>
      <c r="J33" s="74"/>
      <c r="K33" s="74"/>
      <c r="L33" s="74"/>
      <c r="M33" s="74"/>
      <c r="N33" s="74"/>
      <c r="O33" s="74"/>
      <c r="P33" s="74"/>
      <c r="Q33" s="74"/>
      <c r="R33" s="74"/>
    </row>
    <row r="34" spans="1:18" s="213" customFormat="1" ht="12.75" customHeight="1" x14ac:dyDescent="0.2">
      <c r="E34" s="26"/>
      <c r="F34" s="74"/>
      <c r="G34" s="229"/>
      <c r="H34" s="230"/>
      <c r="I34" s="225"/>
      <c r="J34" s="73"/>
      <c r="K34" s="74"/>
      <c r="L34" s="74"/>
      <c r="M34" s="74"/>
      <c r="N34" s="74"/>
      <c r="O34" s="74"/>
      <c r="P34" s="74"/>
      <c r="Q34" s="74"/>
      <c r="R34" s="74"/>
    </row>
    <row r="35" spans="1:18" s="213" customFormat="1" ht="12.75" customHeight="1" x14ac:dyDescent="0.2">
      <c r="E35" s="26"/>
      <c r="F35" s="74"/>
      <c r="G35" s="229"/>
      <c r="H35" s="230"/>
      <c r="I35" s="225"/>
      <c r="J35" s="74"/>
      <c r="K35" s="74"/>
      <c r="L35" s="74"/>
      <c r="M35" s="74"/>
      <c r="N35" s="74"/>
      <c r="O35" s="74"/>
      <c r="P35" s="74"/>
      <c r="Q35" s="74"/>
      <c r="R35" s="74"/>
    </row>
    <row r="36" spans="1:18" s="213" customFormat="1" ht="12.75" customHeight="1" x14ac:dyDescent="0.2">
      <c r="B36" s="74"/>
      <c r="C36" s="24"/>
      <c r="D36" s="74"/>
      <c r="E36" s="26"/>
      <c r="F36" s="74"/>
      <c r="G36" s="226"/>
      <c r="H36" s="36"/>
      <c r="I36" s="36"/>
      <c r="J36" s="74"/>
      <c r="K36" s="74"/>
      <c r="L36" s="74"/>
      <c r="M36" s="74"/>
      <c r="N36" s="74"/>
      <c r="O36" s="74"/>
      <c r="P36" s="74"/>
      <c r="Q36" s="74"/>
      <c r="R36" s="74"/>
    </row>
    <row r="37" spans="1:18" s="6" customFormat="1" ht="12.75" customHeight="1" x14ac:dyDescent="0.2">
      <c r="A37" s="73"/>
      <c r="B37" s="74"/>
      <c r="C37" s="24"/>
      <c r="D37" s="74"/>
      <c r="E37" s="26"/>
      <c r="F37" s="36"/>
      <c r="G37" s="226"/>
      <c r="H37" s="36"/>
      <c r="I37" s="36"/>
      <c r="J37" s="74"/>
      <c r="K37" s="36"/>
      <c r="L37" s="36"/>
      <c r="M37" s="36"/>
      <c r="N37" s="36"/>
      <c r="O37" s="36"/>
      <c r="P37" s="36"/>
      <c r="Q37" s="36"/>
      <c r="R37" s="36"/>
    </row>
    <row r="38" spans="1:18" s="9" customFormat="1" ht="30.75" customHeight="1" x14ac:dyDescent="0.2">
      <c r="A38" s="74"/>
      <c r="B38" s="36"/>
      <c r="C38" s="36"/>
      <c r="D38" s="36"/>
      <c r="E38" s="26"/>
      <c r="F38" s="78"/>
      <c r="G38" s="226"/>
      <c r="H38" s="36"/>
      <c r="I38" s="36"/>
      <c r="J38" s="221"/>
      <c r="K38" s="73"/>
      <c r="L38" s="73"/>
      <c r="M38" s="73"/>
      <c r="N38" s="73"/>
      <c r="O38" s="73"/>
      <c r="P38" s="73"/>
      <c r="Q38" s="73"/>
      <c r="R38" s="73"/>
    </row>
    <row r="39" spans="1:18" s="6" customFormat="1" ht="12.75" customHeight="1" x14ac:dyDescent="0.2">
      <c r="A39" s="73"/>
      <c r="B39" s="73"/>
      <c r="C39" s="73"/>
      <c r="D39" s="73"/>
      <c r="E39" s="36"/>
      <c r="F39" s="75"/>
      <c r="G39" s="226"/>
      <c r="H39" s="36"/>
      <c r="I39" s="36"/>
      <c r="J39" s="74"/>
      <c r="K39" s="36"/>
      <c r="L39" s="36"/>
      <c r="M39" s="36"/>
      <c r="N39" s="36"/>
      <c r="O39" s="36"/>
      <c r="P39" s="36"/>
      <c r="Q39" s="36"/>
      <c r="R39" s="36"/>
    </row>
    <row r="40" spans="1:18" s="6" customFormat="1" x14ac:dyDescent="0.2">
      <c r="A40" s="74"/>
      <c r="B40" s="26"/>
      <c r="C40" s="26"/>
      <c r="D40" s="26"/>
      <c r="E40" s="36"/>
      <c r="F40" s="36"/>
      <c r="G40" s="226"/>
      <c r="H40" s="36"/>
      <c r="I40" s="36"/>
      <c r="J40" s="74"/>
      <c r="K40" s="36"/>
      <c r="L40" s="36"/>
      <c r="M40" s="36"/>
      <c r="N40" s="36"/>
      <c r="O40" s="36"/>
      <c r="P40" s="36"/>
      <c r="Q40" s="36"/>
      <c r="R40" s="36"/>
    </row>
    <row r="41" spans="1:18" s="6" customFormat="1" x14ac:dyDescent="0.2">
      <c r="A41" s="74"/>
      <c r="B41" s="26"/>
      <c r="C41" s="26"/>
      <c r="D41" s="26"/>
      <c r="E41" s="36"/>
      <c r="F41" s="36"/>
      <c r="G41" s="226"/>
      <c r="H41" s="36"/>
      <c r="I41" s="36"/>
      <c r="J41" s="74"/>
      <c r="K41" s="36"/>
      <c r="L41" s="36"/>
      <c r="M41" s="36"/>
      <c r="N41" s="36"/>
      <c r="O41" s="36"/>
      <c r="P41" s="36"/>
      <c r="Q41" s="36"/>
      <c r="R41" s="36"/>
    </row>
    <row r="42" spans="1:18" s="6" customFormat="1" x14ac:dyDescent="0.2">
      <c r="A42" s="36"/>
      <c r="B42" s="26"/>
      <c r="C42" s="26"/>
      <c r="D42" s="26"/>
      <c r="E42" s="36"/>
      <c r="F42" s="36"/>
      <c r="G42" s="226"/>
      <c r="H42" s="36"/>
      <c r="I42" s="36"/>
      <c r="J42" s="74"/>
      <c r="K42" s="36"/>
      <c r="L42" s="36"/>
      <c r="M42" s="36"/>
      <c r="N42" s="36"/>
      <c r="O42" s="36"/>
      <c r="P42" s="36"/>
      <c r="Q42" s="36"/>
      <c r="R42" s="36"/>
    </row>
    <row r="43" spans="1:18" s="6" customFormat="1" x14ac:dyDescent="0.2">
      <c r="A43" s="35"/>
      <c r="B43" s="26"/>
      <c r="C43" s="26"/>
      <c r="D43" s="26"/>
      <c r="E43" s="36"/>
      <c r="F43" s="36"/>
      <c r="G43" s="226"/>
      <c r="H43" s="36"/>
      <c r="I43" s="36"/>
      <c r="J43" s="36"/>
      <c r="K43" s="36"/>
      <c r="L43" s="36"/>
      <c r="M43" s="36"/>
      <c r="N43" s="36"/>
      <c r="O43" s="36"/>
      <c r="P43" s="36"/>
      <c r="Q43" s="36"/>
      <c r="R43" s="36"/>
    </row>
    <row r="44" spans="1:18" s="6" customFormat="1" x14ac:dyDescent="0.2">
      <c r="A44" s="35"/>
      <c r="B44" s="26"/>
      <c r="C44" s="26"/>
      <c r="D44" s="26"/>
      <c r="E44" s="36"/>
      <c r="F44" s="36"/>
      <c r="G44" s="226"/>
      <c r="H44" s="36"/>
      <c r="I44" s="36"/>
      <c r="J44" s="73"/>
      <c r="K44" s="36"/>
      <c r="L44" s="36"/>
      <c r="M44" s="36"/>
      <c r="N44" s="36"/>
      <c r="O44" s="36"/>
      <c r="P44" s="36"/>
      <c r="Q44" s="36"/>
      <c r="R44" s="36"/>
    </row>
    <row r="45" spans="1:18" s="6" customFormat="1" ht="12" x14ac:dyDescent="0.2">
      <c r="A45" s="35"/>
      <c r="B45" s="93"/>
      <c r="C45" s="36"/>
      <c r="D45" s="94"/>
      <c r="E45" s="36"/>
      <c r="F45" s="36"/>
      <c r="G45" s="226"/>
      <c r="H45" s="36"/>
      <c r="I45" s="36"/>
      <c r="J45" s="36"/>
      <c r="K45" s="36"/>
      <c r="L45" s="36"/>
      <c r="M45" s="36"/>
      <c r="N45" s="36"/>
      <c r="O45" s="36"/>
      <c r="P45" s="36"/>
      <c r="Q45" s="36"/>
      <c r="R45" s="36"/>
    </row>
    <row r="46" spans="1:18" s="6" customFormat="1" ht="12" x14ac:dyDescent="0.2">
      <c r="A46" s="35"/>
      <c r="B46" s="93"/>
      <c r="C46" s="36"/>
      <c r="D46" s="36"/>
      <c r="E46" s="36"/>
      <c r="F46" s="36"/>
      <c r="G46" s="226"/>
      <c r="H46" s="36"/>
      <c r="I46" s="36"/>
      <c r="J46" s="36"/>
      <c r="K46" s="36"/>
      <c r="L46" s="36"/>
      <c r="M46" s="36"/>
      <c r="N46" s="36"/>
      <c r="O46" s="36"/>
      <c r="P46" s="36"/>
      <c r="Q46" s="36"/>
      <c r="R46" s="36"/>
    </row>
    <row r="47" spans="1:18" s="6" customFormat="1" ht="12" x14ac:dyDescent="0.2">
      <c r="A47" s="35"/>
      <c r="B47" s="93"/>
      <c r="C47" s="36"/>
      <c r="D47" s="36"/>
      <c r="E47" s="36"/>
      <c r="F47" s="36"/>
      <c r="G47" s="226"/>
      <c r="H47" s="36"/>
      <c r="I47" s="36"/>
      <c r="J47" s="36"/>
      <c r="K47" s="36"/>
      <c r="L47" s="36"/>
      <c r="M47" s="36"/>
      <c r="N47" s="36"/>
      <c r="O47" s="36"/>
      <c r="P47" s="36"/>
      <c r="Q47" s="36"/>
      <c r="R47" s="36"/>
    </row>
    <row r="48" spans="1:18" s="6" customFormat="1" ht="12" x14ac:dyDescent="0.2">
      <c r="A48" s="35"/>
      <c r="B48" s="93"/>
      <c r="C48" s="36"/>
      <c r="D48" s="36"/>
      <c r="E48" s="36"/>
      <c r="F48" s="36"/>
      <c r="G48" s="226"/>
      <c r="H48" s="36"/>
      <c r="I48" s="36"/>
      <c r="J48" s="36"/>
      <c r="K48" s="36"/>
      <c r="L48" s="36"/>
      <c r="M48" s="36"/>
      <c r="N48" s="36"/>
      <c r="O48" s="36"/>
      <c r="P48" s="36"/>
      <c r="Q48" s="36"/>
      <c r="R48" s="36"/>
    </row>
    <row r="49" spans="1:18" s="6" customFormat="1" ht="12" x14ac:dyDescent="0.2">
      <c r="A49" s="35"/>
      <c r="B49" s="93"/>
      <c r="C49" s="36"/>
      <c r="D49" s="36"/>
      <c r="E49" s="36"/>
      <c r="F49" s="36"/>
      <c r="G49" s="226"/>
      <c r="H49" s="36"/>
      <c r="I49" s="36"/>
      <c r="J49" s="36"/>
      <c r="K49" s="36"/>
      <c r="L49" s="36"/>
      <c r="M49" s="36"/>
      <c r="N49" s="36"/>
      <c r="O49" s="36"/>
      <c r="P49" s="36"/>
      <c r="Q49" s="36"/>
      <c r="R49" s="36"/>
    </row>
    <row r="50" spans="1:18" s="6" customFormat="1" x14ac:dyDescent="0.2">
      <c r="A50" s="35"/>
      <c r="B50" s="93"/>
      <c r="C50" s="36"/>
      <c r="D50" s="36"/>
      <c r="E50" s="36"/>
      <c r="F50" s="36"/>
      <c r="G50" s="232"/>
      <c r="H50" s="15"/>
      <c r="I50" s="15"/>
      <c r="J50" s="36"/>
      <c r="K50" s="36"/>
      <c r="L50" s="36"/>
      <c r="M50" s="36"/>
      <c r="N50" s="36"/>
      <c r="O50" s="36"/>
      <c r="P50" s="36"/>
      <c r="Q50" s="36"/>
      <c r="R50" s="36"/>
    </row>
    <row r="51" spans="1:18" s="6" customFormat="1" x14ac:dyDescent="0.2">
      <c r="A51" s="35"/>
      <c r="B51" s="93"/>
      <c r="C51" s="36"/>
      <c r="D51" s="36"/>
      <c r="E51" s="36"/>
      <c r="F51" s="36"/>
      <c r="G51" s="232"/>
      <c r="H51" s="15"/>
      <c r="I51" s="15"/>
      <c r="J51" s="36"/>
      <c r="K51" s="36"/>
      <c r="L51" s="36"/>
      <c r="M51" s="36"/>
      <c r="N51" s="36"/>
      <c r="O51" s="36"/>
      <c r="P51" s="36"/>
      <c r="Q51" s="36"/>
      <c r="R51" s="36"/>
    </row>
    <row r="52" spans="1:18" s="6" customFormat="1" x14ac:dyDescent="0.2">
      <c r="A52" s="35"/>
      <c r="B52" s="93"/>
      <c r="C52" s="36"/>
      <c r="D52" s="36"/>
      <c r="E52" s="36"/>
      <c r="F52" s="36"/>
      <c r="G52" s="232"/>
      <c r="H52" s="15"/>
      <c r="I52" s="15"/>
      <c r="J52" s="36"/>
      <c r="K52" s="36"/>
      <c r="L52" s="36"/>
      <c r="M52" s="36"/>
      <c r="N52" s="36"/>
      <c r="O52" s="36"/>
      <c r="P52" s="36"/>
      <c r="Q52" s="36"/>
      <c r="R52" s="36"/>
    </row>
    <row r="53" spans="1:18" s="6" customFormat="1" x14ac:dyDescent="0.2">
      <c r="A53" s="35"/>
      <c r="B53" s="93"/>
      <c r="C53" s="36"/>
      <c r="D53" s="36"/>
      <c r="E53" s="27"/>
      <c r="F53" s="36"/>
      <c r="G53" s="232"/>
      <c r="H53" s="15"/>
      <c r="I53" s="15"/>
      <c r="J53" s="36"/>
      <c r="K53" s="36"/>
      <c r="L53" s="36"/>
      <c r="M53" s="36"/>
      <c r="N53" s="36"/>
      <c r="O53" s="36"/>
      <c r="P53" s="36"/>
      <c r="Q53" s="36"/>
      <c r="R53" s="36"/>
    </row>
    <row r="54" spans="1:18" s="6" customFormat="1" x14ac:dyDescent="0.2">
      <c r="A54" s="5"/>
      <c r="B54" s="93"/>
      <c r="C54" s="36"/>
      <c r="D54" s="36"/>
      <c r="E54" s="27"/>
      <c r="F54" s="36"/>
      <c r="G54" s="232"/>
      <c r="H54" s="15"/>
      <c r="I54" s="15"/>
      <c r="J54" s="36"/>
      <c r="K54" s="36"/>
      <c r="L54" s="36"/>
      <c r="M54" s="36"/>
      <c r="N54" s="36"/>
      <c r="O54" s="36"/>
      <c r="P54" s="36"/>
      <c r="Q54" s="36"/>
      <c r="R54" s="36"/>
    </row>
    <row r="55" spans="1:18" s="6" customFormat="1" x14ac:dyDescent="0.2">
      <c r="A55" s="5"/>
      <c r="B55" s="93"/>
      <c r="C55" s="36"/>
      <c r="D55" s="36"/>
      <c r="E55" s="27"/>
      <c r="F55" s="36"/>
      <c r="G55" s="232"/>
      <c r="H55" s="15"/>
      <c r="I55" s="15"/>
      <c r="J55" s="36"/>
      <c r="K55" s="36"/>
      <c r="L55" s="36"/>
      <c r="M55" s="36"/>
      <c r="N55" s="36"/>
      <c r="O55" s="36"/>
      <c r="P55" s="36"/>
      <c r="Q55" s="36"/>
      <c r="R55" s="36"/>
    </row>
    <row r="56" spans="1:18" s="15" customFormat="1" x14ac:dyDescent="0.2">
      <c r="A56" s="5"/>
      <c r="B56" s="233"/>
      <c r="C56" s="6"/>
      <c r="D56" s="6"/>
      <c r="G56" s="232"/>
      <c r="J56" s="36"/>
      <c r="K56" s="27"/>
      <c r="L56" s="27"/>
      <c r="M56" s="27"/>
      <c r="N56" s="27"/>
      <c r="O56" s="27"/>
      <c r="P56" s="27"/>
      <c r="Q56" s="27"/>
      <c r="R56" s="27"/>
    </row>
    <row r="57" spans="1:18" s="15" customFormat="1" x14ac:dyDescent="0.2">
      <c r="A57" s="1"/>
      <c r="B57" s="233"/>
      <c r="C57" s="6"/>
      <c r="D57" s="6"/>
      <c r="G57" s="232"/>
      <c r="J57" s="36"/>
      <c r="K57" s="27"/>
      <c r="L57" s="27"/>
      <c r="M57" s="27"/>
      <c r="N57" s="27"/>
      <c r="O57" s="27"/>
      <c r="P57" s="27"/>
      <c r="Q57" s="27"/>
      <c r="R57" s="27"/>
    </row>
    <row r="58" spans="1:18" s="15" customFormat="1" x14ac:dyDescent="0.2">
      <c r="A58" s="1"/>
      <c r="B58" s="233"/>
      <c r="C58" s="6"/>
      <c r="D58" s="6"/>
      <c r="G58" s="232"/>
      <c r="J58" s="36"/>
    </row>
    <row r="59" spans="1:18" s="15" customFormat="1" x14ac:dyDescent="0.2">
      <c r="A59" s="1"/>
      <c r="B59" s="234"/>
      <c r="G59" s="232"/>
      <c r="J59" s="36"/>
    </row>
    <row r="60" spans="1:18" s="15" customFormat="1" x14ac:dyDescent="0.2">
      <c r="A60" s="1"/>
      <c r="B60" s="234"/>
      <c r="G60" s="232"/>
      <c r="J60" s="36"/>
    </row>
    <row r="61" spans="1:18" s="15" customFormat="1" x14ac:dyDescent="0.2">
      <c r="A61" s="1"/>
      <c r="B61" s="234"/>
      <c r="G61" s="232"/>
      <c r="J61" s="36"/>
    </row>
    <row r="62" spans="1:18" s="15" customFormat="1" x14ac:dyDescent="0.2">
      <c r="A62" s="1"/>
      <c r="B62" s="234"/>
      <c r="G62" s="232"/>
    </row>
    <row r="63" spans="1:18" s="15" customFormat="1" x14ac:dyDescent="0.2">
      <c r="A63" s="1"/>
      <c r="B63" s="234"/>
      <c r="G63" s="232"/>
    </row>
    <row r="64" spans="1:18" s="15" customFormat="1" x14ac:dyDescent="0.2">
      <c r="A64" s="1"/>
      <c r="B64" s="234"/>
      <c r="G64" s="232"/>
    </row>
    <row r="65" spans="1:7" s="15" customFormat="1" x14ac:dyDescent="0.2">
      <c r="A65" s="1"/>
      <c r="B65" s="234"/>
      <c r="G65" s="232"/>
    </row>
    <row r="66" spans="1:7" s="15" customFormat="1" x14ac:dyDescent="0.2">
      <c r="A66" s="1"/>
      <c r="B66" s="234"/>
      <c r="G66" s="232"/>
    </row>
    <row r="67" spans="1:7" s="15" customFormat="1" x14ac:dyDescent="0.2">
      <c r="A67" s="1"/>
      <c r="B67" s="234"/>
      <c r="G67" s="232"/>
    </row>
    <row r="68" spans="1:7" s="15" customFormat="1" x14ac:dyDescent="0.2">
      <c r="A68" s="1"/>
      <c r="B68" s="234"/>
      <c r="G68" s="232"/>
    </row>
    <row r="69" spans="1:7" s="15" customFormat="1" x14ac:dyDescent="0.2">
      <c r="A69" s="1"/>
      <c r="B69" s="234"/>
      <c r="G69" s="232"/>
    </row>
    <row r="70" spans="1:7" s="15" customFormat="1" x14ac:dyDescent="0.2">
      <c r="A70" s="1"/>
      <c r="B70" s="234"/>
      <c r="G70" s="232"/>
    </row>
    <row r="71" spans="1:7" s="15" customFormat="1" x14ac:dyDescent="0.2">
      <c r="A71" s="1"/>
      <c r="B71" s="234"/>
      <c r="G71" s="232"/>
    </row>
    <row r="72" spans="1:7" s="15" customFormat="1" x14ac:dyDescent="0.2">
      <c r="A72" s="1"/>
      <c r="B72" s="234"/>
      <c r="G72" s="232"/>
    </row>
    <row r="73" spans="1:7" s="15" customFormat="1" x14ac:dyDescent="0.2">
      <c r="A73" s="1"/>
      <c r="B73" s="234"/>
      <c r="G73" s="232"/>
    </row>
    <row r="74" spans="1:7" s="15" customFormat="1" x14ac:dyDescent="0.2">
      <c r="A74" s="1"/>
      <c r="B74" s="234"/>
      <c r="G74" s="232"/>
    </row>
    <row r="75" spans="1:7" s="15" customFormat="1" x14ac:dyDescent="0.2">
      <c r="A75" s="1"/>
      <c r="B75" s="234"/>
      <c r="G75" s="232"/>
    </row>
    <row r="76" spans="1:7" s="15" customFormat="1" x14ac:dyDescent="0.2">
      <c r="A76" s="1"/>
      <c r="B76" s="234"/>
      <c r="G76" s="232"/>
    </row>
    <row r="77" spans="1:7" s="15" customFormat="1" x14ac:dyDescent="0.2">
      <c r="A77" s="1"/>
      <c r="B77" s="234"/>
      <c r="G77" s="232"/>
    </row>
    <row r="78" spans="1:7" s="15" customFormat="1" x14ac:dyDescent="0.2">
      <c r="A78" s="1"/>
      <c r="B78" s="234"/>
      <c r="G78" s="232"/>
    </row>
    <row r="79" spans="1:7" s="15" customFormat="1" x14ac:dyDescent="0.2">
      <c r="A79" s="1"/>
      <c r="B79" s="234"/>
      <c r="G79" s="232"/>
    </row>
    <row r="80" spans="1:7" s="15" customFormat="1" x14ac:dyDescent="0.2">
      <c r="A80" s="1"/>
      <c r="B80" s="234"/>
      <c r="G80" s="232"/>
    </row>
    <row r="81" spans="1:7" s="15" customFormat="1" x14ac:dyDescent="0.2">
      <c r="A81" s="1"/>
      <c r="B81" s="234"/>
      <c r="G81" s="232"/>
    </row>
    <row r="82" spans="1:7" s="15" customFormat="1" x14ac:dyDescent="0.2">
      <c r="A82" s="1"/>
      <c r="B82" s="234"/>
      <c r="G82" s="232"/>
    </row>
    <row r="83" spans="1:7" s="15" customFormat="1" x14ac:dyDescent="0.2">
      <c r="A83" s="1"/>
      <c r="B83" s="234"/>
      <c r="G83" s="232"/>
    </row>
    <row r="84" spans="1:7" s="15" customFormat="1" x14ac:dyDescent="0.2">
      <c r="A84" s="1"/>
      <c r="B84" s="234"/>
      <c r="G84" s="232"/>
    </row>
    <row r="85" spans="1:7" s="15" customFormat="1" x14ac:dyDescent="0.2">
      <c r="A85" s="1"/>
      <c r="B85" s="234"/>
      <c r="G85" s="232"/>
    </row>
    <row r="86" spans="1:7" s="15" customFormat="1" x14ac:dyDescent="0.2">
      <c r="A86" s="1"/>
      <c r="B86" s="234"/>
      <c r="G86" s="232"/>
    </row>
    <row r="87" spans="1:7" s="15" customFormat="1" x14ac:dyDescent="0.2">
      <c r="A87" s="1"/>
      <c r="B87" s="234"/>
      <c r="G87" s="232"/>
    </row>
    <row r="88" spans="1:7" s="15" customFormat="1" x14ac:dyDescent="0.2">
      <c r="A88" s="1"/>
      <c r="B88" s="234"/>
      <c r="G88" s="232"/>
    </row>
    <row r="89" spans="1:7" s="15" customFormat="1" x14ac:dyDescent="0.2">
      <c r="A89" s="1"/>
      <c r="B89" s="234"/>
      <c r="G89" s="232"/>
    </row>
    <row r="90" spans="1:7" s="15" customFormat="1" x14ac:dyDescent="0.2">
      <c r="A90" s="1"/>
      <c r="B90" s="234"/>
      <c r="G90" s="232"/>
    </row>
    <row r="91" spans="1:7" s="15" customFormat="1" x14ac:dyDescent="0.2">
      <c r="A91" s="1"/>
      <c r="B91" s="234"/>
      <c r="G91" s="232"/>
    </row>
    <row r="92" spans="1:7" s="15" customFormat="1" x14ac:dyDescent="0.2">
      <c r="A92" s="1"/>
      <c r="B92" s="234"/>
      <c r="G92" s="232"/>
    </row>
    <row r="93" spans="1:7" s="15" customFormat="1" x14ac:dyDescent="0.2">
      <c r="A93" s="1"/>
      <c r="B93" s="234"/>
      <c r="G93" s="232"/>
    </row>
    <row r="94" spans="1:7" s="15" customFormat="1" x14ac:dyDescent="0.2">
      <c r="A94" s="1"/>
      <c r="B94" s="234"/>
      <c r="G94" s="232"/>
    </row>
    <row r="95" spans="1:7" s="15" customFormat="1" x14ac:dyDescent="0.2">
      <c r="A95" s="1"/>
      <c r="B95" s="234"/>
      <c r="G95" s="232"/>
    </row>
    <row r="96" spans="1:7" s="15" customFormat="1" x14ac:dyDescent="0.2">
      <c r="A96" s="1"/>
      <c r="B96" s="234"/>
      <c r="G96" s="232"/>
    </row>
    <row r="97" spans="1:10" s="15" customFormat="1" x14ac:dyDescent="0.2">
      <c r="A97" s="1"/>
      <c r="B97" s="234"/>
      <c r="G97" s="232"/>
    </row>
    <row r="98" spans="1:10" s="15" customFormat="1" x14ac:dyDescent="0.2">
      <c r="A98" s="1"/>
      <c r="B98" s="234"/>
      <c r="G98" s="232"/>
    </row>
    <row r="99" spans="1:10" s="15" customFormat="1" x14ac:dyDescent="0.2">
      <c r="A99" s="1"/>
      <c r="B99" s="234"/>
      <c r="G99" s="235"/>
      <c r="H99" s="224"/>
      <c r="I99" s="224"/>
    </row>
    <row r="100" spans="1:10" s="15" customFormat="1" x14ac:dyDescent="0.2">
      <c r="A100" s="1"/>
      <c r="B100" s="234"/>
      <c r="G100" s="235"/>
      <c r="H100" s="224"/>
      <c r="I100" s="224"/>
    </row>
    <row r="101" spans="1:10" s="15" customFormat="1" x14ac:dyDescent="0.2">
      <c r="A101" s="1"/>
      <c r="B101" s="234"/>
      <c r="G101" s="235"/>
      <c r="H101" s="224"/>
      <c r="I101" s="224"/>
    </row>
    <row r="102" spans="1:10" s="15" customFormat="1" x14ac:dyDescent="0.2">
      <c r="A102" s="1"/>
      <c r="B102" s="234"/>
      <c r="E102" s="224"/>
      <c r="G102" s="235"/>
      <c r="H102" s="224"/>
      <c r="I102" s="224"/>
    </row>
    <row r="103" spans="1:10" s="15" customFormat="1" x14ac:dyDescent="0.2">
      <c r="A103" s="1"/>
      <c r="B103" s="234"/>
      <c r="E103" s="224"/>
      <c r="G103" s="235"/>
      <c r="H103" s="224"/>
      <c r="I103" s="224"/>
    </row>
    <row r="104" spans="1:10" s="15" customFormat="1" x14ac:dyDescent="0.2">
      <c r="A104" s="1"/>
      <c r="B104" s="234"/>
      <c r="E104" s="224"/>
      <c r="G104" s="235"/>
      <c r="H104" s="224"/>
      <c r="I104" s="224"/>
    </row>
    <row r="105" spans="1:10" x14ac:dyDescent="0.2">
      <c r="A105" s="1"/>
      <c r="B105" s="234"/>
      <c r="C105" s="15"/>
      <c r="D105" s="15"/>
      <c r="J105" s="15"/>
    </row>
    <row r="106" spans="1:10" x14ac:dyDescent="0.2">
      <c r="B106" s="234"/>
      <c r="C106" s="15"/>
      <c r="D106" s="15"/>
      <c r="J106" s="15"/>
    </row>
    <row r="107" spans="1:10" x14ac:dyDescent="0.2">
      <c r="B107" s="234"/>
      <c r="C107" s="15"/>
      <c r="D107" s="15"/>
      <c r="J107" s="15"/>
    </row>
    <row r="108" spans="1:10" x14ac:dyDescent="0.2">
      <c r="J108" s="15"/>
    </row>
    <row r="109" spans="1:10" x14ac:dyDescent="0.2">
      <c r="J109" s="15"/>
    </row>
    <row r="110" spans="1:10" x14ac:dyDescent="0.2">
      <c r="J110" s="15"/>
    </row>
  </sheetData>
  <sheetProtection password="CA39" sheet="1"/>
  <customSheetViews>
    <customSheetView guid="{52EB1485-ECFC-4D16-B893-125E4D85986E}" scale="86" showPageBreaks="1" showGridLines="0" fitToPage="1" showRuler="0" topLeftCell="D1">
      <selection activeCell="D33" sqref="D33:D35"/>
      <pageMargins left="0.39370078740157483" right="0.39370078740157483" top="0.39370078740157483" bottom="0.39370078740157483" header="0.51181102362204722" footer="0.51181102362204722"/>
      <pageSetup paperSize="9" scale="96" orientation="landscape" horizontalDpi="300" verticalDpi="300" r:id="rId1"/>
      <headerFooter alignWithMargins="0"/>
    </customSheetView>
  </customSheetViews>
  <mergeCells count="1">
    <mergeCell ref="H15:H16"/>
  </mergeCells>
  <phoneticPr fontId="12" type="noConversion"/>
  <pageMargins left="0.39370078740157483" right="0.39370078740157483" top="0.39370078740157483" bottom="0.39370078740157483" header="0.51181102362204722" footer="0.51181102362204722"/>
  <pageSetup paperSize="9" scale="91" orientation="landscape" cellComments="asDisplayed" horizontalDpi="300" verticalDpi="300" r:id="rId2"/>
  <headerFooter alignWithMargins="0"/>
  <drawing r:id="rId3"/>
  <legacyDrawing r:id="rId4"/>
  <oleObjects>
    <mc:AlternateContent xmlns:mc="http://schemas.openxmlformats.org/markup-compatibility/2006">
      <mc:Choice Requires="x14">
        <oleObject progId="MSPhotoEd.3" shapeId="28690" r:id="rId5">
          <objectPr defaultSize="0" autoPict="0" r:id="rId6">
            <anchor moveWithCells="1" sizeWithCells="1">
              <from>
                <xdr:col>7</xdr:col>
                <xdr:colOff>2114550</xdr:colOff>
                <xdr:row>1</xdr:row>
                <xdr:rowOff>0</xdr:rowOff>
              </from>
              <to>
                <xdr:col>8</xdr:col>
                <xdr:colOff>266700</xdr:colOff>
                <xdr:row>1</xdr:row>
                <xdr:rowOff>142875</xdr:rowOff>
              </to>
            </anchor>
          </objectPr>
        </oleObject>
      </mc:Choice>
      <mc:Fallback>
        <oleObject progId="MSPhotoEd.3" shapeId="28690" r:id="rId5"/>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7">
    <tabColor indexed="44"/>
    <pageSetUpPr autoPageBreaks="0"/>
  </sheetPr>
  <dimension ref="A1:R52"/>
  <sheetViews>
    <sheetView showGridLines="0" showZeros="0" showOutlineSymbols="0" zoomScaleNormal="100" zoomScaleSheetLayoutView="100" workbookViewId="0">
      <selection activeCell="E35" sqref="E35"/>
    </sheetView>
  </sheetViews>
  <sheetFormatPr defaultRowHeight="12" x14ac:dyDescent="0.2"/>
  <cols>
    <col min="1" max="1" width="6.5703125" style="411" customWidth="1"/>
    <col min="2" max="2" width="25.7109375" style="20" customWidth="1"/>
    <col min="3" max="3" width="43.85546875" style="17" customWidth="1"/>
    <col min="4" max="4" width="36.85546875" style="6" customWidth="1"/>
    <col min="5" max="5" width="16.7109375" style="20" customWidth="1"/>
    <col min="6" max="6" width="3.7109375" style="112" customWidth="1"/>
    <col min="7" max="16384" width="9.140625" style="20"/>
  </cols>
  <sheetData>
    <row r="1" spans="1:18" ht="15.95" customHeight="1" x14ac:dyDescent="0.2">
      <c r="A1" s="35"/>
      <c r="B1" s="631" t="b">
        <f>rentenormeringsbalans!D24</f>
        <v>1</v>
      </c>
      <c r="C1" s="772"/>
      <c r="D1" s="37"/>
      <c r="E1" s="36"/>
      <c r="F1" s="36"/>
      <c r="G1" s="43"/>
      <c r="H1" s="43"/>
      <c r="I1" s="55"/>
      <c r="J1" s="43"/>
      <c r="K1" s="43"/>
      <c r="L1" s="43"/>
      <c r="M1" s="43"/>
      <c r="N1" s="43"/>
      <c r="O1" s="43"/>
      <c r="P1" s="43"/>
      <c r="Q1" s="43"/>
      <c r="R1" s="43"/>
    </row>
    <row r="2" spans="1:18" s="13" customFormat="1" ht="15.75" customHeight="1" x14ac:dyDescent="0.2">
      <c r="A2" s="66" t="str">
        <f>'toelicht. rentenormeringsbalans'!A2</f>
        <v>Rentenormeringsbalans 2012 algemene ziekenhuizen</v>
      </c>
      <c r="B2" s="40"/>
      <c r="C2" s="41"/>
      <c r="D2" s="41" t="b">
        <v>1</v>
      </c>
      <c r="E2" s="42">
        <f>'toelicht. rentenormeringsbalans'!E19+1</f>
        <v>4</v>
      </c>
      <c r="F2" s="40"/>
      <c r="G2" s="40"/>
      <c r="H2" s="40"/>
      <c r="I2" s="40"/>
      <c r="J2" s="40"/>
      <c r="K2" s="40"/>
      <c r="L2" s="40"/>
      <c r="M2" s="40"/>
      <c r="N2" s="40"/>
      <c r="O2" s="40"/>
      <c r="P2" s="40"/>
      <c r="Q2" s="40"/>
      <c r="R2" s="40"/>
    </row>
    <row r="3" spans="1:18" ht="12.75" customHeight="1" x14ac:dyDescent="0.2">
      <c r="A3" s="1317" t="str">
        <f>IF(Voorblad!$F$10&lt;1,"Vul het NZa-nummer in op het voorblad","")</f>
        <v>Vul het NZa-nummer in op het voorblad</v>
      </c>
      <c r="B3" s="1318"/>
      <c r="C3" s="1318"/>
      <c r="D3" s="1318"/>
      <c r="E3" s="41" t="b">
        <f>rentenormeringsbalans!D24</f>
        <v>1</v>
      </c>
      <c r="F3" s="363"/>
      <c r="G3" s="43"/>
      <c r="H3" s="43"/>
      <c r="I3" s="43"/>
      <c r="J3" s="43"/>
      <c r="K3" s="43"/>
      <c r="L3" s="43"/>
      <c r="M3" s="43"/>
      <c r="N3" s="43"/>
      <c r="O3" s="43"/>
      <c r="P3" s="43"/>
      <c r="Q3" s="43"/>
      <c r="R3" s="43"/>
    </row>
    <row r="4" spans="1:18" ht="12.75" customHeight="1" x14ac:dyDescent="0.2">
      <c r="A4" s="116" t="str">
        <f>'toelicht. rentenormeringsbalans'!A3</f>
        <v>RENTENORMERINGSBALANS 2012</v>
      </c>
      <c r="B4" s="51"/>
      <c r="C4" s="26"/>
      <c r="D4" s="26"/>
      <c r="E4" s="26"/>
      <c r="F4" s="106"/>
      <c r="G4" s="43"/>
      <c r="H4" s="43"/>
      <c r="I4" s="43"/>
      <c r="J4" s="43"/>
      <c r="K4" s="43"/>
      <c r="L4" s="43"/>
      <c r="M4" s="43"/>
      <c r="N4" s="43"/>
      <c r="O4" s="43"/>
      <c r="P4" s="43"/>
      <c r="Q4" s="43"/>
      <c r="R4" s="43"/>
    </row>
    <row r="5" spans="1:18" s="104" customFormat="1" ht="12.75" customHeight="1" x14ac:dyDescent="0.2">
      <c r="A5" s="1504" t="str">
        <f>"Deze bijlage dient te worden gebruikt om de aanvaarbare rentekosten "&amp;Voorblad!K4&amp;" te berekenen. Het berekende bedrag op regel 417 wordt ingevuld in het nacalculatieformulier "&amp;Voorblad!K4&amp;" op regel 1617."</f>
        <v>Deze bijlage dient te worden gebruikt om de aanvaarbare rentekosten 2012 te berekenen. Het berekende bedrag op regel 417 wordt ingevuld in het nacalculatieformulier 2012 op regel 1617.</v>
      </c>
      <c r="B5" s="1504"/>
      <c r="C5" s="1504"/>
      <c r="D5" s="1504"/>
      <c r="E5" s="1504"/>
      <c r="F5" s="106"/>
      <c r="G5" s="123"/>
      <c r="H5" s="123"/>
      <c r="I5" s="123"/>
      <c r="J5" s="123"/>
      <c r="K5" s="123"/>
      <c r="L5" s="123"/>
      <c r="M5" s="123"/>
      <c r="N5" s="123"/>
      <c r="O5" s="123"/>
      <c r="P5" s="123"/>
      <c r="Q5" s="123"/>
      <c r="R5" s="123"/>
    </row>
    <row r="6" spans="1:18" ht="12.75" customHeight="1" x14ac:dyDescent="0.2">
      <c r="A6" s="1504"/>
      <c r="B6" s="1504"/>
      <c r="C6" s="1504"/>
      <c r="D6" s="1504"/>
      <c r="E6" s="1504"/>
      <c r="F6" s="59"/>
      <c r="G6" s="43"/>
      <c r="H6" s="43"/>
      <c r="I6" s="43"/>
      <c r="J6" s="43"/>
      <c r="K6" s="43"/>
      <c r="L6" s="43"/>
      <c r="M6" s="43"/>
      <c r="N6" s="43"/>
      <c r="O6" s="43"/>
      <c r="P6" s="43"/>
      <c r="Q6" s="43"/>
      <c r="R6" s="43"/>
    </row>
    <row r="7" spans="1:18" ht="12.75" customHeight="1" x14ac:dyDescent="0.2">
      <c r="A7" s="364"/>
      <c r="B7" s="364"/>
      <c r="C7" s="364"/>
      <c r="D7" s="364"/>
      <c r="E7" s="364"/>
      <c r="F7" s="59"/>
      <c r="G7" s="43"/>
      <c r="H7" s="43"/>
      <c r="I7" s="43"/>
      <c r="J7" s="43"/>
      <c r="K7" s="43"/>
      <c r="L7" s="43"/>
      <c r="M7" s="43"/>
      <c r="N7" s="43"/>
      <c r="O7" s="43"/>
      <c r="P7" s="43"/>
      <c r="Q7" s="43"/>
      <c r="R7" s="43"/>
    </row>
    <row r="8" spans="1:18" ht="12.75" customHeight="1" x14ac:dyDescent="0.2">
      <c r="A8" s="38"/>
      <c r="B8" s="365" t="s">
        <v>731</v>
      </c>
      <c r="C8" s="366"/>
      <c r="D8" s="367"/>
      <c r="E8" s="368" t="s">
        <v>750</v>
      </c>
      <c r="F8" s="59"/>
      <c r="G8" s="43"/>
      <c r="H8" s="43"/>
      <c r="I8" s="43"/>
      <c r="J8" s="43"/>
      <c r="K8" s="43"/>
      <c r="L8" s="43"/>
      <c r="M8" s="43"/>
      <c r="N8" s="43"/>
      <c r="O8" s="43"/>
      <c r="P8" s="43"/>
      <c r="Q8" s="43"/>
      <c r="R8" s="43"/>
    </row>
    <row r="9" spans="1:18" ht="12.75" customHeight="1" x14ac:dyDescent="0.2">
      <c r="A9" s="38"/>
      <c r="B9" s="369"/>
      <c r="C9" s="166"/>
      <c r="D9" s="370"/>
      <c r="E9" s="371"/>
      <c r="F9" s="59"/>
      <c r="G9" s="43"/>
      <c r="H9" s="43"/>
      <c r="I9" s="43"/>
      <c r="J9" s="43"/>
      <c r="K9" s="43"/>
      <c r="L9" s="43"/>
      <c r="M9" s="43"/>
      <c r="N9" s="43"/>
      <c r="O9" s="43"/>
      <c r="P9" s="43"/>
      <c r="Q9" s="43"/>
      <c r="R9" s="43"/>
    </row>
    <row r="10" spans="1:18" ht="12.75" customHeight="1" x14ac:dyDescent="0.2">
      <c r="A10" s="372" t="s">
        <v>329</v>
      </c>
      <c r="C10" s="373"/>
      <c r="D10" s="36"/>
      <c r="E10" s="374"/>
      <c r="F10" s="59"/>
      <c r="G10" s="43"/>
      <c r="H10" s="43"/>
      <c r="I10" s="43"/>
      <c r="J10" s="43"/>
      <c r="K10" s="43"/>
      <c r="L10" s="43"/>
      <c r="M10" s="43"/>
      <c r="N10" s="43"/>
      <c r="O10" s="43"/>
      <c r="P10" s="43"/>
      <c r="Q10" s="43"/>
      <c r="R10" s="43"/>
    </row>
    <row r="11" spans="1:18" ht="12.75" customHeight="1" x14ac:dyDescent="0.2">
      <c r="A11" s="56">
        <f>(E2*100)+1</f>
        <v>401</v>
      </c>
      <c r="B11" s="375" t="str">
        <f>CONCATENATE('A-G'!B6," (regel ",'A-G'!A23," bijlage ",LEFT('A-G'!A6,1),")")</f>
        <v>Boekwaarde investeringen waarvoor vergunning is verleend (regel 515 bijlage A)</v>
      </c>
      <c r="C11" s="376"/>
      <c r="D11" s="377"/>
      <c r="E11" s="378">
        <f>'A-G'!G23</f>
        <v>0</v>
      </c>
      <c r="F11" s="59"/>
      <c r="G11" s="43"/>
      <c r="H11" s="43"/>
      <c r="I11" s="43"/>
      <c r="J11" s="43"/>
      <c r="K11" s="43"/>
      <c r="L11" s="43"/>
      <c r="M11" s="43"/>
      <c r="N11" s="43"/>
      <c r="O11" s="43"/>
      <c r="P11" s="43"/>
      <c r="Q11" s="43"/>
      <c r="R11" s="43"/>
    </row>
    <row r="12" spans="1:18" ht="12.75" customHeight="1" x14ac:dyDescent="0.2">
      <c r="A12" s="57">
        <f t="shared" ref="A12:A18" si="0">A11+1</f>
        <v>402</v>
      </c>
      <c r="B12" s="379" t="str">
        <f>CONCATENATE('A-G'!B28," (regel ",'A-G'!A45," bijlage ",LEFT('A-G'!A28,1),")")</f>
        <v>Onderhanden bouwprojecten  met WZV/WTZi vergunning (geen investeringen meldingsregeling) (regel 532 bijlage B)</v>
      </c>
      <c r="C12" s="379"/>
      <c r="D12" s="380"/>
      <c r="E12" s="378">
        <f>'A-G'!G45</f>
        <v>0</v>
      </c>
      <c r="F12" s="59"/>
      <c r="G12" s="43"/>
      <c r="H12" s="43"/>
      <c r="I12" s="43"/>
      <c r="J12" s="43"/>
      <c r="K12" s="43"/>
      <c r="L12" s="43"/>
      <c r="M12" s="43"/>
      <c r="N12" s="43"/>
      <c r="O12" s="43"/>
      <c r="P12" s="43"/>
      <c r="Q12" s="43"/>
      <c r="R12" s="43"/>
    </row>
    <row r="13" spans="1:18" ht="12.75" customHeight="1" x14ac:dyDescent="0.2">
      <c r="A13" s="57">
        <f t="shared" si="0"/>
        <v>403</v>
      </c>
      <c r="B13" s="379" t="str">
        <f>CONCATENATE('A-G'!B50," (regel ",'A-G'!A70," bijlage ",LEFT('A-G'!A50,1),")")</f>
        <v>Werkelijke boekwaarde instandhoudingsinvesteringen (inclusief onderhanden werk) (regel 618 bijlage C)</v>
      </c>
      <c r="C13" s="379"/>
      <c r="D13" s="380"/>
      <c r="E13" s="378">
        <f>'A-G'!G70</f>
        <v>0</v>
      </c>
      <c r="F13" s="59"/>
      <c r="G13" s="43"/>
      <c r="H13" s="43"/>
      <c r="I13" s="43"/>
      <c r="J13" s="43"/>
      <c r="K13" s="43"/>
      <c r="L13" s="43"/>
      <c r="M13" s="43"/>
      <c r="N13" s="43"/>
      <c r="O13" s="43"/>
      <c r="P13" s="43"/>
      <c r="Q13" s="43"/>
      <c r="R13" s="43"/>
    </row>
    <row r="14" spans="1:18" ht="12.75" customHeight="1" x14ac:dyDescent="0.2">
      <c r="A14" s="57">
        <f t="shared" si="0"/>
        <v>404</v>
      </c>
      <c r="B14" s="379" t="str">
        <f>CONCATENATE('A-G'!B74," (regel ",'A-G'!A88," bijlage ",LEFT('A-G'!A74,1),")")</f>
        <v>Normatieve boekwaarde medische en overige inventarissen (regel 630 bijlage D)</v>
      </c>
      <c r="C14" s="379"/>
      <c r="D14" s="380"/>
      <c r="E14" s="378">
        <f>'A-G'!G88</f>
        <v>0</v>
      </c>
      <c r="F14" s="59"/>
      <c r="G14" s="43"/>
      <c r="H14" s="43"/>
      <c r="I14" s="43"/>
      <c r="J14" s="43"/>
      <c r="K14" s="43"/>
      <c r="L14" s="43"/>
      <c r="M14" s="43"/>
      <c r="N14" s="43"/>
      <c r="O14" s="43"/>
      <c r="P14" s="43"/>
      <c r="Q14" s="43"/>
      <c r="R14" s="43"/>
    </row>
    <row r="15" spans="1:18" ht="12.75" customHeight="1" x14ac:dyDescent="0.2">
      <c r="A15" s="57">
        <f t="shared" si="0"/>
        <v>405</v>
      </c>
      <c r="B15" s="379" t="str">
        <f>CONCATENATE('A-G'!B94," (regel ",'A-G'!A108," bijlage ",LEFT('A-G'!A94,1),")")</f>
        <v>Normatieve boekwaarde medische en overige inventarissen artikel 2 WBMV apparatuur (regel 711 bijlage E)</v>
      </c>
      <c r="C15" s="381"/>
      <c r="D15" s="382"/>
      <c r="E15" s="383">
        <f>'A-G'!G108</f>
        <v>0</v>
      </c>
      <c r="F15" s="59"/>
      <c r="G15" s="43"/>
      <c r="H15" s="43"/>
      <c r="I15" s="43"/>
      <c r="J15" s="43"/>
      <c r="K15" s="43"/>
      <c r="L15" s="43"/>
      <c r="M15" s="43"/>
      <c r="N15" s="43"/>
      <c r="O15" s="43"/>
      <c r="P15" s="43"/>
      <c r="Q15" s="43"/>
      <c r="R15" s="43"/>
    </row>
    <row r="16" spans="1:18" ht="12.75" customHeight="1" x14ac:dyDescent="0.2">
      <c r="A16" s="57">
        <f t="shared" si="0"/>
        <v>406</v>
      </c>
      <c r="B16" s="379" t="str">
        <f>CONCATENATE('A-G'!B111," (regel ",'A-G'!A116," bijlage ",LEFT('A-G'!A111,1),")")</f>
        <v>Normatief werkkapitaal (regel 716 bijlage F)</v>
      </c>
      <c r="C16" s="384"/>
      <c r="D16" s="385"/>
      <c r="E16" s="383">
        <f>'A-G'!G116</f>
        <v>0</v>
      </c>
      <c r="F16" s="59"/>
      <c r="G16" s="43"/>
      <c r="H16" s="43"/>
      <c r="I16" s="43"/>
      <c r="J16" s="43"/>
      <c r="K16" s="43"/>
      <c r="L16" s="43"/>
      <c r="M16" s="43"/>
      <c r="N16" s="43"/>
      <c r="O16" s="43"/>
      <c r="P16" s="43"/>
      <c r="Q16" s="43"/>
      <c r="R16" s="43"/>
    </row>
    <row r="17" spans="1:18" ht="12.75" customHeight="1" x14ac:dyDescent="0.2">
      <c r="A17" s="57">
        <f t="shared" si="0"/>
        <v>407</v>
      </c>
      <c r="B17" s="386" t="str">
        <f>CONCATENATE("Totaal in aanmerking te nemen activa excl. nog in tarieven te verrekenen (regel ",A11," t/m ",A16,")")</f>
        <v>Totaal in aanmerking te nemen activa excl. nog in tarieven te verrekenen (regel 401 t/m 406)</v>
      </c>
      <c r="C17" s="387"/>
      <c r="D17" s="388"/>
      <c r="E17" s="389">
        <f>SUM(E11:E16)</f>
        <v>0</v>
      </c>
      <c r="F17" s="59"/>
      <c r="G17" s="43"/>
      <c r="H17" s="43"/>
      <c r="I17" s="43"/>
      <c r="J17" s="43"/>
      <c r="K17" s="43"/>
      <c r="L17" s="43"/>
      <c r="M17" s="43"/>
      <c r="N17" s="43"/>
      <c r="O17" s="43"/>
      <c r="P17" s="43"/>
      <c r="Q17" s="43"/>
      <c r="R17" s="43"/>
    </row>
    <row r="18" spans="1:18" ht="12.75" customHeight="1" x14ac:dyDescent="0.2">
      <c r="A18" s="57">
        <f t="shared" si="0"/>
        <v>408</v>
      </c>
      <c r="B18" s="158" t="str">
        <f>CONCATENATE('A-G'!B122," (regel ",'A-G'!A147," bijlage ",LEFT('A-G'!A122,1),")****")</f>
        <v>Nog in tarieven te verrekenen kosten/opbrengsten (regel 821 bijlage G)****</v>
      </c>
      <c r="C18" s="390"/>
      <c r="D18" s="391"/>
      <c r="E18" s="378">
        <f>'A-G'!G147</f>
        <v>0</v>
      </c>
      <c r="F18" s="59"/>
      <c r="G18" s="43"/>
      <c r="H18" s="43"/>
      <c r="I18" s="43"/>
      <c r="J18" s="43"/>
      <c r="K18" s="43"/>
      <c r="L18" s="43"/>
      <c r="M18" s="43"/>
      <c r="N18" s="43"/>
      <c r="O18" s="43"/>
      <c r="P18" s="43"/>
      <c r="Q18" s="43"/>
      <c r="R18" s="43"/>
    </row>
    <row r="19" spans="1:18" ht="12.75" customHeight="1" x14ac:dyDescent="0.2">
      <c r="A19" s="20"/>
      <c r="B19" s="392"/>
      <c r="C19" s="393"/>
      <c r="D19" s="393"/>
      <c r="E19" s="394"/>
      <c r="F19" s="59"/>
      <c r="G19" s="43"/>
      <c r="H19" s="43"/>
      <c r="I19" s="43"/>
      <c r="J19" s="43"/>
      <c r="K19" s="43"/>
      <c r="L19" s="43"/>
      <c r="M19" s="43"/>
      <c r="N19" s="43"/>
      <c r="O19" s="43"/>
      <c r="P19" s="43"/>
      <c r="Q19" s="43"/>
      <c r="R19" s="43"/>
    </row>
    <row r="20" spans="1:18" ht="12.75" customHeight="1" x14ac:dyDescent="0.2">
      <c r="A20" s="372" t="s">
        <v>330</v>
      </c>
      <c r="C20" s="395"/>
      <c r="D20" s="395"/>
      <c r="E20" s="396"/>
      <c r="F20" s="59"/>
      <c r="G20" s="43"/>
      <c r="H20" s="43"/>
      <c r="I20" s="43"/>
      <c r="J20" s="43"/>
      <c r="K20" s="43"/>
      <c r="L20" s="43"/>
      <c r="M20" s="43"/>
      <c r="N20" s="43"/>
      <c r="O20" s="43"/>
      <c r="P20" s="43"/>
      <c r="Q20" s="43"/>
      <c r="R20" s="43"/>
    </row>
    <row r="21" spans="1:18" ht="12.75" customHeight="1" x14ac:dyDescent="0.2">
      <c r="A21" s="57">
        <f>A18+1</f>
        <v>409</v>
      </c>
      <c r="B21" s="375" t="str">
        <f>CONCATENATE(H!B7," (regel ",H!A41," bijlage ",LEFT(H!A7,1),")")</f>
        <v>Langlopende leningen (incl. langlopende leasecontracten) (regel 931 bijlage H)</v>
      </c>
      <c r="C21" s="376"/>
      <c r="D21" s="377"/>
      <c r="E21" s="378">
        <f>H!R41</f>
        <v>0</v>
      </c>
      <c r="F21" s="59"/>
      <c r="G21" s="43"/>
      <c r="H21" s="43"/>
      <c r="I21" s="43"/>
      <c r="J21" s="43"/>
      <c r="K21" s="43"/>
      <c r="L21" s="43"/>
      <c r="M21" s="43"/>
      <c r="N21" s="43"/>
      <c r="O21" s="43"/>
      <c r="P21" s="43"/>
      <c r="Q21" s="43"/>
      <c r="R21" s="43"/>
    </row>
    <row r="22" spans="1:18" ht="12.75" customHeight="1" x14ac:dyDescent="0.2">
      <c r="A22" s="57">
        <f>A21+1</f>
        <v>410</v>
      </c>
      <c r="B22" s="381" t="str">
        <f>CONCATENATE('I-J'!B6," (regel ",'I-J'!A21," bijlage ",LEFT('I-J'!A6,1),")")</f>
        <v>Eigen vermogen* (regel 1315 bijlage I)</v>
      </c>
      <c r="C22" s="381"/>
      <c r="D22" s="382"/>
      <c r="E22" s="383">
        <f>'I-J'!E21</f>
        <v>0</v>
      </c>
      <c r="F22" s="59"/>
      <c r="G22" s="43"/>
      <c r="H22" s="43"/>
      <c r="I22" s="43"/>
      <c r="J22" s="43"/>
      <c r="K22" s="43"/>
      <c r="L22" s="43"/>
      <c r="M22" s="43"/>
      <c r="N22" s="43"/>
      <c r="O22" s="43"/>
      <c r="P22" s="43"/>
      <c r="Q22" s="43"/>
      <c r="R22" s="43"/>
    </row>
    <row r="23" spans="1:18" s="104" customFormat="1" ht="12.75" customHeight="1" x14ac:dyDescent="0.2">
      <c r="A23" s="57">
        <f>A22+1</f>
        <v>411</v>
      </c>
      <c r="B23" s="397" t="str">
        <f>CONCATENATE("Totaal in aanmerking te nemen passiva (regel ",A21," + ",A22,")")</f>
        <v>Totaal in aanmerking te nemen passiva (regel 409 + 410)</v>
      </c>
      <c r="C23" s="398"/>
      <c r="D23" s="388"/>
      <c r="E23" s="399">
        <f>E21+E22</f>
        <v>0</v>
      </c>
      <c r="F23" s="167"/>
      <c r="G23" s="123"/>
      <c r="H23" s="123"/>
      <c r="I23" s="123"/>
      <c r="J23" s="123"/>
      <c r="K23" s="123"/>
      <c r="L23" s="123"/>
      <c r="M23" s="123"/>
      <c r="N23" s="123"/>
      <c r="O23" s="123"/>
      <c r="P23" s="123"/>
      <c r="Q23" s="123"/>
      <c r="R23" s="123"/>
    </row>
    <row r="24" spans="1:18" x14ac:dyDescent="0.2">
      <c r="A24" s="57">
        <f>A23+1</f>
        <v>412</v>
      </c>
      <c r="B24" s="400" t="str">
        <f>CONCATENATE("Verschil tussen activa en passiva (regel ",A17," -/- ",A23,")")</f>
        <v>Verschil tussen activa en passiva (regel 407 -/- 411)</v>
      </c>
      <c r="C24" s="398"/>
      <c r="D24" s="388"/>
      <c r="E24" s="389">
        <f>E17-E23</f>
        <v>0</v>
      </c>
      <c r="F24" s="59"/>
      <c r="G24" s="43"/>
      <c r="H24" s="43"/>
      <c r="I24" s="43"/>
      <c r="J24" s="43"/>
      <c r="K24" s="43"/>
      <c r="L24" s="43"/>
      <c r="M24" s="43"/>
      <c r="N24" s="43"/>
      <c r="O24" s="43"/>
      <c r="P24" s="43"/>
      <c r="Q24" s="43"/>
      <c r="R24" s="43"/>
    </row>
    <row r="25" spans="1:18" x14ac:dyDescent="0.2">
      <c r="A25" s="111"/>
      <c r="B25" s="106"/>
      <c r="C25" s="393"/>
      <c r="D25" s="393"/>
      <c r="E25" s="394"/>
      <c r="F25" s="59"/>
      <c r="G25" s="43"/>
      <c r="H25" s="43"/>
      <c r="I25" s="43"/>
      <c r="J25" s="43"/>
      <c r="K25" s="43"/>
      <c r="L25" s="43"/>
      <c r="M25" s="43"/>
      <c r="N25" s="43"/>
      <c r="O25" s="43"/>
      <c r="P25" s="43"/>
      <c r="Q25" s="43"/>
      <c r="R25" s="43"/>
    </row>
    <row r="26" spans="1:18" x14ac:dyDescent="0.2">
      <c r="A26" s="59" t="s">
        <v>749</v>
      </c>
      <c r="C26" s="55"/>
      <c r="D26" s="43"/>
      <c r="E26" s="47"/>
      <c r="F26" s="59"/>
      <c r="G26" s="43"/>
      <c r="H26" s="43"/>
      <c r="I26" s="43"/>
      <c r="J26" s="43"/>
      <c r="K26" s="43"/>
      <c r="L26" s="43"/>
      <c r="M26" s="43"/>
      <c r="N26" s="43"/>
      <c r="O26" s="43"/>
      <c r="P26" s="43"/>
      <c r="Q26" s="43"/>
      <c r="R26" s="43"/>
    </row>
    <row r="27" spans="1:18" x14ac:dyDescent="0.2">
      <c r="A27" s="57">
        <f>A24+1</f>
        <v>413</v>
      </c>
      <c r="B27" s="379" t="str">
        <f>CONCATENATE('I-J'!B24," (regel ",'I-J'!A28," bijlage ",LEFT('I-J'!A24,1),")")</f>
        <v>Rentekosten langlopende leningen (regel 1319 bijlage J)</v>
      </c>
      <c r="C27" s="376"/>
      <c r="D27" s="401"/>
      <c r="E27" s="378">
        <f>'I-J'!E28</f>
        <v>0</v>
      </c>
      <c r="F27" s="59"/>
      <c r="G27" s="43"/>
      <c r="H27" s="43"/>
      <c r="I27" s="43"/>
      <c r="J27" s="43"/>
      <c r="K27" s="43"/>
      <c r="L27" s="43"/>
      <c r="M27" s="43"/>
      <c r="N27" s="43"/>
      <c r="O27" s="43"/>
      <c r="P27" s="43"/>
      <c r="Q27" s="43"/>
      <c r="R27" s="43"/>
    </row>
    <row r="28" spans="1:18" x14ac:dyDescent="0.2">
      <c r="A28" s="57">
        <f>A27+1</f>
        <v>414</v>
      </c>
      <c r="B28" s="379" t="str">
        <f>CONCATENATE("Normrente over verschil activa en passiva (",ROUND(E35*100,2),"% van regel ",A24,")")</f>
        <v>Normrente over verschil activa en passiva (1,08% van regel 412)</v>
      </c>
      <c r="C28" s="379"/>
      <c r="D28" s="380"/>
      <c r="E28" s="378">
        <f>ROUND(E35*(E24),0)</f>
        <v>0</v>
      </c>
      <c r="F28" s="59"/>
      <c r="G28" s="43"/>
      <c r="H28" s="43"/>
      <c r="I28" s="43"/>
      <c r="J28" s="43"/>
      <c r="K28" s="43"/>
      <c r="L28" s="43"/>
      <c r="M28" s="43"/>
      <c r="N28" s="43"/>
      <c r="O28" s="43"/>
      <c r="P28" s="43"/>
      <c r="Q28" s="43"/>
      <c r="R28" s="43"/>
    </row>
    <row r="29" spans="1:18" ht="12.75" customHeight="1" x14ac:dyDescent="0.2">
      <c r="A29" s="57">
        <f>A28+1</f>
        <v>415</v>
      </c>
      <c r="B29" s="381" t="str">
        <f>CONCATENATE("Normrente over nog in tarieven te verrekenen (",E35*100-0.75,"% van regel 408) ****")</f>
        <v>Normrente over nog in tarieven te verrekenen (0,33% van regel 408) ****</v>
      </c>
      <c r="C29" s="402"/>
      <c r="D29" s="391"/>
      <c r="E29" s="383">
        <f>ROUND((E18*(E35-0.75%)),0)</f>
        <v>0</v>
      </c>
      <c r="F29" s="59"/>
      <c r="G29" s="43"/>
      <c r="H29" s="43"/>
      <c r="I29" s="43"/>
      <c r="J29" s="43"/>
      <c r="K29" s="43"/>
      <c r="L29" s="43"/>
      <c r="M29" s="43"/>
      <c r="N29" s="43"/>
      <c r="O29" s="43"/>
      <c r="P29" s="43"/>
      <c r="Q29" s="43"/>
      <c r="R29" s="43"/>
    </row>
    <row r="30" spans="1:18" x14ac:dyDescent="0.2">
      <c r="A30" s="57">
        <f>A29+1</f>
        <v>416</v>
      </c>
      <c r="B30" s="381" t="str">
        <f>CONCATENATE("Inflatievergoeding over eigen vermogen ",ROUND(E36*100,2),"% over regel ",'I-J'!A21," bijlage ",LEFT('I-J'!A6,1)," (exclusief instandhoudingsreserve)")</f>
        <v>Inflatievergoeding over eigen vermogen 2,41% over regel 1315 bijlage I (exclusief instandhoudingsreserve)</v>
      </c>
      <c r="C30" s="60"/>
      <c r="D30" s="403"/>
      <c r="E30" s="404">
        <f>ROUND(IF(('I-J'!E21-'I-J'!E13)&gt;0,E36*('I-J'!E21-'I-J'!E13),0),0)</f>
        <v>0</v>
      </c>
      <c r="F30" s="59"/>
      <c r="G30" s="43"/>
      <c r="H30" s="43"/>
      <c r="I30" s="43"/>
      <c r="J30" s="43"/>
      <c r="K30" s="43"/>
      <c r="L30" s="43"/>
      <c r="M30" s="43"/>
      <c r="N30" s="43"/>
      <c r="O30" s="43"/>
      <c r="P30" s="43"/>
      <c r="Q30" s="43"/>
      <c r="R30" s="43"/>
    </row>
    <row r="31" spans="1:18" x14ac:dyDescent="0.2">
      <c r="A31" s="57">
        <f>A30+1</f>
        <v>417</v>
      </c>
      <c r="B31" s="397" t="str">
        <f>CONCATENATE("Totaal aanvaardbare rentekosten (regel ",A27," tot en met ",A30,")")</f>
        <v>Totaal aanvaardbare rentekosten (regel 413 tot en met 416)</v>
      </c>
      <c r="C31" s="398"/>
      <c r="D31" s="388"/>
      <c r="E31" s="389">
        <f>SUM(E27:E30)</f>
        <v>0</v>
      </c>
      <c r="F31" s="59"/>
      <c r="G31" s="43"/>
      <c r="H31" s="43"/>
      <c r="I31" s="43"/>
      <c r="J31" s="43"/>
      <c r="K31" s="43"/>
      <c r="L31" s="43"/>
      <c r="M31" s="43"/>
      <c r="N31" s="43"/>
      <c r="O31" s="43"/>
      <c r="P31" s="43"/>
      <c r="Q31" s="43"/>
      <c r="R31" s="43"/>
    </row>
    <row r="32" spans="1:18" s="104" customFormat="1" x14ac:dyDescent="0.2">
      <c r="A32" s="111"/>
      <c r="B32" s="392"/>
      <c r="C32" s="392"/>
      <c r="D32" s="392"/>
      <c r="E32" s="405"/>
      <c r="F32" s="167"/>
      <c r="G32" s="123"/>
      <c r="H32" s="123"/>
      <c r="I32" s="123"/>
      <c r="J32" s="123"/>
      <c r="K32" s="123"/>
      <c r="L32" s="123"/>
      <c r="M32" s="123"/>
      <c r="N32" s="123"/>
      <c r="O32" s="123"/>
      <c r="P32" s="123"/>
      <c r="Q32" s="123"/>
      <c r="R32" s="123"/>
    </row>
    <row r="33" spans="1:18" x14ac:dyDescent="0.2">
      <c r="A33" s="406"/>
      <c r="B33" s="407" t="s">
        <v>331</v>
      </c>
      <c r="C33" s="358"/>
      <c r="D33" s="358"/>
      <c r="E33" s="408" t="s">
        <v>332</v>
      </c>
      <c r="F33" s="59"/>
      <c r="G33" s="43"/>
      <c r="H33" s="43"/>
      <c r="I33" s="43"/>
      <c r="J33" s="43"/>
      <c r="K33" s="43"/>
      <c r="L33" s="43"/>
      <c r="M33" s="43"/>
      <c r="N33" s="43"/>
      <c r="O33" s="43"/>
      <c r="P33" s="43"/>
      <c r="Q33" s="43"/>
      <c r="R33" s="43"/>
    </row>
    <row r="34" spans="1:18" ht="12.75" customHeight="1" x14ac:dyDescent="0.2">
      <c r="A34" s="406"/>
      <c r="F34" s="59"/>
      <c r="G34" s="43"/>
      <c r="H34" s="43"/>
      <c r="I34" s="43"/>
      <c r="J34" s="43"/>
      <c r="K34" s="43"/>
      <c r="L34" s="43"/>
      <c r="M34" s="43"/>
      <c r="N34" s="43"/>
      <c r="O34" s="43"/>
      <c r="P34" s="43"/>
      <c r="Q34" s="43"/>
      <c r="R34" s="43"/>
    </row>
    <row r="35" spans="1:18" x14ac:dyDescent="0.2">
      <c r="A35" s="57">
        <f>A31+1</f>
        <v>418</v>
      </c>
      <c r="B35" s="379" t="s">
        <v>333</v>
      </c>
      <c r="C35" s="376"/>
      <c r="D35" s="401"/>
      <c r="E35" s="1221">
        <v>1.0800000000000001E-2</v>
      </c>
      <c r="F35" s="59"/>
      <c r="G35" s="43"/>
      <c r="H35" s="43"/>
      <c r="I35" s="43"/>
      <c r="J35" s="43"/>
      <c r="K35" s="43"/>
      <c r="L35" s="43"/>
      <c r="M35" s="43"/>
      <c r="N35" s="43"/>
      <c r="O35" s="43"/>
      <c r="P35" s="43"/>
      <c r="Q35" s="43"/>
      <c r="R35" s="43"/>
    </row>
    <row r="36" spans="1:18" x14ac:dyDescent="0.2">
      <c r="A36" s="57">
        <f>A35+1</f>
        <v>419</v>
      </c>
      <c r="B36" s="109" t="s">
        <v>334</v>
      </c>
      <c r="C36" s="409"/>
      <c r="D36" s="377"/>
      <c r="E36" s="1221">
        <v>2.41E-2</v>
      </c>
      <c r="F36" s="59"/>
      <c r="G36" s="43"/>
      <c r="H36" s="43"/>
      <c r="I36" s="43"/>
      <c r="J36" s="43"/>
      <c r="K36" s="43"/>
      <c r="L36" s="43"/>
      <c r="M36" s="43"/>
      <c r="N36" s="43"/>
      <c r="O36" s="43"/>
      <c r="P36" s="43"/>
      <c r="Q36" s="43"/>
      <c r="R36" s="43"/>
    </row>
    <row r="37" spans="1:18" x14ac:dyDescent="0.2">
      <c r="A37" s="544" t="s">
        <v>335</v>
      </c>
      <c r="B37" s="544"/>
      <c r="C37" s="721"/>
      <c r="D37" s="722"/>
      <c r="E37" s="723"/>
      <c r="F37" s="59"/>
      <c r="G37" s="43"/>
      <c r="H37" s="43"/>
      <c r="I37" s="43"/>
      <c r="J37" s="43"/>
      <c r="K37" s="43"/>
      <c r="L37" s="43"/>
      <c r="M37" s="43"/>
      <c r="N37" s="43"/>
      <c r="O37" s="43"/>
      <c r="P37" s="43"/>
      <c r="Q37" s="43"/>
      <c r="R37" s="43"/>
    </row>
    <row r="38" spans="1:18" x14ac:dyDescent="0.2">
      <c r="A38" s="549" t="s">
        <v>899</v>
      </c>
      <c r="B38" s="544"/>
      <c r="C38" s="724"/>
      <c r="D38" s="725"/>
      <c r="E38" s="544"/>
      <c r="F38" s="59"/>
      <c r="G38" s="43"/>
      <c r="H38" s="43"/>
      <c r="I38" s="43"/>
      <c r="J38" s="43"/>
      <c r="K38" s="43"/>
      <c r="L38" s="43"/>
      <c r="M38" s="43"/>
      <c r="N38" s="43"/>
      <c r="O38" s="43"/>
      <c r="P38" s="43"/>
      <c r="Q38" s="43"/>
      <c r="R38" s="43"/>
    </row>
    <row r="39" spans="1:18" x14ac:dyDescent="0.2">
      <c r="A39" s="549" t="s">
        <v>337</v>
      </c>
      <c r="B39" s="544"/>
      <c r="C39" s="724"/>
      <c r="D39" s="725"/>
      <c r="E39" s="544"/>
      <c r="F39" s="59"/>
      <c r="G39" s="43"/>
      <c r="H39" s="43"/>
      <c r="I39" s="43"/>
      <c r="J39" s="43"/>
      <c r="K39" s="43"/>
      <c r="L39" s="43"/>
      <c r="M39" s="43"/>
      <c r="N39" s="43"/>
      <c r="O39" s="43"/>
      <c r="P39" s="43"/>
      <c r="Q39" s="43"/>
      <c r="R39" s="43"/>
    </row>
    <row r="40" spans="1:18" ht="24" customHeight="1" x14ac:dyDescent="0.2">
      <c r="A40" s="1505" t="s">
        <v>119</v>
      </c>
      <c r="B40" s="1505"/>
      <c r="C40" s="1505"/>
      <c r="D40" s="1505"/>
      <c r="E40" s="1505"/>
      <c r="F40" s="59"/>
      <c r="G40" s="43"/>
      <c r="H40" s="43"/>
      <c r="I40" s="43"/>
      <c r="J40" s="43"/>
      <c r="K40" s="43"/>
      <c r="L40" s="43"/>
      <c r="M40" s="43"/>
      <c r="N40" s="43"/>
      <c r="O40" s="43"/>
      <c r="P40" s="43"/>
      <c r="Q40" s="43"/>
      <c r="R40" s="43"/>
    </row>
    <row r="41" spans="1:18" x14ac:dyDescent="0.2">
      <c r="A41" s="1505"/>
      <c r="B41" s="1505"/>
      <c r="C41" s="1505"/>
      <c r="D41" s="1505"/>
      <c r="E41" s="1505"/>
    </row>
    <row r="42" spans="1:18" x14ac:dyDescent="0.2">
      <c r="A42" s="726" t="s">
        <v>306</v>
      </c>
      <c r="B42" s="544"/>
      <c r="C42" s="724"/>
      <c r="D42" s="725"/>
      <c r="E42" s="544"/>
      <c r="F42" s="59"/>
      <c r="G42" s="43"/>
      <c r="H42" s="43"/>
      <c r="I42" s="43"/>
      <c r="J42" s="43"/>
      <c r="K42" s="43"/>
      <c r="L42" s="43"/>
      <c r="M42" s="43"/>
      <c r="N42" s="43"/>
      <c r="O42" s="43"/>
      <c r="P42" s="43"/>
      <c r="Q42" s="43"/>
      <c r="R42" s="43"/>
    </row>
    <row r="43" spans="1:18" x14ac:dyDescent="0.2">
      <c r="A43" s="406"/>
      <c r="B43" s="43"/>
      <c r="C43" s="410"/>
      <c r="D43" s="36"/>
      <c r="E43" s="43"/>
      <c r="F43" s="59"/>
      <c r="G43" s="43"/>
      <c r="H43" s="43"/>
      <c r="I43" s="43"/>
      <c r="J43" s="43"/>
      <c r="K43" s="43"/>
      <c r="L43" s="43"/>
      <c r="M43" s="43"/>
      <c r="N43" s="43"/>
      <c r="O43" s="43"/>
      <c r="P43" s="43"/>
      <c r="Q43" s="43"/>
      <c r="R43" s="43"/>
    </row>
    <row r="44" spans="1:18" x14ac:dyDescent="0.2">
      <c r="A44" s="406"/>
      <c r="B44" s="43"/>
      <c r="C44" s="410"/>
      <c r="D44" s="36"/>
      <c r="E44" s="43"/>
      <c r="F44" s="59"/>
      <c r="G44" s="43"/>
      <c r="H44" s="43"/>
      <c r="I44" s="43"/>
      <c r="J44" s="43"/>
      <c r="K44" s="43"/>
      <c r="L44" s="43"/>
      <c r="M44" s="43"/>
      <c r="N44" s="43"/>
      <c r="O44" s="43"/>
      <c r="P44" s="43"/>
      <c r="Q44" s="43"/>
      <c r="R44" s="43"/>
    </row>
    <row r="45" spans="1:18" x14ac:dyDescent="0.2">
      <c r="A45" s="406"/>
      <c r="B45" s="43"/>
      <c r="C45" s="410"/>
      <c r="D45" s="36"/>
      <c r="E45" s="43"/>
      <c r="F45" s="59"/>
      <c r="G45" s="43"/>
      <c r="H45" s="43"/>
      <c r="I45" s="43"/>
      <c r="J45" s="43"/>
      <c r="K45" s="43"/>
      <c r="L45" s="43"/>
      <c r="M45" s="43"/>
      <c r="N45" s="43"/>
      <c r="O45" s="43"/>
      <c r="P45" s="43"/>
      <c r="Q45" s="43"/>
      <c r="R45" s="43"/>
    </row>
    <row r="46" spans="1:18" x14ac:dyDescent="0.2">
      <c r="A46" s="406"/>
      <c r="B46" s="43"/>
      <c r="C46" s="410"/>
      <c r="D46" s="36"/>
      <c r="E46" s="43"/>
      <c r="F46" s="59"/>
      <c r="G46" s="43"/>
      <c r="H46" s="43"/>
      <c r="I46" s="43"/>
      <c r="J46" s="43"/>
      <c r="K46" s="43"/>
      <c r="L46" s="43"/>
      <c r="M46" s="43"/>
      <c r="N46" s="43"/>
      <c r="O46" s="43"/>
      <c r="P46" s="43"/>
      <c r="Q46" s="43"/>
      <c r="R46" s="43"/>
    </row>
    <row r="47" spans="1:18" x14ac:dyDescent="0.2">
      <c r="A47" s="406"/>
      <c r="B47" s="43"/>
      <c r="C47" s="410"/>
      <c r="D47" s="36"/>
      <c r="E47" s="43"/>
      <c r="F47" s="59"/>
      <c r="G47" s="43"/>
      <c r="H47" s="43"/>
      <c r="I47" s="43"/>
      <c r="J47" s="43"/>
      <c r="K47" s="43"/>
      <c r="L47" s="43"/>
      <c r="M47" s="43"/>
      <c r="N47" s="43"/>
      <c r="O47" s="43"/>
      <c r="P47" s="43"/>
      <c r="Q47" s="43"/>
      <c r="R47" s="43"/>
    </row>
    <row r="48" spans="1:18" x14ac:dyDescent="0.2">
      <c r="A48" s="406"/>
      <c r="B48" s="43"/>
      <c r="C48" s="410"/>
      <c r="D48" s="36"/>
      <c r="E48" s="43"/>
      <c r="F48" s="59"/>
      <c r="G48" s="43"/>
      <c r="H48" s="43"/>
      <c r="I48" s="43"/>
      <c r="J48" s="43"/>
      <c r="K48" s="43"/>
      <c r="L48" s="43"/>
      <c r="M48" s="43"/>
      <c r="N48" s="43"/>
      <c r="O48" s="43"/>
      <c r="P48" s="43"/>
      <c r="Q48" s="43"/>
      <c r="R48" s="43"/>
    </row>
    <row r="49" spans="1:18" x14ac:dyDescent="0.2">
      <c r="A49" s="406"/>
      <c r="B49" s="43"/>
      <c r="C49" s="410"/>
      <c r="D49" s="36"/>
      <c r="E49" s="43"/>
      <c r="F49" s="59"/>
      <c r="G49" s="43"/>
      <c r="H49" s="43"/>
      <c r="I49" s="43"/>
      <c r="J49" s="43"/>
      <c r="K49" s="43"/>
      <c r="L49" s="43"/>
      <c r="M49" s="43"/>
      <c r="N49" s="43"/>
      <c r="O49" s="43"/>
      <c r="P49" s="43"/>
      <c r="Q49" s="43"/>
      <c r="R49" s="43"/>
    </row>
    <row r="50" spans="1:18" x14ac:dyDescent="0.2">
      <c r="A50" s="406"/>
      <c r="B50" s="43"/>
      <c r="C50" s="410"/>
      <c r="D50" s="36"/>
      <c r="E50" s="43"/>
      <c r="F50" s="59"/>
      <c r="G50" s="43"/>
      <c r="H50" s="43"/>
      <c r="I50" s="43"/>
      <c r="J50" s="43"/>
      <c r="K50" s="43"/>
      <c r="L50" s="43"/>
      <c r="M50" s="43"/>
      <c r="N50" s="43"/>
      <c r="O50" s="43"/>
      <c r="P50" s="43"/>
      <c r="Q50" s="43"/>
      <c r="R50" s="43"/>
    </row>
    <row r="51" spans="1:18" x14ac:dyDescent="0.2">
      <c r="A51" s="406"/>
      <c r="B51" s="43"/>
      <c r="C51" s="410"/>
      <c r="D51" s="36"/>
      <c r="E51" s="43"/>
      <c r="F51" s="59"/>
      <c r="G51" s="43"/>
      <c r="H51" s="43"/>
      <c r="I51" s="43"/>
      <c r="J51" s="43"/>
      <c r="K51" s="43"/>
      <c r="L51" s="43"/>
      <c r="M51" s="43"/>
      <c r="N51" s="43"/>
      <c r="O51" s="43"/>
      <c r="P51" s="43"/>
      <c r="Q51" s="43"/>
      <c r="R51" s="43"/>
    </row>
    <row r="52" spans="1:18" x14ac:dyDescent="0.2">
      <c r="A52" s="406"/>
      <c r="B52" s="43"/>
      <c r="C52" s="410"/>
      <c r="D52" s="36"/>
      <c r="E52" s="43"/>
      <c r="F52" s="59"/>
      <c r="G52" s="43"/>
      <c r="H52" s="43"/>
      <c r="I52" s="43"/>
      <c r="J52" s="43"/>
      <c r="K52" s="43"/>
      <c r="L52" s="43"/>
      <c r="M52" s="43"/>
      <c r="N52" s="43"/>
      <c r="O52" s="43"/>
      <c r="P52" s="43"/>
      <c r="Q52" s="43"/>
      <c r="R52" s="43"/>
    </row>
  </sheetData>
  <sheetProtection password="CA39" sheet="1" objects="1" scenarios="1"/>
  <mergeCells count="3">
    <mergeCell ref="A5:E6"/>
    <mergeCell ref="A3:D3"/>
    <mergeCell ref="A40:E41"/>
  </mergeCells>
  <phoneticPr fontId="12" type="noConversion"/>
  <conditionalFormatting sqref="A3">
    <cfRule type="cellIs" dxfId="9" priority="2" stopIfTrue="1" operator="equal">
      <formula>"Vul het Nza-nummer in op het voorblad"</formula>
    </cfRule>
  </conditionalFormatting>
  <pageMargins left="0.39370078740157483" right="0.39370078740157483" top="0.39370078740157483" bottom="0.39370078740157483" header="0.51181102362204722" footer="0.51181102362204722"/>
  <pageSetup paperSize="9" orientation="landscape" cellComments="asDisplayed" horizontalDpi="300" verticalDpi="300" r:id="rId1"/>
  <headerFooter alignWithMargins="0"/>
  <drawing r:id="rId2"/>
  <legacyDrawing r:id="rId3"/>
  <oleObjects>
    <mc:AlternateContent xmlns:mc="http://schemas.openxmlformats.org/markup-compatibility/2006">
      <mc:Choice Requires="x14">
        <oleObject progId="MSPhotoEd.3" shapeId="89089" r:id="rId4">
          <objectPr defaultSize="0" autoPict="0" r:id="rId5">
            <anchor moveWithCells="1" sizeWithCells="1">
              <from>
                <xdr:col>3</xdr:col>
                <xdr:colOff>1590675</xdr:colOff>
                <xdr:row>1</xdr:row>
                <xdr:rowOff>38100</xdr:rowOff>
              </from>
              <to>
                <xdr:col>4</xdr:col>
                <xdr:colOff>714375</xdr:colOff>
                <xdr:row>1</xdr:row>
                <xdr:rowOff>180975</xdr:rowOff>
              </to>
            </anchor>
          </objectPr>
        </oleObject>
      </mc:Choice>
      <mc:Fallback>
        <oleObject progId="MSPhotoEd.3" shapeId="89089" r:id="rId4"/>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8">
    <tabColor indexed="44"/>
    <pageSetUpPr autoPageBreaks="0"/>
  </sheetPr>
  <dimension ref="A1:L165"/>
  <sheetViews>
    <sheetView showGridLines="0" showZeros="0" showOutlineSymbols="0" zoomScaleNormal="100" zoomScaleSheetLayoutView="100" workbookViewId="0">
      <selection activeCell="D146" sqref="D146"/>
    </sheetView>
  </sheetViews>
  <sheetFormatPr defaultRowHeight="11.25" x14ac:dyDescent="0.15"/>
  <cols>
    <col min="1" max="1" width="6.7109375" style="870" customWidth="1"/>
    <col min="2" max="2" width="52.85546875" style="328" customWidth="1"/>
    <col min="3" max="3" width="21.140625" style="315" bestFit="1" customWidth="1"/>
    <col min="4" max="4" width="17.85546875" style="315" customWidth="1"/>
    <col min="5" max="5" width="20.28515625" style="315" customWidth="1"/>
    <col min="6" max="6" width="15.85546875" style="315" customWidth="1"/>
    <col min="7" max="7" width="16" style="328" customWidth="1"/>
    <col min="8" max="8" width="1.7109375" style="328" customWidth="1"/>
    <col min="9" max="9" width="10.7109375" style="328" customWidth="1"/>
    <col min="10" max="10" width="10.7109375" style="798" customWidth="1"/>
    <col min="11" max="15" width="10.7109375" style="328" customWidth="1"/>
    <col min="16" max="23" width="9.140625" style="328"/>
    <col min="24" max="24" width="1.7109375" style="328" customWidth="1"/>
    <col min="25" max="16384" width="9.140625" style="328"/>
  </cols>
  <sheetData>
    <row r="1" spans="1:10" x14ac:dyDescent="0.15">
      <c r="C1" s="871"/>
    </row>
    <row r="2" spans="1:10" s="318" customFormat="1" ht="15.75" customHeight="1" x14ac:dyDescent="0.2">
      <c r="A2" s="880" t="str">
        <f>'Overzicht rente'!A2</f>
        <v>Rentenormeringsbalans 2012 algemene ziekenhuizen</v>
      </c>
      <c r="C2" s="320"/>
      <c r="D2" s="320"/>
      <c r="E2" s="319" t="b">
        <f>rentenormeringsbalans!D24</f>
        <v>1</v>
      </c>
      <c r="F2" s="319"/>
      <c r="G2" s="321">
        <f>'Overzicht rente'!E2+1</f>
        <v>5</v>
      </c>
    </row>
    <row r="3" spans="1:10" ht="8.25" customHeight="1" x14ac:dyDescent="0.15"/>
    <row r="4" spans="1:10" ht="12.75" customHeight="1" x14ac:dyDescent="0.15">
      <c r="A4" s="322" t="s">
        <v>338</v>
      </c>
    </row>
    <row r="5" spans="1:10" ht="12.75" customHeight="1" x14ac:dyDescent="0.2">
      <c r="A5" s="1329" t="str">
        <f>IF(Voorblad!$F$10&lt;1,"Vul het NZa-nummer in op het voorblad","")</f>
        <v>Vul het NZa-nummer in op het voorblad</v>
      </c>
      <c r="B5" s="1330"/>
      <c r="C5" s="1330"/>
      <c r="D5" s="1330"/>
    </row>
    <row r="6" spans="1:10" ht="12.75" customHeight="1" x14ac:dyDescent="0.15">
      <c r="A6" s="322" t="s">
        <v>758</v>
      </c>
      <c r="B6" s="1520" t="s">
        <v>779</v>
      </c>
      <c r="C6" s="1049" t="s">
        <v>756</v>
      </c>
      <c r="D6" s="1050" t="s">
        <v>744</v>
      </c>
      <c r="E6" s="1049" t="s">
        <v>743</v>
      </c>
      <c r="F6" s="1508" t="s">
        <v>339</v>
      </c>
      <c r="G6" s="1509"/>
      <c r="H6" s="958"/>
      <c r="I6" s="958"/>
      <c r="J6" s="958"/>
    </row>
    <row r="7" spans="1:10" s="958" customFormat="1" ht="12.75" customHeight="1" x14ac:dyDescent="0.2">
      <c r="A7" s="1051"/>
      <c r="B7" s="1521"/>
      <c r="C7" s="884"/>
      <c r="D7" s="884"/>
      <c r="E7" s="884"/>
      <c r="F7" s="1052" t="s">
        <v>340</v>
      </c>
      <c r="G7" s="1053" t="s">
        <v>739</v>
      </c>
    </row>
    <row r="8" spans="1:10" s="958" customFormat="1" ht="12.75" customHeight="1" x14ac:dyDescent="0.15">
      <c r="A8" s="322"/>
      <c r="B8" s="1522"/>
      <c r="C8" s="1004"/>
      <c r="D8" s="1004"/>
      <c r="E8" s="1054"/>
      <c r="F8" s="1055"/>
      <c r="G8" s="1056"/>
      <c r="H8" s="798"/>
      <c r="I8" s="798"/>
      <c r="J8" s="798"/>
    </row>
    <row r="9" spans="1:10" ht="12.6" customHeight="1" x14ac:dyDescent="0.15">
      <c r="A9" s="1036">
        <f>(100*G2)+1</f>
        <v>501</v>
      </c>
      <c r="B9" s="867" t="str">
        <f>"Stand per 31-12-"&amp;Voorblad!$K$4-1</f>
        <v>Stand per 31-12-2011</v>
      </c>
      <c r="C9" s="119"/>
      <c r="D9" s="412"/>
      <c r="E9" s="413">
        <f t="shared" ref="E9:E22" si="0">C9-D9</f>
        <v>0</v>
      </c>
      <c r="F9" s="414">
        <v>1</v>
      </c>
      <c r="G9" s="415">
        <f>E9*F9</f>
        <v>0</v>
      </c>
      <c r="J9" s="328"/>
    </row>
    <row r="10" spans="1:10" ht="12.6" customHeight="1" x14ac:dyDescent="0.15">
      <c r="A10" s="1036">
        <f t="shared" ref="A10:A26" si="1">A9+1</f>
        <v>502</v>
      </c>
      <c r="B10" s="867" t="str">
        <f>"Geheel afgeschreven in "&amp;Voorblad!$K$4</f>
        <v>Geheel afgeschreven in 2012</v>
      </c>
      <c r="C10" s="416"/>
      <c r="D10" s="119"/>
      <c r="E10" s="413">
        <f t="shared" si="0"/>
        <v>0</v>
      </c>
      <c r="F10" s="417"/>
      <c r="G10" s="418"/>
      <c r="J10" s="328"/>
    </row>
    <row r="11" spans="1:10" ht="12.6" customHeight="1" x14ac:dyDescent="0.15">
      <c r="A11" s="1036">
        <f t="shared" si="1"/>
        <v>503</v>
      </c>
      <c r="B11" s="867" t="s">
        <v>341</v>
      </c>
      <c r="C11" s="119"/>
      <c r="D11" s="412"/>
      <c r="E11" s="413">
        <f t="shared" si="0"/>
        <v>0</v>
      </c>
      <c r="F11" s="414">
        <v>0.95830000000000004</v>
      </c>
      <c r="G11" s="415">
        <f t="shared" ref="G11:G22" si="2">E11*F11</f>
        <v>0</v>
      </c>
      <c r="I11" s="1057"/>
      <c r="J11" s="328"/>
    </row>
    <row r="12" spans="1:10" ht="12.6" customHeight="1" x14ac:dyDescent="0.15">
      <c r="A12" s="1036">
        <f t="shared" si="1"/>
        <v>504</v>
      </c>
      <c r="B12" s="867" t="s">
        <v>342</v>
      </c>
      <c r="C12" s="119"/>
      <c r="D12" s="412"/>
      <c r="E12" s="413">
        <f t="shared" si="0"/>
        <v>0</v>
      </c>
      <c r="F12" s="414">
        <v>0.875</v>
      </c>
      <c r="G12" s="415">
        <f t="shared" si="2"/>
        <v>0</v>
      </c>
      <c r="I12" s="1057"/>
      <c r="J12" s="328"/>
    </row>
    <row r="13" spans="1:10" ht="12.6" customHeight="1" x14ac:dyDescent="0.15">
      <c r="A13" s="1036">
        <f t="shared" si="1"/>
        <v>505</v>
      </c>
      <c r="B13" s="867" t="s">
        <v>343</v>
      </c>
      <c r="C13" s="119"/>
      <c r="D13" s="412"/>
      <c r="E13" s="413">
        <f t="shared" si="0"/>
        <v>0</v>
      </c>
      <c r="F13" s="414">
        <v>0.79169999999999996</v>
      </c>
      <c r="G13" s="415">
        <f t="shared" si="2"/>
        <v>0</v>
      </c>
      <c r="I13" s="1057"/>
      <c r="J13" s="328"/>
    </row>
    <row r="14" spans="1:10" ht="12.6" customHeight="1" x14ac:dyDescent="0.15">
      <c r="A14" s="1036">
        <f t="shared" si="1"/>
        <v>506</v>
      </c>
      <c r="B14" s="867" t="s">
        <v>344</v>
      </c>
      <c r="C14" s="119"/>
      <c r="D14" s="412"/>
      <c r="E14" s="413">
        <f t="shared" si="0"/>
        <v>0</v>
      </c>
      <c r="F14" s="414">
        <v>0.70830000000000004</v>
      </c>
      <c r="G14" s="415">
        <f t="shared" si="2"/>
        <v>0</v>
      </c>
      <c r="I14" s="1057"/>
      <c r="J14" s="328"/>
    </row>
    <row r="15" spans="1:10" ht="12.6" customHeight="1" x14ac:dyDescent="0.15">
      <c r="A15" s="1036">
        <f t="shared" si="1"/>
        <v>507</v>
      </c>
      <c r="B15" s="867" t="s">
        <v>345</v>
      </c>
      <c r="C15" s="119"/>
      <c r="D15" s="412"/>
      <c r="E15" s="413">
        <f t="shared" si="0"/>
        <v>0</v>
      </c>
      <c r="F15" s="414">
        <v>0.625</v>
      </c>
      <c r="G15" s="415">
        <f t="shared" si="2"/>
        <v>0</v>
      </c>
      <c r="I15" s="1057"/>
      <c r="J15" s="328"/>
    </row>
    <row r="16" spans="1:10" ht="12.6" customHeight="1" x14ac:dyDescent="0.15">
      <c r="A16" s="1036">
        <f t="shared" si="1"/>
        <v>508</v>
      </c>
      <c r="B16" s="867" t="s">
        <v>346</v>
      </c>
      <c r="C16" s="119"/>
      <c r="D16" s="412"/>
      <c r="E16" s="413">
        <f t="shared" si="0"/>
        <v>0</v>
      </c>
      <c r="F16" s="414">
        <v>0.54169999999999996</v>
      </c>
      <c r="G16" s="415">
        <f t="shared" si="2"/>
        <v>0</v>
      </c>
      <c r="I16" s="1057"/>
      <c r="J16" s="328"/>
    </row>
    <row r="17" spans="1:10" ht="12.6" customHeight="1" x14ac:dyDescent="0.15">
      <c r="A17" s="1036">
        <f t="shared" si="1"/>
        <v>509</v>
      </c>
      <c r="B17" s="867" t="s">
        <v>347</v>
      </c>
      <c r="C17" s="119"/>
      <c r="D17" s="412"/>
      <c r="E17" s="413">
        <f t="shared" si="0"/>
        <v>0</v>
      </c>
      <c r="F17" s="414">
        <v>0.45829999999999999</v>
      </c>
      <c r="G17" s="415">
        <f t="shared" si="2"/>
        <v>0</v>
      </c>
      <c r="I17" s="1057"/>
      <c r="J17" s="328"/>
    </row>
    <row r="18" spans="1:10" ht="12.6" customHeight="1" x14ac:dyDescent="0.15">
      <c r="A18" s="1036">
        <f t="shared" si="1"/>
        <v>510</v>
      </c>
      <c r="B18" s="867" t="s">
        <v>348</v>
      </c>
      <c r="C18" s="119"/>
      <c r="D18" s="412"/>
      <c r="E18" s="413">
        <f t="shared" si="0"/>
        <v>0</v>
      </c>
      <c r="F18" s="414">
        <v>0.375</v>
      </c>
      <c r="G18" s="415">
        <f t="shared" si="2"/>
        <v>0</v>
      </c>
      <c r="I18" s="1057"/>
      <c r="J18" s="328"/>
    </row>
    <row r="19" spans="1:10" ht="12.6" customHeight="1" x14ac:dyDescent="0.15">
      <c r="A19" s="1036">
        <f t="shared" si="1"/>
        <v>511</v>
      </c>
      <c r="B19" s="867" t="s">
        <v>349</v>
      </c>
      <c r="C19" s="119"/>
      <c r="D19" s="412"/>
      <c r="E19" s="413">
        <f t="shared" si="0"/>
        <v>0</v>
      </c>
      <c r="F19" s="414">
        <v>0.29170000000000001</v>
      </c>
      <c r="G19" s="415">
        <f t="shared" si="2"/>
        <v>0</v>
      </c>
      <c r="I19" s="1057"/>
      <c r="J19" s="328"/>
    </row>
    <row r="20" spans="1:10" ht="12.6" customHeight="1" x14ac:dyDescent="0.15">
      <c r="A20" s="1036">
        <f t="shared" si="1"/>
        <v>512</v>
      </c>
      <c r="B20" s="867" t="s">
        <v>350</v>
      </c>
      <c r="C20" s="119"/>
      <c r="D20" s="412"/>
      <c r="E20" s="413">
        <f t="shared" si="0"/>
        <v>0</v>
      </c>
      <c r="F20" s="414">
        <v>0.20830000000000001</v>
      </c>
      <c r="G20" s="415">
        <f t="shared" si="2"/>
        <v>0</v>
      </c>
      <c r="I20" s="1057"/>
      <c r="J20" s="328"/>
    </row>
    <row r="21" spans="1:10" ht="12.6" customHeight="1" x14ac:dyDescent="0.15">
      <c r="A21" s="1036">
        <f t="shared" si="1"/>
        <v>513</v>
      </c>
      <c r="B21" s="867" t="s">
        <v>351</v>
      </c>
      <c r="C21" s="119"/>
      <c r="D21" s="412"/>
      <c r="E21" s="413">
        <f t="shared" si="0"/>
        <v>0</v>
      </c>
      <c r="F21" s="414">
        <v>0.125</v>
      </c>
      <c r="G21" s="415">
        <f t="shared" si="2"/>
        <v>0</v>
      </c>
      <c r="I21" s="1057"/>
      <c r="J21" s="328"/>
    </row>
    <row r="22" spans="1:10" ht="12.6" customHeight="1" x14ac:dyDescent="0.15">
      <c r="A22" s="1036">
        <f t="shared" si="1"/>
        <v>514</v>
      </c>
      <c r="B22" s="1058" t="s">
        <v>352</v>
      </c>
      <c r="C22" s="419"/>
      <c r="D22" s="412"/>
      <c r="E22" s="420">
        <f t="shared" si="0"/>
        <v>0</v>
      </c>
      <c r="F22" s="421">
        <v>4.1700000000000001E-2</v>
      </c>
      <c r="G22" s="422">
        <f t="shared" si="2"/>
        <v>0</v>
      </c>
      <c r="I22" s="1057"/>
      <c r="J22" s="328"/>
    </row>
    <row r="23" spans="1:10" ht="12.6" customHeight="1" x14ac:dyDescent="0.15">
      <c r="A23" s="1036">
        <f t="shared" si="1"/>
        <v>515</v>
      </c>
      <c r="B23" s="1059" t="str">
        <f>"Stand per 31-12-"&amp;Voorblad!$K$4</f>
        <v>Stand per 31-12-2012</v>
      </c>
      <c r="C23" s="424">
        <f>C9-C10+SUM(C11:C22)</f>
        <v>0</v>
      </c>
      <c r="D23" s="425">
        <f>D9-D10+SUM(D11:D22)</f>
        <v>0</v>
      </c>
      <c r="E23" s="425">
        <f>SUM(E9:E22)</f>
        <v>0</v>
      </c>
      <c r="F23" s="426"/>
      <c r="G23" s="399">
        <f>SUM(G9:G22)</f>
        <v>0</v>
      </c>
    </row>
    <row r="24" spans="1:10" ht="12.6" customHeight="1" x14ac:dyDescent="0.15">
      <c r="A24" s="1036">
        <f t="shared" si="1"/>
        <v>516</v>
      </c>
      <c r="B24" s="427" t="str">
        <f>"Subtotaal afschrijvingen nacalculatieformulier (regel "&amp;'2 afschrijv. instandhoud. '!A16&amp;")"</f>
        <v>Subtotaal afschrijvingen nacalculatieformulier (regel 1508)</v>
      </c>
      <c r="C24" s="360"/>
      <c r="D24" s="262">
        <f>'2 afschrijv. instandhoud. '!J16</f>
        <v>0</v>
      </c>
      <c r="E24" s="428"/>
      <c r="F24" s="429"/>
      <c r="G24" s="430"/>
      <c r="H24" s="667"/>
      <c r="I24" s="327"/>
      <c r="J24" s="328"/>
    </row>
    <row r="25" spans="1:10" s="327" customFormat="1" ht="12.6" customHeight="1" x14ac:dyDescent="0.15">
      <c r="A25" s="1036">
        <f t="shared" si="1"/>
        <v>517</v>
      </c>
      <c r="B25" s="427" t="str">
        <f>CONCATENATE("Regel ",A9,"- regel ",A10)</f>
        <v>Regel 501- regel 502</v>
      </c>
      <c r="C25" s="360"/>
      <c r="D25" s="262">
        <f>D9-D10</f>
        <v>0</v>
      </c>
      <c r="H25" s="328"/>
      <c r="I25" s="798"/>
    </row>
    <row r="26" spans="1:10" ht="12.75" customHeight="1" x14ac:dyDescent="0.15">
      <c r="A26" s="1036">
        <f t="shared" si="1"/>
        <v>518</v>
      </c>
      <c r="B26" s="865" t="s">
        <v>353</v>
      </c>
      <c r="C26" s="431"/>
      <c r="D26" s="263">
        <f>D23-D24-D25</f>
        <v>0</v>
      </c>
      <c r="F26" s="328"/>
    </row>
    <row r="27" spans="1:10" x14ac:dyDescent="0.15">
      <c r="A27" s="316"/>
      <c r="G27" s="1060"/>
    </row>
    <row r="28" spans="1:10" x14ac:dyDescent="0.15">
      <c r="A28" s="322" t="s">
        <v>759</v>
      </c>
      <c r="B28" s="1523" t="s">
        <v>297</v>
      </c>
      <c r="C28" s="1049" t="s">
        <v>354</v>
      </c>
      <c r="D28" s="1049" t="s">
        <v>740</v>
      </c>
      <c r="E28" s="1511" t="s">
        <v>734</v>
      </c>
      <c r="F28" s="1512"/>
      <c r="G28" s="1513"/>
    </row>
    <row r="29" spans="1:10" x14ac:dyDescent="0.15">
      <c r="A29" s="1061"/>
      <c r="B29" s="1524"/>
      <c r="C29" s="1062" t="s">
        <v>355</v>
      </c>
      <c r="D29" s="1062" t="s">
        <v>741</v>
      </c>
      <c r="E29" s="1514"/>
      <c r="F29" s="1515"/>
      <c r="G29" s="1516"/>
    </row>
    <row r="30" spans="1:10" x14ac:dyDescent="0.15">
      <c r="A30" s="1061"/>
      <c r="B30" s="1524"/>
      <c r="C30" s="884" t="s">
        <v>742</v>
      </c>
      <c r="D30" s="884" t="s">
        <v>745</v>
      </c>
      <c r="E30" s="1052" t="s">
        <v>356</v>
      </c>
      <c r="F30" s="1052" t="s">
        <v>357</v>
      </c>
      <c r="G30" s="1053" t="s">
        <v>739</v>
      </c>
    </row>
    <row r="31" spans="1:10" x14ac:dyDescent="0.15">
      <c r="A31" s="316"/>
      <c r="C31" s="354"/>
      <c r="D31" s="1063"/>
      <c r="E31" s="1063"/>
      <c r="F31" s="326"/>
      <c r="G31" s="1063"/>
    </row>
    <row r="32" spans="1:10" ht="12.75" x14ac:dyDescent="0.2">
      <c r="A32" s="1036">
        <f>A26+1</f>
        <v>519</v>
      </c>
      <c r="B32" s="867" t="str">
        <f>B9</f>
        <v>Stand per 31-12-2011</v>
      </c>
      <c r="C32" s="119"/>
      <c r="D32" s="438"/>
      <c r="E32" s="432">
        <v>1</v>
      </c>
      <c r="F32" s="433"/>
      <c r="G32" s="415">
        <f>C32*E32</f>
        <v>0</v>
      </c>
    </row>
    <row r="33" spans="1:7" x14ac:dyDescent="0.15">
      <c r="A33" s="1036">
        <f t="shared" ref="A33:A46" si="3">A32+1</f>
        <v>520</v>
      </c>
      <c r="B33" s="867" t="s">
        <v>358</v>
      </c>
      <c r="C33" s="119"/>
      <c r="D33" s="412"/>
      <c r="E33" s="432">
        <f>10.5/12</f>
        <v>0.875</v>
      </c>
      <c r="F33" s="432">
        <v>0.95830000000000004</v>
      </c>
      <c r="G33" s="415">
        <f t="shared" ref="G33:G44" si="4">C33*E33-D33*F33</f>
        <v>0</v>
      </c>
    </row>
    <row r="34" spans="1:7" x14ac:dyDescent="0.15">
      <c r="A34" s="1036">
        <f t="shared" si="3"/>
        <v>521</v>
      </c>
      <c r="B34" s="867" t="s">
        <v>359</v>
      </c>
      <c r="C34" s="119"/>
      <c r="D34" s="412"/>
      <c r="E34" s="432">
        <f>9.5/12</f>
        <v>0.79166666666666663</v>
      </c>
      <c r="F34" s="432">
        <v>0.875</v>
      </c>
      <c r="G34" s="415">
        <f t="shared" si="4"/>
        <v>0</v>
      </c>
    </row>
    <row r="35" spans="1:7" x14ac:dyDescent="0.15">
      <c r="A35" s="1036">
        <f t="shared" si="3"/>
        <v>522</v>
      </c>
      <c r="B35" s="867" t="s">
        <v>360</v>
      </c>
      <c r="C35" s="119"/>
      <c r="D35" s="412"/>
      <c r="E35" s="432">
        <f>8.5/12</f>
        <v>0.70833333333333337</v>
      </c>
      <c r="F35" s="432">
        <v>0.79169999999999996</v>
      </c>
      <c r="G35" s="415">
        <f t="shared" si="4"/>
        <v>0</v>
      </c>
    </row>
    <row r="36" spans="1:7" x14ac:dyDescent="0.15">
      <c r="A36" s="1036">
        <f t="shared" si="3"/>
        <v>523</v>
      </c>
      <c r="B36" s="867" t="s">
        <v>361</v>
      </c>
      <c r="C36" s="119"/>
      <c r="D36" s="412"/>
      <c r="E36" s="432">
        <f>7.5/12</f>
        <v>0.625</v>
      </c>
      <c r="F36" s="432">
        <v>0.70830000000000004</v>
      </c>
      <c r="G36" s="415">
        <f t="shared" si="4"/>
        <v>0</v>
      </c>
    </row>
    <row r="37" spans="1:7" x14ac:dyDescent="0.15">
      <c r="A37" s="1036">
        <f t="shared" si="3"/>
        <v>524</v>
      </c>
      <c r="B37" s="867" t="s">
        <v>362</v>
      </c>
      <c r="C37" s="119"/>
      <c r="D37" s="412"/>
      <c r="E37" s="432">
        <f>6.5/12</f>
        <v>0.54166666666666663</v>
      </c>
      <c r="F37" s="432">
        <v>0.625</v>
      </c>
      <c r="G37" s="415">
        <f t="shared" si="4"/>
        <v>0</v>
      </c>
    </row>
    <row r="38" spans="1:7" x14ac:dyDescent="0.15">
      <c r="A38" s="1036">
        <f t="shared" si="3"/>
        <v>525</v>
      </c>
      <c r="B38" s="867" t="s">
        <v>363</v>
      </c>
      <c r="C38" s="119"/>
      <c r="D38" s="412"/>
      <c r="E38" s="432">
        <f>5.5/12</f>
        <v>0.45833333333333331</v>
      </c>
      <c r="F38" s="432">
        <v>0.54169999999999996</v>
      </c>
      <c r="G38" s="415">
        <f t="shared" si="4"/>
        <v>0</v>
      </c>
    </row>
    <row r="39" spans="1:7" x14ac:dyDescent="0.15">
      <c r="A39" s="1036">
        <f t="shared" si="3"/>
        <v>526</v>
      </c>
      <c r="B39" s="867" t="s">
        <v>364</v>
      </c>
      <c r="C39" s="119"/>
      <c r="D39" s="412"/>
      <c r="E39" s="432">
        <f>4.5/12</f>
        <v>0.375</v>
      </c>
      <c r="F39" s="432">
        <v>0.45829999999999999</v>
      </c>
      <c r="G39" s="415">
        <f t="shared" si="4"/>
        <v>0</v>
      </c>
    </row>
    <row r="40" spans="1:7" x14ac:dyDescent="0.15">
      <c r="A40" s="1036">
        <f t="shared" si="3"/>
        <v>527</v>
      </c>
      <c r="B40" s="867" t="s">
        <v>365</v>
      </c>
      <c r="C40" s="119"/>
      <c r="D40" s="412"/>
      <c r="E40" s="432">
        <f>3.5/12</f>
        <v>0.29166666666666669</v>
      </c>
      <c r="F40" s="432">
        <v>0.375</v>
      </c>
      <c r="G40" s="415">
        <f t="shared" si="4"/>
        <v>0</v>
      </c>
    </row>
    <row r="41" spans="1:7" x14ac:dyDescent="0.15">
      <c r="A41" s="1036">
        <f t="shared" si="3"/>
        <v>528</v>
      </c>
      <c r="B41" s="867" t="s">
        <v>366</v>
      </c>
      <c r="C41" s="119"/>
      <c r="D41" s="412"/>
      <c r="E41" s="432">
        <f>2.5/12</f>
        <v>0.20833333333333334</v>
      </c>
      <c r="F41" s="432">
        <v>0.29170000000000001</v>
      </c>
      <c r="G41" s="415">
        <f t="shared" si="4"/>
        <v>0</v>
      </c>
    </row>
    <row r="42" spans="1:7" x14ac:dyDescent="0.15">
      <c r="A42" s="1036">
        <f t="shared" si="3"/>
        <v>529</v>
      </c>
      <c r="B42" s="867" t="s">
        <v>367</v>
      </c>
      <c r="C42" s="119"/>
      <c r="D42" s="412"/>
      <c r="E42" s="432">
        <f>1.5/12</f>
        <v>0.125</v>
      </c>
      <c r="F42" s="432">
        <v>0.20830000000000001</v>
      </c>
      <c r="G42" s="415">
        <f t="shared" si="4"/>
        <v>0</v>
      </c>
    </row>
    <row r="43" spans="1:7" x14ac:dyDescent="0.15">
      <c r="A43" s="1036">
        <f t="shared" si="3"/>
        <v>530</v>
      </c>
      <c r="B43" s="867" t="s">
        <v>368</v>
      </c>
      <c r="C43" s="119"/>
      <c r="D43" s="412"/>
      <c r="E43" s="432">
        <f>0.5/12</f>
        <v>4.1666666666666664E-2</v>
      </c>
      <c r="F43" s="432">
        <v>0.125</v>
      </c>
      <c r="G43" s="415">
        <f t="shared" si="4"/>
        <v>0</v>
      </c>
    </row>
    <row r="44" spans="1:7" x14ac:dyDescent="0.15">
      <c r="A44" s="1036">
        <f t="shared" si="3"/>
        <v>531</v>
      </c>
      <c r="B44" s="867" t="s">
        <v>369</v>
      </c>
      <c r="C44" s="119"/>
      <c r="D44" s="412"/>
      <c r="E44" s="434">
        <f>-0.5/12</f>
        <v>-4.1666666666666664E-2</v>
      </c>
      <c r="F44" s="432">
        <v>4.1700000000000001E-2</v>
      </c>
      <c r="G44" s="415">
        <f t="shared" si="4"/>
        <v>0</v>
      </c>
    </row>
    <row r="45" spans="1:7" ht="12.75" x14ac:dyDescent="0.2">
      <c r="A45" s="1036">
        <f t="shared" si="3"/>
        <v>532</v>
      </c>
      <c r="B45" s="1059" t="str">
        <f>B23</f>
        <v>Stand per 31-12-2012</v>
      </c>
      <c r="C45" s="389">
        <f>SUM(C32:C44)</f>
        <v>0</v>
      </c>
      <c r="D45" s="425">
        <f>SUM(D33:D44)</f>
        <v>0</v>
      </c>
      <c r="E45" s="435"/>
      <c r="F45" s="435"/>
      <c r="G45" s="389">
        <f>SUM(G32:G44)</f>
        <v>0</v>
      </c>
    </row>
    <row r="46" spans="1:7" ht="12.75" x14ac:dyDescent="0.2">
      <c r="A46" s="1036">
        <f t="shared" si="3"/>
        <v>533</v>
      </c>
      <c r="B46" s="1059" t="str">
        <f>"Saldo per 31-12-"&amp;Voorblad!$K$4-1</f>
        <v>Saldo per 31-12-2011</v>
      </c>
      <c r="C46" s="389">
        <f>C45-D45</f>
        <v>0</v>
      </c>
      <c r="D46" s="438"/>
      <c r="E46" s="325"/>
    </row>
    <row r="47" spans="1:7" s="798" customFormat="1" x14ac:dyDescent="0.15">
      <c r="A47" s="322"/>
      <c r="C47" s="325"/>
      <c r="D47" s="325"/>
      <c r="E47" s="325"/>
      <c r="F47" s="315"/>
      <c r="G47" s="328"/>
    </row>
    <row r="48" spans="1:7" x14ac:dyDescent="0.15">
      <c r="A48" s="880" t="str">
        <f>A2</f>
        <v>Rentenormeringsbalans 2012 algemene ziekenhuizen</v>
      </c>
      <c r="B48" s="318"/>
      <c r="C48" s="320"/>
      <c r="D48" s="320"/>
      <c r="E48" s="319" t="b">
        <v>1</v>
      </c>
      <c r="F48" s="319">
        <v>0</v>
      </c>
      <c r="G48" s="321">
        <f>G2+1</f>
        <v>6</v>
      </c>
    </row>
    <row r="49" spans="1:7" ht="12.75" x14ac:dyDescent="0.2">
      <c r="A49" s="1329" t="str">
        <f>IF(Voorblad!$F$10&lt;1,"Vul het NZa-nummer in op het voorblad","")</f>
        <v>Vul het NZa-nummer in op het voorblad</v>
      </c>
      <c r="B49" s="1330"/>
      <c r="C49" s="1330"/>
      <c r="D49" s="1330"/>
      <c r="E49" s="435"/>
      <c r="F49" s="326"/>
      <c r="G49" s="1063"/>
    </row>
    <row r="50" spans="1:7" x14ac:dyDescent="0.15">
      <c r="A50" s="322" t="s">
        <v>760</v>
      </c>
      <c r="B50" s="1525" t="s">
        <v>311</v>
      </c>
      <c r="C50" s="1049" t="s">
        <v>756</v>
      </c>
      <c r="D50" s="1064" t="s">
        <v>757</v>
      </c>
      <c r="E50" s="881" t="s">
        <v>743</v>
      </c>
      <c r="F50" s="1510" t="s">
        <v>339</v>
      </c>
      <c r="G50" s="1509"/>
    </row>
    <row r="51" spans="1:7" x14ac:dyDescent="0.15">
      <c r="A51" s="1061"/>
      <c r="B51" s="1526"/>
      <c r="C51" s="1065"/>
      <c r="D51" s="1066"/>
      <c r="E51" s="1065"/>
      <c r="F51" s="1067" t="s">
        <v>340</v>
      </c>
      <c r="G51" s="1053" t="s">
        <v>739</v>
      </c>
    </row>
    <row r="52" spans="1:7" ht="13.9" customHeight="1" x14ac:dyDescent="0.15">
      <c r="A52" s="322"/>
      <c r="B52" s="1526"/>
    </row>
    <row r="53" spans="1:7" x14ac:dyDescent="0.15">
      <c r="A53" s="1036">
        <f>G48*100+1</f>
        <v>601</v>
      </c>
      <c r="B53" s="867" t="str">
        <f>"Geactiveerd per 31-12-"&amp;Voorblad!$K$4-1</f>
        <v>Geactiveerd per 31-12-2011</v>
      </c>
      <c r="C53" s="119"/>
      <c r="D53" s="416">
        <v>0</v>
      </c>
      <c r="E53" s="436">
        <f>C53-D53</f>
        <v>0</v>
      </c>
      <c r="F53" s="437">
        <v>1</v>
      </c>
      <c r="G53" s="415">
        <f>E53*F53</f>
        <v>0</v>
      </c>
    </row>
    <row r="54" spans="1:7" x14ac:dyDescent="0.15">
      <c r="A54" s="1036">
        <f t="shared" ref="A54:A70" si="5">A53+1</f>
        <v>602</v>
      </c>
      <c r="B54" s="867" t="str">
        <f>"Geheel afgeschreven in "&amp;Voorblad!K4-1</f>
        <v>Geheel afgeschreven in 2011</v>
      </c>
      <c r="C54" s="416">
        <v>0</v>
      </c>
      <c r="D54" s="119"/>
      <c r="E54" s="413">
        <f>C54-D54</f>
        <v>0</v>
      </c>
      <c r="F54" s="432"/>
      <c r="G54" s="418"/>
    </row>
    <row r="55" spans="1:7" ht="12" customHeight="1" x14ac:dyDescent="0.2">
      <c r="A55" s="1036">
        <f t="shared" si="5"/>
        <v>603</v>
      </c>
      <c r="B55" s="867" t="str">
        <f>"Onderhanden werk per  31-12-"&amp;Voorblad!K4-1</f>
        <v>Onderhanden werk per  31-12-2011</v>
      </c>
      <c r="C55" s="119"/>
      <c r="D55" s="438"/>
      <c r="E55" s="436">
        <f t="shared" ref="E55:E67" si="6">C55</f>
        <v>0</v>
      </c>
      <c r="F55" s="437">
        <v>1</v>
      </c>
      <c r="G55" s="415">
        <f t="shared" ref="G55:G68" si="7">E55*F55</f>
        <v>0</v>
      </c>
    </row>
    <row r="56" spans="1:7" ht="12.6" customHeight="1" x14ac:dyDescent="0.2">
      <c r="A56" s="1036">
        <f t="shared" si="5"/>
        <v>604</v>
      </c>
      <c r="B56" s="867" t="s">
        <v>370</v>
      </c>
      <c r="C56" s="119"/>
      <c r="D56" s="438"/>
      <c r="E56" s="436">
        <f t="shared" si="6"/>
        <v>0</v>
      </c>
      <c r="F56" s="432">
        <f>10.5/12</f>
        <v>0.875</v>
      </c>
      <c r="G56" s="415">
        <f t="shared" si="7"/>
        <v>0</v>
      </c>
    </row>
    <row r="57" spans="1:7" ht="12.6" customHeight="1" x14ac:dyDescent="0.2">
      <c r="A57" s="1036">
        <f t="shared" si="5"/>
        <v>605</v>
      </c>
      <c r="B57" s="867" t="s">
        <v>371</v>
      </c>
      <c r="C57" s="119"/>
      <c r="D57" s="438"/>
      <c r="E57" s="436">
        <f t="shared" si="6"/>
        <v>0</v>
      </c>
      <c r="F57" s="432">
        <f>9.5/12</f>
        <v>0.79166666666666663</v>
      </c>
      <c r="G57" s="415">
        <f t="shared" si="7"/>
        <v>0</v>
      </c>
    </row>
    <row r="58" spans="1:7" ht="12.6" customHeight="1" x14ac:dyDescent="0.2">
      <c r="A58" s="1036">
        <f t="shared" si="5"/>
        <v>606</v>
      </c>
      <c r="B58" s="867" t="s">
        <v>372</v>
      </c>
      <c r="C58" s="119"/>
      <c r="D58" s="438"/>
      <c r="E58" s="436">
        <f t="shared" si="6"/>
        <v>0</v>
      </c>
      <c r="F58" s="432">
        <f>8.5/12</f>
        <v>0.70833333333333337</v>
      </c>
      <c r="G58" s="415">
        <f t="shared" si="7"/>
        <v>0</v>
      </c>
    </row>
    <row r="59" spans="1:7" ht="12.6" customHeight="1" x14ac:dyDescent="0.2">
      <c r="A59" s="1036">
        <f t="shared" si="5"/>
        <v>607</v>
      </c>
      <c r="B59" s="867" t="s">
        <v>373</v>
      </c>
      <c r="C59" s="119"/>
      <c r="D59" s="438"/>
      <c r="E59" s="436">
        <f t="shared" si="6"/>
        <v>0</v>
      </c>
      <c r="F59" s="432">
        <f>7.5/12</f>
        <v>0.625</v>
      </c>
      <c r="G59" s="415">
        <f t="shared" si="7"/>
        <v>0</v>
      </c>
    </row>
    <row r="60" spans="1:7" ht="12.6" customHeight="1" x14ac:dyDescent="0.2">
      <c r="A60" s="1036">
        <f t="shared" si="5"/>
        <v>608</v>
      </c>
      <c r="B60" s="867" t="s">
        <v>374</v>
      </c>
      <c r="C60" s="119"/>
      <c r="D60" s="438"/>
      <c r="E60" s="436">
        <f t="shared" si="6"/>
        <v>0</v>
      </c>
      <c r="F60" s="432">
        <f>6.5/12</f>
        <v>0.54166666666666663</v>
      </c>
      <c r="G60" s="415">
        <f t="shared" si="7"/>
        <v>0</v>
      </c>
    </row>
    <row r="61" spans="1:7" ht="12.6" customHeight="1" x14ac:dyDescent="0.2">
      <c r="A61" s="1036">
        <f t="shared" si="5"/>
        <v>609</v>
      </c>
      <c r="B61" s="867" t="s">
        <v>375</v>
      </c>
      <c r="C61" s="119"/>
      <c r="D61" s="438"/>
      <c r="E61" s="436">
        <f t="shared" si="6"/>
        <v>0</v>
      </c>
      <c r="F61" s="432">
        <f>5.5/12</f>
        <v>0.45833333333333331</v>
      </c>
      <c r="G61" s="415">
        <f t="shared" si="7"/>
        <v>0</v>
      </c>
    </row>
    <row r="62" spans="1:7" ht="12.6" customHeight="1" x14ac:dyDescent="0.2">
      <c r="A62" s="1036">
        <f t="shared" si="5"/>
        <v>610</v>
      </c>
      <c r="B62" s="867" t="s">
        <v>376</v>
      </c>
      <c r="C62" s="119"/>
      <c r="D62" s="438"/>
      <c r="E62" s="436">
        <f t="shared" si="6"/>
        <v>0</v>
      </c>
      <c r="F62" s="432">
        <f>4.5/12</f>
        <v>0.375</v>
      </c>
      <c r="G62" s="415">
        <f t="shared" si="7"/>
        <v>0</v>
      </c>
    </row>
    <row r="63" spans="1:7" ht="12.6" customHeight="1" x14ac:dyDescent="0.2">
      <c r="A63" s="1036">
        <f t="shared" si="5"/>
        <v>611</v>
      </c>
      <c r="B63" s="867" t="s">
        <v>378</v>
      </c>
      <c r="C63" s="119"/>
      <c r="D63" s="438"/>
      <c r="E63" s="436">
        <f t="shared" si="6"/>
        <v>0</v>
      </c>
      <c r="F63" s="432">
        <f>3.5/12</f>
        <v>0.29166666666666669</v>
      </c>
      <c r="G63" s="415">
        <f t="shared" si="7"/>
        <v>0</v>
      </c>
    </row>
    <row r="64" spans="1:7" ht="12.6" customHeight="1" x14ac:dyDescent="0.2">
      <c r="A64" s="1036">
        <f t="shared" si="5"/>
        <v>612</v>
      </c>
      <c r="B64" s="867" t="s">
        <v>379</v>
      </c>
      <c r="C64" s="119"/>
      <c r="D64" s="438"/>
      <c r="E64" s="436">
        <f t="shared" si="6"/>
        <v>0</v>
      </c>
      <c r="F64" s="432">
        <f>2.5/12</f>
        <v>0.20833333333333334</v>
      </c>
      <c r="G64" s="415">
        <f t="shared" si="7"/>
        <v>0</v>
      </c>
    </row>
    <row r="65" spans="1:12" ht="12.6" customHeight="1" x14ac:dyDescent="0.2">
      <c r="A65" s="1036">
        <f t="shared" si="5"/>
        <v>613</v>
      </c>
      <c r="B65" s="867" t="s">
        <v>380</v>
      </c>
      <c r="C65" s="119"/>
      <c r="D65" s="438"/>
      <c r="E65" s="436">
        <f t="shared" si="6"/>
        <v>0</v>
      </c>
      <c r="F65" s="432">
        <f>1.5/12</f>
        <v>0.125</v>
      </c>
      <c r="G65" s="415">
        <f t="shared" si="7"/>
        <v>0</v>
      </c>
      <c r="I65" s="798"/>
    </row>
    <row r="66" spans="1:12" ht="12.6" customHeight="1" x14ac:dyDescent="0.2">
      <c r="A66" s="1036">
        <f t="shared" si="5"/>
        <v>614</v>
      </c>
      <c r="B66" s="867" t="s">
        <v>381</v>
      </c>
      <c r="C66" s="119"/>
      <c r="D66" s="438"/>
      <c r="E66" s="436">
        <f t="shared" si="6"/>
        <v>0</v>
      </c>
      <c r="F66" s="432">
        <f>0.5/12</f>
        <v>4.1666666666666664E-2</v>
      </c>
      <c r="G66" s="415">
        <f t="shared" si="7"/>
        <v>0</v>
      </c>
    </row>
    <row r="67" spans="1:12" ht="12.6" customHeight="1" x14ac:dyDescent="0.2">
      <c r="A67" s="1036">
        <f t="shared" si="5"/>
        <v>615</v>
      </c>
      <c r="B67" s="867" t="s">
        <v>382</v>
      </c>
      <c r="C67" s="119"/>
      <c r="D67" s="438"/>
      <c r="E67" s="436">
        <f t="shared" si="6"/>
        <v>0</v>
      </c>
      <c r="F67" s="434">
        <f>-0.5/12</f>
        <v>-4.1666666666666664E-2</v>
      </c>
      <c r="G67" s="415">
        <f t="shared" si="7"/>
        <v>0</v>
      </c>
    </row>
    <row r="68" spans="1:12" ht="12.6" customHeight="1" x14ac:dyDescent="0.2">
      <c r="A68" s="1036">
        <f t="shared" si="5"/>
        <v>616</v>
      </c>
      <c r="B68" s="867" t="str">
        <f>"Afschrijving "&amp;Voorblad!K4</f>
        <v>Afschrijving 2012</v>
      </c>
      <c r="C68" s="438"/>
      <c r="D68" s="416"/>
      <c r="E68" s="439">
        <f>D68</f>
        <v>0</v>
      </c>
      <c r="F68" s="437">
        <v>0.5</v>
      </c>
      <c r="G68" s="439">
        <f t="shared" si="7"/>
        <v>0</v>
      </c>
    </row>
    <row r="69" spans="1:12" ht="12.6" customHeight="1" x14ac:dyDescent="0.2">
      <c r="A69" s="1036">
        <f t="shared" si="5"/>
        <v>617</v>
      </c>
      <c r="B69" s="867" t="str">
        <f>"Onderhanden werk per  31-12-"&amp;Voorblad!K4</f>
        <v>Onderhanden werk per  31-12-2012</v>
      </c>
      <c r="C69" s="416">
        <v>0</v>
      </c>
      <c r="D69" s="438"/>
      <c r="E69" s="439">
        <f>C69</f>
        <v>0</v>
      </c>
      <c r="F69" s="435"/>
      <c r="G69" s="438"/>
      <c r="I69" s="315"/>
    </row>
    <row r="70" spans="1:12" ht="12.6" customHeight="1" x14ac:dyDescent="0.2">
      <c r="A70" s="1036">
        <f t="shared" si="5"/>
        <v>618</v>
      </c>
      <c r="B70" s="1059" t="str">
        <f>"Geactiveerd per 31-12-"&amp;Voorblad!$K$4</f>
        <v>Geactiveerd per 31-12-2012</v>
      </c>
      <c r="C70" s="389">
        <f>C53-C54+SUM(C55:C67)-C69</f>
        <v>0</v>
      </c>
      <c r="D70" s="440">
        <f>D53-D54+D68</f>
        <v>0</v>
      </c>
      <c r="E70" s="389">
        <f>E53+SUM(E55:E67)-E68-E69</f>
        <v>0</v>
      </c>
      <c r="F70" s="435"/>
      <c r="G70" s="389">
        <f>SUM(G53:G67)-G68</f>
        <v>0</v>
      </c>
    </row>
    <row r="71" spans="1:12" ht="12.6" customHeight="1" x14ac:dyDescent="0.2">
      <c r="A71" s="1068"/>
      <c r="B71" s="1069"/>
      <c r="C71" s="1070"/>
      <c r="D71" s="1071"/>
      <c r="E71" s="1070"/>
    </row>
    <row r="72" spans="1:12" ht="12.75" x14ac:dyDescent="0.2">
      <c r="A72" s="1068"/>
      <c r="B72" s="1072"/>
      <c r="C72" s="1073"/>
      <c r="D72" s="1071"/>
      <c r="E72" s="1073"/>
      <c r="F72" s="328"/>
    </row>
    <row r="73" spans="1:12" x14ac:dyDescent="0.15">
      <c r="A73" s="316"/>
      <c r="C73" s="328"/>
      <c r="D73" s="328"/>
      <c r="E73" s="328"/>
      <c r="F73" s="328"/>
      <c r="I73" s="1044"/>
      <c r="J73" s="1044"/>
      <c r="K73" s="946"/>
      <c r="L73" s="798"/>
    </row>
    <row r="74" spans="1:12" ht="12.6" customHeight="1" x14ac:dyDescent="0.15">
      <c r="A74" s="870" t="s">
        <v>383</v>
      </c>
      <c r="B74" s="1527" t="s">
        <v>313</v>
      </c>
      <c r="C74" s="1049" t="s">
        <v>384</v>
      </c>
      <c r="D74" s="1049" t="s">
        <v>385</v>
      </c>
      <c r="E74" s="1049" t="s">
        <v>386</v>
      </c>
      <c r="F74" s="1049" t="s">
        <v>733</v>
      </c>
      <c r="G74" s="1049" t="s">
        <v>384</v>
      </c>
      <c r="I74" s="1044"/>
      <c r="J74" s="1044"/>
      <c r="K74" s="946"/>
      <c r="L74" s="798"/>
    </row>
    <row r="75" spans="1:12" ht="12.6" customHeight="1" x14ac:dyDescent="0.15">
      <c r="A75" s="1061"/>
      <c r="B75" s="1528"/>
      <c r="C75" s="1074" t="s">
        <v>387</v>
      </c>
      <c r="D75" s="1074"/>
      <c r="E75" s="1074" t="s">
        <v>388</v>
      </c>
      <c r="F75" s="1074"/>
      <c r="G75" s="1074" t="s">
        <v>389</v>
      </c>
      <c r="I75" s="1044"/>
      <c r="J75" s="1044"/>
      <c r="K75" s="946"/>
      <c r="L75" s="798"/>
    </row>
    <row r="76" spans="1:12" ht="12.6" customHeight="1" x14ac:dyDescent="0.15">
      <c r="A76" s="322"/>
      <c r="B76" s="1075"/>
      <c r="C76" s="1004"/>
      <c r="D76" s="1004"/>
      <c r="E76" s="1004"/>
      <c r="F76" s="328"/>
      <c r="G76" s="1076"/>
      <c r="I76" s="1044"/>
      <c r="J76" s="1044"/>
      <c r="K76" s="946"/>
      <c r="L76" s="798"/>
    </row>
    <row r="77" spans="1:12" ht="12.6" customHeight="1" x14ac:dyDescent="0.15">
      <c r="A77" s="1036">
        <f>A70+1</f>
        <v>619</v>
      </c>
      <c r="B77" s="1077">
        <f>Voorblad!$K$4</f>
        <v>2012</v>
      </c>
      <c r="C77" s="49"/>
      <c r="D77" s="1078">
        <f t="shared" ref="D77:D86" si="8">B77+10</f>
        <v>2022</v>
      </c>
      <c r="E77" s="49"/>
      <c r="F77" s="442">
        <v>9.5</v>
      </c>
      <c r="G77" s="443">
        <f t="shared" ref="G77:G86" si="9">(C77+E77)*F77</f>
        <v>0</v>
      </c>
      <c r="I77" s="1044"/>
      <c r="J77" s="1044"/>
      <c r="K77" s="946"/>
      <c r="L77" s="798"/>
    </row>
    <row r="78" spans="1:12" ht="12.6" customHeight="1" x14ac:dyDescent="0.15">
      <c r="A78" s="1036">
        <f t="shared" ref="A78:A88" si="10">A77+1</f>
        <v>620</v>
      </c>
      <c r="B78" s="1077">
        <f t="shared" ref="B78:B86" si="11">B77-1</f>
        <v>2011</v>
      </c>
      <c r="C78" s="49"/>
      <c r="D78" s="1078">
        <f t="shared" si="8"/>
        <v>2021</v>
      </c>
      <c r="E78" s="49"/>
      <c r="F78" s="442">
        <v>8.5</v>
      </c>
      <c r="G78" s="443">
        <f t="shared" si="9"/>
        <v>0</v>
      </c>
      <c r="I78" s="1044"/>
      <c r="J78" s="1044"/>
      <c r="K78" s="946"/>
      <c r="L78" s="798"/>
    </row>
    <row r="79" spans="1:12" ht="12.6" customHeight="1" x14ac:dyDescent="0.15">
      <c r="A79" s="1036">
        <f t="shared" si="10"/>
        <v>621</v>
      </c>
      <c r="B79" s="1077">
        <f t="shared" si="11"/>
        <v>2010</v>
      </c>
      <c r="C79" s="49"/>
      <c r="D79" s="1078">
        <f t="shared" si="8"/>
        <v>2020</v>
      </c>
      <c r="E79" s="49"/>
      <c r="F79" s="442">
        <v>7.5</v>
      </c>
      <c r="G79" s="443">
        <f t="shared" si="9"/>
        <v>0</v>
      </c>
      <c r="I79" s="1044"/>
      <c r="J79" s="1044"/>
      <c r="K79" s="946"/>
      <c r="L79" s="798"/>
    </row>
    <row r="80" spans="1:12" ht="12.6" customHeight="1" x14ac:dyDescent="0.15">
      <c r="A80" s="1036">
        <f t="shared" si="10"/>
        <v>622</v>
      </c>
      <c r="B80" s="1077">
        <f t="shared" si="11"/>
        <v>2009</v>
      </c>
      <c r="C80" s="49"/>
      <c r="D80" s="1078">
        <f t="shared" si="8"/>
        <v>2019</v>
      </c>
      <c r="E80" s="49"/>
      <c r="F80" s="442">
        <v>6.5</v>
      </c>
      <c r="G80" s="443">
        <f t="shared" si="9"/>
        <v>0</v>
      </c>
      <c r="J80" s="328"/>
      <c r="K80" s="798"/>
      <c r="L80" s="798"/>
    </row>
    <row r="81" spans="1:12" ht="12.6" customHeight="1" x14ac:dyDescent="0.15">
      <c r="A81" s="1036">
        <f t="shared" si="10"/>
        <v>623</v>
      </c>
      <c r="B81" s="1077">
        <f t="shared" si="11"/>
        <v>2008</v>
      </c>
      <c r="C81" s="49"/>
      <c r="D81" s="1078">
        <f t="shared" si="8"/>
        <v>2018</v>
      </c>
      <c r="E81" s="49"/>
      <c r="F81" s="442">
        <v>5.5</v>
      </c>
      <c r="G81" s="443">
        <f t="shared" si="9"/>
        <v>0</v>
      </c>
      <c r="J81" s="315"/>
      <c r="K81" s="325"/>
      <c r="L81" s="798"/>
    </row>
    <row r="82" spans="1:12" ht="12.6" customHeight="1" x14ac:dyDescent="0.15">
      <c r="A82" s="1036">
        <f t="shared" si="10"/>
        <v>624</v>
      </c>
      <c r="B82" s="1077">
        <f t="shared" si="11"/>
        <v>2007</v>
      </c>
      <c r="C82" s="49"/>
      <c r="D82" s="1078">
        <f t="shared" si="8"/>
        <v>2017</v>
      </c>
      <c r="E82" s="49"/>
      <c r="F82" s="442">
        <v>4.5</v>
      </c>
      <c r="G82" s="443">
        <f t="shared" si="9"/>
        <v>0</v>
      </c>
      <c r="J82" s="315"/>
      <c r="K82" s="325"/>
      <c r="L82" s="798"/>
    </row>
    <row r="83" spans="1:12" ht="12.6" customHeight="1" x14ac:dyDescent="0.15">
      <c r="A83" s="1036">
        <f t="shared" si="10"/>
        <v>625</v>
      </c>
      <c r="B83" s="1077">
        <f t="shared" si="11"/>
        <v>2006</v>
      </c>
      <c r="C83" s="49"/>
      <c r="D83" s="1078">
        <f t="shared" si="8"/>
        <v>2016</v>
      </c>
      <c r="E83" s="49"/>
      <c r="F83" s="442">
        <v>3.5</v>
      </c>
      <c r="G83" s="443">
        <f t="shared" si="9"/>
        <v>0</v>
      </c>
      <c r="J83" s="328"/>
      <c r="K83" s="798"/>
      <c r="L83" s="798"/>
    </row>
    <row r="84" spans="1:12" ht="12.6" customHeight="1" x14ac:dyDescent="0.15">
      <c r="A84" s="1036">
        <f t="shared" si="10"/>
        <v>626</v>
      </c>
      <c r="B84" s="1077">
        <f t="shared" si="11"/>
        <v>2005</v>
      </c>
      <c r="C84" s="49"/>
      <c r="D84" s="1078">
        <f t="shared" si="8"/>
        <v>2015</v>
      </c>
      <c r="E84" s="49"/>
      <c r="F84" s="442">
        <v>2.5</v>
      </c>
      <c r="G84" s="443">
        <f t="shared" si="9"/>
        <v>0</v>
      </c>
      <c r="J84" s="328"/>
      <c r="K84" s="798"/>
      <c r="L84" s="798"/>
    </row>
    <row r="85" spans="1:12" ht="12.6" customHeight="1" x14ac:dyDescent="0.15">
      <c r="A85" s="1036">
        <f t="shared" si="10"/>
        <v>627</v>
      </c>
      <c r="B85" s="1077">
        <f t="shared" si="11"/>
        <v>2004</v>
      </c>
      <c r="C85" s="49"/>
      <c r="D85" s="1078">
        <f t="shared" si="8"/>
        <v>2014</v>
      </c>
      <c r="E85" s="49"/>
      <c r="F85" s="442">
        <v>1.5</v>
      </c>
      <c r="G85" s="443">
        <f t="shared" si="9"/>
        <v>0</v>
      </c>
      <c r="J85" s="328"/>
      <c r="K85" s="798"/>
      <c r="L85" s="798"/>
    </row>
    <row r="86" spans="1:12" ht="12.6" customHeight="1" x14ac:dyDescent="0.15">
      <c r="A86" s="1036">
        <f t="shared" si="10"/>
        <v>628</v>
      </c>
      <c r="B86" s="1077">
        <f t="shared" si="11"/>
        <v>2003</v>
      </c>
      <c r="C86" s="61"/>
      <c r="D86" s="1078">
        <f t="shared" si="8"/>
        <v>2013</v>
      </c>
      <c r="E86" s="61"/>
      <c r="F86" s="444">
        <v>0.5</v>
      </c>
      <c r="G86" s="443">
        <f t="shared" si="9"/>
        <v>0</v>
      </c>
      <c r="I86" s="798"/>
    </row>
    <row r="87" spans="1:12" ht="12.6" customHeight="1" x14ac:dyDescent="0.15">
      <c r="A87" s="1036">
        <f t="shared" si="10"/>
        <v>629</v>
      </c>
      <c r="B87" s="1517" t="str">
        <f>CONCATENATE("Toegerekende boekwaarde automatiseringsapparatuur (27% * regel ",A77," * 10)")</f>
        <v>Toegerekende boekwaarde automatiseringsapparatuur (27% * regel 619 * 10)</v>
      </c>
      <c r="C87" s="1518"/>
      <c r="D87" s="1518"/>
      <c r="E87" s="1518"/>
      <c r="F87" s="1519"/>
      <c r="G87" s="445">
        <f>0.27*10*C77</f>
        <v>0</v>
      </c>
      <c r="I87" s="798"/>
    </row>
    <row r="88" spans="1:12" ht="12.6" customHeight="1" x14ac:dyDescent="0.15">
      <c r="A88" s="1036">
        <f t="shared" si="10"/>
        <v>630</v>
      </c>
      <c r="B88" s="1079" t="str">
        <f>CONCATENATE("Totaal (regel ",A77," t/m ",A87,")")</f>
        <v>Totaal (regel 619 t/m 629)</v>
      </c>
      <c r="C88" s="446">
        <f>SUM(C77:C86)</f>
        <v>0</v>
      </c>
      <c r="D88" s="447"/>
      <c r="E88" s="446">
        <f>SUM(E77:E86)</f>
        <v>0</v>
      </c>
      <c r="F88" s="303"/>
      <c r="G88" s="269">
        <f>SUM(G77:G87)</f>
        <v>0</v>
      </c>
      <c r="I88" s="798"/>
    </row>
    <row r="89" spans="1:12" ht="12.6" customHeight="1" x14ac:dyDescent="0.15">
      <c r="A89" s="1080" t="s">
        <v>90</v>
      </c>
      <c r="C89" s="328"/>
      <c r="D89" s="328"/>
      <c r="E89" s="328"/>
      <c r="F89" s="328"/>
    </row>
    <row r="90" spans="1:12" s="798" customFormat="1" ht="12.6" customHeight="1" x14ac:dyDescent="0.15">
      <c r="A90" s="870"/>
      <c r="B90" s="328"/>
      <c r="C90" s="315"/>
      <c r="D90" s="315"/>
      <c r="E90" s="315"/>
      <c r="F90" s="315"/>
      <c r="G90" s="328"/>
      <c r="H90" s="318"/>
      <c r="I90" s="318"/>
      <c r="J90" s="318"/>
    </row>
    <row r="91" spans="1:12" ht="12.6" customHeight="1" x14ac:dyDescent="0.15">
      <c r="A91" s="880" t="str">
        <f>A2</f>
        <v>Rentenormeringsbalans 2012 algemene ziekenhuizen</v>
      </c>
      <c r="B91" s="318"/>
      <c r="C91" s="320"/>
      <c r="D91" s="320"/>
      <c r="E91" s="319">
        <v>0</v>
      </c>
      <c r="F91" s="319"/>
      <c r="G91" s="321">
        <f>G48+1</f>
        <v>7</v>
      </c>
      <c r="H91" s="958"/>
      <c r="I91" s="958"/>
      <c r="J91" s="318"/>
    </row>
    <row r="92" spans="1:12" ht="12.6" customHeight="1" x14ac:dyDescent="0.2">
      <c r="A92" s="1329" t="str">
        <f>IF(Voorblad!$F$10&lt;1,"Vul het NZa-nummer in op het voorblad","")</f>
        <v>Vul het NZa-nummer in op het voorblad</v>
      </c>
      <c r="B92" s="1330"/>
      <c r="C92" s="1330"/>
      <c r="D92" s="1330"/>
      <c r="E92" s="319"/>
      <c r="F92" s="319"/>
      <c r="G92" s="321"/>
      <c r="H92" s="958"/>
      <c r="I92" s="958"/>
      <c r="J92" s="318"/>
    </row>
    <row r="93" spans="1:12" ht="12.6" customHeight="1" x14ac:dyDescent="0.15">
      <c r="A93" s="880"/>
      <c r="B93" s="318"/>
      <c r="C93" s="320"/>
      <c r="D93" s="320"/>
      <c r="E93" s="319"/>
      <c r="F93" s="319"/>
      <c r="G93" s="321"/>
      <c r="I93" s="1044"/>
      <c r="J93" s="1044"/>
      <c r="K93" s="946"/>
      <c r="L93" s="318"/>
    </row>
    <row r="94" spans="1:12" ht="12.6" customHeight="1" x14ac:dyDescent="0.15">
      <c r="A94" s="870" t="s">
        <v>762</v>
      </c>
      <c r="B94" s="1529" t="s">
        <v>390</v>
      </c>
      <c r="C94" s="1049" t="s">
        <v>384</v>
      </c>
      <c r="D94" s="1049" t="s">
        <v>391</v>
      </c>
      <c r="E94" s="1049" t="s">
        <v>386</v>
      </c>
      <c r="F94" s="1049" t="s">
        <v>733</v>
      </c>
      <c r="G94" s="1049" t="s">
        <v>384</v>
      </c>
      <c r="I94" s="1044"/>
      <c r="J94" s="1044"/>
      <c r="K94" s="946"/>
      <c r="L94" s="318"/>
    </row>
    <row r="95" spans="1:12" ht="12.6" customHeight="1" x14ac:dyDescent="0.15">
      <c r="A95" s="1061"/>
      <c r="B95" s="1526"/>
      <c r="C95" s="1074" t="s">
        <v>387</v>
      </c>
      <c r="D95" s="1074"/>
      <c r="E95" s="1074" t="s">
        <v>388</v>
      </c>
      <c r="F95" s="1074"/>
      <c r="G95" s="1074" t="s">
        <v>389</v>
      </c>
      <c r="I95" s="1044"/>
      <c r="J95" s="1044"/>
      <c r="K95" s="946"/>
      <c r="L95" s="318"/>
    </row>
    <row r="96" spans="1:12" ht="12.6" customHeight="1" x14ac:dyDescent="0.15">
      <c r="A96" s="322"/>
      <c r="B96" s="1526"/>
      <c r="C96" s="1004"/>
      <c r="D96" s="328"/>
      <c r="E96" s="328"/>
      <c r="F96" s="328"/>
      <c r="G96" s="1076"/>
      <c r="I96" s="1044"/>
      <c r="J96" s="1044"/>
      <c r="K96" s="946"/>
      <c r="L96" s="318"/>
    </row>
    <row r="97" spans="1:12" ht="12.6" customHeight="1" x14ac:dyDescent="0.15">
      <c r="A97" s="316"/>
      <c r="C97" s="1081"/>
      <c r="G97" s="315"/>
      <c r="I97" s="1044"/>
      <c r="J97" s="1044"/>
      <c r="K97" s="946"/>
      <c r="L97" s="318"/>
    </row>
    <row r="98" spans="1:12" ht="12.6" customHeight="1" x14ac:dyDescent="0.15">
      <c r="A98" s="1082">
        <f>G91*100+1</f>
        <v>701</v>
      </c>
      <c r="B98" s="1077">
        <f>B77</f>
        <v>2012</v>
      </c>
      <c r="C98" s="49"/>
      <c r="D98" s="1078">
        <f t="shared" ref="D98:D106" si="12">D99+1</f>
        <v>2022</v>
      </c>
      <c r="E98" s="49"/>
      <c r="F98" s="442">
        <v>9.5</v>
      </c>
      <c r="G98" s="415">
        <f t="shared" ref="G98:G107" si="13">(C98+E98)*F98</f>
        <v>0</v>
      </c>
      <c r="I98" s="1044"/>
      <c r="J98" s="1044"/>
      <c r="K98" s="946"/>
      <c r="L98" s="318"/>
    </row>
    <row r="99" spans="1:12" ht="12.6" customHeight="1" x14ac:dyDescent="0.15">
      <c r="A99" s="1036">
        <f t="shared" ref="A99:A108" si="14">A98+1</f>
        <v>702</v>
      </c>
      <c r="B99" s="1077">
        <f t="shared" ref="B99:B106" si="15">B98-1</f>
        <v>2011</v>
      </c>
      <c r="C99" s="49"/>
      <c r="D99" s="1078">
        <f t="shared" si="12"/>
        <v>2021</v>
      </c>
      <c r="E99" s="49"/>
      <c r="F99" s="442">
        <v>8.5</v>
      </c>
      <c r="G99" s="415">
        <f t="shared" si="13"/>
        <v>0</v>
      </c>
      <c r="I99" s="1044"/>
      <c r="J99" s="1044"/>
      <c r="K99" s="946"/>
      <c r="L99" s="318"/>
    </row>
    <row r="100" spans="1:12" ht="12.6" customHeight="1" x14ac:dyDescent="0.15">
      <c r="A100" s="1036">
        <f t="shared" si="14"/>
        <v>703</v>
      </c>
      <c r="B100" s="1077">
        <f t="shared" si="15"/>
        <v>2010</v>
      </c>
      <c r="C100" s="49"/>
      <c r="D100" s="1078">
        <f t="shared" si="12"/>
        <v>2020</v>
      </c>
      <c r="E100" s="49"/>
      <c r="F100" s="442">
        <v>7.5</v>
      </c>
      <c r="G100" s="415">
        <f t="shared" si="13"/>
        <v>0</v>
      </c>
      <c r="I100" s="1044"/>
      <c r="J100" s="1044"/>
      <c r="K100" s="946"/>
      <c r="L100" s="318"/>
    </row>
    <row r="101" spans="1:12" ht="12.6" customHeight="1" x14ac:dyDescent="0.15">
      <c r="A101" s="1036">
        <f t="shared" si="14"/>
        <v>704</v>
      </c>
      <c r="B101" s="1077">
        <f t="shared" si="15"/>
        <v>2009</v>
      </c>
      <c r="C101" s="49"/>
      <c r="D101" s="1078">
        <f>D102+1</f>
        <v>2019</v>
      </c>
      <c r="E101" s="49"/>
      <c r="F101" s="442">
        <v>6.5</v>
      </c>
      <c r="G101" s="415">
        <f t="shared" si="13"/>
        <v>0</v>
      </c>
      <c r="J101" s="328"/>
      <c r="K101" s="798"/>
      <c r="L101" s="318"/>
    </row>
    <row r="102" spans="1:12" ht="12.6" customHeight="1" x14ac:dyDescent="0.15">
      <c r="A102" s="1036">
        <f t="shared" si="14"/>
        <v>705</v>
      </c>
      <c r="B102" s="1077">
        <f t="shared" si="15"/>
        <v>2008</v>
      </c>
      <c r="C102" s="49"/>
      <c r="D102" s="1078">
        <f t="shared" si="12"/>
        <v>2018</v>
      </c>
      <c r="E102" s="49"/>
      <c r="F102" s="442">
        <v>5.5</v>
      </c>
      <c r="G102" s="415">
        <f t="shared" si="13"/>
        <v>0</v>
      </c>
      <c r="J102" s="315"/>
      <c r="K102" s="325"/>
      <c r="L102" s="318"/>
    </row>
    <row r="103" spans="1:12" ht="12.6" customHeight="1" x14ac:dyDescent="0.15">
      <c r="A103" s="1036">
        <f t="shared" si="14"/>
        <v>706</v>
      </c>
      <c r="B103" s="1077">
        <f t="shared" si="15"/>
        <v>2007</v>
      </c>
      <c r="C103" s="49"/>
      <c r="D103" s="1078">
        <f t="shared" si="12"/>
        <v>2017</v>
      </c>
      <c r="E103" s="49"/>
      <c r="F103" s="442">
        <v>4.5</v>
      </c>
      <c r="G103" s="415">
        <f t="shared" si="13"/>
        <v>0</v>
      </c>
      <c r="J103" s="315"/>
      <c r="K103" s="325"/>
      <c r="L103" s="318"/>
    </row>
    <row r="104" spans="1:12" ht="12.6" customHeight="1" x14ac:dyDescent="0.15">
      <c r="A104" s="1036">
        <f t="shared" si="14"/>
        <v>707</v>
      </c>
      <c r="B104" s="1077">
        <f t="shared" si="15"/>
        <v>2006</v>
      </c>
      <c r="C104" s="49"/>
      <c r="D104" s="1078">
        <f t="shared" si="12"/>
        <v>2016</v>
      </c>
      <c r="E104" s="49"/>
      <c r="F104" s="442">
        <v>3.5</v>
      </c>
      <c r="G104" s="415">
        <f t="shared" si="13"/>
        <v>0</v>
      </c>
      <c r="J104" s="328"/>
      <c r="K104" s="798"/>
      <c r="L104" s="318"/>
    </row>
    <row r="105" spans="1:12" ht="12.6" customHeight="1" x14ac:dyDescent="0.15">
      <c r="A105" s="1036">
        <f t="shared" si="14"/>
        <v>708</v>
      </c>
      <c r="B105" s="1077">
        <f t="shared" si="15"/>
        <v>2005</v>
      </c>
      <c r="C105" s="49"/>
      <c r="D105" s="1078">
        <f t="shared" si="12"/>
        <v>2015</v>
      </c>
      <c r="E105" s="49"/>
      <c r="F105" s="442">
        <v>2.5</v>
      </c>
      <c r="G105" s="415">
        <f t="shared" si="13"/>
        <v>0</v>
      </c>
      <c r="J105" s="328"/>
      <c r="K105" s="798"/>
      <c r="L105" s="318"/>
    </row>
    <row r="106" spans="1:12" ht="12.6" customHeight="1" x14ac:dyDescent="0.15">
      <c r="A106" s="1036">
        <f t="shared" si="14"/>
        <v>709</v>
      </c>
      <c r="B106" s="1077">
        <f t="shared" si="15"/>
        <v>2004</v>
      </c>
      <c r="C106" s="49"/>
      <c r="D106" s="1078">
        <f t="shared" si="12"/>
        <v>2014</v>
      </c>
      <c r="E106" s="49"/>
      <c r="F106" s="442">
        <v>1.5</v>
      </c>
      <c r="G106" s="415">
        <f t="shared" si="13"/>
        <v>0</v>
      </c>
      <c r="J106" s="328"/>
      <c r="K106" s="798"/>
      <c r="L106" s="318"/>
    </row>
    <row r="107" spans="1:12" ht="12.6" customHeight="1" x14ac:dyDescent="0.15">
      <c r="A107" s="1036">
        <f t="shared" si="14"/>
        <v>710</v>
      </c>
      <c r="B107" s="328" t="s">
        <v>88</v>
      </c>
      <c r="C107" s="61"/>
      <c r="D107" s="1083">
        <f>D86</f>
        <v>2013</v>
      </c>
      <c r="E107" s="49"/>
      <c r="F107" s="444">
        <v>0.5</v>
      </c>
      <c r="G107" s="415">
        <f t="shared" si="13"/>
        <v>0</v>
      </c>
      <c r="J107" s="328"/>
      <c r="K107" s="798"/>
      <c r="L107" s="318"/>
    </row>
    <row r="108" spans="1:12" ht="12.6" customHeight="1" x14ac:dyDescent="0.15">
      <c r="A108" s="1036">
        <f t="shared" si="14"/>
        <v>711</v>
      </c>
      <c r="B108" s="1059" t="str">
        <f>CONCATENATE("Totaal (regel ",A98," t/m ",A107,")")</f>
        <v>Totaal (regel 701 t/m 710)</v>
      </c>
      <c r="C108" s="448">
        <f>SUM(C98:C107)</f>
        <v>0</v>
      </c>
      <c r="D108" s="449"/>
      <c r="E108" s="450">
        <f>SUM(E98:E107)</f>
        <v>0</v>
      </c>
      <c r="F108" s="449"/>
      <c r="G108" s="448">
        <f>SUM(G98:G107)</f>
        <v>0</v>
      </c>
      <c r="I108" s="798"/>
      <c r="J108" s="318"/>
    </row>
    <row r="109" spans="1:12" ht="12.6" customHeight="1" x14ac:dyDescent="0.15">
      <c r="A109" s="1084" t="s">
        <v>485</v>
      </c>
      <c r="B109" s="946"/>
      <c r="C109" s="328"/>
      <c r="D109" s="328"/>
      <c r="E109" s="1085"/>
      <c r="F109" s="328"/>
      <c r="G109" s="260"/>
      <c r="H109" s="958"/>
      <c r="I109" s="958"/>
      <c r="J109" s="318"/>
    </row>
    <row r="110" spans="1:12" ht="12.6" customHeight="1" x14ac:dyDescent="0.15">
      <c r="A110" s="880"/>
      <c r="B110" s="318"/>
      <c r="C110" s="320"/>
      <c r="D110" s="320"/>
      <c r="E110" s="1085"/>
      <c r="F110" s="319"/>
      <c r="G110" s="1086"/>
      <c r="H110" s="958"/>
      <c r="I110" s="958"/>
      <c r="J110" s="318"/>
    </row>
    <row r="111" spans="1:12" ht="12.6" customHeight="1" x14ac:dyDescent="0.15">
      <c r="A111" s="1061" t="s">
        <v>486</v>
      </c>
      <c r="B111" s="913" t="s">
        <v>772</v>
      </c>
      <c r="C111" s="320"/>
      <c r="D111" s="320"/>
      <c r="E111" s="1085"/>
      <c r="F111" s="319"/>
      <c r="G111" s="1086"/>
    </row>
    <row r="112" spans="1:12" ht="12.6" customHeight="1" x14ac:dyDescent="0.15">
      <c r="A112" s="1087">
        <f>A108+1</f>
        <v>712</v>
      </c>
      <c r="B112" s="1088" t="str">
        <f>"Aanvaardbare kosten op kasbasis conform nacalculatieformulier voor budgetaanpassing rente (regel "&amp;'4 overzicht mutaties'!A22&amp;")"</f>
        <v>Aanvaardbare kosten op kasbasis conform nacalculatieformulier voor budgetaanpassing rente (regel 2014)</v>
      </c>
      <c r="C112" s="1089"/>
      <c r="D112" s="1089"/>
      <c r="E112" s="1090"/>
      <c r="F112" s="1091"/>
      <c r="G112" s="422">
        <f>'4 overzicht mutaties'!E22</f>
        <v>0</v>
      </c>
    </row>
    <row r="113" spans="1:10" ht="12.6" customHeight="1" x14ac:dyDescent="0.15">
      <c r="A113" s="1087">
        <f>A112+1</f>
        <v>713</v>
      </c>
      <c r="B113" s="1092" t="str">
        <f>"100% van de kostencomponent uit de omzet oud B-segment in "&amp;Voorblad!K4&amp;" "</f>
        <v xml:space="preserve">100% van de kostencomponent uit de omzet oud B-segment in 2012 </v>
      </c>
      <c r="C113" s="1093"/>
      <c r="D113" s="1093"/>
      <c r="E113" s="1092"/>
      <c r="F113" s="1094"/>
      <c r="G113" s="61"/>
    </row>
    <row r="114" spans="1:10" ht="12.6" customHeight="1" x14ac:dyDescent="0.15">
      <c r="A114" s="1087">
        <f>A113+1</f>
        <v>714</v>
      </c>
      <c r="B114" s="1092" t="s">
        <v>488</v>
      </c>
      <c r="C114" s="1093"/>
      <c r="D114" s="1093"/>
      <c r="E114" s="1008"/>
      <c r="F114" s="1009"/>
      <c r="G114" s="445">
        <f>'3 opbrengsten'!E22</f>
        <v>0</v>
      </c>
    </row>
    <row r="115" spans="1:10" ht="12.6" customHeight="1" x14ac:dyDescent="0.15">
      <c r="A115" s="1087">
        <f>A114+1</f>
        <v>715</v>
      </c>
      <c r="B115" s="1092" t="s">
        <v>489</v>
      </c>
      <c r="C115" s="1093"/>
      <c r="D115" s="1093"/>
      <c r="E115" s="1008"/>
      <c r="F115" s="1009"/>
      <c r="G115" s="61"/>
    </row>
    <row r="116" spans="1:10" ht="12.6" customHeight="1" x14ac:dyDescent="0.15">
      <c r="A116" s="1087">
        <f>A115+1</f>
        <v>716</v>
      </c>
      <c r="B116" s="350" t="str">
        <f>"Normatief werkkapitaal (regel "&amp;A115&amp;") + (6,8% * regel "&amp;A112&amp;" tot en met regel "&amp;A114&amp;")"</f>
        <v>Normatief werkkapitaal (regel 715) + (6,8% * regel 712 tot en met regel 714)</v>
      </c>
      <c r="C116" s="1095"/>
      <c r="D116" s="1095"/>
      <c r="E116" s="1096"/>
      <c r="F116" s="1097"/>
      <c r="G116" s="453">
        <f>G115+(0.068*SUM(G112:G114))</f>
        <v>0</v>
      </c>
    </row>
    <row r="117" spans="1:10" ht="12.6" customHeight="1" x14ac:dyDescent="0.15">
      <c r="A117" s="316"/>
      <c r="C117" s="328"/>
      <c r="D117" s="328"/>
      <c r="E117" s="328"/>
      <c r="F117" s="328"/>
    </row>
    <row r="118" spans="1:10" ht="12.6" customHeight="1" x14ac:dyDescent="0.15">
      <c r="A118" s="1098"/>
    </row>
    <row r="119" spans="1:10" s="798" customFormat="1" ht="12.6" customHeight="1" x14ac:dyDescent="0.15">
      <c r="A119" s="870"/>
      <c r="B119" s="328"/>
      <c r="C119" s="315"/>
      <c r="D119" s="315"/>
      <c r="E119" s="315"/>
      <c r="F119" s="315"/>
      <c r="G119" s="328"/>
      <c r="H119" s="318"/>
      <c r="I119" s="318"/>
      <c r="J119" s="318"/>
    </row>
    <row r="120" spans="1:10" ht="12.6" customHeight="1" x14ac:dyDescent="0.15">
      <c r="A120" s="880" t="str">
        <f>A2</f>
        <v>Rentenormeringsbalans 2012 algemene ziekenhuizen</v>
      </c>
      <c r="B120" s="318"/>
      <c r="C120" s="320"/>
      <c r="D120" s="320"/>
      <c r="E120" s="319">
        <v>0</v>
      </c>
      <c r="F120" s="319"/>
      <c r="G120" s="321">
        <f>G91+1</f>
        <v>8</v>
      </c>
      <c r="H120" s="958"/>
      <c r="I120" s="958"/>
      <c r="J120" s="318"/>
    </row>
    <row r="121" spans="1:10" ht="12.75" x14ac:dyDescent="0.2">
      <c r="A121" s="1329" t="str">
        <f>IF(Voorblad!$F$10&lt;1,"Vul het NZa-nummer in op het voorblad","")</f>
        <v>Vul het NZa-nummer in op het voorblad</v>
      </c>
      <c r="B121" s="1330"/>
      <c r="C121" s="1330"/>
      <c r="D121" s="1330"/>
      <c r="E121" s="320"/>
      <c r="F121" s="320"/>
      <c r="G121" s="321"/>
    </row>
    <row r="122" spans="1:10" x14ac:dyDescent="0.15">
      <c r="A122" s="870" t="s">
        <v>773</v>
      </c>
      <c r="B122" s="327" t="s">
        <v>490</v>
      </c>
      <c r="D122" s="1099" t="str">
        <f>"saldo voor " &amp; Voorblad!K4-2</f>
        <v>saldo voor 2010</v>
      </c>
      <c r="E122" s="1100">
        <f>Voorblad!K4-2</f>
        <v>2010</v>
      </c>
      <c r="F122" s="1101">
        <f>Voorblad!K4-1</f>
        <v>2011</v>
      </c>
      <c r="G122" s="1100" t="str">
        <f>"t/m " &amp; Voorblad!K4-1</f>
        <v>t/m 2011</v>
      </c>
    </row>
    <row r="123" spans="1:10" x14ac:dyDescent="0.15">
      <c r="A123" s="316"/>
      <c r="D123" s="328"/>
      <c r="E123" s="328"/>
      <c r="F123" s="328"/>
    </row>
    <row r="124" spans="1:10" ht="12.75" x14ac:dyDescent="0.2">
      <c r="A124" s="337">
        <f>(100*G120)+1</f>
        <v>801</v>
      </c>
      <c r="B124" s="1507" t="s">
        <v>491</v>
      </c>
      <c r="C124" s="1370"/>
      <c r="D124" s="61"/>
      <c r="E124" s="61"/>
      <c r="F124" s="61"/>
      <c r="G124" s="264">
        <f>D124+E124+F124</f>
        <v>0</v>
      </c>
    </row>
    <row r="125" spans="1:10" ht="12.75" x14ac:dyDescent="0.2">
      <c r="A125" s="337">
        <f>A124+1</f>
        <v>802</v>
      </c>
      <c r="B125" s="669" t="str">
        <f>"Tussentijdse verrekening opbrengsten via vaste bedragen "&amp; Voorblad!K4-1&amp; "*"</f>
        <v>Tussentijdse verrekening opbrengsten via vaste bedragen 2011*</v>
      </c>
      <c r="C125" s="668"/>
      <c r="D125" s="383"/>
      <c r="E125" s="61"/>
      <c r="F125" s="61"/>
      <c r="G125" s="264">
        <f>F125+E125</f>
        <v>0</v>
      </c>
    </row>
    <row r="126" spans="1:10" ht="12.75" x14ac:dyDescent="0.2">
      <c r="A126" s="337">
        <f>A125+1</f>
        <v>803</v>
      </c>
      <c r="B126" s="1507" t="s">
        <v>492</v>
      </c>
      <c r="C126" s="1370"/>
      <c r="D126" s="454"/>
      <c r="E126" s="454"/>
      <c r="F126" s="454"/>
      <c r="G126" s="264">
        <f>D126+E126+F126</f>
        <v>0</v>
      </c>
    </row>
    <row r="127" spans="1:10" x14ac:dyDescent="0.15">
      <c r="A127" s="337">
        <f>A126+1</f>
        <v>804</v>
      </c>
      <c r="B127" s="348" t="s">
        <v>493</v>
      </c>
      <c r="C127" s="1097"/>
      <c r="D127" s="455">
        <f>D124-D126</f>
        <v>0</v>
      </c>
      <c r="E127" s="455">
        <f>E124-E126-E125</f>
        <v>0</v>
      </c>
      <c r="F127" s="455">
        <f>F124-F126-F125</f>
        <v>0</v>
      </c>
      <c r="G127" s="456">
        <f>G124-G126-G125</f>
        <v>0</v>
      </c>
    </row>
    <row r="128" spans="1:10" x14ac:dyDescent="0.15">
      <c r="A128" s="316"/>
      <c r="C128" s="1102"/>
      <c r="D128" s="1102"/>
      <c r="E128" s="1102"/>
      <c r="F128" s="1102"/>
      <c r="H128" s="798"/>
    </row>
    <row r="129" spans="1:10" x14ac:dyDescent="0.15">
      <c r="A129" s="1028"/>
      <c r="B129" s="1103"/>
      <c r="C129" s="1104" t="s">
        <v>494</v>
      </c>
      <c r="D129" s="1105" t="s">
        <v>688</v>
      </c>
      <c r="E129" s="1105" t="s">
        <v>754</v>
      </c>
      <c r="F129" s="1105" t="s">
        <v>733</v>
      </c>
      <c r="G129" s="1106" t="s">
        <v>495</v>
      </c>
      <c r="H129" s="798"/>
    </row>
    <row r="130" spans="1:10" ht="12.75" customHeight="1" x14ac:dyDescent="0.15">
      <c r="A130" s="1028"/>
      <c r="B130" s="1107"/>
      <c r="C130" s="1108"/>
      <c r="D130" s="1109"/>
      <c r="E130" s="1109"/>
      <c r="F130" s="1109"/>
      <c r="G130" s="1109"/>
      <c r="H130" s="1110"/>
    </row>
    <row r="131" spans="1:10" ht="12.75" customHeight="1" x14ac:dyDescent="0.15">
      <c r="A131" s="337">
        <f>A127+1</f>
        <v>805</v>
      </c>
      <c r="B131" s="1111" t="str">
        <f>"Nog te verrekenen per 31-12-"&amp;Voorblad!K4-1</f>
        <v>Nog te verrekenen per 31-12-2011</v>
      </c>
      <c r="C131" s="1112"/>
      <c r="D131" s="461"/>
      <c r="E131" s="461"/>
      <c r="F131" s="459"/>
      <c r="G131" s="262">
        <f>G127</f>
        <v>0</v>
      </c>
    </row>
    <row r="132" spans="1:10" ht="26.25" customHeight="1" x14ac:dyDescent="0.15">
      <c r="A132" s="337">
        <f t="shared" ref="A132:A149" si="16">A131+1</f>
        <v>806</v>
      </c>
      <c r="B132" s="1113" t="str">
        <f>"Onderhanden werk A-segment ultimo "&amp;Voorblad!K4-1&amp;" (volgens nacalculatie "&amp;Voorblad!K4-1&amp;" regel 1602 + 1606)"</f>
        <v>Onderhanden werk A-segment ultimo 2011 (volgens nacalculatie 2011 regel 1602 + 1606)</v>
      </c>
      <c r="C132" s="459"/>
      <c r="D132" s="61"/>
      <c r="E132" s="258">
        <f>C132-D132</f>
        <v>0</v>
      </c>
      <c r="F132" s="1114">
        <v>-1</v>
      </c>
      <c r="G132" s="258">
        <f>ROUND(E132*F132,0)</f>
        <v>0</v>
      </c>
      <c r="H132" s="798"/>
    </row>
    <row r="133" spans="1:10" x14ac:dyDescent="0.15">
      <c r="A133" s="337">
        <f t="shared" si="16"/>
        <v>807</v>
      </c>
      <c r="B133" s="1115" t="s">
        <v>496</v>
      </c>
      <c r="C133" s="460"/>
      <c r="D133" s="461"/>
      <c r="E133" s="462"/>
      <c r="F133" s="1116"/>
      <c r="G133" s="61"/>
      <c r="H133" s="798"/>
      <c r="J133" s="328"/>
    </row>
    <row r="134" spans="1:10" x14ac:dyDescent="0.15">
      <c r="A134" s="337">
        <f t="shared" si="16"/>
        <v>808</v>
      </c>
      <c r="B134" s="1117" t="s">
        <v>497</v>
      </c>
      <c r="C134" s="277">
        <f t="shared" ref="C134:C145" si="17">G$112/12</f>
        <v>0</v>
      </c>
      <c r="D134" s="61"/>
      <c r="E134" s="262">
        <f t="shared" ref="E134:E146" si="18">C134-D134</f>
        <v>0</v>
      </c>
      <c r="F134" s="1118">
        <v>0.95830000000000004</v>
      </c>
      <c r="G134" s="262">
        <f t="shared" ref="G134:G146" si="19">ROUND(E134*F134,0)</f>
        <v>0</v>
      </c>
      <c r="H134" s="798"/>
      <c r="J134" s="328"/>
    </row>
    <row r="135" spans="1:10" x14ac:dyDescent="0.15">
      <c r="A135" s="337">
        <f t="shared" si="16"/>
        <v>809</v>
      </c>
      <c r="B135" s="1117" t="s">
        <v>498</v>
      </c>
      <c r="C135" s="277">
        <f t="shared" si="17"/>
        <v>0</v>
      </c>
      <c r="D135" s="61"/>
      <c r="E135" s="262">
        <f t="shared" si="18"/>
        <v>0</v>
      </c>
      <c r="F135" s="1118">
        <v>0.875</v>
      </c>
      <c r="G135" s="262">
        <f t="shared" si="19"/>
        <v>0</v>
      </c>
      <c r="H135" s="798"/>
      <c r="J135" s="328"/>
    </row>
    <row r="136" spans="1:10" x14ac:dyDescent="0.15">
      <c r="A136" s="337">
        <f t="shared" si="16"/>
        <v>810</v>
      </c>
      <c r="B136" s="1117" t="s">
        <v>499</v>
      </c>
      <c r="C136" s="277">
        <f t="shared" si="17"/>
        <v>0</v>
      </c>
      <c r="D136" s="61"/>
      <c r="E136" s="262">
        <f t="shared" si="18"/>
        <v>0</v>
      </c>
      <c r="F136" s="1118">
        <v>0.79169999999999996</v>
      </c>
      <c r="G136" s="262">
        <f t="shared" si="19"/>
        <v>0</v>
      </c>
      <c r="H136" s="798"/>
      <c r="J136" s="1076"/>
    </row>
    <row r="137" spans="1:10" x14ac:dyDescent="0.15">
      <c r="A137" s="337">
        <f t="shared" si="16"/>
        <v>811</v>
      </c>
      <c r="B137" s="1117" t="s">
        <v>500</v>
      </c>
      <c r="C137" s="277">
        <f t="shared" si="17"/>
        <v>0</v>
      </c>
      <c r="D137" s="61"/>
      <c r="E137" s="262">
        <f t="shared" si="18"/>
        <v>0</v>
      </c>
      <c r="F137" s="1118">
        <v>0.70830000000000004</v>
      </c>
      <c r="G137" s="262">
        <f t="shared" si="19"/>
        <v>0</v>
      </c>
      <c r="H137" s="798"/>
      <c r="J137" s="315"/>
    </row>
    <row r="138" spans="1:10" x14ac:dyDescent="0.15">
      <c r="A138" s="337">
        <f t="shared" si="16"/>
        <v>812</v>
      </c>
      <c r="B138" s="1117" t="s">
        <v>501</v>
      </c>
      <c r="C138" s="277">
        <f t="shared" si="17"/>
        <v>0</v>
      </c>
      <c r="D138" s="61"/>
      <c r="E138" s="262">
        <f t="shared" si="18"/>
        <v>0</v>
      </c>
      <c r="F138" s="1118">
        <v>0.625</v>
      </c>
      <c r="G138" s="262">
        <f t="shared" si="19"/>
        <v>0</v>
      </c>
      <c r="H138" s="798"/>
    </row>
    <row r="139" spans="1:10" ht="12" customHeight="1" x14ac:dyDescent="0.15">
      <c r="A139" s="337">
        <f t="shared" si="16"/>
        <v>813</v>
      </c>
      <c r="B139" s="1117" t="s">
        <v>502</v>
      </c>
      <c r="C139" s="277">
        <f t="shared" si="17"/>
        <v>0</v>
      </c>
      <c r="D139" s="61"/>
      <c r="E139" s="262">
        <f t="shared" si="18"/>
        <v>0</v>
      </c>
      <c r="F139" s="1118">
        <v>0.54169999999999996</v>
      </c>
      <c r="G139" s="262">
        <f t="shared" si="19"/>
        <v>0</v>
      </c>
      <c r="H139" s="798"/>
    </row>
    <row r="140" spans="1:10" x14ac:dyDescent="0.15">
      <c r="A140" s="337">
        <f t="shared" si="16"/>
        <v>814</v>
      </c>
      <c r="B140" s="1117" t="s">
        <v>503</v>
      </c>
      <c r="C140" s="277">
        <f t="shared" si="17"/>
        <v>0</v>
      </c>
      <c r="D140" s="61"/>
      <c r="E140" s="262">
        <f t="shared" si="18"/>
        <v>0</v>
      </c>
      <c r="F140" s="1118">
        <v>0.45829999999999999</v>
      </c>
      <c r="G140" s="262">
        <f t="shared" si="19"/>
        <v>0</v>
      </c>
      <c r="H140" s="798"/>
    </row>
    <row r="141" spans="1:10" x14ac:dyDescent="0.15">
      <c r="A141" s="337">
        <f t="shared" si="16"/>
        <v>815</v>
      </c>
      <c r="B141" s="1117" t="s">
        <v>504</v>
      </c>
      <c r="C141" s="277">
        <f t="shared" si="17"/>
        <v>0</v>
      </c>
      <c r="D141" s="61"/>
      <c r="E141" s="262">
        <f t="shared" si="18"/>
        <v>0</v>
      </c>
      <c r="F141" s="1118">
        <v>0.375</v>
      </c>
      <c r="G141" s="262">
        <f t="shared" si="19"/>
        <v>0</v>
      </c>
      <c r="H141" s="798"/>
    </row>
    <row r="142" spans="1:10" x14ac:dyDescent="0.15">
      <c r="A142" s="337">
        <f t="shared" si="16"/>
        <v>816</v>
      </c>
      <c r="B142" s="1117" t="s">
        <v>505</v>
      </c>
      <c r="C142" s="277">
        <f t="shared" si="17"/>
        <v>0</v>
      </c>
      <c r="D142" s="61"/>
      <c r="E142" s="262">
        <f t="shared" si="18"/>
        <v>0</v>
      </c>
      <c r="F142" s="1118">
        <v>0.29170000000000001</v>
      </c>
      <c r="G142" s="262">
        <f t="shared" si="19"/>
        <v>0</v>
      </c>
      <c r="H142" s="798"/>
      <c r="J142" s="328"/>
    </row>
    <row r="143" spans="1:10" x14ac:dyDescent="0.15">
      <c r="A143" s="337">
        <f t="shared" si="16"/>
        <v>817</v>
      </c>
      <c r="B143" s="1117" t="s">
        <v>506</v>
      </c>
      <c r="C143" s="277">
        <f t="shared" si="17"/>
        <v>0</v>
      </c>
      <c r="D143" s="61"/>
      <c r="E143" s="262">
        <f t="shared" si="18"/>
        <v>0</v>
      </c>
      <c r="F143" s="1118">
        <v>0.20830000000000001</v>
      </c>
      <c r="G143" s="262">
        <f t="shared" si="19"/>
        <v>0</v>
      </c>
      <c r="H143" s="798"/>
      <c r="J143" s="328"/>
    </row>
    <row r="144" spans="1:10" x14ac:dyDescent="0.15">
      <c r="A144" s="337">
        <f t="shared" si="16"/>
        <v>818</v>
      </c>
      <c r="B144" s="1117" t="s">
        <v>507</v>
      </c>
      <c r="C144" s="277">
        <f t="shared" si="17"/>
        <v>0</v>
      </c>
      <c r="D144" s="61"/>
      <c r="E144" s="262">
        <f t="shared" si="18"/>
        <v>0</v>
      </c>
      <c r="F144" s="1118">
        <v>0.125</v>
      </c>
      <c r="G144" s="262">
        <f t="shared" si="19"/>
        <v>0</v>
      </c>
      <c r="H144" s="798"/>
      <c r="J144" s="328"/>
    </row>
    <row r="145" spans="1:10" x14ac:dyDescent="0.15">
      <c r="A145" s="337">
        <f t="shared" si="16"/>
        <v>819</v>
      </c>
      <c r="B145" s="1117" t="s">
        <v>508</v>
      </c>
      <c r="C145" s="277">
        <f t="shared" si="17"/>
        <v>0</v>
      </c>
      <c r="D145" s="61"/>
      <c r="E145" s="262">
        <f t="shared" si="18"/>
        <v>0</v>
      </c>
      <c r="F145" s="1118">
        <v>4.1700000000000001E-2</v>
      </c>
      <c r="G145" s="262">
        <f t="shared" si="19"/>
        <v>0</v>
      </c>
      <c r="H145" s="798"/>
      <c r="J145" s="328"/>
    </row>
    <row r="146" spans="1:10" s="883" customFormat="1" ht="12.75" customHeight="1" x14ac:dyDescent="0.15">
      <c r="A146" s="337">
        <f t="shared" si="16"/>
        <v>820</v>
      </c>
      <c r="B146" s="427" t="str">
        <f>"Onderhanden werk ultimo "&amp;Voorblad!K4 &amp;"**"</f>
        <v>Onderhanden werk ultimo 2012**</v>
      </c>
      <c r="C146" s="464"/>
      <c r="D146" s="277">
        <f>IF(D148=0,IF(('3 opbrengsten'!D25+'3 opbrengsten'!D28+'3 opbrengsten'!D36+'3 opbrengsten'!D39)&lt;'A-G'!C134*2.5,('3 opbrengsten'!D25+'3 opbrengsten'!D28+'3 opbrengsten'!D36+'3 opbrengsten'!D39),'A-G'!C134*2.5),D148)</f>
        <v>0</v>
      </c>
      <c r="E146" s="258">
        <f t="shared" si="18"/>
        <v>0</v>
      </c>
      <c r="F146" s="1114">
        <v>1</v>
      </c>
      <c r="G146" s="258">
        <f t="shared" si="19"/>
        <v>0</v>
      </c>
      <c r="H146" s="333"/>
    </row>
    <row r="147" spans="1:10" ht="12" customHeight="1" x14ac:dyDescent="0.15">
      <c r="A147" s="337">
        <f t="shared" si="16"/>
        <v>821</v>
      </c>
      <c r="B147" s="1059" t="str">
        <f>CONCATENATE("Totaal ",A131," t/m ",A146)</f>
        <v>Totaal 805 t/m 820</v>
      </c>
      <c r="C147" s="465">
        <f>SUM(C134:C146)</f>
        <v>0</v>
      </c>
      <c r="D147" s="465">
        <f>SUM(D134:D146)-D132</f>
        <v>0</v>
      </c>
      <c r="E147" s="465">
        <f>SUM(E134:E146)</f>
        <v>0</v>
      </c>
      <c r="F147" s="466"/>
      <c r="G147" s="465">
        <f>SUM(G131:G146)</f>
        <v>0</v>
      </c>
      <c r="H147" s="798"/>
      <c r="J147" s="328"/>
    </row>
    <row r="148" spans="1:10" ht="12.6" customHeight="1" x14ac:dyDescent="0.15">
      <c r="A148" s="337">
        <f t="shared" si="16"/>
        <v>822</v>
      </c>
      <c r="B148" s="1111" t="str">
        <f>"""Onder Handen Werk"" indien afwijkende afspraak van regel " &amp; A146</f>
        <v>"Onder Handen Werk" indien afwijkende afspraak van regel 820</v>
      </c>
      <c r="C148" s="1119"/>
      <c r="D148" s="49"/>
      <c r="E148" s="1120"/>
      <c r="F148" s="1121"/>
      <c r="G148" s="1122"/>
      <c r="H148" s="798"/>
      <c r="J148" s="315"/>
    </row>
    <row r="149" spans="1:10" ht="12.6" customHeight="1" x14ac:dyDescent="0.15">
      <c r="A149" s="337">
        <f t="shared" si="16"/>
        <v>823</v>
      </c>
      <c r="B149" s="1111" t="str">
        <f>"Overeengekomen bedrag voor rentecorrectie (maximaal regel "&amp;A146&amp;")"</f>
        <v>Overeengekomen bedrag voor rentecorrectie (maximaal regel 820)</v>
      </c>
      <c r="C149" s="1119"/>
      <c r="D149" s="49"/>
      <c r="E149" s="1123"/>
      <c r="F149" s="1121"/>
      <c r="G149" s="1122"/>
      <c r="H149" s="798"/>
      <c r="J149" s="328"/>
    </row>
    <row r="150" spans="1:10" ht="32.25" customHeight="1" x14ac:dyDescent="0.15">
      <c r="A150" s="1506" t="s">
        <v>689</v>
      </c>
      <c r="B150" s="1506"/>
      <c r="C150" s="1506"/>
      <c r="D150" s="1506"/>
      <c r="E150" s="1506"/>
      <c r="F150" s="1506"/>
      <c r="G150" s="1506"/>
      <c r="H150" s="798"/>
      <c r="J150" s="328"/>
    </row>
    <row r="151" spans="1:10" ht="27.75" customHeight="1" x14ac:dyDescent="0.15">
      <c r="A151" s="1506" t="s">
        <v>89</v>
      </c>
      <c r="B151" s="1506"/>
      <c r="C151" s="1506"/>
      <c r="D151" s="1506"/>
      <c r="E151" s="1506"/>
      <c r="F151" s="1506"/>
      <c r="G151" s="1506"/>
      <c r="H151" s="798"/>
      <c r="J151" s="328"/>
    </row>
    <row r="152" spans="1:10" ht="12.6" customHeight="1" x14ac:dyDescent="0.15">
      <c r="A152" s="1124" t="s">
        <v>687</v>
      </c>
      <c r="B152" s="1120"/>
      <c r="C152" s="798"/>
      <c r="D152" s="798"/>
      <c r="E152" s="798"/>
      <c r="F152" s="798"/>
      <c r="G152" s="798"/>
      <c r="J152" s="328"/>
    </row>
    <row r="153" spans="1:10" ht="12.6" customHeight="1" x14ac:dyDescent="0.15">
      <c r="A153" s="356"/>
      <c r="B153" s="798"/>
      <c r="C153" s="798"/>
      <c r="D153" s="798"/>
      <c r="E153" s="798"/>
      <c r="F153" s="798"/>
      <c r="G153" s="798"/>
      <c r="J153" s="328"/>
    </row>
    <row r="154" spans="1:10" ht="12.6" customHeight="1" x14ac:dyDescent="0.15">
      <c r="A154" s="356"/>
    </row>
    <row r="161" ht="12.6" customHeight="1" x14ac:dyDescent="0.15"/>
    <row r="162" ht="12.6" customHeight="1" x14ac:dyDescent="0.15"/>
    <row r="163" ht="12.6" customHeight="1" x14ac:dyDescent="0.15"/>
    <row r="164" ht="12.6" customHeight="1" x14ac:dyDescent="0.15"/>
    <row r="165" ht="12.6" customHeight="1" x14ac:dyDescent="0.15"/>
  </sheetData>
  <sheetProtection password="CA39" sheet="1" objects="1" scenarios="1"/>
  <mergeCells count="17">
    <mergeCell ref="A5:D5"/>
    <mergeCell ref="A150:G150"/>
    <mergeCell ref="B126:C126"/>
    <mergeCell ref="B94:B96"/>
    <mergeCell ref="A49:D49"/>
    <mergeCell ref="A92:D92"/>
    <mergeCell ref="A121:D121"/>
    <mergeCell ref="A151:G151"/>
    <mergeCell ref="B124:C124"/>
    <mergeCell ref="F6:G6"/>
    <mergeCell ref="F50:G50"/>
    <mergeCell ref="E28:G29"/>
    <mergeCell ref="B87:F87"/>
    <mergeCell ref="B6:B8"/>
    <mergeCell ref="B28:B30"/>
    <mergeCell ref="B50:B52"/>
    <mergeCell ref="B74:B75"/>
  </mergeCells>
  <phoneticPr fontId="12" type="noConversion"/>
  <conditionalFormatting sqref="D126 E98:E107 C98:C107 G133 C77:C86 E77:E86 D68 C69 C55:C67 C53:D54 D33:D44 C32:C44 C9:D22 D132 G115 D134:D145 E124:F126 D124 D148:D149">
    <cfRule type="expression" dxfId="8" priority="2" stopIfTrue="1">
      <formula>$E$2=TRUE</formula>
    </cfRule>
  </conditionalFormatting>
  <conditionalFormatting sqref="C72 E72 C26">
    <cfRule type="cellIs" dxfId="7" priority="3" stopIfTrue="1" operator="notEqual">
      <formula>0</formula>
    </cfRule>
  </conditionalFormatting>
  <conditionalFormatting sqref="A5 A49 A92 A121">
    <cfRule type="cellIs" dxfId="6" priority="4" stopIfTrue="1" operator="equal">
      <formula>"Vul het Nza-nummer in op het voorblad"</formula>
    </cfRule>
  </conditionalFormatting>
  <conditionalFormatting sqref="G113">
    <cfRule type="expression" dxfId="5" priority="1" stopIfTrue="1">
      <formula>$E$2=TRUE</formula>
    </cfRule>
  </conditionalFormatting>
  <pageMargins left="0.39370078740157483" right="0.39370078740157483" top="0.39370078740157483" bottom="0.39370078740157483" header="0.51181102362204722" footer="0.51181102362204722"/>
  <pageSetup paperSize="9" scale="94" orientation="landscape" cellComments="asDisplayed" r:id="rId1"/>
  <headerFooter alignWithMargins="0"/>
  <rowBreaks count="4" manualBreakCount="4">
    <brk id="46" max="6" man="1"/>
    <brk id="89" max="6" man="1"/>
    <brk id="117" max="16383" man="1"/>
    <brk id="162" max="16383" man="1"/>
  </rowBreaks>
  <ignoredErrors>
    <ignoredError sqref="D147 E68" formula="1"/>
  </ignoredErrors>
  <drawing r:id="rId2"/>
  <legacyDrawing r:id="rId3"/>
  <oleObjects>
    <mc:AlternateContent xmlns:mc="http://schemas.openxmlformats.org/markup-compatibility/2006">
      <mc:Choice Requires="x14">
        <oleObject progId="MSPhotoEd.3" shapeId="90113" r:id="rId4">
          <objectPr defaultSize="0" autoPict="0" r:id="rId5">
            <anchor moveWithCells="1" sizeWithCells="1">
              <from>
                <xdr:col>5</xdr:col>
                <xdr:colOff>409575</xdr:colOff>
                <xdr:row>1</xdr:row>
                <xdr:rowOff>38100</xdr:rowOff>
              </from>
              <to>
                <xdr:col>6</xdr:col>
                <xdr:colOff>762000</xdr:colOff>
                <xdr:row>1</xdr:row>
                <xdr:rowOff>180975</xdr:rowOff>
              </to>
            </anchor>
          </objectPr>
        </oleObject>
      </mc:Choice>
      <mc:Fallback>
        <oleObject progId="MSPhotoEd.3" shapeId="90113" r:id="rId4"/>
      </mc:Fallback>
    </mc:AlternateContent>
    <mc:AlternateContent xmlns:mc="http://schemas.openxmlformats.org/markup-compatibility/2006">
      <mc:Choice Requires="x14">
        <oleObject progId="MSPhotoEd.3" shapeId="90114" r:id="rId6">
          <objectPr defaultSize="0" autoPict="0" r:id="rId5">
            <anchor moveWithCells="1" sizeWithCells="1">
              <from>
                <xdr:col>5</xdr:col>
                <xdr:colOff>428625</xdr:colOff>
                <xdr:row>47</xdr:row>
                <xdr:rowOff>9525</xdr:rowOff>
              </from>
              <to>
                <xdr:col>6</xdr:col>
                <xdr:colOff>781050</xdr:colOff>
                <xdr:row>48</xdr:row>
                <xdr:rowOff>0</xdr:rowOff>
              </to>
            </anchor>
          </objectPr>
        </oleObject>
      </mc:Choice>
      <mc:Fallback>
        <oleObject progId="MSPhotoEd.3" shapeId="90114" r:id="rId6"/>
      </mc:Fallback>
    </mc:AlternateContent>
    <mc:AlternateContent xmlns:mc="http://schemas.openxmlformats.org/markup-compatibility/2006">
      <mc:Choice Requires="x14">
        <oleObject progId="MSPhotoEd.3" shapeId="90115" r:id="rId7">
          <objectPr defaultSize="0" autoPict="0" r:id="rId5">
            <anchor moveWithCells="1" sizeWithCells="1">
              <from>
                <xdr:col>5</xdr:col>
                <xdr:colOff>419100</xdr:colOff>
                <xdr:row>90</xdr:row>
                <xdr:rowOff>9525</xdr:rowOff>
              </from>
              <to>
                <xdr:col>6</xdr:col>
                <xdr:colOff>771525</xdr:colOff>
                <xdr:row>91</xdr:row>
                <xdr:rowOff>0</xdr:rowOff>
              </to>
            </anchor>
          </objectPr>
        </oleObject>
      </mc:Choice>
      <mc:Fallback>
        <oleObject progId="MSPhotoEd.3" shapeId="90115" r:id="rId7"/>
      </mc:Fallback>
    </mc:AlternateContent>
    <mc:AlternateContent xmlns:mc="http://schemas.openxmlformats.org/markup-compatibility/2006">
      <mc:Choice Requires="x14">
        <oleObject progId="MSPhotoEd.3" shapeId="90116" r:id="rId8">
          <objectPr defaultSize="0" autoPict="0" r:id="rId5">
            <anchor moveWithCells="1" sizeWithCells="1">
              <from>
                <xdr:col>5</xdr:col>
                <xdr:colOff>409575</xdr:colOff>
                <xdr:row>119</xdr:row>
                <xdr:rowOff>19050</xdr:rowOff>
              </from>
              <to>
                <xdr:col>6</xdr:col>
                <xdr:colOff>828675</xdr:colOff>
                <xdr:row>120</xdr:row>
                <xdr:rowOff>9525</xdr:rowOff>
              </to>
            </anchor>
          </objectPr>
        </oleObject>
      </mc:Choice>
      <mc:Fallback>
        <oleObject progId="MSPhotoEd.3" shapeId="90116" r:id="rId8"/>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9">
    <tabColor indexed="44"/>
    <pageSetUpPr autoPageBreaks="0"/>
  </sheetPr>
  <dimension ref="A1:AN204"/>
  <sheetViews>
    <sheetView showGridLines="0" showZeros="0" showOutlineSymbols="0" zoomScaleNormal="100" zoomScaleSheetLayoutView="100" workbookViewId="0">
      <selection activeCell="B8" sqref="B8"/>
    </sheetView>
  </sheetViews>
  <sheetFormatPr defaultRowHeight="11.25" x14ac:dyDescent="0.15"/>
  <cols>
    <col min="1" max="1" width="6.7109375" style="1125" customWidth="1"/>
    <col min="2" max="2" width="13.7109375" style="328" customWidth="1"/>
    <col min="3" max="3" width="12.7109375" style="328" customWidth="1"/>
    <col min="4" max="4" width="14.7109375" style="316" bestFit="1" customWidth="1"/>
    <col min="5" max="7" width="5.85546875" style="328" customWidth="1"/>
    <col min="8" max="8" width="13.7109375" style="315" customWidth="1"/>
    <col min="9" max="9" width="12.7109375" style="315" customWidth="1"/>
    <col min="10" max="10" width="3.7109375" style="315" customWidth="1"/>
    <col min="11" max="16" width="2.7109375" style="315" customWidth="1"/>
    <col min="17" max="18" width="13.7109375" style="315" customWidth="1"/>
    <col min="19" max="20" width="13.7109375" style="328" customWidth="1"/>
    <col min="21" max="21" width="7.28515625" style="1126" customWidth="1"/>
    <col min="22" max="22" width="5.85546875" style="1126" customWidth="1"/>
    <col min="23" max="23" width="14.28515625" style="1126" customWidth="1"/>
    <col min="24" max="24" width="14.7109375" style="1126" customWidth="1"/>
    <col min="25" max="25" width="15" style="1126" customWidth="1"/>
    <col min="26" max="26" width="15.28515625" style="1126" customWidth="1"/>
    <col min="27" max="27" width="13.7109375" style="1126" customWidth="1"/>
    <col min="28" max="28" width="11.7109375" style="1126" customWidth="1"/>
    <col min="29" max="29" width="15.28515625" style="328" customWidth="1"/>
    <col min="30" max="30" width="13.7109375" style="328" customWidth="1"/>
    <col min="31" max="31" width="12.85546875" style="328" customWidth="1"/>
    <col min="32" max="32" width="13.28515625" style="328" customWidth="1"/>
    <col min="33" max="33" width="12.42578125" style="328" customWidth="1"/>
    <col min="34" max="34" width="12.85546875" style="328" customWidth="1"/>
    <col min="35" max="35" width="11.85546875" style="328" customWidth="1"/>
    <col min="36" max="40" width="10.28515625" style="328" customWidth="1"/>
    <col min="41" max="16384" width="9.140625" style="328"/>
  </cols>
  <sheetData>
    <row r="1" spans="1:39" ht="15.95" customHeight="1" x14ac:dyDescent="0.15">
      <c r="D1" s="315"/>
      <c r="E1" s="871"/>
      <c r="F1" s="315"/>
      <c r="G1" s="315"/>
      <c r="V1" s="1127"/>
    </row>
    <row r="2" spans="1:39" s="318" customFormat="1" ht="15.75" customHeight="1" x14ac:dyDescent="0.2">
      <c r="A2" s="880" t="str">
        <f>'toelicht. rentenormeringsbalans'!A2</f>
        <v>Rentenormeringsbalans 2012 algemene ziekenhuizen</v>
      </c>
      <c r="I2" s="319" t="b">
        <f>rentenormeringsbalans!D24</f>
        <v>1</v>
      </c>
      <c r="J2" s="319"/>
      <c r="K2" s="319"/>
      <c r="L2" s="320"/>
      <c r="M2" s="320"/>
      <c r="N2" s="319"/>
      <c r="O2" s="320"/>
      <c r="P2" s="320"/>
      <c r="Q2" s="319"/>
      <c r="R2" s="320"/>
      <c r="S2" s="320"/>
      <c r="T2" s="321">
        <f>'A-G'!G120+1</f>
        <v>9</v>
      </c>
      <c r="U2" s="827"/>
      <c r="V2" s="827"/>
      <c r="W2" s="827"/>
      <c r="X2" s="827"/>
      <c r="Y2" s="827"/>
      <c r="Z2" s="827"/>
      <c r="AA2" s="827"/>
      <c r="AB2" s="827"/>
    </row>
    <row r="3" spans="1:39" ht="12.75" customHeight="1" x14ac:dyDescent="0.2">
      <c r="A3" s="1329" t="str">
        <f>IF(Voorblad!$F$10&lt;1,"Vul het NZa-nummer in op het voorblad","")</f>
        <v>Vul het NZa-nummer in op het voorblad</v>
      </c>
      <c r="B3" s="1330"/>
      <c r="C3" s="1330"/>
      <c r="D3" s="1330"/>
      <c r="E3" s="260"/>
      <c r="F3" s="260"/>
      <c r="G3" s="260"/>
      <c r="H3" s="1128"/>
      <c r="I3" s="1128"/>
      <c r="J3" s="1128"/>
      <c r="K3" s="1128"/>
      <c r="L3" s="1128"/>
      <c r="M3" s="1128"/>
      <c r="N3" s="1128"/>
      <c r="O3" s="1128"/>
      <c r="P3" s="1128"/>
      <c r="Q3" s="1128"/>
      <c r="R3" s="1128"/>
    </row>
    <row r="4" spans="1:39" s="1135" customFormat="1" ht="12.75" customHeight="1" x14ac:dyDescent="0.2">
      <c r="A4" s="1129"/>
      <c r="B4" s="1130" t="s">
        <v>509</v>
      </c>
      <c r="C4" s="1130" t="s">
        <v>735</v>
      </c>
      <c r="D4" s="1131" t="s">
        <v>510</v>
      </c>
      <c r="E4" s="1131" t="s">
        <v>738</v>
      </c>
      <c r="F4" s="1131" t="s">
        <v>332</v>
      </c>
      <c r="G4" s="1131" t="s">
        <v>511</v>
      </c>
      <c r="H4" s="1131" t="s">
        <v>734</v>
      </c>
      <c r="I4" s="1539" t="str">
        <f>"Storting/Aflossing " &amp;Voorblad!K4</f>
        <v>Storting/Aflossing 2012</v>
      </c>
      <c r="J4" s="1542"/>
      <c r="K4" s="1542"/>
      <c r="L4" s="1542"/>
      <c r="M4" s="1542"/>
      <c r="N4" s="1542"/>
      <c r="O4" s="1542"/>
      <c r="P4" s="1543"/>
      <c r="Q4" s="1130" t="s">
        <v>734</v>
      </c>
      <c r="R4" s="1131" t="s">
        <v>512</v>
      </c>
      <c r="S4" s="1131" t="s">
        <v>513</v>
      </c>
      <c r="T4" s="1132" t="s">
        <v>514</v>
      </c>
      <c r="U4" s="1133"/>
      <c r="V4" s="1133"/>
      <c r="W4" s="1133"/>
      <c r="X4" s="1133"/>
      <c r="Y4" s="1133"/>
      <c r="Z4" s="1133"/>
      <c r="AA4" s="1133"/>
      <c r="AB4" s="1133"/>
      <c r="AC4" s="1134"/>
      <c r="AD4" s="1134"/>
      <c r="AE4" s="1134"/>
      <c r="AF4" s="1134"/>
      <c r="AG4" s="1134"/>
      <c r="AH4" s="1134"/>
      <c r="AI4" s="1134"/>
      <c r="AJ4" s="1134"/>
      <c r="AK4" s="1134"/>
      <c r="AL4" s="1134"/>
      <c r="AM4" s="1134"/>
    </row>
    <row r="5" spans="1:39" s="1135" customFormat="1" ht="12.75" customHeight="1" x14ac:dyDescent="0.2">
      <c r="A5" s="1129"/>
      <c r="B5" s="1136"/>
      <c r="C5" s="1136" t="s">
        <v>515</v>
      </c>
      <c r="D5" s="1137" t="s">
        <v>516</v>
      </c>
      <c r="E5" s="1137" t="s">
        <v>517</v>
      </c>
      <c r="F5" s="1137" t="s">
        <v>518</v>
      </c>
      <c r="G5" s="1137" t="s">
        <v>519</v>
      </c>
      <c r="H5" s="1138" t="str">
        <f>"31-12-"&amp;Voorblad!K4-1</f>
        <v>31-12-2011</v>
      </c>
      <c r="I5" s="1139" t="s">
        <v>520</v>
      </c>
      <c r="J5" s="1140" t="s">
        <v>736</v>
      </c>
      <c r="K5" s="1539" t="s">
        <v>737</v>
      </c>
      <c r="L5" s="1540"/>
      <c r="M5" s="1540"/>
      <c r="N5" s="1540"/>
      <c r="O5" s="1540"/>
      <c r="P5" s="1541"/>
      <c r="Q5" s="1138" t="str">
        <f>"31-12-"&amp;Voorblad!K4</f>
        <v>31-12-2012</v>
      </c>
      <c r="R5" s="1141" t="s">
        <v>521</v>
      </c>
      <c r="S5" s="1141" t="s">
        <v>522</v>
      </c>
      <c r="T5" s="1141" t="s">
        <v>522</v>
      </c>
      <c r="U5" s="1133"/>
      <c r="V5" s="1133"/>
      <c r="W5" s="1133"/>
      <c r="X5" s="1133"/>
      <c r="Y5" s="1133"/>
      <c r="Z5" s="1133"/>
      <c r="AA5" s="1133"/>
      <c r="AB5" s="1133"/>
      <c r="AC5" s="1134"/>
      <c r="AD5" s="1134"/>
      <c r="AE5" s="1134"/>
      <c r="AF5" s="1134"/>
      <c r="AG5" s="1134"/>
      <c r="AH5" s="1134"/>
      <c r="AI5" s="1134"/>
      <c r="AJ5" s="1134"/>
      <c r="AK5" s="1134"/>
      <c r="AL5" s="1134"/>
      <c r="AM5" s="1134"/>
    </row>
    <row r="6" spans="1:39" s="958" customFormat="1" ht="12.75" customHeight="1" x14ac:dyDescent="0.2">
      <c r="A6" s="1142"/>
      <c r="L6" s="318"/>
      <c r="T6" s="958" t="s">
        <v>523</v>
      </c>
      <c r="U6" s="1143"/>
      <c r="V6" s="1143"/>
      <c r="W6" s="1143"/>
      <c r="X6" s="1143"/>
      <c r="Y6" s="1143"/>
      <c r="Z6" s="1143"/>
      <c r="AA6" s="1143"/>
      <c r="AB6" s="1143"/>
    </row>
    <row r="7" spans="1:39" ht="12.75" customHeight="1" x14ac:dyDescent="0.15">
      <c r="A7" s="1125" t="s">
        <v>774</v>
      </c>
      <c r="B7" s="1144" t="s">
        <v>316</v>
      </c>
      <c r="C7" s="1144"/>
      <c r="D7" s="1145"/>
      <c r="E7" s="260"/>
      <c r="F7" s="260"/>
      <c r="G7" s="260"/>
      <c r="H7" s="1128"/>
      <c r="I7" s="1128"/>
      <c r="J7" s="1128"/>
      <c r="K7" s="1128"/>
      <c r="L7" s="1128"/>
      <c r="M7" s="1128"/>
      <c r="N7" s="1128"/>
      <c r="O7" s="1128"/>
      <c r="P7" s="1128"/>
      <c r="Q7" s="1128"/>
      <c r="R7" s="1128"/>
    </row>
    <row r="8" spans="1:39" ht="12.75" customHeight="1" x14ac:dyDescent="0.15">
      <c r="A8" s="505">
        <f>(100*T2)+1</f>
        <v>901</v>
      </c>
      <c r="B8" s="471"/>
      <c r="C8" s="472"/>
      <c r="D8" s="472"/>
      <c r="E8" s="473"/>
      <c r="F8" s="473"/>
      <c r="G8" s="474"/>
      <c r="H8" s="475"/>
      <c r="I8" s="475"/>
      <c r="J8" s="476"/>
      <c r="K8" s="476"/>
      <c r="L8" s="476"/>
      <c r="M8" s="476"/>
      <c r="N8" s="476"/>
      <c r="O8" s="476"/>
      <c r="P8" s="476"/>
      <c r="Q8" s="477">
        <f>H8-AB8</f>
        <v>0</v>
      </c>
      <c r="R8" s="477">
        <f>R50</f>
        <v>0</v>
      </c>
      <c r="S8" s="477">
        <f t="shared" ref="S8:S34" si="0">R8*F8/100</f>
        <v>0</v>
      </c>
      <c r="T8" s="477">
        <f>IF(G8="n",S8,E8/100*R8)</f>
        <v>0</v>
      </c>
      <c r="U8" s="1146">
        <f t="shared" ref="U8:U34" si="1">IF(K8&gt;0,1,0)</f>
        <v>0</v>
      </c>
      <c r="V8" s="1146">
        <f t="shared" ref="V8:V34" si="2">IF(L8&gt;0,1,0)</f>
        <v>0</v>
      </c>
      <c r="W8" s="1146">
        <f t="shared" ref="W8:W34" si="3">IF(M8&gt;0,1,0)</f>
        <v>0</v>
      </c>
      <c r="X8" s="1146">
        <f t="shared" ref="X8:X34" si="4">IF(N8&gt;0,1,0)</f>
        <v>0</v>
      </c>
      <c r="Y8" s="1146">
        <f t="shared" ref="Y8:Y34" si="5">IF(O8&gt;0,1,0)</f>
        <v>0</v>
      </c>
      <c r="Z8" s="1146">
        <f t="shared" ref="Z8:Z34" si="6">IF(P8&gt;0,1,0)</f>
        <v>0</v>
      </c>
      <c r="AA8" s="1146">
        <f t="shared" ref="AA8:AA34" si="7">SUM(U8:Z8)</f>
        <v>0</v>
      </c>
      <c r="AB8" s="1146">
        <f t="shared" ref="AB8:AB34" si="8">AA8*I8</f>
        <v>0</v>
      </c>
      <c r="AC8" s="946"/>
      <c r="AJ8" s="1147"/>
      <c r="AK8" s="1147"/>
      <c r="AL8" s="1147"/>
      <c r="AM8" s="1147"/>
    </row>
    <row r="9" spans="1:39" ht="12.75" customHeight="1" x14ac:dyDescent="0.15">
      <c r="A9" s="505">
        <f t="shared" ref="A9:A35" si="9">A8+1</f>
        <v>902</v>
      </c>
      <c r="B9" s="471"/>
      <c r="C9" s="472"/>
      <c r="D9" s="472"/>
      <c r="E9" s="473"/>
      <c r="F9" s="478"/>
      <c r="G9" s="474"/>
      <c r="H9" s="475"/>
      <c r="I9" s="475"/>
      <c r="J9" s="476"/>
      <c r="K9" s="476"/>
      <c r="L9" s="476"/>
      <c r="M9" s="476"/>
      <c r="N9" s="476"/>
      <c r="O9" s="476"/>
      <c r="P9" s="476"/>
      <c r="Q9" s="477">
        <f t="shared" ref="Q9:Q34" si="10">H9-AB9</f>
        <v>0</v>
      </c>
      <c r="R9" s="477">
        <f t="shared" ref="R9:R34" si="11">R51</f>
        <v>0</v>
      </c>
      <c r="S9" s="477">
        <f t="shared" si="0"/>
        <v>0</v>
      </c>
      <c r="T9" s="477">
        <f t="shared" ref="T9:T34" si="12">IF(G9="n",S9,E9/100*R9)</f>
        <v>0</v>
      </c>
      <c r="U9" s="1146">
        <f t="shared" si="1"/>
        <v>0</v>
      </c>
      <c r="V9" s="1146">
        <f t="shared" si="2"/>
        <v>0</v>
      </c>
      <c r="W9" s="1146">
        <f t="shared" si="3"/>
        <v>0</v>
      </c>
      <c r="X9" s="1146">
        <f t="shared" si="4"/>
        <v>0</v>
      </c>
      <c r="Y9" s="1146">
        <f t="shared" si="5"/>
        <v>0</v>
      </c>
      <c r="Z9" s="1146">
        <f t="shared" si="6"/>
        <v>0</v>
      </c>
      <c r="AA9" s="1146">
        <f t="shared" si="7"/>
        <v>0</v>
      </c>
      <c r="AB9" s="1146">
        <f t="shared" si="8"/>
        <v>0</v>
      </c>
      <c r="AJ9" s="1147"/>
      <c r="AK9" s="1147"/>
      <c r="AL9" s="1147"/>
      <c r="AM9" s="1147"/>
    </row>
    <row r="10" spans="1:39" ht="12.75" customHeight="1" x14ac:dyDescent="0.15">
      <c r="A10" s="505">
        <f t="shared" si="9"/>
        <v>903</v>
      </c>
      <c r="B10" s="471"/>
      <c r="C10" s="472"/>
      <c r="D10" s="472"/>
      <c r="E10" s="473"/>
      <c r="F10" s="478"/>
      <c r="G10" s="474"/>
      <c r="H10" s="475"/>
      <c r="I10" s="475"/>
      <c r="J10" s="476"/>
      <c r="K10" s="476"/>
      <c r="L10" s="476"/>
      <c r="M10" s="476"/>
      <c r="N10" s="476"/>
      <c r="O10" s="476"/>
      <c r="P10" s="476"/>
      <c r="Q10" s="477">
        <f t="shared" si="10"/>
        <v>0</v>
      </c>
      <c r="R10" s="477">
        <f t="shared" si="11"/>
        <v>0</v>
      </c>
      <c r="S10" s="477">
        <f t="shared" si="0"/>
        <v>0</v>
      </c>
      <c r="T10" s="477">
        <f t="shared" si="12"/>
        <v>0</v>
      </c>
      <c r="U10" s="1146">
        <f t="shared" si="1"/>
        <v>0</v>
      </c>
      <c r="V10" s="1146">
        <f t="shared" si="2"/>
        <v>0</v>
      </c>
      <c r="W10" s="1146">
        <f t="shared" si="3"/>
        <v>0</v>
      </c>
      <c r="X10" s="1146">
        <f t="shared" si="4"/>
        <v>0</v>
      </c>
      <c r="Y10" s="1146">
        <f t="shared" si="5"/>
        <v>0</v>
      </c>
      <c r="Z10" s="1146">
        <f t="shared" si="6"/>
        <v>0</v>
      </c>
      <c r="AA10" s="1146">
        <f t="shared" si="7"/>
        <v>0</v>
      </c>
      <c r="AB10" s="1146">
        <f t="shared" si="8"/>
        <v>0</v>
      </c>
      <c r="AJ10" s="1147"/>
      <c r="AK10" s="1147"/>
      <c r="AL10" s="1147"/>
      <c r="AM10" s="1147"/>
    </row>
    <row r="11" spans="1:39" ht="12.75" customHeight="1" x14ac:dyDescent="0.15">
      <c r="A11" s="505">
        <f t="shared" si="9"/>
        <v>904</v>
      </c>
      <c r="B11" s="471"/>
      <c r="C11" s="472"/>
      <c r="D11" s="472"/>
      <c r="E11" s="473"/>
      <c r="F11" s="478"/>
      <c r="G11" s="474"/>
      <c r="H11" s="475"/>
      <c r="I11" s="475"/>
      <c r="J11" s="476"/>
      <c r="K11" s="476"/>
      <c r="L11" s="476"/>
      <c r="M11" s="476"/>
      <c r="N11" s="476"/>
      <c r="O11" s="476"/>
      <c r="P11" s="476"/>
      <c r="Q11" s="477">
        <f t="shared" si="10"/>
        <v>0</v>
      </c>
      <c r="R11" s="477">
        <f t="shared" si="11"/>
        <v>0</v>
      </c>
      <c r="S11" s="477">
        <f t="shared" si="0"/>
        <v>0</v>
      </c>
      <c r="T11" s="477">
        <f t="shared" si="12"/>
        <v>0</v>
      </c>
      <c r="U11" s="1146">
        <f t="shared" si="1"/>
        <v>0</v>
      </c>
      <c r="V11" s="1146">
        <f t="shared" si="2"/>
        <v>0</v>
      </c>
      <c r="W11" s="1146">
        <f t="shared" si="3"/>
        <v>0</v>
      </c>
      <c r="X11" s="1146">
        <f t="shared" si="4"/>
        <v>0</v>
      </c>
      <c r="Y11" s="1146">
        <f t="shared" si="5"/>
        <v>0</v>
      </c>
      <c r="Z11" s="1146">
        <f t="shared" si="6"/>
        <v>0</v>
      </c>
      <c r="AA11" s="1146">
        <f t="shared" si="7"/>
        <v>0</v>
      </c>
      <c r="AB11" s="1146">
        <f t="shared" si="8"/>
        <v>0</v>
      </c>
      <c r="AJ11" s="1147"/>
      <c r="AK11" s="1147"/>
      <c r="AL11" s="1147"/>
      <c r="AM11" s="1147"/>
    </row>
    <row r="12" spans="1:39" ht="12.75" customHeight="1" x14ac:dyDescent="0.15">
      <c r="A12" s="505">
        <f t="shared" si="9"/>
        <v>905</v>
      </c>
      <c r="B12" s="471"/>
      <c r="C12" s="472"/>
      <c r="D12" s="472"/>
      <c r="E12" s="473"/>
      <c r="F12" s="478"/>
      <c r="G12" s="474"/>
      <c r="H12" s="475"/>
      <c r="I12" s="475"/>
      <c r="J12" s="476"/>
      <c r="K12" s="476"/>
      <c r="L12" s="476"/>
      <c r="M12" s="476"/>
      <c r="N12" s="476"/>
      <c r="O12" s="476"/>
      <c r="P12" s="476"/>
      <c r="Q12" s="477">
        <f t="shared" si="10"/>
        <v>0</v>
      </c>
      <c r="R12" s="477">
        <f t="shared" si="11"/>
        <v>0</v>
      </c>
      <c r="S12" s="477">
        <f t="shared" si="0"/>
        <v>0</v>
      </c>
      <c r="T12" s="477">
        <f t="shared" si="12"/>
        <v>0</v>
      </c>
      <c r="U12" s="1146">
        <f t="shared" si="1"/>
        <v>0</v>
      </c>
      <c r="V12" s="1146">
        <f t="shared" si="2"/>
        <v>0</v>
      </c>
      <c r="W12" s="1146">
        <f t="shared" si="3"/>
        <v>0</v>
      </c>
      <c r="X12" s="1146">
        <f t="shared" si="4"/>
        <v>0</v>
      </c>
      <c r="Y12" s="1146">
        <f t="shared" si="5"/>
        <v>0</v>
      </c>
      <c r="Z12" s="1146">
        <f t="shared" si="6"/>
        <v>0</v>
      </c>
      <c r="AA12" s="1146">
        <f t="shared" si="7"/>
        <v>0</v>
      </c>
      <c r="AB12" s="1146">
        <f t="shared" si="8"/>
        <v>0</v>
      </c>
      <c r="AJ12" s="1147"/>
      <c r="AK12" s="1147"/>
      <c r="AL12" s="1147"/>
      <c r="AM12" s="1147"/>
    </row>
    <row r="13" spans="1:39" ht="12.75" customHeight="1" x14ac:dyDescent="0.15">
      <c r="A13" s="505">
        <f t="shared" si="9"/>
        <v>906</v>
      </c>
      <c r="B13" s="471"/>
      <c r="C13" s="472"/>
      <c r="D13" s="472"/>
      <c r="E13" s="473"/>
      <c r="F13" s="478"/>
      <c r="G13" s="474"/>
      <c r="H13" s="475"/>
      <c r="I13" s="475"/>
      <c r="J13" s="476"/>
      <c r="K13" s="476"/>
      <c r="L13" s="476"/>
      <c r="M13" s="476"/>
      <c r="N13" s="476"/>
      <c r="O13" s="476"/>
      <c r="P13" s="476"/>
      <c r="Q13" s="477">
        <f t="shared" si="10"/>
        <v>0</v>
      </c>
      <c r="R13" s="477">
        <f t="shared" si="11"/>
        <v>0</v>
      </c>
      <c r="S13" s="477">
        <f t="shared" si="0"/>
        <v>0</v>
      </c>
      <c r="T13" s="477">
        <f t="shared" si="12"/>
        <v>0</v>
      </c>
      <c r="U13" s="1146">
        <f t="shared" si="1"/>
        <v>0</v>
      </c>
      <c r="V13" s="1146">
        <f t="shared" si="2"/>
        <v>0</v>
      </c>
      <c r="W13" s="1146">
        <f t="shared" si="3"/>
        <v>0</v>
      </c>
      <c r="X13" s="1146">
        <f t="shared" si="4"/>
        <v>0</v>
      </c>
      <c r="Y13" s="1146">
        <f t="shared" si="5"/>
        <v>0</v>
      </c>
      <c r="Z13" s="1146">
        <f t="shared" si="6"/>
        <v>0</v>
      </c>
      <c r="AA13" s="1146">
        <f t="shared" si="7"/>
        <v>0</v>
      </c>
      <c r="AB13" s="1146">
        <f t="shared" si="8"/>
        <v>0</v>
      </c>
      <c r="AJ13" s="1147"/>
      <c r="AK13" s="1147"/>
      <c r="AL13" s="1147"/>
      <c r="AM13" s="1147"/>
    </row>
    <row r="14" spans="1:39" ht="12.75" customHeight="1" x14ac:dyDescent="0.15">
      <c r="A14" s="505">
        <f t="shared" si="9"/>
        <v>907</v>
      </c>
      <c r="B14" s="471"/>
      <c r="C14" s="472"/>
      <c r="D14" s="472"/>
      <c r="E14" s="479"/>
      <c r="F14" s="480"/>
      <c r="G14" s="481"/>
      <c r="H14" s="475"/>
      <c r="I14" s="475"/>
      <c r="J14" s="476"/>
      <c r="K14" s="476"/>
      <c r="L14" s="476"/>
      <c r="M14" s="476"/>
      <c r="N14" s="476"/>
      <c r="O14" s="476"/>
      <c r="P14" s="476"/>
      <c r="Q14" s="477">
        <f t="shared" si="10"/>
        <v>0</v>
      </c>
      <c r="R14" s="477">
        <f t="shared" si="11"/>
        <v>0</v>
      </c>
      <c r="S14" s="477">
        <f t="shared" si="0"/>
        <v>0</v>
      </c>
      <c r="T14" s="477">
        <f t="shared" si="12"/>
        <v>0</v>
      </c>
      <c r="U14" s="1146">
        <f t="shared" si="1"/>
        <v>0</v>
      </c>
      <c r="V14" s="1146">
        <f t="shared" si="2"/>
        <v>0</v>
      </c>
      <c r="W14" s="1146">
        <f t="shared" si="3"/>
        <v>0</v>
      </c>
      <c r="X14" s="1146">
        <f t="shared" si="4"/>
        <v>0</v>
      </c>
      <c r="Y14" s="1146">
        <f t="shared" si="5"/>
        <v>0</v>
      </c>
      <c r="Z14" s="1146">
        <f t="shared" si="6"/>
        <v>0</v>
      </c>
      <c r="AA14" s="1146">
        <f t="shared" si="7"/>
        <v>0</v>
      </c>
      <c r="AB14" s="1146">
        <f t="shared" si="8"/>
        <v>0</v>
      </c>
      <c r="AJ14" s="1147"/>
      <c r="AK14" s="1147"/>
      <c r="AL14" s="1147"/>
      <c r="AM14" s="1147"/>
    </row>
    <row r="15" spans="1:39" ht="12.75" customHeight="1" x14ac:dyDescent="0.15">
      <c r="A15" s="505">
        <f t="shared" si="9"/>
        <v>908</v>
      </c>
      <c r="B15" s="471"/>
      <c r="C15" s="472"/>
      <c r="D15" s="472"/>
      <c r="E15" s="473"/>
      <c r="F15" s="478"/>
      <c r="G15" s="474"/>
      <c r="H15" s="475"/>
      <c r="I15" s="475"/>
      <c r="J15" s="476"/>
      <c r="K15" s="476"/>
      <c r="L15" s="476"/>
      <c r="M15" s="476"/>
      <c r="N15" s="476"/>
      <c r="O15" s="476"/>
      <c r="P15" s="476"/>
      <c r="Q15" s="477">
        <f t="shared" si="10"/>
        <v>0</v>
      </c>
      <c r="R15" s="477">
        <f t="shared" si="11"/>
        <v>0</v>
      </c>
      <c r="S15" s="477">
        <f t="shared" si="0"/>
        <v>0</v>
      </c>
      <c r="T15" s="477">
        <f t="shared" si="12"/>
        <v>0</v>
      </c>
      <c r="U15" s="1146">
        <f t="shared" si="1"/>
        <v>0</v>
      </c>
      <c r="V15" s="1146">
        <f t="shared" si="2"/>
        <v>0</v>
      </c>
      <c r="W15" s="1146">
        <f t="shared" si="3"/>
        <v>0</v>
      </c>
      <c r="X15" s="1146">
        <f t="shared" si="4"/>
        <v>0</v>
      </c>
      <c r="Y15" s="1146">
        <f t="shared" si="5"/>
        <v>0</v>
      </c>
      <c r="Z15" s="1146">
        <f t="shared" si="6"/>
        <v>0</v>
      </c>
      <c r="AA15" s="1146">
        <f t="shared" si="7"/>
        <v>0</v>
      </c>
      <c r="AB15" s="1146">
        <f t="shared" si="8"/>
        <v>0</v>
      </c>
      <c r="AJ15" s="1147"/>
      <c r="AK15" s="1147"/>
      <c r="AL15" s="1147"/>
      <c r="AM15" s="1147"/>
    </row>
    <row r="16" spans="1:39" ht="12.75" customHeight="1" x14ac:dyDescent="0.15">
      <c r="A16" s="505">
        <f t="shared" si="9"/>
        <v>909</v>
      </c>
      <c r="B16" s="471"/>
      <c r="C16" s="472"/>
      <c r="D16" s="472"/>
      <c r="E16" s="473"/>
      <c r="F16" s="478"/>
      <c r="G16" s="474"/>
      <c r="H16" s="475"/>
      <c r="I16" s="475"/>
      <c r="J16" s="476"/>
      <c r="K16" s="476"/>
      <c r="L16" s="476"/>
      <c r="M16" s="476"/>
      <c r="N16" s="476"/>
      <c r="O16" s="476"/>
      <c r="P16" s="476"/>
      <c r="Q16" s="477">
        <f t="shared" si="10"/>
        <v>0</v>
      </c>
      <c r="R16" s="477">
        <f t="shared" si="11"/>
        <v>0</v>
      </c>
      <c r="S16" s="477">
        <f t="shared" si="0"/>
        <v>0</v>
      </c>
      <c r="T16" s="477">
        <f t="shared" si="12"/>
        <v>0</v>
      </c>
      <c r="U16" s="1146">
        <f t="shared" si="1"/>
        <v>0</v>
      </c>
      <c r="V16" s="1146">
        <f t="shared" si="2"/>
        <v>0</v>
      </c>
      <c r="W16" s="1146">
        <f t="shared" si="3"/>
        <v>0</v>
      </c>
      <c r="X16" s="1146">
        <f t="shared" si="4"/>
        <v>0</v>
      </c>
      <c r="Y16" s="1146">
        <f t="shared" si="5"/>
        <v>0</v>
      </c>
      <c r="Z16" s="1146">
        <f t="shared" si="6"/>
        <v>0</v>
      </c>
      <c r="AA16" s="1146">
        <f t="shared" si="7"/>
        <v>0</v>
      </c>
      <c r="AB16" s="1146">
        <f t="shared" si="8"/>
        <v>0</v>
      </c>
      <c r="AJ16" s="1147"/>
      <c r="AK16" s="1147"/>
      <c r="AL16" s="1147"/>
      <c r="AM16" s="1147"/>
    </row>
    <row r="17" spans="1:39" ht="12.75" customHeight="1" x14ac:dyDescent="0.15">
      <c r="A17" s="505">
        <f t="shared" si="9"/>
        <v>910</v>
      </c>
      <c r="B17" s="471"/>
      <c r="C17" s="472"/>
      <c r="D17" s="472"/>
      <c r="E17" s="473"/>
      <c r="F17" s="478"/>
      <c r="G17" s="474"/>
      <c r="H17" s="475"/>
      <c r="I17" s="475"/>
      <c r="J17" s="476"/>
      <c r="K17" s="476"/>
      <c r="L17" s="476"/>
      <c r="M17" s="476"/>
      <c r="N17" s="476"/>
      <c r="O17" s="476"/>
      <c r="P17" s="476"/>
      <c r="Q17" s="477">
        <f t="shared" si="10"/>
        <v>0</v>
      </c>
      <c r="R17" s="477">
        <f t="shared" si="11"/>
        <v>0</v>
      </c>
      <c r="S17" s="477">
        <f t="shared" si="0"/>
        <v>0</v>
      </c>
      <c r="T17" s="477">
        <f t="shared" si="12"/>
        <v>0</v>
      </c>
      <c r="U17" s="1146">
        <f t="shared" si="1"/>
        <v>0</v>
      </c>
      <c r="V17" s="1146">
        <f t="shared" si="2"/>
        <v>0</v>
      </c>
      <c r="W17" s="1146">
        <f t="shared" si="3"/>
        <v>0</v>
      </c>
      <c r="X17" s="1146">
        <f t="shared" si="4"/>
        <v>0</v>
      </c>
      <c r="Y17" s="1146">
        <f t="shared" si="5"/>
        <v>0</v>
      </c>
      <c r="Z17" s="1146">
        <f t="shared" si="6"/>
        <v>0</v>
      </c>
      <c r="AA17" s="1146">
        <f t="shared" si="7"/>
        <v>0</v>
      </c>
      <c r="AB17" s="1146">
        <f t="shared" si="8"/>
        <v>0</v>
      </c>
      <c r="AJ17" s="1147"/>
      <c r="AK17" s="1147"/>
      <c r="AL17" s="1147"/>
      <c r="AM17" s="1147"/>
    </row>
    <row r="18" spans="1:39" ht="12.75" customHeight="1" x14ac:dyDescent="0.15">
      <c r="A18" s="505">
        <f t="shared" si="9"/>
        <v>911</v>
      </c>
      <c r="B18" s="471"/>
      <c r="C18" s="472"/>
      <c r="D18" s="472"/>
      <c r="E18" s="473"/>
      <c r="F18" s="478"/>
      <c r="G18" s="474"/>
      <c r="H18" s="475"/>
      <c r="I18" s="475"/>
      <c r="J18" s="476"/>
      <c r="K18" s="476"/>
      <c r="L18" s="476"/>
      <c r="M18" s="476"/>
      <c r="N18" s="476"/>
      <c r="O18" s="476"/>
      <c r="P18" s="476"/>
      <c r="Q18" s="477">
        <f t="shared" si="10"/>
        <v>0</v>
      </c>
      <c r="R18" s="477">
        <f t="shared" si="11"/>
        <v>0</v>
      </c>
      <c r="S18" s="477">
        <f t="shared" si="0"/>
        <v>0</v>
      </c>
      <c r="T18" s="477">
        <f t="shared" si="12"/>
        <v>0</v>
      </c>
      <c r="U18" s="1146">
        <f t="shared" si="1"/>
        <v>0</v>
      </c>
      <c r="V18" s="1146">
        <f t="shared" si="2"/>
        <v>0</v>
      </c>
      <c r="W18" s="1146">
        <f t="shared" si="3"/>
        <v>0</v>
      </c>
      <c r="X18" s="1146">
        <f t="shared" si="4"/>
        <v>0</v>
      </c>
      <c r="Y18" s="1146">
        <f t="shared" si="5"/>
        <v>0</v>
      </c>
      <c r="Z18" s="1146">
        <f t="shared" si="6"/>
        <v>0</v>
      </c>
      <c r="AA18" s="1146">
        <f t="shared" si="7"/>
        <v>0</v>
      </c>
      <c r="AB18" s="1146">
        <f t="shared" si="8"/>
        <v>0</v>
      </c>
      <c r="AJ18" s="1147"/>
      <c r="AK18" s="1147"/>
      <c r="AL18" s="1147"/>
      <c r="AM18" s="1147"/>
    </row>
    <row r="19" spans="1:39" ht="12.75" customHeight="1" x14ac:dyDescent="0.15">
      <c r="A19" s="505">
        <f t="shared" si="9"/>
        <v>912</v>
      </c>
      <c r="B19" s="471"/>
      <c r="C19" s="472"/>
      <c r="D19" s="472"/>
      <c r="E19" s="473"/>
      <c r="F19" s="478"/>
      <c r="G19" s="474"/>
      <c r="H19" s="475"/>
      <c r="I19" s="475"/>
      <c r="J19" s="476"/>
      <c r="K19" s="476"/>
      <c r="L19" s="476"/>
      <c r="M19" s="476"/>
      <c r="N19" s="476"/>
      <c r="O19" s="476"/>
      <c r="P19" s="476"/>
      <c r="Q19" s="477">
        <f t="shared" si="10"/>
        <v>0</v>
      </c>
      <c r="R19" s="477">
        <f t="shared" si="11"/>
        <v>0</v>
      </c>
      <c r="S19" s="477">
        <f t="shared" si="0"/>
        <v>0</v>
      </c>
      <c r="T19" s="477">
        <f t="shared" si="12"/>
        <v>0</v>
      </c>
      <c r="U19" s="1146">
        <f t="shared" si="1"/>
        <v>0</v>
      </c>
      <c r="V19" s="1146">
        <f t="shared" si="2"/>
        <v>0</v>
      </c>
      <c r="W19" s="1146">
        <f t="shared" si="3"/>
        <v>0</v>
      </c>
      <c r="X19" s="1146">
        <f t="shared" si="4"/>
        <v>0</v>
      </c>
      <c r="Y19" s="1146">
        <f t="shared" si="5"/>
        <v>0</v>
      </c>
      <c r="Z19" s="1146">
        <f t="shared" si="6"/>
        <v>0</v>
      </c>
      <c r="AA19" s="1146">
        <f t="shared" si="7"/>
        <v>0</v>
      </c>
      <c r="AB19" s="1146">
        <f t="shared" si="8"/>
        <v>0</v>
      </c>
      <c r="AJ19" s="1147"/>
      <c r="AK19" s="1147"/>
      <c r="AL19" s="1147"/>
      <c r="AM19" s="1147"/>
    </row>
    <row r="20" spans="1:39" ht="12.75" customHeight="1" x14ac:dyDescent="0.15">
      <c r="A20" s="505">
        <f t="shared" si="9"/>
        <v>913</v>
      </c>
      <c r="B20" s="471"/>
      <c r="C20" s="472"/>
      <c r="D20" s="472"/>
      <c r="E20" s="473"/>
      <c r="F20" s="478"/>
      <c r="G20" s="474"/>
      <c r="H20" s="475"/>
      <c r="I20" s="475"/>
      <c r="J20" s="476"/>
      <c r="K20" s="476"/>
      <c r="L20" s="476"/>
      <c r="M20" s="476"/>
      <c r="N20" s="476"/>
      <c r="O20" s="476"/>
      <c r="P20" s="476"/>
      <c r="Q20" s="477">
        <f t="shared" si="10"/>
        <v>0</v>
      </c>
      <c r="R20" s="477">
        <f t="shared" si="11"/>
        <v>0</v>
      </c>
      <c r="S20" s="477">
        <f t="shared" si="0"/>
        <v>0</v>
      </c>
      <c r="T20" s="477">
        <f t="shared" si="12"/>
        <v>0</v>
      </c>
      <c r="U20" s="1146">
        <f t="shared" si="1"/>
        <v>0</v>
      </c>
      <c r="V20" s="1146">
        <f t="shared" si="2"/>
        <v>0</v>
      </c>
      <c r="W20" s="1146">
        <f t="shared" si="3"/>
        <v>0</v>
      </c>
      <c r="X20" s="1146">
        <f t="shared" si="4"/>
        <v>0</v>
      </c>
      <c r="Y20" s="1146">
        <f t="shared" si="5"/>
        <v>0</v>
      </c>
      <c r="Z20" s="1146">
        <f t="shared" si="6"/>
        <v>0</v>
      </c>
      <c r="AA20" s="1146">
        <f t="shared" si="7"/>
        <v>0</v>
      </c>
      <c r="AB20" s="1146">
        <f t="shared" si="8"/>
        <v>0</v>
      </c>
      <c r="AJ20" s="1147"/>
      <c r="AK20" s="1147"/>
      <c r="AL20" s="1147"/>
      <c r="AM20" s="1147"/>
    </row>
    <row r="21" spans="1:39" ht="12.75" customHeight="1" x14ac:dyDescent="0.15">
      <c r="A21" s="505">
        <f t="shared" si="9"/>
        <v>914</v>
      </c>
      <c r="B21" s="471"/>
      <c r="C21" s="472"/>
      <c r="D21" s="472"/>
      <c r="E21" s="473"/>
      <c r="F21" s="478"/>
      <c r="G21" s="474"/>
      <c r="H21" s="475"/>
      <c r="I21" s="475"/>
      <c r="J21" s="476"/>
      <c r="K21" s="476"/>
      <c r="L21" s="476"/>
      <c r="M21" s="476"/>
      <c r="N21" s="476"/>
      <c r="O21" s="476"/>
      <c r="P21" s="476"/>
      <c r="Q21" s="477">
        <f t="shared" si="10"/>
        <v>0</v>
      </c>
      <c r="R21" s="477">
        <f t="shared" si="11"/>
        <v>0</v>
      </c>
      <c r="S21" s="477">
        <f t="shared" si="0"/>
        <v>0</v>
      </c>
      <c r="T21" s="477">
        <f t="shared" si="12"/>
        <v>0</v>
      </c>
      <c r="U21" s="1146">
        <f t="shared" si="1"/>
        <v>0</v>
      </c>
      <c r="V21" s="1146">
        <f t="shared" si="2"/>
        <v>0</v>
      </c>
      <c r="W21" s="1146">
        <f t="shared" si="3"/>
        <v>0</v>
      </c>
      <c r="X21" s="1146">
        <f t="shared" si="4"/>
        <v>0</v>
      </c>
      <c r="Y21" s="1146">
        <f t="shared" si="5"/>
        <v>0</v>
      </c>
      <c r="Z21" s="1146">
        <f t="shared" si="6"/>
        <v>0</v>
      </c>
      <c r="AA21" s="1146">
        <f t="shared" si="7"/>
        <v>0</v>
      </c>
      <c r="AB21" s="1146">
        <f t="shared" si="8"/>
        <v>0</v>
      </c>
      <c r="AJ21" s="1147"/>
      <c r="AK21" s="1147"/>
      <c r="AL21" s="1147"/>
      <c r="AM21" s="1147"/>
    </row>
    <row r="22" spans="1:39" ht="12.75" customHeight="1" x14ac:dyDescent="0.15">
      <c r="A22" s="505">
        <f t="shared" si="9"/>
        <v>915</v>
      </c>
      <c r="B22" s="471"/>
      <c r="C22" s="472"/>
      <c r="D22" s="472"/>
      <c r="E22" s="473"/>
      <c r="F22" s="478"/>
      <c r="G22" s="474"/>
      <c r="H22" s="475"/>
      <c r="I22" s="475"/>
      <c r="J22" s="476"/>
      <c r="K22" s="476"/>
      <c r="L22" s="476"/>
      <c r="M22" s="476"/>
      <c r="N22" s="476"/>
      <c r="O22" s="476"/>
      <c r="P22" s="476"/>
      <c r="Q22" s="477">
        <f t="shared" si="10"/>
        <v>0</v>
      </c>
      <c r="R22" s="477">
        <f t="shared" si="11"/>
        <v>0</v>
      </c>
      <c r="S22" s="477">
        <f t="shared" si="0"/>
        <v>0</v>
      </c>
      <c r="T22" s="477">
        <f t="shared" si="12"/>
        <v>0</v>
      </c>
      <c r="U22" s="1146">
        <f t="shared" si="1"/>
        <v>0</v>
      </c>
      <c r="V22" s="1146">
        <f t="shared" si="2"/>
        <v>0</v>
      </c>
      <c r="W22" s="1146">
        <f t="shared" si="3"/>
        <v>0</v>
      </c>
      <c r="X22" s="1146">
        <f t="shared" si="4"/>
        <v>0</v>
      </c>
      <c r="Y22" s="1146">
        <f t="shared" si="5"/>
        <v>0</v>
      </c>
      <c r="Z22" s="1146">
        <f t="shared" si="6"/>
        <v>0</v>
      </c>
      <c r="AA22" s="1146">
        <f t="shared" si="7"/>
        <v>0</v>
      </c>
      <c r="AB22" s="1146">
        <f t="shared" si="8"/>
        <v>0</v>
      </c>
      <c r="AJ22" s="1147"/>
      <c r="AK22" s="1147"/>
      <c r="AL22" s="1147"/>
      <c r="AM22" s="1147"/>
    </row>
    <row r="23" spans="1:39" ht="12.75" customHeight="1" x14ac:dyDescent="0.15">
      <c r="A23" s="505">
        <f t="shared" si="9"/>
        <v>916</v>
      </c>
      <c r="B23" s="471"/>
      <c r="C23" s="472"/>
      <c r="D23" s="472"/>
      <c r="E23" s="473"/>
      <c r="F23" s="478"/>
      <c r="G23" s="474"/>
      <c r="H23" s="475"/>
      <c r="I23" s="475"/>
      <c r="J23" s="476"/>
      <c r="K23" s="476"/>
      <c r="L23" s="476"/>
      <c r="M23" s="476"/>
      <c r="N23" s="476"/>
      <c r="O23" s="476"/>
      <c r="P23" s="476"/>
      <c r="Q23" s="477">
        <f t="shared" si="10"/>
        <v>0</v>
      </c>
      <c r="R23" s="477">
        <f t="shared" si="11"/>
        <v>0</v>
      </c>
      <c r="S23" s="477">
        <f t="shared" si="0"/>
        <v>0</v>
      </c>
      <c r="T23" s="477">
        <f t="shared" si="12"/>
        <v>0</v>
      </c>
      <c r="U23" s="1146">
        <f t="shared" si="1"/>
        <v>0</v>
      </c>
      <c r="V23" s="1146">
        <f t="shared" si="2"/>
        <v>0</v>
      </c>
      <c r="W23" s="1146">
        <f t="shared" si="3"/>
        <v>0</v>
      </c>
      <c r="X23" s="1146">
        <f t="shared" si="4"/>
        <v>0</v>
      </c>
      <c r="Y23" s="1146">
        <f t="shared" si="5"/>
        <v>0</v>
      </c>
      <c r="Z23" s="1146">
        <f t="shared" si="6"/>
        <v>0</v>
      </c>
      <c r="AA23" s="1146">
        <f t="shared" si="7"/>
        <v>0</v>
      </c>
      <c r="AB23" s="1146">
        <f t="shared" si="8"/>
        <v>0</v>
      </c>
      <c r="AJ23" s="1147"/>
      <c r="AK23" s="1147"/>
      <c r="AL23" s="1147"/>
      <c r="AM23" s="1147"/>
    </row>
    <row r="24" spans="1:39" ht="12.75" customHeight="1" x14ac:dyDescent="0.15">
      <c r="A24" s="505">
        <f t="shared" si="9"/>
        <v>917</v>
      </c>
      <c r="B24" s="471"/>
      <c r="C24" s="472"/>
      <c r="D24" s="472"/>
      <c r="E24" s="473"/>
      <c r="F24" s="478"/>
      <c r="G24" s="474"/>
      <c r="H24" s="475"/>
      <c r="I24" s="475"/>
      <c r="J24" s="476"/>
      <c r="K24" s="476"/>
      <c r="L24" s="476"/>
      <c r="M24" s="476"/>
      <c r="N24" s="476"/>
      <c r="O24" s="476"/>
      <c r="P24" s="476"/>
      <c r="Q24" s="477">
        <f t="shared" si="10"/>
        <v>0</v>
      </c>
      <c r="R24" s="477">
        <f t="shared" si="11"/>
        <v>0</v>
      </c>
      <c r="S24" s="477">
        <f t="shared" si="0"/>
        <v>0</v>
      </c>
      <c r="T24" s="477">
        <f t="shared" si="12"/>
        <v>0</v>
      </c>
      <c r="U24" s="1146">
        <f t="shared" si="1"/>
        <v>0</v>
      </c>
      <c r="V24" s="1146">
        <f t="shared" si="2"/>
        <v>0</v>
      </c>
      <c r="W24" s="1146">
        <f t="shared" si="3"/>
        <v>0</v>
      </c>
      <c r="X24" s="1146">
        <f t="shared" si="4"/>
        <v>0</v>
      </c>
      <c r="Y24" s="1146">
        <f t="shared" si="5"/>
        <v>0</v>
      </c>
      <c r="Z24" s="1146">
        <f t="shared" si="6"/>
        <v>0</v>
      </c>
      <c r="AA24" s="1146">
        <f t="shared" si="7"/>
        <v>0</v>
      </c>
      <c r="AB24" s="1146">
        <f t="shared" si="8"/>
        <v>0</v>
      </c>
      <c r="AJ24" s="1147"/>
      <c r="AK24" s="1147"/>
      <c r="AL24" s="1147"/>
      <c r="AM24" s="1147"/>
    </row>
    <row r="25" spans="1:39" ht="12.75" customHeight="1" x14ac:dyDescent="0.15">
      <c r="A25" s="505">
        <f t="shared" si="9"/>
        <v>918</v>
      </c>
      <c r="B25" s="471"/>
      <c r="C25" s="472"/>
      <c r="D25" s="472"/>
      <c r="E25" s="473"/>
      <c r="F25" s="478"/>
      <c r="G25" s="474"/>
      <c r="H25" s="475"/>
      <c r="I25" s="475"/>
      <c r="J25" s="476"/>
      <c r="K25" s="476"/>
      <c r="L25" s="476"/>
      <c r="M25" s="476"/>
      <c r="N25" s="476"/>
      <c r="O25" s="476"/>
      <c r="P25" s="476"/>
      <c r="Q25" s="477">
        <f t="shared" si="10"/>
        <v>0</v>
      </c>
      <c r="R25" s="477">
        <f t="shared" si="11"/>
        <v>0</v>
      </c>
      <c r="S25" s="477">
        <f t="shared" si="0"/>
        <v>0</v>
      </c>
      <c r="T25" s="477">
        <f t="shared" si="12"/>
        <v>0</v>
      </c>
      <c r="U25" s="1146">
        <f t="shared" si="1"/>
        <v>0</v>
      </c>
      <c r="V25" s="1146">
        <f t="shared" si="2"/>
        <v>0</v>
      </c>
      <c r="W25" s="1146">
        <f t="shared" si="3"/>
        <v>0</v>
      </c>
      <c r="X25" s="1146">
        <f t="shared" si="4"/>
        <v>0</v>
      </c>
      <c r="Y25" s="1146">
        <f t="shared" si="5"/>
        <v>0</v>
      </c>
      <c r="Z25" s="1146">
        <f t="shared" si="6"/>
        <v>0</v>
      </c>
      <c r="AA25" s="1146">
        <f t="shared" si="7"/>
        <v>0</v>
      </c>
      <c r="AB25" s="1146">
        <f t="shared" si="8"/>
        <v>0</v>
      </c>
      <c r="AJ25" s="1147"/>
      <c r="AK25" s="1147"/>
      <c r="AL25" s="1147"/>
      <c r="AM25" s="1147"/>
    </row>
    <row r="26" spans="1:39" ht="12.75" customHeight="1" x14ac:dyDescent="0.15">
      <c r="A26" s="505">
        <f t="shared" si="9"/>
        <v>919</v>
      </c>
      <c r="B26" s="471"/>
      <c r="C26" s="472"/>
      <c r="D26" s="472"/>
      <c r="E26" s="473"/>
      <c r="F26" s="478"/>
      <c r="G26" s="474"/>
      <c r="H26" s="475"/>
      <c r="I26" s="475"/>
      <c r="J26" s="476"/>
      <c r="K26" s="476"/>
      <c r="L26" s="476"/>
      <c r="M26" s="476"/>
      <c r="N26" s="476"/>
      <c r="O26" s="476"/>
      <c r="P26" s="476"/>
      <c r="Q26" s="477">
        <f t="shared" si="10"/>
        <v>0</v>
      </c>
      <c r="R26" s="477">
        <f t="shared" si="11"/>
        <v>0</v>
      </c>
      <c r="S26" s="477">
        <f t="shared" si="0"/>
        <v>0</v>
      </c>
      <c r="T26" s="477">
        <f t="shared" si="12"/>
        <v>0</v>
      </c>
      <c r="U26" s="1146">
        <f t="shared" si="1"/>
        <v>0</v>
      </c>
      <c r="V26" s="1146">
        <f t="shared" si="2"/>
        <v>0</v>
      </c>
      <c r="W26" s="1146">
        <f t="shared" si="3"/>
        <v>0</v>
      </c>
      <c r="X26" s="1146">
        <f t="shared" si="4"/>
        <v>0</v>
      </c>
      <c r="Y26" s="1146">
        <f t="shared" si="5"/>
        <v>0</v>
      </c>
      <c r="Z26" s="1146">
        <f t="shared" si="6"/>
        <v>0</v>
      </c>
      <c r="AA26" s="1146">
        <f t="shared" si="7"/>
        <v>0</v>
      </c>
      <c r="AB26" s="1146">
        <f t="shared" si="8"/>
        <v>0</v>
      </c>
      <c r="AJ26" s="1147"/>
      <c r="AK26" s="1147"/>
      <c r="AL26" s="1147"/>
      <c r="AM26" s="1147"/>
    </row>
    <row r="27" spans="1:39" ht="12.75" customHeight="1" x14ac:dyDescent="0.15">
      <c r="A27" s="505">
        <f t="shared" si="9"/>
        <v>920</v>
      </c>
      <c r="B27" s="471"/>
      <c r="C27" s="472"/>
      <c r="D27" s="472"/>
      <c r="E27" s="473"/>
      <c r="F27" s="478"/>
      <c r="G27" s="474"/>
      <c r="H27" s="475"/>
      <c r="I27" s="475"/>
      <c r="J27" s="476"/>
      <c r="K27" s="476"/>
      <c r="L27" s="476"/>
      <c r="M27" s="476"/>
      <c r="N27" s="476"/>
      <c r="O27" s="476"/>
      <c r="P27" s="476"/>
      <c r="Q27" s="477">
        <f t="shared" si="10"/>
        <v>0</v>
      </c>
      <c r="R27" s="477">
        <f t="shared" si="11"/>
        <v>0</v>
      </c>
      <c r="S27" s="477">
        <f t="shared" si="0"/>
        <v>0</v>
      </c>
      <c r="T27" s="477">
        <f t="shared" si="12"/>
        <v>0</v>
      </c>
      <c r="U27" s="1146">
        <f t="shared" si="1"/>
        <v>0</v>
      </c>
      <c r="V27" s="1146">
        <f t="shared" si="2"/>
        <v>0</v>
      </c>
      <c r="W27" s="1146">
        <f t="shared" si="3"/>
        <v>0</v>
      </c>
      <c r="X27" s="1146">
        <f t="shared" si="4"/>
        <v>0</v>
      </c>
      <c r="Y27" s="1146">
        <f t="shared" si="5"/>
        <v>0</v>
      </c>
      <c r="Z27" s="1146">
        <f t="shared" si="6"/>
        <v>0</v>
      </c>
      <c r="AA27" s="1146">
        <f t="shared" si="7"/>
        <v>0</v>
      </c>
      <c r="AB27" s="1146">
        <f t="shared" si="8"/>
        <v>0</v>
      </c>
      <c r="AJ27" s="1147"/>
      <c r="AK27" s="1147"/>
      <c r="AL27" s="1147"/>
      <c r="AM27" s="1147"/>
    </row>
    <row r="28" spans="1:39" ht="12.75" customHeight="1" x14ac:dyDescent="0.15">
      <c r="A28" s="505">
        <f t="shared" si="9"/>
        <v>921</v>
      </c>
      <c r="B28" s="471"/>
      <c r="C28" s="472"/>
      <c r="D28" s="472"/>
      <c r="E28" s="473"/>
      <c r="F28" s="478"/>
      <c r="G28" s="474"/>
      <c r="H28" s="475"/>
      <c r="I28" s="475"/>
      <c r="J28" s="476"/>
      <c r="K28" s="476"/>
      <c r="L28" s="476"/>
      <c r="M28" s="476"/>
      <c r="N28" s="476"/>
      <c r="O28" s="476"/>
      <c r="P28" s="476"/>
      <c r="Q28" s="477">
        <f t="shared" si="10"/>
        <v>0</v>
      </c>
      <c r="R28" s="477">
        <f t="shared" si="11"/>
        <v>0</v>
      </c>
      <c r="S28" s="477">
        <f t="shared" si="0"/>
        <v>0</v>
      </c>
      <c r="T28" s="477">
        <f t="shared" si="12"/>
        <v>0</v>
      </c>
      <c r="U28" s="1146">
        <f t="shared" si="1"/>
        <v>0</v>
      </c>
      <c r="V28" s="1146">
        <f t="shared" si="2"/>
        <v>0</v>
      </c>
      <c r="W28" s="1146">
        <f t="shared" si="3"/>
        <v>0</v>
      </c>
      <c r="X28" s="1146">
        <f t="shared" si="4"/>
        <v>0</v>
      </c>
      <c r="Y28" s="1146">
        <f t="shared" si="5"/>
        <v>0</v>
      </c>
      <c r="Z28" s="1146">
        <f t="shared" si="6"/>
        <v>0</v>
      </c>
      <c r="AA28" s="1146">
        <f t="shared" si="7"/>
        <v>0</v>
      </c>
      <c r="AB28" s="1146">
        <f t="shared" si="8"/>
        <v>0</v>
      </c>
      <c r="AJ28" s="1147"/>
      <c r="AK28" s="1147"/>
      <c r="AL28" s="1147"/>
      <c r="AM28" s="1147"/>
    </row>
    <row r="29" spans="1:39" ht="12.75" customHeight="1" x14ac:dyDescent="0.15">
      <c r="A29" s="505">
        <f t="shared" si="9"/>
        <v>922</v>
      </c>
      <c r="B29" s="471"/>
      <c r="C29" s="472"/>
      <c r="D29" s="472"/>
      <c r="E29" s="473"/>
      <c r="F29" s="478"/>
      <c r="G29" s="474"/>
      <c r="H29" s="475"/>
      <c r="I29" s="475"/>
      <c r="J29" s="476"/>
      <c r="K29" s="476"/>
      <c r="L29" s="476"/>
      <c r="M29" s="476"/>
      <c r="N29" s="476"/>
      <c r="O29" s="476"/>
      <c r="P29" s="476"/>
      <c r="Q29" s="477">
        <f t="shared" si="10"/>
        <v>0</v>
      </c>
      <c r="R29" s="477">
        <f t="shared" si="11"/>
        <v>0</v>
      </c>
      <c r="S29" s="477">
        <f t="shared" si="0"/>
        <v>0</v>
      </c>
      <c r="T29" s="477">
        <f t="shared" si="12"/>
        <v>0</v>
      </c>
      <c r="U29" s="1146">
        <f t="shared" si="1"/>
        <v>0</v>
      </c>
      <c r="V29" s="1146">
        <f t="shared" si="2"/>
        <v>0</v>
      </c>
      <c r="W29" s="1146">
        <f t="shared" si="3"/>
        <v>0</v>
      </c>
      <c r="X29" s="1146">
        <f t="shared" si="4"/>
        <v>0</v>
      </c>
      <c r="Y29" s="1146">
        <f t="shared" si="5"/>
        <v>0</v>
      </c>
      <c r="Z29" s="1146">
        <f t="shared" si="6"/>
        <v>0</v>
      </c>
      <c r="AA29" s="1146">
        <f t="shared" si="7"/>
        <v>0</v>
      </c>
      <c r="AB29" s="1146">
        <f t="shared" si="8"/>
        <v>0</v>
      </c>
      <c r="AJ29" s="1147"/>
      <c r="AK29" s="1147"/>
      <c r="AL29" s="1147"/>
      <c r="AM29" s="1147"/>
    </row>
    <row r="30" spans="1:39" ht="12.75" customHeight="1" x14ac:dyDescent="0.15">
      <c r="A30" s="505">
        <f t="shared" si="9"/>
        <v>923</v>
      </c>
      <c r="B30" s="471"/>
      <c r="C30" s="472"/>
      <c r="D30" s="472"/>
      <c r="E30" s="473"/>
      <c r="F30" s="478"/>
      <c r="G30" s="474"/>
      <c r="H30" s="475"/>
      <c r="I30" s="475"/>
      <c r="J30" s="476"/>
      <c r="K30" s="476"/>
      <c r="L30" s="476"/>
      <c r="M30" s="476"/>
      <c r="N30" s="476"/>
      <c r="O30" s="476"/>
      <c r="P30" s="476"/>
      <c r="Q30" s="477">
        <f t="shared" si="10"/>
        <v>0</v>
      </c>
      <c r="R30" s="477">
        <f t="shared" si="11"/>
        <v>0</v>
      </c>
      <c r="S30" s="477">
        <f t="shared" si="0"/>
        <v>0</v>
      </c>
      <c r="T30" s="477">
        <f t="shared" si="12"/>
        <v>0</v>
      </c>
      <c r="U30" s="1146">
        <f t="shared" si="1"/>
        <v>0</v>
      </c>
      <c r="V30" s="1146">
        <f t="shared" si="2"/>
        <v>0</v>
      </c>
      <c r="W30" s="1146">
        <f t="shared" si="3"/>
        <v>0</v>
      </c>
      <c r="X30" s="1146">
        <f t="shared" si="4"/>
        <v>0</v>
      </c>
      <c r="Y30" s="1146">
        <f t="shared" si="5"/>
        <v>0</v>
      </c>
      <c r="Z30" s="1146">
        <f t="shared" si="6"/>
        <v>0</v>
      </c>
      <c r="AA30" s="1146">
        <f t="shared" si="7"/>
        <v>0</v>
      </c>
      <c r="AB30" s="1146">
        <f t="shared" si="8"/>
        <v>0</v>
      </c>
      <c r="AJ30" s="1147"/>
      <c r="AK30" s="1147"/>
      <c r="AL30" s="1147"/>
      <c r="AM30" s="1147"/>
    </row>
    <row r="31" spans="1:39" ht="12.75" customHeight="1" x14ac:dyDescent="0.15">
      <c r="A31" s="505">
        <f t="shared" si="9"/>
        <v>924</v>
      </c>
      <c r="B31" s="471"/>
      <c r="C31" s="472"/>
      <c r="D31" s="472"/>
      <c r="E31" s="473"/>
      <c r="F31" s="478"/>
      <c r="G31" s="474"/>
      <c r="H31" s="475"/>
      <c r="I31" s="475"/>
      <c r="J31" s="476"/>
      <c r="K31" s="476"/>
      <c r="L31" s="476"/>
      <c r="M31" s="476"/>
      <c r="N31" s="476"/>
      <c r="O31" s="476"/>
      <c r="P31" s="476"/>
      <c r="Q31" s="477">
        <f t="shared" si="10"/>
        <v>0</v>
      </c>
      <c r="R31" s="477">
        <f t="shared" si="11"/>
        <v>0</v>
      </c>
      <c r="S31" s="477">
        <f t="shared" si="0"/>
        <v>0</v>
      </c>
      <c r="T31" s="477">
        <f t="shared" si="12"/>
        <v>0</v>
      </c>
      <c r="U31" s="1146">
        <f t="shared" si="1"/>
        <v>0</v>
      </c>
      <c r="V31" s="1146">
        <f t="shared" si="2"/>
        <v>0</v>
      </c>
      <c r="W31" s="1146">
        <f t="shared" si="3"/>
        <v>0</v>
      </c>
      <c r="X31" s="1146">
        <f t="shared" si="4"/>
        <v>0</v>
      </c>
      <c r="Y31" s="1146">
        <f t="shared" si="5"/>
        <v>0</v>
      </c>
      <c r="Z31" s="1146">
        <f t="shared" si="6"/>
        <v>0</v>
      </c>
      <c r="AA31" s="1146">
        <f t="shared" si="7"/>
        <v>0</v>
      </c>
      <c r="AB31" s="1146">
        <f t="shared" si="8"/>
        <v>0</v>
      </c>
      <c r="AJ31" s="1147"/>
      <c r="AK31" s="1147"/>
      <c r="AL31" s="1147"/>
      <c r="AM31" s="1147"/>
    </row>
    <row r="32" spans="1:39" ht="12.75" customHeight="1" x14ac:dyDescent="0.15">
      <c r="A32" s="505">
        <f t="shared" si="9"/>
        <v>925</v>
      </c>
      <c r="B32" s="482"/>
      <c r="C32" s="483"/>
      <c r="D32" s="472"/>
      <c r="E32" s="479"/>
      <c r="F32" s="480"/>
      <c r="G32" s="481"/>
      <c r="H32" s="475"/>
      <c r="I32" s="475"/>
      <c r="J32" s="476"/>
      <c r="K32" s="476"/>
      <c r="L32" s="476"/>
      <c r="M32" s="476"/>
      <c r="N32" s="476"/>
      <c r="O32" s="476"/>
      <c r="P32" s="476"/>
      <c r="Q32" s="477">
        <f t="shared" si="10"/>
        <v>0</v>
      </c>
      <c r="R32" s="477">
        <f t="shared" si="11"/>
        <v>0</v>
      </c>
      <c r="S32" s="477">
        <f t="shared" si="0"/>
        <v>0</v>
      </c>
      <c r="T32" s="477">
        <f t="shared" si="12"/>
        <v>0</v>
      </c>
      <c r="U32" s="1146">
        <f t="shared" si="1"/>
        <v>0</v>
      </c>
      <c r="V32" s="1146">
        <f t="shared" si="2"/>
        <v>0</v>
      </c>
      <c r="W32" s="1146">
        <f t="shared" si="3"/>
        <v>0</v>
      </c>
      <c r="X32" s="1146">
        <f t="shared" si="4"/>
        <v>0</v>
      </c>
      <c r="Y32" s="1146">
        <f t="shared" si="5"/>
        <v>0</v>
      </c>
      <c r="Z32" s="1146">
        <f t="shared" si="6"/>
        <v>0</v>
      </c>
      <c r="AA32" s="1146">
        <f t="shared" si="7"/>
        <v>0</v>
      </c>
      <c r="AB32" s="1146">
        <f t="shared" si="8"/>
        <v>0</v>
      </c>
      <c r="AJ32" s="1147"/>
      <c r="AK32" s="1147"/>
      <c r="AL32" s="1147"/>
      <c r="AM32" s="1147"/>
    </row>
    <row r="33" spans="1:40" ht="12.75" customHeight="1" x14ac:dyDescent="0.15">
      <c r="A33" s="505">
        <f t="shared" si="9"/>
        <v>926</v>
      </c>
      <c r="B33" s="482"/>
      <c r="C33" s="483"/>
      <c r="D33" s="472"/>
      <c r="E33" s="479"/>
      <c r="F33" s="480"/>
      <c r="G33" s="481"/>
      <c r="H33" s="475"/>
      <c r="I33" s="475"/>
      <c r="J33" s="476"/>
      <c r="K33" s="476"/>
      <c r="L33" s="476"/>
      <c r="M33" s="476"/>
      <c r="N33" s="476"/>
      <c r="O33" s="476"/>
      <c r="P33" s="476"/>
      <c r="Q33" s="477">
        <f t="shared" si="10"/>
        <v>0</v>
      </c>
      <c r="R33" s="477">
        <f t="shared" si="11"/>
        <v>0</v>
      </c>
      <c r="S33" s="477">
        <f t="shared" si="0"/>
        <v>0</v>
      </c>
      <c r="T33" s="477">
        <f t="shared" si="12"/>
        <v>0</v>
      </c>
      <c r="U33" s="1146">
        <f t="shared" si="1"/>
        <v>0</v>
      </c>
      <c r="V33" s="1146">
        <f t="shared" si="2"/>
        <v>0</v>
      </c>
      <c r="W33" s="1146">
        <f t="shared" si="3"/>
        <v>0</v>
      </c>
      <c r="X33" s="1146">
        <f t="shared" si="4"/>
        <v>0</v>
      </c>
      <c r="Y33" s="1146">
        <f t="shared" si="5"/>
        <v>0</v>
      </c>
      <c r="Z33" s="1146">
        <f t="shared" si="6"/>
        <v>0</v>
      </c>
      <c r="AA33" s="1146">
        <f t="shared" si="7"/>
        <v>0</v>
      </c>
      <c r="AB33" s="1146">
        <f t="shared" si="8"/>
        <v>0</v>
      </c>
      <c r="AJ33" s="1147"/>
      <c r="AK33" s="1147"/>
      <c r="AL33" s="1147"/>
      <c r="AM33" s="1147"/>
    </row>
    <row r="34" spans="1:40" ht="12.75" customHeight="1" x14ac:dyDescent="0.15">
      <c r="A34" s="505">
        <f t="shared" si="9"/>
        <v>927</v>
      </c>
      <c r="B34" s="482"/>
      <c r="C34" s="483"/>
      <c r="D34" s="472"/>
      <c r="E34" s="479"/>
      <c r="F34" s="480"/>
      <c r="G34" s="481"/>
      <c r="H34" s="475"/>
      <c r="I34" s="475"/>
      <c r="J34" s="476"/>
      <c r="K34" s="476"/>
      <c r="L34" s="476"/>
      <c r="M34" s="476"/>
      <c r="N34" s="476"/>
      <c r="O34" s="476"/>
      <c r="P34" s="476"/>
      <c r="Q34" s="477">
        <f t="shared" si="10"/>
        <v>0</v>
      </c>
      <c r="R34" s="477">
        <f t="shared" si="11"/>
        <v>0</v>
      </c>
      <c r="S34" s="477">
        <f t="shared" si="0"/>
        <v>0</v>
      </c>
      <c r="T34" s="477">
        <f t="shared" si="12"/>
        <v>0</v>
      </c>
      <c r="U34" s="1146">
        <f t="shared" si="1"/>
        <v>0</v>
      </c>
      <c r="V34" s="1146">
        <f t="shared" si="2"/>
        <v>0</v>
      </c>
      <c r="W34" s="1146">
        <f t="shared" si="3"/>
        <v>0</v>
      </c>
      <c r="X34" s="1146">
        <f t="shared" si="4"/>
        <v>0</v>
      </c>
      <c r="Y34" s="1146">
        <f t="shared" si="5"/>
        <v>0</v>
      </c>
      <c r="Z34" s="1146">
        <f t="shared" si="6"/>
        <v>0</v>
      </c>
      <c r="AA34" s="1146">
        <f t="shared" si="7"/>
        <v>0</v>
      </c>
      <c r="AB34" s="1146">
        <f t="shared" si="8"/>
        <v>0</v>
      </c>
      <c r="AJ34" s="1147"/>
      <c r="AK34" s="1147"/>
      <c r="AL34" s="1147"/>
      <c r="AM34" s="1147"/>
    </row>
    <row r="35" spans="1:40" ht="12.75" customHeight="1" x14ac:dyDescent="0.15">
      <c r="A35" s="505">
        <f t="shared" si="9"/>
        <v>928</v>
      </c>
      <c r="B35" s="1059" t="str">
        <f>CONCATENATE("Sub(totaal) regel ",A8," t/m ",A34,)</f>
        <v>Sub(totaal) regel 901 t/m 927</v>
      </c>
      <c r="C35" s="1148"/>
      <c r="D35" s="1149"/>
      <c r="E35" s="1150"/>
      <c r="F35" s="1151"/>
      <c r="G35" s="504"/>
      <c r="H35" s="484">
        <f>SUM(H8:H34)</f>
        <v>0</v>
      </c>
      <c r="I35" s="485">
        <f>AB35</f>
        <v>0</v>
      </c>
      <c r="J35" s="486"/>
      <c r="K35" s="487"/>
      <c r="L35" s="487"/>
      <c r="M35" s="487"/>
      <c r="N35" s="487"/>
      <c r="O35" s="487"/>
      <c r="P35" s="488"/>
      <c r="Q35" s="489">
        <f>SUM(Q8:Q34)</f>
        <v>0</v>
      </c>
      <c r="R35" s="489">
        <f>SUM(R8:R34)</f>
        <v>0</v>
      </c>
      <c r="S35" s="489">
        <f>SUM(S8:S34)</f>
        <v>0</v>
      </c>
      <c r="T35" s="489">
        <f>SUM(T8:T34)</f>
        <v>0</v>
      </c>
      <c r="U35" s="1146"/>
      <c r="V35" s="1146"/>
      <c r="W35" s="1146"/>
      <c r="X35" s="1146"/>
      <c r="Y35" s="1146"/>
      <c r="Z35" s="1146"/>
      <c r="AA35" s="1146"/>
      <c r="AB35" s="1152">
        <f>SUM(AB8:AB34)</f>
        <v>0</v>
      </c>
      <c r="AC35" s="1153"/>
      <c r="AD35" s="1147"/>
      <c r="AE35" s="1147"/>
      <c r="AF35" s="1147"/>
      <c r="AG35" s="1147"/>
      <c r="AH35" s="1147"/>
      <c r="AI35" s="1147"/>
      <c r="AJ35" s="1147"/>
      <c r="AK35" s="1147"/>
      <c r="AL35" s="1147"/>
      <c r="AM35" s="1147"/>
    </row>
    <row r="36" spans="1:40" ht="12.75" customHeight="1" x14ac:dyDescent="0.15">
      <c r="A36" s="1154" t="str">
        <f>CONCATENATE("Indien u meer langlopende leningen heeft, kunt u op pag. ",T79, " en ",T144, " verder gaan met invullen")</f>
        <v>Indien u meer langlopende leningen heeft, kunt u op pag. 11 en 12 verder gaan met invullen</v>
      </c>
      <c r="B36" s="798"/>
      <c r="C36" s="798"/>
      <c r="D36" s="356"/>
      <c r="E36" s="798"/>
      <c r="F36" s="798"/>
      <c r="G36" s="798"/>
      <c r="H36" s="1122"/>
      <c r="I36" s="1122"/>
      <c r="J36" s="1122"/>
      <c r="K36" s="1122"/>
      <c r="L36" s="1122"/>
      <c r="M36" s="1122"/>
      <c r="N36" s="1122"/>
      <c r="O36" s="1122"/>
      <c r="P36" s="1122"/>
      <c r="Q36" s="1122"/>
      <c r="R36" s="1155"/>
      <c r="U36" s="1146"/>
      <c r="V36" s="1146"/>
      <c r="W36" s="1146"/>
      <c r="X36" s="1146"/>
      <c r="Y36" s="1146"/>
      <c r="Z36" s="1146"/>
      <c r="AA36" s="1146"/>
      <c r="AB36" s="1152"/>
      <c r="AC36" s="1153"/>
      <c r="AD36" s="1147"/>
      <c r="AE36" s="1147"/>
      <c r="AF36" s="1147"/>
      <c r="AG36" s="1147"/>
      <c r="AH36" s="1147"/>
      <c r="AI36" s="1147"/>
      <c r="AJ36" s="1147"/>
      <c r="AK36" s="1147"/>
      <c r="AL36" s="1147"/>
      <c r="AM36" s="1147"/>
    </row>
    <row r="37" spans="1:40" ht="6" customHeight="1" x14ac:dyDescent="0.15">
      <c r="A37" s="328"/>
      <c r="B37" s="798"/>
      <c r="C37" s="798"/>
      <c r="D37" s="356"/>
      <c r="E37" s="798"/>
      <c r="F37" s="798"/>
      <c r="G37" s="798"/>
      <c r="H37" s="1122"/>
      <c r="I37" s="1122"/>
      <c r="J37" s="1122"/>
      <c r="K37" s="1122"/>
      <c r="L37" s="1122"/>
      <c r="M37" s="1122"/>
      <c r="N37" s="1122"/>
      <c r="O37" s="1122"/>
      <c r="P37" s="1122"/>
      <c r="Q37" s="1122"/>
      <c r="R37" s="1155"/>
      <c r="U37" s="1146"/>
      <c r="V37" s="1146"/>
      <c r="W37" s="1146"/>
      <c r="X37" s="1146"/>
      <c r="Y37" s="1146"/>
      <c r="Z37" s="1146"/>
      <c r="AA37" s="1146"/>
      <c r="AB37" s="1152"/>
      <c r="AC37" s="1153"/>
      <c r="AD37" s="1147"/>
      <c r="AE37" s="1147"/>
      <c r="AF37" s="1147"/>
      <c r="AG37" s="1147"/>
      <c r="AH37" s="1147"/>
      <c r="AI37" s="1147"/>
      <c r="AJ37" s="1147"/>
      <c r="AK37" s="1147"/>
      <c r="AL37" s="1147"/>
      <c r="AM37" s="1147"/>
    </row>
    <row r="38" spans="1:40" ht="12.75" customHeight="1" x14ac:dyDescent="0.15">
      <c r="A38" s="505" t="str">
        <f>CONCATENATE(A35,"a")</f>
        <v>928a</v>
      </c>
      <c r="B38" s="340" t="str">
        <f>CONCATENATE("Subtotaal gewogen schuld van pagina ", T79, " regel ",A140)</f>
        <v>Subtotaal gewogen schuld van pagina 11 regel 1156</v>
      </c>
      <c r="C38" s="1156"/>
      <c r="D38" s="1157"/>
      <c r="E38" s="1156"/>
      <c r="F38" s="1156"/>
      <c r="G38" s="1156"/>
      <c r="H38" s="1158"/>
      <c r="I38" s="1158"/>
      <c r="J38" s="1158"/>
      <c r="K38" s="1158"/>
      <c r="L38" s="1158"/>
      <c r="M38" s="1158"/>
      <c r="N38" s="1158"/>
      <c r="O38" s="1158"/>
      <c r="P38" s="1158"/>
      <c r="Q38" s="1158"/>
      <c r="R38" s="492">
        <f>R140</f>
        <v>0</v>
      </c>
      <c r="U38" s="1146"/>
      <c r="V38" s="1146"/>
      <c r="W38" s="1146"/>
      <c r="X38" s="1146"/>
      <c r="Y38" s="1146"/>
      <c r="Z38" s="1146"/>
      <c r="AA38" s="1146"/>
      <c r="AB38" s="1152"/>
      <c r="AC38" s="1153"/>
      <c r="AD38" s="1147"/>
      <c r="AE38" s="1147"/>
      <c r="AF38" s="1147"/>
      <c r="AG38" s="1147"/>
      <c r="AH38" s="1147"/>
      <c r="AI38" s="1147"/>
      <c r="AJ38" s="1147"/>
      <c r="AK38" s="1147"/>
      <c r="AL38" s="1147"/>
      <c r="AM38" s="1147"/>
    </row>
    <row r="39" spans="1:40" ht="12.75" customHeight="1" x14ac:dyDescent="0.15">
      <c r="A39" s="505">
        <f>A35+1</f>
        <v>929</v>
      </c>
      <c r="B39" s="338" t="s">
        <v>524</v>
      </c>
      <c r="C39" s="1157"/>
      <c r="D39" s="1157"/>
      <c r="E39" s="1157"/>
      <c r="F39" s="1157"/>
      <c r="G39" s="1157"/>
      <c r="H39" s="1157"/>
      <c r="I39" s="1157"/>
      <c r="J39" s="1157"/>
      <c r="K39" s="1157"/>
      <c r="L39" s="1157"/>
      <c r="M39" s="1157"/>
      <c r="N39" s="1157"/>
      <c r="O39" s="1157"/>
      <c r="P39" s="1157"/>
      <c r="Q39" s="1159"/>
      <c r="R39" s="493">
        <v>0</v>
      </c>
      <c r="S39" s="1153"/>
      <c r="T39" s="1147"/>
      <c r="U39" s="1146"/>
      <c r="V39" s="1160"/>
      <c r="W39" s="1160"/>
      <c r="X39" s="1160"/>
      <c r="Y39" s="1160"/>
      <c r="Z39" s="1160"/>
      <c r="AA39" s="1160"/>
      <c r="AB39" s="1160"/>
      <c r="AC39" s="1153"/>
      <c r="AD39" s="1147"/>
      <c r="AE39" s="1147"/>
      <c r="AF39" s="1147"/>
      <c r="AG39" s="1147"/>
      <c r="AH39" s="1147"/>
      <c r="AI39" s="1147"/>
      <c r="AJ39" s="1147"/>
      <c r="AK39" s="1147"/>
      <c r="AL39" s="1147"/>
      <c r="AM39" s="1147"/>
      <c r="AN39" s="1147"/>
    </row>
    <row r="40" spans="1:40" ht="12.75" customHeight="1" x14ac:dyDescent="0.15">
      <c r="A40" s="505">
        <f>A39+1</f>
        <v>930</v>
      </c>
      <c r="B40" s="1088" t="s">
        <v>526</v>
      </c>
      <c r="C40" s="1161"/>
      <c r="D40" s="1157"/>
      <c r="E40" s="1161"/>
      <c r="F40" s="1161"/>
      <c r="G40" s="1161"/>
      <c r="H40" s="1161"/>
      <c r="I40" s="1161"/>
      <c r="J40" s="1161"/>
      <c r="K40" s="1161"/>
      <c r="L40" s="1161"/>
      <c r="M40" s="1161"/>
      <c r="N40" s="1161"/>
      <c r="O40" s="1161"/>
      <c r="P40" s="1161"/>
      <c r="Q40" s="1162"/>
      <c r="R40" s="495"/>
      <c r="S40" s="1147"/>
      <c r="T40" s="1147"/>
      <c r="U40" s="1160"/>
      <c r="V40" s="1160"/>
      <c r="W40" s="1160"/>
      <c r="X40" s="1160"/>
      <c r="Y40" s="1160"/>
      <c r="Z40" s="1160"/>
      <c r="AA40" s="1160"/>
      <c r="AB40" s="1160"/>
      <c r="AC40" s="1147"/>
      <c r="AD40" s="1147"/>
      <c r="AE40" s="1147"/>
      <c r="AF40" s="1147"/>
      <c r="AG40" s="1147"/>
      <c r="AH40" s="1147"/>
      <c r="AI40" s="1147"/>
      <c r="AJ40" s="1147"/>
      <c r="AK40" s="1147"/>
      <c r="AL40" s="1147"/>
      <c r="AM40" s="1147"/>
      <c r="AN40" s="1147"/>
    </row>
    <row r="41" spans="1:40" s="327" customFormat="1" ht="12.75" customHeight="1" x14ac:dyDescent="0.15">
      <c r="A41" s="505">
        <f>A40+1</f>
        <v>931</v>
      </c>
      <c r="B41" s="865" t="str">
        <f>CONCATENATE("Totaal regel ",A35," t/m ",A40)</f>
        <v>Totaal regel 928 t/m 930</v>
      </c>
      <c r="C41" s="866"/>
      <c r="D41" s="255"/>
      <c r="E41" s="255"/>
      <c r="F41" s="255"/>
      <c r="G41" s="255"/>
      <c r="H41" s="255"/>
      <c r="I41" s="255"/>
      <c r="J41" s="255"/>
      <c r="K41" s="255"/>
      <c r="L41" s="255"/>
      <c r="M41" s="255"/>
      <c r="N41" s="255"/>
      <c r="O41" s="255"/>
      <c r="P41" s="255"/>
      <c r="Q41" s="1163"/>
      <c r="R41" s="496">
        <f>R35+R38-R39+R40</f>
        <v>0</v>
      </c>
      <c r="S41" s="1164"/>
      <c r="T41" s="1164"/>
      <c r="U41" s="1165"/>
      <c r="V41" s="1165"/>
      <c r="W41" s="1165"/>
      <c r="X41" s="1165"/>
      <c r="Y41" s="1165"/>
      <c r="Z41" s="1165"/>
      <c r="AA41" s="1165"/>
      <c r="AB41" s="1165"/>
      <c r="AC41" s="1164"/>
      <c r="AD41" s="1164"/>
      <c r="AE41" s="1164"/>
      <c r="AF41" s="1164"/>
      <c r="AG41" s="1164"/>
      <c r="AH41" s="1164"/>
      <c r="AI41" s="1164"/>
      <c r="AJ41" s="1164"/>
      <c r="AK41" s="1164"/>
      <c r="AL41" s="1164"/>
      <c r="AM41" s="1164"/>
      <c r="AN41" s="1164"/>
    </row>
    <row r="42" spans="1:40" ht="12.75" customHeight="1" x14ac:dyDescent="0.15">
      <c r="A42" s="1154" t="s">
        <v>527</v>
      </c>
      <c r="B42" s="798"/>
      <c r="C42" s="798"/>
      <c r="D42" s="356"/>
      <c r="E42" s="798"/>
      <c r="F42" s="798"/>
      <c r="G42" s="798"/>
      <c r="H42" s="1122"/>
      <c r="I42" s="1122"/>
      <c r="J42" s="1122"/>
      <c r="K42" s="1122"/>
      <c r="L42" s="1122"/>
      <c r="M42" s="1122"/>
      <c r="N42" s="1122"/>
      <c r="O42" s="1122"/>
      <c r="P42" s="1122"/>
      <c r="Q42" s="1122"/>
      <c r="R42" s="1155"/>
    </row>
    <row r="43" spans="1:40" ht="15.95" customHeight="1" x14ac:dyDescent="0.15">
      <c r="A43" s="1098" t="s">
        <v>528</v>
      </c>
      <c r="D43" s="315"/>
      <c r="E43" s="315"/>
      <c r="F43" s="315"/>
      <c r="G43" s="315"/>
      <c r="V43" s="1127"/>
    </row>
    <row r="44" spans="1:40" s="318" customFormat="1" ht="15.75" customHeight="1" x14ac:dyDescent="0.15">
      <c r="A44" s="1098"/>
      <c r="B44" s="328"/>
      <c r="C44" s="328"/>
      <c r="D44" s="315"/>
      <c r="E44" s="315"/>
      <c r="F44" s="315"/>
      <c r="G44" s="315"/>
      <c r="H44" s="315"/>
      <c r="I44" s="315"/>
      <c r="J44" s="315"/>
      <c r="K44" s="315"/>
      <c r="L44" s="315"/>
      <c r="M44" s="315"/>
      <c r="N44" s="315"/>
      <c r="O44" s="315"/>
      <c r="P44" s="315"/>
      <c r="Q44" s="315"/>
      <c r="R44" s="315"/>
      <c r="S44" s="328"/>
      <c r="T44" s="328"/>
      <c r="U44" s="827"/>
      <c r="V44" s="827"/>
      <c r="W44" s="827"/>
      <c r="X44" s="827"/>
      <c r="Y44" s="827"/>
      <c r="Z44" s="827"/>
      <c r="AA44" s="827"/>
      <c r="AB44" s="827"/>
    </row>
    <row r="45" spans="1:40" ht="12.75" customHeight="1" x14ac:dyDescent="0.15">
      <c r="A45" s="880" t="str">
        <f>A2</f>
        <v>Rentenormeringsbalans 2012 algemene ziekenhuizen</v>
      </c>
      <c r="B45" s="318"/>
      <c r="C45" s="318"/>
      <c r="D45" s="318"/>
      <c r="E45" s="318"/>
      <c r="F45" s="318"/>
      <c r="G45" s="318"/>
      <c r="H45" s="319"/>
      <c r="I45" s="320"/>
      <c r="J45" s="319"/>
      <c r="K45" s="319"/>
      <c r="L45" s="320"/>
      <c r="M45" s="320"/>
      <c r="N45" s="319"/>
      <c r="O45" s="320"/>
      <c r="P45" s="320"/>
      <c r="Q45" s="319"/>
      <c r="R45" s="320"/>
      <c r="S45" s="320"/>
      <c r="T45" s="321">
        <f>T2+1</f>
        <v>10</v>
      </c>
    </row>
    <row r="46" spans="1:40" ht="12.75" customHeight="1" x14ac:dyDescent="0.15">
      <c r="B46" s="260"/>
      <c r="C46" s="260"/>
      <c r="D46" s="1145"/>
      <c r="E46" s="260"/>
      <c r="F46" s="260"/>
      <c r="G46" s="260"/>
      <c r="H46" s="1128"/>
      <c r="I46" s="1128"/>
      <c r="J46" s="1128"/>
      <c r="K46" s="1128"/>
      <c r="L46" s="1128"/>
      <c r="M46" s="1128"/>
      <c r="N46" s="1128"/>
      <c r="O46" s="1128"/>
      <c r="P46" s="1128"/>
      <c r="Q46" s="1128"/>
      <c r="R46" s="1128"/>
    </row>
    <row r="47" spans="1:40" ht="12.75" customHeight="1" x14ac:dyDescent="0.15">
      <c r="A47" s="1166"/>
      <c r="B47" s="1167" t="s">
        <v>529</v>
      </c>
      <c r="C47" s="1168"/>
      <c r="D47" s="1169"/>
      <c r="E47" s="1170"/>
      <c r="F47" s="1171"/>
      <c r="G47" s="1171"/>
      <c r="H47" s="1172"/>
      <c r="I47" s="1172"/>
      <c r="J47" s="1172"/>
      <c r="K47" s="1172"/>
      <c r="L47" s="1172"/>
      <c r="M47" s="1172"/>
      <c r="N47" s="1172"/>
      <c r="O47" s="1172"/>
      <c r="P47" s="1172"/>
      <c r="Q47" s="1173"/>
      <c r="R47" s="1174" t="s">
        <v>750</v>
      </c>
      <c r="S47" s="1175" t="s">
        <v>530</v>
      </c>
    </row>
    <row r="48" spans="1:40" s="798" customFormat="1" ht="12.75" customHeight="1" x14ac:dyDescent="0.15">
      <c r="A48" s="1166"/>
      <c r="D48" s="356"/>
      <c r="F48" s="1176"/>
      <c r="G48" s="1176"/>
      <c r="H48" s="1122"/>
      <c r="I48" s="1122"/>
      <c r="J48" s="1122"/>
      <c r="K48" s="1122"/>
      <c r="L48" s="1122"/>
      <c r="M48" s="1122"/>
      <c r="N48" s="1122"/>
      <c r="O48" s="1122"/>
      <c r="P48" s="1122"/>
      <c r="Q48" s="1122"/>
      <c r="R48" s="1177"/>
      <c r="S48" s="1065" t="s">
        <v>531</v>
      </c>
      <c r="T48" s="328"/>
      <c r="U48" s="1127"/>
      <c r="V48" s="1127"/>
      <c r="W48" s="1127"/>
      <c r="X48" s="1127"/>
      <c r="Y48" s="1127"/>
      <c r="Z48" s="1127"/>
      <c r="AA48" s="1127"/>
      <c r="AB48" s="1127"/>
    </row>
    <row r="49" spans="1:28" s="798" customFormat="1" ht="12.75" customHeight="1" x14ac:dyDescent="0.15">
      <c r="A49" s="877"/>
      <c r="B49" s="821" t="s">
        <v>532</v>
      </c>
      <c r="C49" s="821"/>
      <c r="D49" s="1178"/>
      <c r="E49" s="325"/>
      <c r="F49" s="1110"/>
      <c r="G49" s="1110"/>
      <c r="H49" s="325"/>
      <c r="I49" s="1537"/>
      <c r="J49" s="1538"/>
      <c r="K49" s="1537"/>
      <c r="L49" s="1538"/>
      <c r="M49" s="1538"/>
      <c r="N49" s="1538"/>
      <c r="O49" s="1538"/>
      <c r="P49" s="1538"/>
      <c r="Q49" s="1110"/>
      <c r="U49" s="1126"/>
      <c r="V49" s="1126"/>
      <c r="W49" s="1126"/>
      <c r="X49" s="1126"/>
      <c r="Y49" s="1126"/>
      <c r="Z49" s="1126"/>
      <c r="AA49" s="1179">
        <f t="shared" ref="AA49:AA56" si="13">Q50</f>
        <v>0</v>
      </c>
      <c r="AB49" s="1179">
        <f t="shared" ref="AB49:AB56" si="14">L50</f>
        <v>0</v>
      </c>
    </row>
    <row r="50" spans="1:28" s="798" customFormat="1" ht="12.75" customHeight="1" x14ac:dyDescent="0.15">
      <c r="A50" s="505">
        <f>T45*100+1</f>
        <v>1001</v>
      </c>
      <c r="B50" s="1531">
        <f t="shared" ref="B50:B76" si="15">IF(I8=0,H8,(((DATE(2011,K8,J8)-DATE(2011,1,1))*H8)/366))</f>
        <v>0</v>
      </c>
      <c r="C50" s="1531"/>
      <c r="D50" s="1530">
        <f t="shared" ref="D50:D76" si="16">IF(K8=0,0,(IF(L8=0,((DATE(2011+1,1,1)-DATE(2011,(K8),J8))*(H8-(1*I8)))/366,((DATE(2011,(L8),J8)-DATE(2011,(K8),J8))*(H8-(1*I8)))/366)))</f>
        <v>0</v>
      </c>
      <c r="E50" s="1530"/>
      <c r="F50" s="1530">
        <f t="shared" ref="F50:F76" si="17">IF(L8=0,0,(IF(M8=0,((DATE(2011+1,1,1)-DATE(2011,(L8),J8))*(H8-(2*I8)))/366,((DATE(2011,(M8),J8)-DATE(2011,(L8),J8))*(H8-(2*I8)))/366)))</f>
        <v>0</v>
      </c>
      <c r="G50" s="1530"/>
      <c r="H50" s="497">
        <f t="shared" ref="H50:H76" si="18">IF(M8=0,0,(IF(N8=0,((DATE(2011+1,1,1)-DATE(2011,(M8),J8))*(H8-(3*I8)))/366,((DATE(2011,(N8),J8)-DATE(2011,(M8),J8))*(H8-(3*I8)))/366)))</f>
        <v>0</v>
      </c>
      <c r="I50" s="1530">
        <f t="shared" ref="I50:I76" si="19">IF(N8=0,0,(IF(O8=0,((DATE(2011+1,1,1)-DATE(2011,(N8),J8))*(H8-(4*I8)))/366,((DATE(2011,(O8),J8)-DATE(2011,(N8),J8))*(H8-(4*I8)))/366)))</f>
        <v>0</v>
      </c>
      <c r="J50" s="1530"/>
      <c r="K50" s="1530">
        <f t="shared" ref="K50:K76" si="20">IF(O8=0,0,(IF(P8=0,((DATE(2011+1,1,1)-DATE(2011,(O8),J8))*(H8-(5*I8)))/366,((DATE(2011,(P8),J8)-DATE(2011,(O8),J8))*(H8-(5*I8)))/366)))</f>
        <v>0</v>
      </c>
      <c r="L50" s="1530"/>
      <c r="M50" s="1530"/>
      <c r="N50" s="1530"/>
      <c r="O50" s="1530"/>
      <c r="P50" s="1530"/>
      <c r="Q50" s="497">
        <f t="shared" ref="Q50:Q76" si="21">IF(P8=0,0,((DATE(2011+1,1,1)-DATE(2011,(P8),J8))*(H8-(6*I8)))/366)</f>
        <v>0</v>
      </c>
      <c r="R50" s="498">
        <f t="shared" ref="R50:R76" si="22">SUM(B50:Q50)</f>
        <v>0</v>
      </c>
      <c r="S50" s="477">
        <f t="shared" ref="S50:S76" si="23">IF(G8="n",R50*(F8/100),R50*(E8/100))</f>
        <v>0</v>
      </c>
      <c r="T50" s="328"/>
      <c r="U50" s="1126"/>
      <c r="V50" s="1126"/>
      <c r="W50" s="1126"/>
      <c r="X50" s="1126"/>
      <c r="Y50" s="1126"/>
      <c r="Z50" s="1126"/>
      <c r="AA50" s="1179">
        <f t="shared" si="13"/>
        <v>0</v>
      </c>
      <c r="AB50" s="1179">
        <f t="shared" si="14"/>
        <v>0</v>
      </c>
    </row>
    <row r="51" spans="1:28" s="798" customFormat="1" ht="12.75" customHeight="1" x14ac:dyDescent="0.15">
      <c r="A51" s="505">
        <f t="shared" ref="A51:A77" si="24">A50+1</f>
        <v>1002</v>
      </c>
      <c r="B51" s="1531">
        <f t="shared" si="15"/>
        <v>0</v>
      </c>
      <c r="C51" s="1531"/>
      <c r="D51" s="1530">
        <f t="shared" si="16"/>
        <v>0</v>
      </c>
      <c r="E51" s="1530"/>
      <c r="F51" s="1530">
        <f t="shared" si="17"/>
        <v>0</v>
      </c>
      <c r="G51" s="1530"/>
      <c r="H51" s="497">
        <f t="shared" si="18"/>
        <v>0</v>
      </c>
      <c r="I51" s="1530">
        <f t="shared" si="19"/>
        <v>0</v>
      </c>
      <c r="J51" s="1530"/>
      <c r="K51" s="1530">
        <f t="shared" si="20"/>
        <v>0</v>
      </c>
      <c r="L51" s="1530"/>
      <c r="M51" s="1530"/>
      <c r="N51" s="1530"/>
      <c r="O51" s="1530"/>
      <c r="P51" s="1530"/>
      <c r="Q51" s="497">
        <f t="shared" si="21"/>
        <v>0</v>
      </c>
      <c r="R51" s="498">
        <f t="shared" si="22"/>
        <v>0</v>
      </c>
      <c r="S51" s="477">
        <f t="shared" si="23"/>
        <v>0</v>
      </c>
      <c r="T51" s="328"/>
      <c r="U51" s="1126"/>
      <c r="V51" s="1126"/>
      <c r="W51" s="1126"/>
      <c r="X51" s="1126"/>
      <c r="Y51" s="1126"/>
      <c r="Z51" s="1126"/>
      <c r="AA51" s="1179">
        <f t="shared" si="13"/>
        <v>0</v>
      </c>
      <c r="AB51" s="1179">
        <f t="shared" si="14"/>
        <v>0</v>
      </c>
    </row>
    <row r="52" spans="1:28" s="798" customFormat="1" ht="12.75" customHeight="1" x14ac:dyDescent="0.15">
      <c r="A52" s="505">
        <f t="shared" si="24"/>
        <v>1003</v>
      </c>
      <c r="B52" s="1531">
        <f t="shared" si="15"/>
        <v>0</v>
      </c>
      <c r="C52" s="1531"/>
      <c r="D52" s="1530">
        <f t="shared" si="16"/>
        <v>0</v>
      </c>
      <c r="E52" s="1530"/>
      <c r="F52" s="1530">
        <f t="shared" si="17"/>
        <v>0</v>
      </c>
      <c r="G52" s="1530"/>
      <c r="H52" s="497">
        <f t="shared" si="18"/>
        <v>0</v>
      </c>
      <c r="I52" s="1530">
        <f t="shared" si="19"/>
        <v>0</v>
      </c>
      <c r="J52" s="1530"/>
      <c r="K52" s="1530">
        <f t="shared" si="20"/>
        <v>0</v>
      </c>
      <c r="L52" s="1530"/>
      <c r="M52" s="1530"/>
      <c r="N52" s="1530"/>
      <c r="O52" s="1530"/>
      <c r="P52" s="1530"/>
      <c r="Q52" s="497">
        <f t="shared" si="21"/>
        <v>0</v>
      </c>
      <c r="R52" s="498">
        <f t="shared" si="22"/>
        <v>0</v>
      </c>
      <c r="S52" s="477">
        <f t="shared" si="23"/>
        <v>0</v>
      </c>
      <c r="T52" s="328"/>
      <c r="U52" s="1126"/>
      <c r="V52" s="1126"/>
      <c r="W52" s="1126"/>
      <c r="X52" s="1126"/>
      <c r="Y52" s="1126"/>
      <c r="Z52" s="1126"/>
      <c r="AA52" s="1179">
        <f t="shared" si="13"/>
        <v>0</v>
      </c>
      <c r="AB52" s="1179">
        <f t="shared" si="14"/>
        <v>0</v>
      </c>
    </row>
    <row r="53" spans="1:28" s="798" customFormat="1" ht="12.75" customHeight="1" x14ac:dyDescent="0.15">
      <c r="A53" s="505">
        <f t="shared" si="24"/>
        <v>1004</v>
      </c>
      <c r="B53" s="1531">
        <f t="shared" si="15"/>
        <v>0</v>
      </c>
      <c r="C53" s="1531"/>
      <c r="D53" s="1530">
        <f t="shared" si="16"/>
        <v>0</v>
      </c>
      <c r="E53" s="1530"/>
      <c r="F53" s="1530">
        <f t="shared" si="17"/>
        <v>0</v>
      </c>
      <c r="G53" s="1530"/>
      <c r="H53" s="497">
        <f t="shared" si="18"/>
        <v>0</v>
      </c>
      <c r="I53" s="1530">
        <f t="shared" si="19"/>
        <v>0</v>
      </c>
      <c r="J53" s="1530"/>
      <c r="K53" s="1530">
        <f t="shared" si="20"/>
        <v>0</v>
      </c>
      <c r="L53" s="1530"/>
      <c r="M53" s="1530"/>
      <c r="N53" s="1530"/>
      <c r="O53" s="1530"/>
      <c r="P53" s="1530"/>
      <c r="Q53" s="497">
        <f t="shared" si="21"/>
        <v>0</v>
      </c>
      <c r="R53" s="498">
        <f t="shared" si="22"/>
        <v>0</v>
      </c>
      <c r="S53" s="477">
        <f t="shared" si="23"/>
        <v>0</v>
      </c>
      <c r="T53" s="328"/>
      <c r="U53" s="1126"/>
      <c r="V53" s="1126"/>
      <c r="W53" s="1126"/>
      <c r="X53" s="1126"/>
      <c r="Y53" s="1126"/>
      <c r="Z53" s="1126"/>
      <c r="AA53" s="1179">
        <f t="shared" si="13"/>
        <v>0</v>
      </c>
      <c r="AB53" s="1179">
        <f t="shared" si="14"/>
        <v>0</v>
      </c>
    </row>
    <row r="54" spans="1:28" s="798" customFormat="1" ht="12.75" customHeight="1" x14ac:dyDescent="0.15">
      <c r="A54" s="505">
        <f t="shared" si="24"/>
        <v>1005</v>
      </c>
      <c r="B54" s="1531">
        <f t="shared" si="15"/>
        <v>0</v>
      </c>
      <c r="C54" s="1531"/>
      <c r="D54" s="1530">
        <f t="shared" si="16"/>
        <v>0</v>
      </c>
      <c r="E54" s="1530"/>
      <c r="F54" s="1530">
        <f t="shared" si="17"/>
        <v>0</v>
      </c>
      <c r="G54" s="1530"/>
      <c r="H54" s="497">
        <f t="shared" si="18"/>
        <v>0</v>
      </c>
      <c r="I54" s="1530">
        <f t="shared" si="19"/>
        <v>0</v>
      </c>
      <c r="J54" s="1530"/>
      <c r="K54" s="1530">
        <f t="shared" si="20"/>
        <v>0</v>
      </c>
      <c r="L54" s="1530"/>
      <c r="M54" s="1530"/>
      <c r="N54" s="1530"/>
      <c r="O54" s="1530"/>
      <c r="P54" s="1530"/>
      <c r="Q54" s="497">
        <f t="shared" si="21"/>
        <v>0</v>
      </c>
      <c r="R54" s="498">
        <f t="shared" si="22"/>
        <v>0</v>
      </c>
      <c r="S54" s="477">
        <f t="shared" si="23"/>
        <v>0</v>
      </c>
      <c r="T54" s="328"/>
      <c r="U54" s="1126"/>
      <c r="V54" s="1126"/>
      <c r="W54" s="1126"/>
      <c r="X54" s="1126"/>
      <c r="Y54" s="1126"/>
      <c r="Z54" s="1126"/>
      <c r="AA54" s="1179">
        <f t="shared" si="13"/>
        <v>0</v>
      </c>
      <c r="AB54" s="1179">
        <f t="shared" si="14"/>
        <v>0</v>
      </c>
    </row>
    <row r="55" spans="1:28" s="798" customFormat="1" ht="12.75" customHeight="1" x14ac:dyDescent="0.15">
      <c r="A55" s="505">
        <f t="shared" si="24"/>
        <v>1006</v>
      </c>
      <c r="B55" s="1531">
        <f t="shared" si="15"/>
        <v>0</v>
      </c>
      <c r="C55" s="1531"/>
      <c r="D55" s="1530">
        <f t="shared" si="16"/>
        <v>0</v>
      </c>
      <c r="E55" s="1530"/>
      <c r="F55" s="1530">
        <f t="shared" si="17"/>
        <v>0</v>
      </c>
      <c r="G55" s="1530"/>
      <c r="H55" s="497">
        <f t="shared" si="18"/>
        <v>0</v>
      </c>
      <c r="I55" s="1530">
        <f t="shared" si="19"/>
        <v>0</v>
      </c>
      <c r="J55" s="1530"/>
      <c r="K55" s="1530">
        <f t="shared" si="20"/>
        <v>0</v>
      </c>
      <c r="L55" s="1530"/>
      <c r="M55" s="1530"/>
      <c r="N55" s="1530"/>
      <c r="O55" s="1530"/>
      <c r="P55" s="1530"/>
      <c r="Q55" s="497">
        <f t="shared" si="21"/>
        <v>0</v>
      </c>
      <c r="R55" s="498">
        <f t="shared" si="22"/>
        <v>0</v>
      </c>
      <c r="S55" s="477">
        <f t="shared" si="23"/>
        <v>0</v>
      </c>
      <c r="T55" s="328"/>
      <c r="U55" s="1126"/>
      <c r="V55" s="1126"/>
      <c r="W55" s="1126"/>
      <c r="X55" s="1126"/>
      <c r="Y55" s="1126"/>
      <c r="Z55" s="1126"/>
      <c r="AA55" s="1179">
        <f t="shared" si="13"/>
        <v>0</v>
      </c>
      <c r="AB55" s="1179">
        <f t="shared" si="14"/>
        <v>0</v>
      </c>
    </row>
    <row r="56" spans="1:28" s="798" customFormat="1" ht="12.75" customHeight="1" x14ac:dyDescent="0.15">
      <c r="A56" s="505">
        <f t="shared" si="24"/>
        <v>1007</v>
      </c>
      <c r="B56" s="1531">
        <f t="shared" si="15"/>
        <v>0</v>
      </c>
      <c r="C56" s="1531"/>
      <c r="D56" s="1530">
        <f t="shared" si="16"/>
        <v>0</v>
      </c>
      <c r="E56" s="1530"/>
      <c r="F56" s="1530">
        <f t="shared" si="17"/>
        <v>0</v>
      </c>
      <c r="G56" s="1530"/>
      <c r="H56" s="497">
        <f t="shared" si="18"/>
        <v>0</v>
      </c>
      <c r="I56" s="1530">
        <f t="shared" si="19"/>
        <v>0</v>
      </c>
      <c r="J56" s="1530"/>
      <c r="K56" s="1530">
        <f t="shared" si="20"/>
        <v>0</v>
      </c>
      <c r="L56" s="1530"/>
      <c r="M56" s="1530"/>
      <c r="N56" s="1530"/>
      <c r="O56" s="1530"/>
      <c r="P56" s="1530"/>
      <c r="Q56" s="497">
        <f t="shared" si="21"/>
        <v>0</v>
      </c>
      <c r="R56" s="498">
        <f t="shared" si="22"/>
        <v>0</v>
      </c>
      <c r="S56" s="477">
        <f t="shared" si="23"/>
        <v>0</v>
      </c>
      <c r="T56" s="328"/>
      <c r="U56" s="1126"/>
      <c r="V56" s="1126"/>
      <c r="W56" s="1126"/>
      <c r="X56" s="1126"/>
      <c r="Y56" s="1126"/>
      <c r="Z56" s="1126"/>
      <c r="AA56" s="1179">
        <f t="shared" si="13"/>
        <v>0</v>
      </c>
      <c r="AB56" s="1179">
        <f t="shared" si="14"/>
        <v>0</v>
      </c>
    </row>
    <row r="57" spans="1:28" s="798" customFormat="1" ht="12.75" customHeight="1" x14ac:dyDescent="0.15">
      <c r="A57" s="505">
        <f t="shared" si="24"/>
        <v>1008</v>
      </c>
      <c r="B57" s="1531">
        <f t="shared" si="15"/>
        <v>0</v>
      </c>
      <c r="C57" s="1531"/>
      <c r="D57" s="1530">
        <f t="shared" si="16"/>
        <v>0</v>
      </c>
      <c r="E57" s="1530"/>
      <c r="F57" s="1530">
        <f t="shared" si="17"/>
        <v>0</v>
      </c>
      <c r="G57" s="1530"/>
      <c r="H57" s="497">
        <f t="shared" si="18"/>
        <v>0</v>
      </c>
      <c r="I57" s="1530">
        <f t="shared" si="19"/>
        <v>0</v>
      </c>
      <c r="J57" s="1530"/>
      <c r="K57" s="1530">
        <f t="shared" si="20"/>
        <v>0</v>
      </c>
      <c r="L57" s="1530"/>
      <c r="M57" s="1530"/>
      <c r="N57" s="1530"/>
      <c r="O57" s="1530"/>
      <c r="P57" s="1530"/>
      <c r="Q57" s="497">
        <f t="shared" si="21"/>
        <v>0</v>
      </c>
      <c r="R57" s="498">
        <f t="shared" si="22"/>
        <v>0</v>
      </c>
      <c r="S57" s="477">
        <f t="shared" si="23"/>
        <v>0</v>
      </c>
      <c r="T57" s="328"/>
      <c r="U57" s="1126"/>
      <c r="V57" s="1126"/>
      <c r="W57" s="1126"/>
      <c r="X57" s="1126"/>
      <c r="Y57" s="1126"/>
      <c r="Z57" s="1126"/>
      <c r="AA57" s="1179"/>
      <c r="AB57" s="1179"/>
    </row>
    <row r="58" spans="1:28" s="798" customFormat="1" ht="12.75" customHeight="1" x14ac:dyDescent="0.15">
      <c r="A58" s="505">
        <f t="shared" si="24"/>
        <v>1009</v>
      </c>
      <c r="B58" s="1531">
        <f t="shared" si="15"/>
        <v>0</v>
      </c>
      <c r="C58" s="1531"/>
      <c r="D58" s="1530">
        <f t="shared" si="16"/>
        <v>0</v>
      </c>
      <c r="E58" s="1530"/>
      <c r="F58" s="1530">
        <f t="shared" si="17"/>
        <v>0</v>
      </c>
      <c r="G58" s="1530"/>
      <c r="H58" s="497">
        <f t="shared" si="18"/>
        <v>0</v>
      </c>
      <c r="I58" s="1530">
        <f t="shared" si="19"/>
        <v>0</v>
      </c>
      <c r="J58" s="1530"/>
      <c r="K58" s="1530">
        <f t="shared" si="20"/>
        <v>0</v>
      </c>
      <c r="L58" s="1530"/>
      <c r="M58" s="1530"/>
      <c r="N58" s="1530"/>
      <c r="O58" s="1530"/>
      <c r="P58" s="1530"/>
      <c r="Q58" s="497">
        <f t="shared" si="21"/>
        <v>0</v>
      </c>
      <c r="R58" s="498">
        <f t="shared" si="22"/>
        <v>0</v>
      </c>
      <c r="S58" s="477">
        <f t="shared" si="23"/>
        <v>0</v>
      </c>
      <c r="T58" s="328"/>
      <c r="U58" s="1126"/>
      <c r="V58" s="1126"/>
      <c r="W58" s="1126"/>
      <c r="X58" s="1126"/>
      <c r="Y58" s="1126"/>
      <c r="Z58" s="1126"/>
      <c r="AA58" s="1179"/>
      <c r="AB58" s="1179"/>
    </row>
    <row r="59" spans="1:28" s="798" customFormat="1" ht="12.75" customHeight="1" x14ac:dyDescent="0.15">
      <c r="A59" s="505">
        <f t="shared" si="24"/>
        <v>1010</v>
      </c>
      <c r="B59" s="1531">
        <f t="shared" si="15"/>
        <v>0</v>
      </c>
      <c r="C59" s="1531"/>
      <c r="D59" s="1530">
        <f t="shared" si="16"/>
        <v>0</v>
      </c>
      <c r="E59" s="1530"/>
      <c r="F59" s="1530">
        <f t="shared" si="17"/>
        <v>0</v>
      </c>
      <c r="G59" s="1530"/>
      <c r="H59" s="497">
        <f t="shared" si="18"/>
        <v>0</v>
      </c>
      <c r="I59" s="1530">
        <f t="shared" si="19"/>
        <v>0</v>
      </c>
      <c r="J59" s="1530"/>
      <c r="K59" s="1530">
        <f t="shared" si="20"/>
        <v>0</v>
      </c>
      <c r="L59" s="1530"/>
      <c r="M59" s="1530"/>
      <c r="N59" s="1530"/>
      <c r="O59" s="1530"/>
      <c r="P59" s="1530"/>
      <c r="Q59" s="497">
        <f t="shared" si="21"/>
        <v>0</v>
      </c>
      <c r="R59" s="498">
        <f t="shared" si="22"/>
        <v>0</v>
      </c>
      <c r="S59" s="477">
        <f t="shared" si="23"/>
        <v>0</v>
      </c>
      <c r="T59" s="328"/>
      <c r="U59" s="1126"/>
      <c r="V59" s="1126"/>
      <c r="W59" s="1126"/>
      <c r="X59" s="1126"/>
      <c r="Y59" s="1126"/>
      <c r="Z59" s="1126"/>
      <c r="AA59" s="1179"/>
      <c r="AB59" s="1179"/>
    </row>
    <row r="60" spans="1:28" s="798" customFormat="1" ht="12.75" customHeight="1" x14ac:dyDescent="0.15">
      <c r="A60" s="505">
        <f t="shared" si="24"/>
        <v>1011</v>
      </c>
      <c r="B60" s="1531">
        <f t="shared" si="15"/>
        <v>0</v>
      </c>
      <c r="C60" s="1531"/>
      <c r="D60" s="1530">
        <f t="shared" si="16"/>
        <v>0</v>
      </c>
      <c r="E60" s="1530"/>
      <c r="F60" s="1530">
        <f t="shared" si="17"/>
        <v>0</v>
      </c>
      <c r="G60" s="1530"/>
      <c r="H60" s="497">
        <f t="shared" si="18"/>
        <v>0</v>
      </c>
      <c r="I60" s="1530">
        <f t="shared" si="19"/>
        <v>0</v>
      </c>
      <c r="J60" s="1530"/>
      <c r="K60" s="1530">
        <f t="shared" si="20"/>
        <v>0</v>
      </c>
      <c r="L60" s="1530"/>
      <c r="M60" s="1530"/>
      <c r="N60" s="1530"/>
      <c r="O60" s="1530"/>
      <c r="P60" s="1530"/>
      <c r="Q60" s="497">
        <f t="shared" si="21"/>
        <v>0</v>
      </c>
      <c r="R60" s="498">
        <f t="shared" si="22"/>
        <v>0</v>
      </c>
      <c r="S60" s="477">
        <f t="shared" si="23"/>
        <v>0</v>
      </c>
      <c r="T60" s="328"/>
      <c r="U60" s="1126"/>
      <c r="V60" s="1126"/>
      <c r="W60" s="1126"/>
      <c r="X60" s="1126"/>
      <c r="Y60" s="1126"/>
      <c r="Z60" s="1126"/>
      <c r="AA60" s="1179"/>
      <c r="AB60" s="1179"/>
    </row>
    <row r="61" spans="1:28" s="798" customFormat="1" ht="12.75" customHeight="1" x14ac:dyDescent="0.15">
      <c r="A61" s="505">
        <f t="shared" si="24"/>
        <v>1012</v>
      </c>
      <c r="B61" s="1531">
        <f t="shared" si="15"/>
        <v>0</v>
      </c>
      <c r="C61" s="1531"/>
      <c r="D61" s="1530">
        <f t="shared" si="16"/>
        <v>0</v>
      </c>
      <c r="E61" s="1530"/>
      <c r="F61" s="1530">
        <f t="shared" si="17"/>
        <v>0</v>
      </c>
      <c r="G61" s="1530"/>
      <c r="H61" s="497">
        <f t="shared" si="18"/>
        <v>0</v>
      </c>
      <c r="I61" s="1530">
        <f t="shared" si="19"/>
        <v>0</v>
      </c>
      <c r="J61" s="1530"/>
      <c r="K61" s="1530">
        <f t="shared" si="20"/>
        <v>0</v>
      </c>
      <c r="L61" s="1530"/>
      <c r="M61" s="1530"/>
      <c r="N61" s="1530"/>
      <c r="O61" s="1530"/>
      <c r="P61" s="1530"/>
      <c r="Q61" s="497">
        <f t="shared" si="21"/>
        <v>0</v>
      </c>
      <c r="R61" s="498">
        <f t="shared" si="22"/>
        <v>0</v>
      </c>
      <c r="S61" s="477">
        <f t="shared" si="23"/>
        <v>0</v>
      </c>
      <c r="T61" s="328"/>
      <c r="U61" s="1126"/>
      <c r="V61" s="1126"/>
      <c r="W61" s="1126"/>
      <c r="X61" s="1126"/>
      <c r="Y61" s="1126"/>
      <c r="Z61" s="1126"/>
      <c r="AA61" s="1179"/>
      <c r="AB61" s="1179"/>
    </row>
    <row r="62" spans="1:28" s="798" customFormat="1" ht="12.75" customHeight="1" x14ac:dyDescent="0.15">
      <c r="A62" s="505">
        <f t="shared" si="24"/>
        <v>1013</v>
      </c>
      <c r="B62" s="1531">
        <f t="shared" si="15"/>
        <v>0</v>
      </c>
      <c r="C62" s="1531"/>
      <c r="D62" s="1530">
        <f t="shared" si="16"/>
        <v>0</v>
      </c>
      <c r="E62" s="1530"/>
      <c r="F62" s="1530">
        <f t="shared" si="17"/>
        <v>0</v>
      </c>
      <c r="G62" s="1530"/>
      <c r="H62" s="497">
        <f t="shared" si="18"/>
        <v>0</v>
      </c>
      <c r="I62" s="1530">
        <f t="shared" si="19"/>
        <v>0</v>
      </c>
      <c r="J62" s="1530"/>
      <c r="K62" s="1530">
        <f t="shared" si="20"/>
        <v>0</v>
      </c>
      <c r="L62" s="1530"/>
      <c r="M62" s="1530"/>
      <c r="N62" s="1530"/>
      <c r="O62" s="1530"/>
      <c r="P62" s="1530"/>
      <c r="Q62" s="497">
        <f t="shared" si="21"/>
        <v>0</v>
      </c>
      <c r="R62" s="498">
        <f t="shared" si="22"/>
        <v>0</v>
      </c>
      <c r="S62" s="477">
        <f t="shared" si="23"/>
        <v>0</v>
      </c>
      <c r="T62" s="328"/>
      <c r="U62" s="1126"/>
      <c r="V62" s="1126"/>
      <c r="W62" s="1126"/>
      <c r="X62" s="1126"/>
      <c r="Y62" s="1126"/>
      <c r="Z62" s="1126"/>
      <c r="AA62" s="1179"/>
      <c r="AB62" s="1179"/>
    </row>
    <row r="63" spans="1:28" s="798" customFormat="1" ht="12.75" customHeight="1" x14ac:dyDescent="0.15">
      <c r="A63" s="505">
        <f t="shared" si="24"/>
        <v>1014</v>
      </c>
      <c r="B63" s="1531">
        <f t="shared" si="15"/>
        <v>0</v>
      </c>
      <c r="C63" s="1531"/>
      <c r="D63" s="1530">
        <f t="shared" si="16"/>
        <v>0</v>
      </c>
      <c r="E63" s="1530"/>
      <c r="F63" s="1530">
        <f t="shared" si="17"/>
        <v>0</v>
      </c>
      <c r="G63" s="1530"/>
      <c r="H63" s="497">
        <f t="shared" si="18"/>
        <v>0</v>
      </c>
      <c r="I63" s="1530">
        <f t="shared" si="19"/>
        <v>0</v>
      </c>
      <c r="J63" s="1530"/>
      <c r="K63" s="1530">
        <f t="shared" si="20"/>
        <v>0</v>
      </c>
      <c r="L63" s="1530"/>
      <c r="M63" s="1530"/>
      <c r="N63" s="1530"/>
      <c r="O63" s="1530"/>
      <c r="P63" s="1530"/>
      <c r="Q63" s="497">
        <f t="shared" si="21"/>
        <v>0</v>
      </c>
      <c r="R63" s="498">
        <f t="shared" si="22"/>
        <v>0</v>
      </c>
      <c r="S63" s="477">
        <f t="shared" si="23"/>
        <v>0</v>
      </c>
      <c r="T63" s="328"/>
      <c r="U63" s="1126"/>
      <c r="V63" s="1126"/>
      <c r="W63" s="1126"/>
      <c r="X63" s="1126"/>
      <c r="Y63" s="1126"/>
      <c r="Z63" s="1126"/>
      <c r="AA63" s="1179"/>
      <c r="AB63" s="1179"/>
    </row>
    <row r="64" spans="1:28" s="798" customFormat="1" ht="12.75" customHeight="1" x14ac:dyDescent="0.15">
      <c r="A64" s="505">
        <f t="shared" si="24"/>
        <v>1015</v>
      </c>
      <c r="B64" s="1531">
        <f t="shared" si="15"/>
        <v>0</v>
      </c>
      <c r="C64" s="1531"/>
      <c r="D64" s="1530">
        <f t="shared" si="16"/>
        <v>0</v>
      </c>
      <c r="E64" s="1530"/>
      <c r="F64" s="1530">
        <f t="shared" si="17"/>
        <v>0</v>
      </c>
      <c r="G64" s="1530"/>
      <c r="H64" s="497">
        <f t="shared" si="18"/>
        <v>0</v>
      </c>
      <c r="I64" s="1530">
        <f t="shared" si="19"/>
        <v>0</v>
      </c>
      <c r="J64" s="1530"/>
      <c r="K64" s="1530">
        <f t="shared" si="20"/>
        <v>0</v>
      </c>
      <c r="L64" s="1530"/>
      <c r="M64" s="1530"/>
      <c r="N64" s="1530"/>
      <c r="O64" s="1530"/>
      <c r="P64" s="1530"/>
      <c r="Q64" s="497">
        <f t="shared" si="21"/>
        <v>0</v>
      </c>
      <c r="R64" s="498">
        <f t="shared" si="22"/>
        <v>0</v>
      </c>
      <c r="S64" s="477">
        <f t="shared" si="23"/>
        <v>0</v>
      </c>
      <c r="T64" s="328"/>
      <c r="U64" s="1126"/>
      <c r="V64" s="1126"/>
      <c r="W64" s="1126"/>
      <c r="X64" s="1126"/>
      <c r="Y64" s="1126"/>
      <c r="Z64" s="1126"/>
      <c r="AA64" s="1179">
        <f t="shared" ref="AA64:AA75" si="25">Q65</f>
        <v>0</v>
      </c>
      <c r="AB64" s="1179">
        <f t="shared" ref="AB64:AB75" si="26">L65</f>
        <v>0</v>
      </c>
    </row>
    <row r="65" spans="1:31" s="798" customFormat="1" ht="12.75" customHeight="1" x14ac:dyDescent="0.15">
      <c r="A65" s="505">
        <f t="shared" si="24"/>
        <v>1016</v>
      </c>
      <c r="B65" s="1531">
        <f t="shared" si="15"/>
        <v>0</v>
      </c>
      <c r="C65" s="1531"/>
      <c r="D65" s="1530">
        <f t="shared" si="16"/>
        <v>0</v>
      </c>
      <c r="E65" s="1530"/>
      <c r="F65" s="1530">
        <f t="shared" si="17"/>
        <v>0</v>
      </c>
      <c r="G65" s="1530"/>
      <c r="H65" s="497">
        <f t="shared" si="18"/>
        <v>0</v>
      </c>
      <c r="I65" s="1530">
        <f t="shared" si="19"/>
        <v>0</v>
      </c>
      <c r="J65" s="1530"/>
      <c r="K65" s="1530">
        <f t="shared" si="20"/>
        <v>0</v>
      </c>
      <c r="L65" s="1530"/>
      <c r="M65" s="1530"/>
      <c r="N65" s="1530"/>
      <c r="O65" s="1530"/>
      <c r="P65" s="1530"/>
      <c r="Q65" s="497">
        <f t="shared" si="21"/>
        <v>0</v>
      </c>
      <c r="R65" s="498">
        <f t="shared" si="22"/>
        <v>0</v>
      </c>
      <c r="S65" s="477">
        <f t="shared" si="23"/>
        <v>0</v>
      </c>
      <c r="T65" s="328"/>
      <c r="U65" s="1126"/>
      <c r="V65" s="1126"/>
      <c r="W65" s="1126"/>
      <c r="X65" s="1126"/>
      <c r="Y65" s="1126"/>
      <c r="Z65" s="1126"/>
      <c r="AA65" s="1179">
        <f t="shared" si="25"/>
        <v>0</v>
      </c>
      <c r="AB65" s="1179">
        <f t="shared" si="26"/>
        <v>0</v>
      </c>
    </row>
    <row r="66" spans="1:31" s="798" customFormat="1" ht="12.75" customHeight="1" x14ac:dyDescent="0.15">
      <c r="A66" s="505">
        <f t="shared" si="24"/>
        <v>1017</v>
      </c>
      <c r="B66" s="1531">
        <f t="shared" si="15"/>
        <v>0</v>
      </c>
      <c r="C66" s="1531"/>
      <c r="D66" s="1530">
        <f t="shared" si="16"/>
        <v>0</v>
      </c>
      <c r="E66" s="1530"/>
      <c r="F66" s="1530">
        <f t="shared" si="17"/>
        <v>0</v>
      </c>
      <c r="G66" s="1530"/>
      <c r="H66" s="497">
        <f t="shared" si="18"/>
        <v>0</v>
      </c>
      <c r="I66" s="1530">
        <f t="shared" si="19"/>
        <v>0</v>
      </c>
      <c r="J66" s="1530"/>
      <c r="K66" s="1530">
        <f t="shared" si="20"/>
        <v>0</v>
      </c>
      <c r="L66" s="1530"/>
      <c r="M66" s="1530"/>
      <c r="N66" s="1530"/>
      <c r="O66" s="1530"/>
      <c r="P66" s="1530"/>
      <c r="Q66" s="497">
        <f t="shared" si="21"/>
        <v>0</v>
      </c>
      <c r="R66" s="498">
        <f t="shared" si="22"/>
        <v>0</v>
      </c>
      <c r="S66" s="477">
        <f t="shared" si="23"/>
        <v>0</v>
      </c>
      <c r="T66" s="328"/>
      <c r="U66" s="1126"/>
      <c r="V66" s="1126"/>
      <c r="W66" s="1126"/>
      <c r="X66" s="1126"/>
      <c r="Y66" s="1126"/>
      <c r="Z66" s="1126"/>
      <c r="AA66" s="1179">
        <f t="shared" si="25"/>
        <v>0</v>
      </c>
      <c r="AB66" s="1179">
        <f t="shared" si="26"/>
        <v>0</v>
      </c>
    </row>
    <row r="67" spans="1:31" s="798" customFormat="1" ht="12.75" customHeight="1" x14ac:dyDescent="0.15">
      <c r="A67" s="505">
        <f t="shared" si="24"/>
        <v>1018</v>
      </c>
      <c r="B67" s="1531">
        <f t="shared" si="15"/>
        <v>0</v>
      </c>
      <c r="C67" s="1531"/>
      <c r="D67" s="1530">
        <f t="shared" si="16"/>
        <v>0</v>
      </c>
      <c r="E67" s="1530"/>
      <c r="F67" s="1530">
        <f t="shared" si="17"/>
        <v>0</v>
      </c>
      <c r="G67" s="1530"/>
      <c r="H67" s="497">
        <f t="shared" si="18"/>
        <v>0</v>
      </c>
      <c r="I67" s="1530">
        <f t="shared" si="19"/>
        <v>0</v>
      </c>
      <c r="J67" s="1530"/>
      <c r="K67" s="1530">
        <f t="shared" si="20"/>
        <v>0</v>
      </c>
      <c r="L67" s="1530"/>
      <c r="M67" s="1530"/>
      <c r="N67" s="1530"/>
      <c r="O67" s="1530"/>
      <c r="P67" s="1530"/>
      <c r="Q67" s="497">
        <f t="shared" si="21"/>
        <v>0</v>
      </c>
      <c r="R67" s="498">
        <f t="shared" si="22"/>
        <v>0</v>
      </c>
      <c r="S67" s="477">
        <f t="shared" si="23"/>
        <v>0</v>
      </c>
      <c r="T67" s="328"/>
      <c r="U67" s="1126"/>
      <c r="V67" s="1126"/>
      <c r="W67" s="1126"/>
      <c r="X67" s="1126"/>
      <c r="Y67" s="1126"/>
      <c r="Z67" s="1126"/>
      <c r="AA67" s="1179">
        <f t="shared" si="25"/>
        <v>0</v>
      </c>
      <c r="AB67" s="1179">
        <f t="shared" si="26"/>
        <v>0</v>
      </c>
    </row>
    <row r="68" spans="1:31" s="798" customFormat="1" ht="12.75" customHeight="1" x14ac:dyDescent="0.15">
      <c r="A68" s="505">
        <f t="shared" si="24"/>
        <v>1019</v>
      </c>
      <c r="B68" s="1531">
        <f t="shared" si="15"/>
        <v>0</v>
      </c>
      <c r="C68" s="1531"/>
      <c r="D68" s="1530">
        <f t="shared" si="16"/>
        <v>0</v>
      </c>
      <c r="E68" s="1530"/>
      <c r="F68" s="1530">
        <f t="shared" si="17"/>
        <v>0</v>
      </c>
      <c r="G68" s="1530"/>
      <c r="H68" s="497">
        <f t="shared" si="18"/>
        <v>0</v>
      </c>
      <c r="I68" s="1530">
        <f t="shared" si="19"/>
        <v>0</v>
      </c>
      <c r="J68" s="1530"/>
      <c r="K68" s="1530">
        <f t="shared" si="20"/>
        <v>0</v>
      </c>
      <c r="L68" s="1530"/>
      <c r="M68" s="1530"/>
      <c r="N68" s="1530"/>
      <c r="O68" s="1530"/>
      <c r="P68" s="1530"/>
      <c r="Q68" s="497">
        <f t="shared" si="21"/>
        <v>0</v>
      </c>
      <c r="R68" s="498">
        <f t="shared" si="22"/>
        <v>0</v>
      </c>
      <c r="S68" s="477">
        <f t="shared" si="23"/>
        <v>0</v>
      </c>
      <c r="T68" s="328"/>
      <c r="U68" s="1126"/>
      <c r="V68" s="1126"/>
      <c r="W68" s="1126"/>
      <c r="X68" s="1126"/>
      <c r="Y68" s="1126"/>
      <c r="Z68" s="1126"/>
      <c r="AA68" s="1179">
        <f t="shared" si="25"/>
        <v>0</v>
      </c>
      <c r="AB68" s="1179">
        <f t="shared" si="26"/>
        <v>0</v>
      </c>
    </row>
    <row r="69" spans="1:31" s="798" customFormat="1" ht="12.75" customHeight="1" x14ac:dyDescent="0.15">
      <c r="A69" s="505">
        <f t="shared" si="24"/>
        <v>1020</v>
      </c>
      <c r="B69" s="1531">
        <f t="shared" si="15"/>
        <v>0</v>
      </c>
      <c r="C69" s="1531"/>
      <c r="D69" s="1530">
        <f t="shared" si="16"/>
        <v>0</v>
      </c>
      <c r="E69" s="1530"/>
      <c r="F69" s="1530">
        <f t="shared" si="17"/>
        <v>0</v>
      </c>
      <c r="G69" s="1530"/>
      <c r="H69" s="497">
        <f t="shared" si="18"/>
        <v>0</v>
      </c>
      <c r="I69" s="1530">
        <f t="shared" si="19"/>
        <v>0</v>
      </c>
      <c r="J69" s="1530"/>
      <c r="K69" s="1530">
        <f t="shared" si="20"/>
        <v>0</v>
      </c>
      <c r="L69" s="1530"/>
      <c r="M69" s="1530"/>
      <c r="N69" s="1530"/>
      <c r="O69" s="1530"/>
      <c r="P69" s="1530"/>
      <c r="Q69" s="497">
        <f t="shared" si="21"/>
        <v>0</v>
      </c>
      <c r="R69" s="498">
        <f t="shared" si="22"/>
        <v>0</v>
      </c>
      <c r="S69" s="477">
        <f t="shared" si="23"/>
        <v>0</v>
      </c>
      <c r="T69" s="328"/>
      <c r="U69" s="1126"/>
      <c r="V69" s="1126"/>
      <c r="W69" s="1126"/>
      <c r="X69" s="1126"/>
      <c r="Y69" s="1126"/>
      <c r="Z69" s="1126"/>
      <c r="AA69" s="1179">
        <f t="shared" si="25"/>
        <v>0</v>
      </c>
      <c r="AB69" s="1179">
        <f t="shared" si="26"/>
        <v>0</v>
      </c>
    </row>
    <row r="70" spans="1:31" s="798" customFormat="1" ht="12.75" customHeight="1" x14ac:dyDescent="0.15">
      <c r="A70" s="505">
        <f t="shared" si="24"/>
        <v>1021</v>
      </c>
      <c r="B70" s="1531">
        <f t="shared" si="15"/>
        <v>0</v>
      </c>
      <c r="C70" s="1531"/>
      <c r="D70" s="1530">
        <f t="shared" si="16"/>
        <v>0</v>
      </c>
      <c r="E70" s="1530"/>
      <c r="F70" s="1530">
        <f t="shared" si="17"/>
        <v>0</v>
      </c>
      <c r="G70" s="1530"/>
      <c r="H70" s="497">
        <f t="shared" si="18"/>
        <v>0</v>
      </c>
      <c r="I70" s="1530">
        <f t="shared" si="19"/>
        <v>0</v>
      </c>
      <c r="J70" s="1530"/>
      <c r="K70" s="1530">
        <f t="shared" si="20"/>
        <v>0</v>
      </c>
      <c r="L70" s="1530"/>
      <c r="M70" s="1530"/>
      <c r="N70" s="1530"/>
      <c r="O70" s="1530"/>
      <c r="P70" s="1530"/>
      <c r="Q70" s="497">
        <f t="shared" si="21"/>
        <v>0</v>
      </c>
      <c r="R70" s="498">
        <f t="shared" si="22"/>
        <v>0</v>
      </c>
      <c r="S70" s="477">
        <f t="shared" si="23"/>
        <v>0</v>
      </c>
      <c r="T70" s="328"/>
      <c r="U70" s="1126"/>
      <c r="V70" s="1126"/>
      <c r="W70" s="1126"/>
      <c r="X70" s="1126"/>
      <c r="Y70" s="1126"/>
      <c r="Z70" s="1126"/>
      <c r="AA70" s="1179">
        <f t="shared" si="25"/>
        <v>0</v>
      </c>
      <c r="AB70" s="1179">
        <f t="shared" si="26"/>
        <v>0</v>
      </c>
    </row>
    <row r="71" spans="1:31" s="798" customFormat="1" ht="12.75" customHeight="1" x14ac:dyDescent="0.15">
      <c r="A71" s="505">
        <f t="shared" si="24"/>
        <v>1022</v>
      </c>
      <c r="B71" s="1531">
        <f t="shared" si="15"/>
        <v>0</v>
      </c>
      <c r="C71" s="1531"/>
      <c r="D71" s="1530">
        <f t="shared" si="16"/>
        <v>0</v>
      </c>
      <c r="E71" s="1530"/>
      <c r="F71" s="1530">
        <f t="shared" si="17"/>
        <v>0</v>
      </c>
      <c r="G71" s="1530"/>
      <c r="H71" s="497">
        <f t="shared" si="18"/>
        <v>0</v>
      </c>
      <c r="I71" s="1530">
        <f t="shared" si="19"/>
        <v>0</v>
      </c>
      <c r="J71" s="1530"/>
      <c r="K71" s="1530">
        <f t="shared" si="20"/>
        <v>0</v>
      </c>
      <c r="L71" s="1530"/>
      <c r="M71" s="1530"/>
      <c r="N71" s="1530"/>
      <c r="O71" s="1530"/>
      <c r="P71" s="1530"/>
      <c r="Q71" s="497">
        <f t="shared" si="21"/>
        <v>0</v>
      </c>
      <c r="R71" s="498">
        <f t="shared" si="22"/>
        <v>0</v>
      </c>
      <c r="S71" s="477">
        <f t="shared" si="23"/>
        <v>0</v>
      </c>
      <c r="T71" s="328"/>
      <c r="U71" s="1126"/>
      <c r="V71" s="1126"/>
      <c r="W71" s="1126"/>
      <c r="X71" s="1126"/>
      <c r="Y71" s="1126"/>
      <c r="Z71" s="1126"/>
      <c r="AA71" s="1179">
        <f t="shared" si="25"/>
        <v>0</v>
      </c>
      <c r="AB71" s="1179">
        <f t="shared" si="26"/>
        <v>0</v>
      </c>
    </row>
    <row r="72" spans="1:31" s="798" customFormat="1" ht="12.75" customHeight="1" x14ac:dyDescent="0.15">
      <c r="A72" s="505">
        <f t="shared" si="24"/>
        <v>1023</v>
      </c>
      <c r="B72" s="1531">
        <f t="shared" si="15"/>
        <v>0</v>
      </c>
      <c r="C72" s="1531"/>
      <c r="D72" s="1530">
        <f t="shared" si="16"/>
        <v>0</v>
      </c>
      <c r="E72" s="1530"/>
      <c r="F72" s="1530">
        <f t="shared" si="17"/>
        <v>0</v>
      </c>
      <c r="G72" s="1530"/>
      <c r="H72" s="497">
        <f t="shared" si="18"/>
        <v>0</v>
      </c>
      <c r="I72" s="1530">
        <f t="shared" si="19"/>
        <v>0</v>
      </c>
      <c r="J72" s="1530"/>
      <c r="K72" s="1530">
        <f t="shared" si="20"/>
        <v>0</v>
      </c>
      <c r="L72" s="1530"/>
      <c r="M72" s="1530"/>
      <c r="N72" s="1530"/>
      <c r="O72" s="1530"/>
      <c r="P72" s="1530"/>
      <c r="Q72" s="497">
        <f t="shared" si="21"/>
        <v>0</v>
      </c>
      <c r="R72" s="498">
        <f t="shared" si="22"/>
        <v>0</v>
      </c>
      <c r="S72" s="477">
        <f t="shared" si="23"/>
        <v>0</v>
      </c>
      <c r="T72" s="328"/>
      <c r="U72" s="1126"/>
      <c r="V72" s="1126"/>
      <c r="W72" s="1126"/>
      <c r="X72" s="1126"/>
      <c r="Y72" s="1126"/>
      <c r="Z72" s="1126"/>
      <c r="AA72" s="1179">
        <f t="shared" si="25"/>
        <v>0</v>
      </c>
      <c r="AB72" s="1179">
        <f t="shared" si="26"/>
        <v>0</v>
      </c>
    </row>
    <row r="73" spans="1:31" s="798" customFormat="1" ht="12.75" customHeight="1" x14ac:dyDescent="0.15">
      <c r="A73" s="505">
        <f t="shared" si="24"/>
        <v>1024</v>
      </c>
      <c r="B73" s="1531">
        <f t="shared" si="15"/>
        <v>0</v>
      </c>
      <c r="C73" s="1531"/>
      <c r="D73" s="1530">
        <f t="shared" si="16"/>
        <v>0</v>
      </c>
      <c r="E73" s="1530"/>
      <c r="F73" s="1530">
        <f t="shared" si="17"/>
        <v>0</v>
      </c>
      <c r="G73" s="1530"/>
      <c r="H73" s="497">
        <f t="shared" si="18"/>
        <v>0</v>
      </c>
      <c r="I73" s="1530">
        <f t="shared" si="19"/>
        <v>0</v>
      </c>
      <c r="J73" s="1530"/>
      <c r="K73" s="1530">
        <f t="shared" si="20"/>
        <v>0</v>
      </c>
      <c r="L73" s="1530"/>
      <c r="M73" s="1530"/>
      <c r="N73" s="1530"/>
      <c r="O73" s="1530"/>
      <c r="P73" s="1530"/>
      <c r="Q73" s="497">
        <f t="shared" si="21"/>
        <v>0</v>
      </c>
      <c r="R73" s="498">
        <f t="shared" si="22"/>
        <v>0</v>
      </c>
      <c r="S73" s="477">
        <f t="shared" si="23"/>
        <v>0</v>
      </c>
      <c r="T73" s="328"/>
      <c r="U73" s="1126"/>
      <c r="V73" s="1126"/>
      <c r="W73" s="1126"/>
      <c r="X73" s="1126"/>
      <c r="Y73" s="1126"/>
      <c r="Z73" s="1126"/>
      <c r="AA73" s="1179">
        <f t="shared" si="25"/>
        <v>0</v>
      </c>
      <c r="AB73" s="1179">
        <f t="shared" si="26"/>
        <v>0</v>
      </c>
    </row>
    <row r="74" spans="1:31" s="798" customFormat="1" ht="12.75" customHeight="1" x14ac:dyDescent="0.15">
      <c r="A74" s="505">
        <f t="shared" si="24"/>
        <v>1025</v>
      </c>
      <c r="B74" s="1531">
        <f t="shared" si="15"/>
        <v>0</v>
      </c>
      <c r="C74" s="1531"/>
      <c r="D74" s="1530">
        <f t="shared" si="16"/>
        <v>0</v>
      </c>
      <c r="E74" s="1530"/>
      <c r="F74" s="1530">
        <f t="shared" si="17"/>
        <v>0</v>
      </c>
      <c r="G74" s="1530"/>
      <c r="H74" s="497">
        <f t="shared" si="18"/>
        <v>0</v>
      </c>
      <c r="I74" s="1530">
        <f t="shared" si="19"/>
        <v>0</v>
      </c>
      <c r="J74" s="1530"/>
      <c r="K74" s="1530">
        <f t="shared" si="20"/>
        <v>0</v>
      </c>
      <c r="L74" s="1530"/>
      <c r="M74" s="1530"/>
      <c r="N74" s="1530"/>
      <c r="O74" s="1530"/>
      <c r="P74" s="1530"/>
      <c r="Q74" s="497">
        <f t="shared" si="21"/>
        <v>0</v>
      </c>
      <c r="R74" s="498">
        <f t="shared" si="22"/>
        <v>0</v>
      </c>
      <c r="S74" s="477">
        <f t="shared" si="23"/>
        <v>0</v>
      </c>
      <c r="T74" s="328"/>
      <c r="U74" s="1126"/>
      <c r="V74" s="1126"/>
      <c r="W74" s="1126"/>
      <c r="X74" s="1126"/>
      <c r="Y74" s="1126"/>
      <c r="Z74" s="1126"/>
      <c r="AA74" s="1179">
        <f t="shared" si="25"/>
        <v>0</v>
      </c>
      <c r="AB74" s="1179">
        <f t="shared" si="26"/>
        <v>0</v>
      </c>
    </row>
    <row r="75" spans="1:31" s="798" customFormat="1" ht="12.75" customHeight="1" x14ac:dyDescent="0.15">
      <c r="A75" s="505">
        <f t="shared" si="24"/>
        <v>1026</v>
      </c>
      <c r="B75" s="1531">
        <f t="shared" si="15"/>
        <v>0</v>
      </c>
      <c r="C75" s="1531"/>
      <c r="D75" s="1530">
        <f t="shared" si="16"/>
        <v>0</v>
      </c>
      <c r="E75" s="1530"/>
      <c r="F75" s="1530">
        <f t="shared" si="17"/>
        <v>0</v>
      </c>
      <c r="G75" s="1530"/>
      <c r="H75" s="497">
        <f t="shared" si="18"/>
        <v>0</v>
      </c>
      <c r="I75" s="1530">
        <f t="shared" si="19"/>
        <v>0</v>
      </c>
      <c r="J75" s="1530"/>
      <c r="K75" s="1530">
        <f t="shared" si="20"/>
        <v>0</v>
      </c>
      <c r="L75" s="1530"/>
      <c r="M75" s="1530"/>
      <c r="N75" s="1530"/>
      <c r="O75" s="1530"/>
      <c r="P75" s="1530"/>
      <c r="Q75" s="497">
        <f t="shared" si="21"/>
        <v>0</v>
      </c>
      <c r="R75" s="498">
        <f t="shared" si="22"/>
        <v>0</v>
      </c>
      <c r="S75" s="477">
        <f t="shared" si="23"/>
        <v>0</v>
      </c>
      <c r="T75" s="328"/>
      <c r="U75" s="1126"/>
      <c r="V75" s="1126"/>
      <c r="W75" s="1126"/>
      <c r="X75" s="1126"/>
      <c r="Y75" s="1126"/>
      <c r="Z75" s="1126"/>
      <c r="AA75" s="1179">
        <f t="shared" si="25"/>
        <v>0</v>
      </c>
      <c r="AB75" s="1179">
        <f t="shared" si="26"/>
        <v>0</v>
      </c>
    </row>
    <row r="76" spans="1:31" s="798" customFormat="1" ht="12.75" customHeight="1" x14ac:dyDescent="0.15">
      <c r="A76" s="505">
        <f t="shared" si="24"/>
        <v>1027</v>
      </c>
      <c r="B76" s="1531">
        <f t="shared" si="15"/>
        <v>0</v>
      </c>
      <c r="C76" s="1531"/>
      <c r="D76" s="1530">
        <f t="shared" si="16"/>
        <v>0</v>
      </c>
      <c r="E76" s="1530"/>
      <c r="F76" s="1530">
        <f t="shared" si="17"/>
        <v>0</v>
      </c>
      <c r="G76" s="1530"/>
      <c r="H76" s="497">
        <f t="shared" si="18"/>
        <v>0</v>
      </c>
      <c r="I76" s="1530">
        <f t="shared" si="19"/>
        <v>0</v>
      </c>
      <c r="J76" s="1530"/>
      <c r="K76" s="1530">
        <f t="shared" si="20"/>
        <v>0</v>
      </c>
      <c r="L76" s="1530"/>
      <c r="M76" s="1530"/>
      <c r="N76" s="1530"/>
      <c r="O76" s="1530"/>
      <c r="P76" s="1530"/>
      <c r="Q76" s="497">
        <f t="shared" si="21"/>
        <v>0</v>
      </c>
      <c r="R76" s="498">
        <f t="shared" si="22"/>
        <v>0</v>
      </c>
      <c r="S76" s="477">
        <f t="shared" si="23"/>
        <v>0</v>
      </c>
      <c r="T76" s="328"/>
      <c r="U76" s="1126"/>
      <c r="V76" s="1126"/>
      <c r="W76" s="1126"/>
      <c r="X76" s="1126"/>
      <c r="Y76" s="1126"/>
      <c r="Z76" s="1126"/>
      <c r="AA76" s="1179"/>
      <c r="AB76" s="1179"/>
    </row>
    <row r="77" spans="1:31" x14ac:dyDescent="0.15">
      <c r="A77" s="505">
        <f t="shared" si="24"/>
        <v>1028</v>
      </c>
      <c r="B77" s="499" t="s">
        <v>749</v>
      </c>
      <c r="C77" s="500"/>
      <c r="D77" s="500"/>
      <c r="E77" s="500"/>
      <c r="F77" s="500"/>
      <c r="G77" s="500"/>
      <c r="H77" s="500"/>
      <c r="I77" s="500"/>
      <c r="J77" s="500"/>
      <c r="K77" s="500"/>
      <c r="L77" s="500"/>
      <c r="M77" s="500"/>
      <c r="N77" s="500"/>
      <c r="O77" s="500"/>
      <c r="P77" s="500"/>
      <c r="Q77" s="501"/>
      <c r="R77" s="489">
        <f>SUM(R50:R76)</f>
        <v>0</v>
      </c>
      <c r="S77" s="489">
        <f>SUM(S50:S76)</f>
        <v>0</v>
      </c>
    </row>
    <row r="78" spans="1:31" s="798" customFormat="1" ht="18" customHeight="1" x14ac:dyDescent="0.15">
      <c r="A78" s="1125"/>
      <c r="B78" s="328"/>
      <c r="C78" s="328"/>
      <c r="D78" s="315"/>
      <c r="E78" s="315"/>
      <c r="F78" s="315"/>
      <c r="G78" s="315"/>
      <c r="H78" s="315"/>
      <c r="I78" s="315"/>
      <c r="J78" s="315"/>
      <c r="K78" s="315"/>
      <c r="L78" s="315"/>
      <c r="M78" s="315"/>
      <c r="N78" s="315"/>
      <c r="O78" s="315"/>
      <c r="P78" s="315"/>
      <c r="Q78" s="315"/>
      <c r="R78" s="315"/>
      <c r="S78" s="328"/>
      <c r="T78" s="328"/>
      <c r="U78" s="1127"/>
      <c r="V78" s="1127"/>
      <c r="W78" s="1127"/>
      <c r="X78" s="1127"/>
      <c r="Y78" s="1127"/>
      <c r="Z78" s="1127"/>
      <c r="AA78" s="1127"/>
      <c r="AB78" s="1127"/>
    </row>
    <row r="79" spans="1:31" x14ac:dyDescent="0.15">
      <c r="A79" s="880" t="str">
        <f>A2</f>
        <v>Rentenormeringsbalans 2012 algemene ziekenhuizen</v>
      </c>
      <c r="B79" s="318"/>
      <c r="C79" s="318"/>
      <c r="D79" s="318"/>
      <c r="E79" s="318"/>
      <c r="F79" s="318"/>
      <c r="G79" s="318"/>
      <c r="H79" s="318"/>
      <c r="I79" s="319">
        <v>0</v>
      </c>
      <c r="J79" s="319"/>
      <c r="K79" s="319"/>
      <c r="L79" s="320"/>
      <c r="M79" s="320"/>
      <c r="N79" s="319"/>
      <c r="O79" s="320"/>
      <c r="P79" s="320"/>
      <c r="Q79" s="319"/>
      <c r="R79" s="320"/>
      <c r="S79" s="320"/>
      <c r="T79" s="321">
        <f>T45+1</f>
        <v>11</v>
      </c>
    </row>
    <row r="80" spans="1:31" x14ac:dyDescent="0.15">
      <c r="B80" s="260"/>
      <c r="C80" s="260"/>
      <c r="D80" s="1145"/>
      <c r="E80" s="260"/>
      <c r="F80" s="260"/>
      <c r="G80" s="260"/>
      <c r="H80" s="1128"/>
      <c r="I80" s="1128"/>
      <c r="J80" s="1128"/>
      <c r="K80" s="1128"/>
      <c r="L80" s="1128"/>
      <c r="M80" s="1128"/>
      <c r="N80" s="1128"/>
      <c r="O80" s="1128"/>
      <c r="P80" s="1128"/>
      <c r="Q80" s="1128"/>
      <c r="R80" s="1128"/>
      <c r="AE80" s="328" t="s">
        <v>746</v>
      </c>
    </row>
    <row r="81" spans="1:28" x14ac:dyDescent="0.15">
      <c r="A81" s="1129"/>
      <c r="B81" s="1180" t="s">
        <v>509</v>
      </c>
      <c r="C81" s="1180" t="s">
        <v>735</v>
      </c>
      <c r="D81" s="1181" t="s">
        <v>510</v>
      </c>
      <c r="E81" s="1181" t="s">
        <v>738</v>
      </c>
      <c r="F81" s="1181" t="s">
        <v>332</v>
      </c>
      <c r="G81" s="1181" t="s">
        <v>511</v>
      </c>
      <c r="H81" s="1181" t="s">
        <v>734</v>
      </c>
      <c r="I81" s="1532" t="s">
        <v>543</v>
      </c>
      <c r="J81" s="1533"/>
      <c r="K81" s="1533"/>
      <c r="L81" s="1533"/>
      <c r="M81" s="1533"/>
      <c r="N81" s="1533"/>
      <c r="O81" s="1533"/>
      <c r="P81" s="1534"/>
      <c r="Q81" s="1180" t="s">
        <v>734</v>
      </c>
      <c r="R81" s="1181" t="s">
        <v>512</v>
      </c>
      <c r="S81" s="1181" t="s">
        <v>513</v>
      </c>
      <c r="T81" s="881" t="s">
        <v>514</v>
      </c>
    </row>
    <row r="82" spans="1:28" x14ac:dyDescent="0.15">
      <c r="A82" s="1129"/>
      <c r="B82" s="1182"/>
      <c r="C82" s="1182" t="s">
        <v>515</v>
      </c>
      <c r="D82" s="1183" t="s">
        <v>544</v>
      </c>
      <c r="E82" s="1183" t="s">
        <v>517</v>
      </c>
      <c r="F82" s="1183" t="s">
        <v>518</v>
      </c>
      <c r="G82" s="1183" t="s">
        <v>519</v>
      </c>
      <c r="H82" s="1138" t="str">
        <f>H5</f>
        <v>31-12-2011</v>
      </c>
      <c r="I82" s="1184" t="s">
        <v>520</v>
      </c>
      <c r="J82" s="1185" t="s">
        <v>736</v>
      </c>
      <c r="K82" s="1532" t="s">
        <v>737</v>
      </c>
      <c r="L82" s="1535"/>
      <c r="M82" s="1535"/>
      <c r="N82" s="1535"/>
      <c r="O82" s="1535"/>
      <c r="P82" s="1536"/>
      <c r="Q82" s="1138" t="str">
        <f>Q5</f>
        <v>31-12-2012</v>
      </c>
      <c r="R82" s="884" t="s">
        <v>521</v>
      </c>
      <c r="S82" s="884" t="s">
        <v>522</v>
      </c>
      <c r="T82" s="884" t="s">
        <v>522</v>
      </c>
    </row>
    <row r="83" spans="1:28" x14ac:dyDescent="0.15">
      <c r="A83" s="1142"/>
      <c r="B83" s="958"/>
      <c r="C83" s="958"/>
      <c r="D83" s="958"/>
      <c r="E83" s="958"/>
      <c r="F83" s="958"/>
      <c r="G83" s="958"/>
      <c r="H83" s="958"/>
      <c r="I83" s="958"/>
      <c r="J83" s="958"/>
      <c r="K83" s="958"/>
      <c r="L83" s="318"/>
      <c r="M83" s="958"/>
      <c r="N83" s="958"/>
      <c r="O83" s="958"/>
      <c r="P83" s="958"/>
      <c r="Q83" s="958"/>
      <c r="R83" s="958"/>
      <c r="S83" s="958"/>
      <c r="T83" s="958" t="s">
        <v>308</v>
      </c>
    </row>
    <row r="84" spans="1:28" x14ac:dyDescent="0.15">
      <c r="B84" s="1144" t="s">
        <v>545</v>
      </c>
      <c r="C84" s="1144"/>
      <c r="D84" s="1145"/>
      <c r="E84" s="260"/>
      <c r="F84" s="260"/>
      <c r="G84" s="260"/>
      <c r="H84" s="1128"/>
      <c r="I84" s="1128"/>
      <c r="J84" s="1128"/>
      <c r="K84" s="1128"/>
      <c r="L84" s="1128"/>
      <c r="M84" s="1128"/>
      <c r="N84" s="1128"/>
      <c r="O84" s="1128"/>
      <c r="P84" s="1128"/>
      <c r="Q84" s="1128"/>
      <c r="R84" s="1128"/>
      <c r="U84" s="1146">
        <f t="shared" ref="U84:U117" si="27">IF(K85&gt;0,1,0)</f>
        <v>0</v>
      </c>
      <c r="V84" s="1146">
        <f t="shared" ref="V84:V117" si="28">IF(L85&gt;0,1,0)</f>
        <v>0</v>
      </c>
      <c r="W84" s="1146">
        <f t="shared" ref="W84:W117" si="29">IF(M85&gt;0,1,0)</f>
        <v>0</v>
      </c>
      <c r="X84" s="1146">
        <f t="shared" ref="X84:X117" si="30">IF(N85&gt;0,1,0)</f>
        <v>0</v>
      </c>
      <c r="Y84" s="1146">
        <f t="shared" ref="Y84:Y117" si="31">IF(O85&gt;0,1,0)</f>
        <v>0</v>
      </c>
      <c r="Z84" s="1146">
        <f t="shared" ref="Z84:Z117" si="32">IF(P85&gt;0,1,0)</f>
        <v>0</v>
      </c>
      <c r="AA84" s="1146">
        <f t="shared" ref="AA84:AA118" si="33">SUM(U84:Z84)</f>
        <v>0</v>
      </c>
      <c r="AB84" s="1146">
        <f t="shared" ref="AB84:AB117" si="34">AA84*I85</f>
        <v>0</v>
      </c>
    </row>
    <row r="85" spans="1:28" x14ac:dyDescent="0.15">
      <c r="A85" s="505">
        <f>(100*T79)+1</f>
        <v>1101</v>
      </c>
      <c r="B85" s="502"/>
      <c r="C85" s="472"/>
      <c r="D85" s="472"/>
      <c r="E85" s="473"/>
      <c r="F85" s="473"/>
      <c r="G85" s="474"/>
      <c r="H85" s="475"/>
      <c r="I85" s="475"/>
      <c r="J85" s="476"/>
      <c r="K85" s="476"/>
      <c r="L85" s="476"/>
      <c r="M85" s="476"/>
      <c r="N85" s="476"/>
      <c r="O85" s="476"/>
      <c r="P85" s="476"/>
      <c r="Q85" s="477">
        <f t="shared" ref="Q85:Q118" si="35">H85-AB84</f>
        <v>0</v>
      </c>
      <c r="R85" s="477">
        <f t="shared" ref="R85:R118" si="36">R149</f>
        <v>0</v>
      </c>
      <c r="S85" s="477">
        <f t="shared" ref="S85:S139" si="37">R85*F85/100</f>
        <v>0</v>
      </c>
      <c r="T85" s="477">
        <f t="shared" ref="T85:T139" si="38">IF(G85="n",S85,E85/100*R85)</f>
        <v>0</v>
      </c>
      <c r="U85" s="1146">
        <f t="shared" si="27"/>
        <v>0</v>
      </c>
      <c r="V85" s="1146">
        <f t="shared" si="28"/>
        <v>0</v>
      </c>
      <c r="W85" s="1146">
        <f t="shared" si="29"/>
        <v>0</v>
      </c>
      <c r="X85" s="1146">
        <f t="shared" si="30"/>
        <v>0</v>
      </c>
      <c r="Y85" s="1146">
        <f t="shared" si="31"/>
        <v>0</v>
      </c>
      <c r="Z85" s="1146">
        <f t="shared" si="32"/>
        <v>0</v>
      </c>
      <c r="AA85" s="1146">
        <f t="shared" si="33"/>
        <v>0</v>
      </c>
      <c r="AB85" s="1146">
        <f t="shared" si="34"/>
        <v>0</v>
      </c>
    </row>
    <row r="86" spans="1:28" x14ac:dyDescent="0.15">
      <c r="A86" s="505">
        <f t="shared" ref="A86:A140" si="39">A85+1</f>
        <v>1102</v>
      </c>
      <c r="B86" s="502"/>
      <c r="C86" s="472"/>
      <c r="D86" s="472"/>
      <c r="E86" s="473"/>
      <c r="F86" s="478"/>
      <c r="G86" s="474"/>
      <c r="H86" s="475"/>
      <c r="I86" s="475"/>
      <c r="J86" s="476"/>
      <c r="K86" s="476"/>
      <c r="L86" s="476"/>
      <c r="M86" s="476"/>
      <c r="N86" s="476"/>
      <c r="O86" s="476"/>
      <c r="P86" s="476"/>
      <c r="Q86" s="477">
        <f t="shared" si="35"/>
        <v>0</v>
      </c>
      <c r="R86" s="477">
        <f t="shared" si="36"/>
        <v>0</v>
      </c>
      <c r="S86" s="477">
        <f t="shared" si="37"/>
        <v>0</v>
      </c>
      <c r="T86" s="477">
        <f t="shared" si="38"/>
        <v>0</v>
      </c>
      <c r="U86" s="1146">
        <f t="shared" si="27"/>
        <v>0</v>
      </c>
      <c r="V86" s="1146">
        <f t="shared" si="28"/>
        <v>0</v>
      </c>
      <c r="W86" s="1146">
        <f t="shared" si="29"/>
        <v>0</v>
      </c>
      <c r="X86" s="1146">
        <f t="shared" si="30"/>
        <v>0</v>
      </c>
      <c r="Y86" s="1146">
        <f t="shared" si="31"/>
        <v>0</v>
      </c>
      <c r="Z86" s="1146">
        <f t="shared" si="32"/>
        <v>0</v>
      </c>
      <c r="AA86" s="1146">
        <f t="shared" si="33"/>
        <v>0</v>
      </c>
      <c r="AB86" s="1146">
        <f t="shared" si="34"/>
        <v>0</v>
      </c>
    </row>
    <row r="87" spans="1:28" x14ac:dyDescent="0.15">
      <c r="A87" s="505">
        <f t="shared" si="39"/>
        <v>1103</v>
      </c>
      <c r="B87" s="502"/>
      <c r="C87" s="472"/>
      <c r="D87" s="472"/>
      <c r="E87" s="473"/>
      <c r="F87" s="478"/>
      <c r="G87" s="474"/>
      <c r="H87" s="475"/>
      <c r="I87" s="475"/>
      <c r="J87" s="476"/>
      <c r="K87" s="476"/>
      <c r="L87" s="476"/>
      <c r="M87" s="476"/>
      <c r="N87" s="476"/>
      <c r="O87" s="476"/>
      <c r="P87" s="476"/>
      <c r="Q87" s="477">
        <f t="shared" si="35"/>
        <v>0</v>
      </c>
      <c r="R87" s="477">
        <f t="shared" si="36"/>
        <v>0</v>
      </c>
      <c r="S87" s="477">
        <f t="shared" si="37"/>
        <v>0</v>
      </c>
      <c r="T87" s="477">
        <f t="shared" si="38"/>
        <v>0</v>
      </c>
      <c r="U87" s="1146">
        <f t="shared" si="27"/>
        <v>0</v>
      </c>
      <c r="V87" s="1146">
        <f t="shared" si="28"/>
        <v>0</v>
      </c>
      <c r="W87" s="1146">
        <f t="shared" si="29"/>
        <v>0</v>
      </c>
      <c r="X87" s="1146">
        <f t="shared" si="30"/>
        <v>0</v>
      </c>
      <c r="Y87" s="1146">
        <f t="shared" si="31"/>
        <v>0</v>
      </c>
      <c r="Z87" s="1146">
        <f t="shared" si="32"/>
        <v>0</v>
      </c>
      <c r="AA87" s="1146">
        <f t="shared" si="33"/>
        <v>0</v>
      </c>
      <c r="AB87" s="1146">
        <f t="shared" si="34"/>
        <v>0</v>
      </c>
    </row>
    <row r="88" spans="1:28" x14ac:dyDescent="0.15">
      <c r="A88" s="505">
        <f t="shared" si="39"/>
        <v>1104</v>
      </c>
      <c r="B88" s="502"/>
      <c r="C88" s="472"/>
      <c r="D88" s="472"/>
      <c r="E88" s="473"/>
      <c r="F88" s="478"/>
      <c r="G88" s="474"/>
      <c r="H88" s="475"/>
      <c r="I88" s="475"/>
      <c r="J88" s="476"/>
      <c r="K88" s="476"/>
      <c r="L88" s="476"/>
      <c r="M88" s="476"/>
      <c r="N88" s="476"/>
      <c r="O88" s="476"/>
      <c r="P88" s="476"/>
      <c r="Q88" s="477">
        <f t="shared" si="35"/>
        <v>0</v>
      </c>
      <c r="R88" s="477">
        <f t="shared" si="36"/>
        <v>0</v>
      </c>
      <c r="S88" s="477">
        <f t="shared" si="37"/>
        <v>0</v>
      </c>
      <c r="T88" s="477">
        <f t="shared" si="38"/>
        <v>0</v>
      </c>
      <c r="U88" s="1146">
        <f t="shared" si="27"/>
        <v>0</v>
      </c>
      <c r="V88" s="1146">
        <f t="shared" si="28"/>
        <v>0</v>
      </c>
      <c r="W88" s="1146">
        <f t="shared" si="29"/>
        <v>0</v>
      </c>
      <c r="X88" s="1146">
        <f t="shared" si="30"/>
        <v>0</v>
      </c>
      <c r="Y88" s="1146">
        <f t="shared" si="31"/>
        <v>0</v>
      </c>
      <c r="Z88" s="1146">
        <f t="shared" si="32"/>
        <v>0</v>
      </c>
      <c r="AA88" s="1146">
        <f t="shared" si="33"/>
        <v>0</v>
      </c>
      <c r="AB88" s="1146">
        <f t="shared" si="34"/>
        <v>0</v>
      </c>
    </row>
    <row r="89" spans="1:28" x14ac:dyDescent="0.15">
      <c r="A89" s="505">
        <f t="shared" si="39"/>
        <v>1105</v>
      </c>
      <c r="B89" s="502"/>
      <c r="C89" s="472"/>
      <c r="D89" s="472"/>
      <c r="E89" s="473"/>
      <c r="F89" s="478"/>
      <c r="G89" s="474"/>
      <c r="H89" s="475"/>
      <c r="I89" s="475"/>
      <c r="J89" s="476"/>
      <c r="K89" s="476"/>
      <c r="L89" s="476"/>
      <c r="M89" s="476"/>
      <c r="N89" s="476"/>
      <c r="O89" s="476"/>
      <c r="P89" s="476"/>
      <c r="Q89" s="477">
        <f t="shared" si="35"/>
        <v>0</v>
      </c>
      <c r="R89" s="477">
        <f t="shared" si="36"/>
        <v>0</v>
      </c>
      <c r="S89" s="477">
        <f t="shared" si="37"/>
        <v>0</v>
      </c>
      <c r="T89" s="477">
        <f t="shared" si="38"/>
        <v>0</v>
      </c>
      <c r="U89" s="1146">
        <f t="shared" si="27"/>
        <v>0</v>
      </c>
      <c r="V89" s="1146">
        <f t="shared" si="28"/>
        <v>0</v>
      </c>
      <c r="W89" s="1146">
        <f t="shared" si="29"/>
        <v>0</v>
      </c>
      <c r="X89" s="1146">
        <f t="shared" si="30"/>
        <v>0</v>
      </c>
      <c r="Y89" s="1146">
        <f t="shared" si="31"/>
        <v>0</v>
      </c>
      <c r="Z89" s="1146">
        <f t="shared" si="32"/>
        <v>0</v>
      </c>
      <c r="AA89" s="1146">
        <f t="shared" si="33"/>
        <v>0</v>
      </c>
      <c r="AB89" s="1146">
        <f t="shared" si="34"/>
        <v>0</v>
      </c>
    </row>
    <row r="90" spans="1:28" x14ac:dyDescent="0.15">
      <c r="A90" s="505">
        <f t="shared" si="39"/>
        <v>1106</v>
      </c>
      <c r="B90" s="502"/>
      <c r="C90" s="472"/>
      <c r="D90" s="472"/>
      <c r="E90" s="473"/>
      <c r="F90" s="478"/>
      <c r="G90" s="474"/>
      <c r="H90" s="475"/>
      <c r="I90" s="475"/>
      <c r="J90" s="476"/>
      <c r="K90" s="476"/>
      <c r="L90" s="476"/>
      <c r="M90" s="476"/>
      <c r="N90" s="476"/>
      <c r="O90" s="476"/>
      <c r="P90" s="476"/>
      <c r="Q90" s="477">
        <f t="shared" si="35"/>
        <v>0</v>
      </c>
      <c r="R90" s="477">
        <f t="shared" si="36"/>
        <v>0</v>
      </c>
      <c r="S90" s="477">
        <f t="shared" si="37"/>
        <v>0</v>
      </c>
      <c r="T90" s="477">
        <f t="shared" si="38"/>
        <v>0</v>
      </c>
      <c r="U90" s="1146">
        <f t="shared" si="27"/>
        <v>0</v>
      </c>
      <c r="V90" s="1146">
        <f t="shared" si="28"/>
        <v>0</v>
      </c>
      <c r="W90" s="1146">
        <f t="shared" si="29"/>
        <v>0</v>
      </c>
      <c r="X90" s="1146">
        <f t="shared" si="30"/>
        <v>0</v>
      </c>
      <c r="Y90" s="1146">
        <f t="shared" si="31"/>
        <v>0</v>
      </c>
      <c r="Z90" s="1146">
        <f t="shared" si="32"/>
        <v>0</v>
      </c>
      <c r="AA90" s="1146">
        <f t="shared" si="33"/>
        <v>0</v>
      </c>
      <c r="AB90" s="1146">
        <f t="shared" si="34"/>
        <v>0</v>
      </c>
    </row>
    <row r="91" spans="1:28" x14ac:dyDescent="0.15">
      <c r="A91" s="505">
        <f t="shared" si="39"/>
        <v>1107</v>
      </c>
      <c r="B91" s="502"/>
      <c r="C91" s="472"/>
      <c r="D91" s="472"/>
      <c r="E91" s="473"/>
      <c r="F91" s="478"/>
      <c r="G91" s="474"/>
      <c r="H91" s="475"/>
      <c r="I91" s="475"/>
      <c r="J91" s="476"/>
      <c r="K91" s="476"/>
      <c r="L91" s="476"/>
      <c r="M91" s="476"/>
      <c r="N91" s="476"/>
      <c r="O91" s="476"/>
      <c r="P91" s="476"/>
      <c r="Q91" s="477">
        <f t="shared" si="35"/>
        <v>0</v>
      </c>
      <c r="R91" s="477">
        <f t="shared" si="36"/>
        <v>0</v>
      </c>
      <c r="S91" s="477">
        <f t="shared" si="37"/>
        <v>0</v>
      </c>
      <c r="T91" s="477">
        <f t="shared" si="38"/>
        <v>0</v>
      </c>
      <c r="U91" s="1146">
        <f t="shared" si="27"/>
        <v>0</v>
      </c>
      <c r="V91" s="1146">
        <f t="shared" si="28"/>
        <v>0</v>
      </c>
      <c r="W91" s="1146">
        <f t="shared" si="29"/>
        <v>0</v>
      </c>
      <c r="X91" s="1146">
        <f t="shared" si="30"/>
        <v>0</v>
      </c>
      <c r="Y91" s="1146">
        <f t="shared" si="31"/>
        <v>0</v>
      </c>
      <c r="Z91" s="1146">
        <f t="shared" si="32"/>
        <v>0</v>
      </c>
      <c r="AA91" s="1146">
        <f t="shared" si="33"/>
        <v>0</v>
      </c>
      <c r="AB91" s="1146">
        <f t="shared" si="34"/>
        <v>0</v>
      </c>
    </row>
    <row r="92" spans="1:28" x14ac:dyDescent="0.15">
      <c r="A92" s="505">
        <f t="shared" si="39"/>
        <v>1108</v>
      </c>
      <c r="B92" s="502"/>
      <c r="C92" s="472"/>
      <c r="D92" s="472"/>
      <c r="E92" s="473"/>
      <c r="F92" s="478"/>
      <c r="G92" s="474"/>
      <c r="H92" s="475"/>
      <c r="I92" s="475"/>
      <c r="J92" s="476"/>
      <c r="K92" s="476"/>
      <c r="L92" s="476"/>
      <c r="M92" s="476"/>
      <c r="N92" s="476"/>
      <c r="O92" s="476"/>
      <c r="P92" s="476"/>
      <c r="Q92" s="477">
        <f t="shared" si="35"/>
        <v>0</v>
      </c>
      <c r="R92" s="477">
        <f t="shared" si="36"/>
        <v>0</v>
      </c>
      <c r="S92" s="477">
        <f t="shared" si="37"/>
        <v>0</v>
      </c>
      <c r="T92" s="477">
        <f t="shared" si="38"/>
        <v>0</v>
      </c>
      <c r="U92" s="1146">
        <f t="shared" si="27"/>
        <v>0</v>
      </c>
      <c r="V92" s="1146">
        <f t="shared" si="28"/>
        <v>0</v>
      </c>
      <c r="W92" s="1146">
        <f t="shared" si="29"/>
        <v>0</v>
      </c>
      <c r="X92" s="1146">
        <f t="shared" si="30"/>
        <v>0</v>
      </c>
      <c r="Y92" s="1146">
        <f t="shared" si="31"/>
        <v>0</v>
      </c>
      <c r="Z92" s="1146">
        <f t="shared" si="32"/>
        <v>0</v>
      </c>
      <c r="AA92" s="1146">
        <f t="shared" si="33"/>
        <v>0</v>
      </c>
      <c r="AB92" s="1146">
        <f t="shared" si="34"/>
        <v>0</v>
      </c>
    </row>
    <row r="93" spans="1:28" x14ac:dyDescent="0.15">
      <c r="A93" s="505">
        <f t="shared" si="39"/>
        <v>1109</v>
      </c>
      <c r="B93" s="502"/>
      <c r="C93" s="472"/>
      <c r="D93" s="472"/>
      <c r="E93" s="473"/>
      <c r="F93" s="478"/>
      <c r="G93" s="474"/>
      <c r="H93" s="475"/>
      <c r="I93" s="475"/>
      <c r="J93" s="476"/>
      <c r="K93" s="476"/>
      <c r="L93" s="476"/>
      <c r="M93" s="476"/>
      <c r="N93" s="476"/>
      <c r="O93" s="476"/>
      <c r="P93" s="476"/>
      <c r="Q93" s="477">
        <f t="shared" si="35"/>
        <v>0</v>
      </c>
      <c r="R93" s="477">
        <f t="shared" si="36"/>
        <v>0</v>
      </c>
      <c r="S93" s="477">
        <f t="shared" si="37"/>
        <v>0</v>
      </c>
      <c r="T93" s="477">
        <f t="shared" si="38"/>
        <v>0</v>
      </c>
      <c r="U93" s="1146">
        <f t="shared" si="27"/>
        <v>0</v>
      </c>
      <c r="V93" s="1146">
        <f t="shared" si="28"/>
        <v>0</v>
      </c>
      <c r="W93" s="1146">
        <f t="shared" si="29"/>
        <v>0</v>
      </c>
      <c r="X93" s="1146">
        <f t="shared" si="30"/>
        <v>0</v>
      </c>
      <c r="Y93" s="1146">
        <f t="shared" si="31"/>
        <v>0</v>
      </c>
      <c r="Z93" s="1146">
        <f t="shared" si="32"/>
        <v>0</v>
      </c>
      <c r="AA93" s="1146">
        <f t="shared" si="33"/>
        <v>0</v>
      </c>
      <c r="AB93" s="1146">
        <f t="shared" si="34"/>
        <v>0</v>
      </c>
    </row>
    <row r="94" spans="1:28" x14ac:dyDescent="0.15">
      <c r="A94" s="505">
        <f t="shared" si="39"/>
        <v>1110</v>
      </c>
      <c r="B94" s="502"/>
      <c r="C94" s="472"/>
      <c r="D94" s="472"/>
      <c r="E94" s="473"/>
      <c r="F94" s="478"/>
      <c r="G94" s="474"/>
      <c r="H94" s="475"/>
      <c r="I94" s="475"/>
      <c r="J94" s="476"/>
      <c r="K94" s="476"/>
      <c r="L94" s="476"/>
      <c r="M94" s="476"/>
      <c r="N94" s="476"/>
      <c r="O94" s="476"/>
      <c r="P94" s="476"/>
      <c r="Q94" s="477">
        <f t="shared" si="35"/>
        <v>0</v>
      </c>
      <c r="R94" s="477">
        <f t="shared" si="36"/>
        <v>0</v>
      </c>
      <c r="S94" s="477">
        <f t="shared" si="37"/>
        <v>0</v>
      </c>
      <c r="T94" s="477">
        <f t="shared" si="38"/>
        <v>0</v>
      </c>
      <c r="U94" s="1146">
        <f t="shared" si="27"/>
        <v>0</v>
      </c>
      <c r="V94" s="1146">
        <f t="shared" si="28"/>
        <v>0</v>
      </c>
      <c r="W94" s="1146">
        <f t="shared" si="29"/>
        <v>0</v>
      </c>
      <c r="X94" s="1146">
        <f t="shared" si="30"/>
        <v>0</v>
      </c>
      <c r="Y94" s="1146">
        <f t="shared" si="31"/>
        <v>0</v>
      </c>
      <c r="Z94" s="1146">
        <f t="shared" si="32"/>
        <v>0</v>
      </c>
      <c r="AA94" s="1146">
        <f t="shared" si="33"/>
        <v>0</v>
      </c>
      <c r="AB94" s="1146">
        <f t="shared" si="34"/>
        <v>0</v>
      </c>
    </row>
    <row r="95" spans="1:28" x14ac:dyDescent="0.15">
      <c r="A95" s="505">
        <f t="shared" si="39"/>
        <v>1111</v>
      </c>
      <c r="B95" s="502"/>
      <c r="C95" s="472"/>
      <c r="D95" s="472"/>
      <c r="E95" s="473"/>
      <c r="F95" s="478"/>
      <c r="G95" s="474"/>
      <c r="H95" s="475"/>
      <c r="I95" s="475"/>
      <c r="J95" s="476"/>
      <c r="K95" s="476"/>
      <c r="L95" s="476"/>
      <c r="M95" s="476"/>
      <c r="N95" s="476"/>
      <c r="O95" s="476"/>
      <c r="P95" s="476"/>
      <c r="Q95" s="477">
        <f t="shared" si="35"/>
        <v>0</v>
      </c>
      <c r="R95" s="477">
        <f t="shared" si="36"/>
        <v>0</v>
      </c>
      <c r="S95" s="477">
        <f t="shared" si="37"/>
        <v>0</v>
      </c>
      <c r="T95" s="477">
        <f t="shared" si="38"/>
        <v>0</v>
      </c>
      <c r="U95" s="1146">
        <f t="shared" si="27"/>
        <v>0</v>
      </c>
      <c r="V95" s="1146">
        <f t="shared" si="28"/>
        <v>0</v>
      </c>
      <c r="W95" s="1146">
        <f t="shared" si="29"/>
        <v>0</v>
      </c>
      <c r="X95" s="1146">
        <f t="shared" si="30"/>
        <v>0</v>
      </c>
      <c r="Y95" s="1146">
        <f t="shared" si="31"/>
        <v>0</v>
      </c>
      <c r="Z95" s="1146">
        <f t="shared" si="32"/>
        <v>0</v>
      </c>
      <c r="AA95" s="1146">
        <f t="shared" si="33"/>
        <v>0</v>
      </c>
      <c r="AB95" s="1146">
        <f t="shared" si="34"/>
        <v>0</v>
      </c>
    </row>
    <row r="96" spans="1:28" x14ac:dyDescent="0.15">
      <c r="A96" s="505">
        <f t="shared" si="39"/>
        <v>1112</v>
      </c>
      <c r="B96" s="502"/>
      <c r="C96" s="472"/>
      <c r="D96" s="472"/>
      <c r="E96" s="473"/>
      <c r="F96" s="478"/>
      <c r="G96" s="474"/>
      <c r="H96" s="475"/>
      <c r="I96" s="475"/>
      <c r="J96" s="476"/>
      <c r="K96" s="476"/>
      <c r="L96" s="476"/>
      <c r="M96" s="476"/>
      <c r="N96" s="476"/>
      <c r="O96" s="476"/>
      <c r="P96" s="476"/>
      <c r="Q96" s="477">
        <f t="shared" si="35"/>
        <v>0</v>
      </c>
      <c r="R96" s="477">
        <f t="shared" si="36"/>
        <v>0</v>
      </c>
      <c r="S96" s="477">
        <f t="shared" si="37"/>
        <v>0</v>
      </c>
      <c r="T96" s="477">
        <f t="shared" si="38"/>
        <v>0</v>
      </c>
      <c r="U96" s="1146">
        <f t="shared" si="27"/>
        <v>0</v>
      </c>
      <c r="V96" s="1146">
        <f t="shared" si="28"/>
        <v>0</v>
      </c>
      <c r="W96" s="1146">
        <f t="shared" si="29"/>
        <v>0</v>
      </c>
      <c r="X96" s="1146">
        <f t="shared" si="30"/>
        <v>0</v>
      </c>
      <c r="Y96" s="1146">
        <f t="shared" si="31"/>
        <v>0</v>
      </c>
      <c r="Z96" s="1146">
        <f t="shared" si="32"/>
        <v>0</v>
      </c>
      <c r="AA96" s="1146">
        <f t="shared" si="33"/>
        <v>0</v>
      </c>
      <c r="AB96" s="1146">
        <f t="shared" si="34"/>
        <v>0</v>
      </c>
    </row>
    <row r="97" spans="1:28" x14ac:dyDescent="0.15">
      <c r="A97" s="505">
        <f t="shared" si="39"/>
        <v>1113</v>
      </c>
      <c r="B97" s="502"/>
      <c r="C97" s="472"/>
      <c r="D97" s="472"/>
      <c r="E97" s="473"/>
      <c r="F97" s="478"/>
      <c r="G97" s="474"/>
      <c r="H97" s="475"/>
      <c r="I97" s="475"/>
      <c r="J97" s="476"/>
      <c r="K97" s="476"/>
      <c r="L97" s="476"/>
      <c r="M97" s="476"/>
      <c r="N97" s="476"/>
      <c r="O97" s="476"/>
      <c r="P97" s="476"/>
      <c r="Q97" s="477">
        <f t="shared" si="35"/>
        <v>0</v>
      </c>
      <c r="R97" s="477">
        <f t="shared" si="36"/>
        <v>0</v>
      </c>
      <c r="S97" s="477">
        <f t="shared" si="37"/>
        <v>0</v>
      </c>
      <c r="T97" s="477">
        <f t="shared" si="38"/>
        <v>0</v>
      </c>
      <c r="U97" s="1146">
        <f t="shared" si="27"/>
        <v>0</v>
      </c>
      <c r="V97" s="1146">
        <f t="shared" si="28"/>
        <v>0</v>
      </c>
      <c r="W97" s="1146">
        <f t="shared" si="29"/>
        <v>0</v>
      </c>
      <c r="X97" s="1146">
        <f t="shared" si="30"/>
        <v>0</v>
      </c>
      <c r="Y97" s="1146">
        <f t="shared" si="31"/>
        <v>0</v>
      </c>
      <c r="Z97" s="1146">
        <f t="shared" si="32"/>
        <v>0</v>
      </c>
      <c r="AA97" s="1146">
        <f t="shared" si="33"/>
        <v>0</v>
      </c>
      <c r="AB97" s="1146">
        <f t="shared" si="34"/>
        <v>0</v>
      </c>
    </row>
    <row r="98" spans="1:28" x14ac:dyDescent="0.15">
      <c r="A98" s="505">
        <f t="shared" si="39"/>
        <v>1114</v>
      </c>
      <c r="B98" s="502"/>
      <c r="C98" s="472"/>
      <c r="D98" s="472"/>
      <c r="E98" s="479"/>
      <c r="F98" s="480"/>
      <c r="G98" s="481"/>
      <c r="H98" s="475"/>
      <c r="I98" s="475"/>
      <c r="J98" s="476"/>
      <c r="K98" s="476"/>
      <c r="L98" s="476"/>
      <c r="M98" s="476"/>
      <c r="N98" s="476"/>
      <c r="O98" s="476"/>
      <c r="P98" s="476"/>
      <c r="Q98" s="477">
        <f t="shared" si="35"/>
        <v>0</v>
      </c>
      <c r="R98" s="477">
        <f t="shared" si="36"/>
        <v>0</v>
      </c>
      <c r="S98" s="477">
        <f t="shared" si="37"/>
        <v>0</v>
      </c>
      <c r="T98" s="477">
        <f t="shared" si="38"/>
        <v>0</v>
      </c>
      <c r="U98" s="1146">
        <f t="shared" si="27"/>
        <v>0</v>
      </c>
      <c r="V98" s="1146">
        <f t="shared" si="28"/>
        <v>0</v>
      </c>
      <c r="W98" s="1146">
        <f t="shared" si="29"/>
        <v>0</v>
      </c>
      <c r="X98" s="1146">
        <f t="shared" si="30"/>
        <v>0</v>
      </c>
      <c r="Y98" s="1146">
        <f t="shared" si="31"/>
        <v>0</v>
      </c>
      <c r="Z98" s="1146">
        <f t="shared" si="32"/>
        <v>0</v>
      </c>
      <c r="AA98" s="1146">
        <f t="shared" si="33"/>
        <v>0</v>
      </c>
      <c r="AB98" s="1146">
        <f t="shared" si="34"/>
        <v>0</v>
      </c>
    </row>
    <row r="99" spans="1:28" x14ac:dyDescent="0.15">
      <c r="A99" s="505">
        <f t="shared" si="39"/>
        <v>1115</v>
      </c>
      <c r="B99" s="502"/>
      <c r="C99" s="472"/>
      <c r="D99" s="472"/>
      <c r="E99" s="473"/>
      <c r="F99" s="478"/>
      <c r="G99" s="474"/>
      <c r="H99" s="475"/>
      <c r="I99" s="475"/>
      <c r="J99" s="476"/>
      <c r="K99" s="476"/>
      <c r="L99" s="476"/>
      <c r="M99" s="476"/>
      <c r="N99" s="476"/>
      <c r="O99" s="476"/>
      <c r="P99" s="476"/>
      <c r="Q99" s="477">
        <f t="shared" si="35"/>
        <v>0</v>
      </c>
      <c r="R99" s="477">
        <f t="shared" si="36"/>
        <v>0</v>
      </c>
      <c r="S99" s="477">
        <f t="shared" si="37"/>
        <v>0</v>
      </c>
      <c r="T99" s="477">
        <f t="shared" si="38"/>
        <v>0</v>
      </c>
      <c r="U99" s="1146">
        <f t="shared" si="27"/>
        <v>0</v>
      </c>
      <c r="V99" s="1146">
        <f t="shared" si="28"/>
        <v>0</v>
      </c>
      <c r="W99" s="1146">
        <f t="shared" si="29"/>
        <v>0</v>
      </c>
      <c r="X99" s="1146">
        <f t="shared" si="30"/>
        <v>0</v>
      </c>
      <c r="Y99" s="1146">
        <f t="shared" si="31"/>
        <v>0</v>
      </c>
      <c r="Z99" s="1146">
        <f t="shared" si="32"/>
        <v>0</v>
      </c>
      <c r="AA99" s="1146">
        <f t="shared" si="33"/>
        <v>0</v>
      </c>
      <c r="AB99" s="1146">
        <f t="shared" si="34"/>
        <v>0</v>
      </c>
    </row>
    <row r="100" spans="1:28" x14ac:dyDescent="0.15">
      <c r="A100" s="505">
        <f t="shared" si="39"/>
        <v>1116</v>
      </c>
      <c r="B100" s="502"/>
      <c r="C100" s="472"/>
      <c r="D100" s="472"/>
      <c r="E100" s="473"/>
      <c r="F100" s="478"/>
      <c r="G100" s="474"/>
      <c r="H100" s="475"/>
      <c r="I100" s="475"/>
      <c r="J100" s="476"/>
      <c r="K100" s="476"/>
      <c r="L100" s="476"/>
      <c r="M100" s="476"/>
      <c r="N100" s="476"/>
      <c r="O100" s="476"/>
      <c r="P100" s="476"/>
      <c r="Q100" s="477">
        <f t="shared" si="35"/>
        <v>0</v>
      </c>
      <c r="R100" s="477">
        <f t="shared" si="36"/>
        <v>0</v>
      </c>
      <c r="S100" s="477">
        <f t="shared" si="37"/>
        <v>0</v>
      </c>
      <c r="T100" s="477">
        <f t="shared" si="38"/>
        <v>0</v>
      </c>
      <c r="U100" s="1146">
        <f t="shared" si="27"/>
        <v>0</v>
      </c>
      <c r="V100" s="1146">
        <f t="shared" si="28"/>
        <v>0</v>
      </c>
      <c r="W100" s="1146">
        <f t="shared" si="29"/>
        <v>0</v>
      </c>
      <c r="X100" s="1146">
        <f t="shared" si="30"/>
        <v>0</v>
      </c>
      <c r="Y100" s="1146">
        <f t="shared" si="31"/>
        <v>0</v>
      </c>
      <c r="Z100" s="1146">
        <f t="shared" si="32"/>
        <v>0</v>
      </c>
      <c r="AA100" s="1146">
        <f t="shared" si="33"/>
        <v>0</v>
      </c>
      <c r="AB100" s="1146">
        <f t="shared" si="34"/>
        <v>0</v>
      </c>
    </row>
    <row r="101" spans="1:28" x14ac:dyDescent="0.15">
      <c r="A101" s="505">
        <f t="shared" si="39"/>
        <v>1117</v>
      </c>
      <c r="B101" s="502"/>
      <c r="C101" s="472"/>
      <c r="D101" s="472"/>
      <c r="E101" s="473"/>
      <c r="F101" s="478"/>
      <c r="G101" s="474"/>
      <c r="H101" s="475"/>
      <c r="I101" s="475"/>
      <c r="J101" s="476"/>
      <c r="K101" s="476"/>
      <c r="L101" s="476"/>
      <c r="M101" s="476"/>
      <c r="N101" s="476"/>
      <c r="O101" s="476"/>
      <c r="P101" s="476"/>
      <c r="Q101" s="477">
        <f t="shared" si="35"/>
        <v>0</v>
      </c>
      <c r="R101" s="477">
        <f t="shared" si="36"/>
        <v>0</v>
      </c>
      <c r="S101" s="477">
        <f t="shared" si="37"/>
        <v>0</v>
      </c>
      <c r="T101" s="477">
        <f t="shared" si="38"/>
        <v>0</v>
      </c>
      <c r="U101" s="1146">
        <f t="shared" si="27"/>
        <v>0</v>
      </c>
      <c r="V101" s="1146">
        <f t="shared" si="28"/>
        <v>0</v>
      </c>
      <c r="W101" s="1146">
        <f t="shared" si="29"/>
        <v>0</v>
      </c>
      <c r="X101" s="1146">
        <f t="shared" si="30"/>
        <v>0</v>
      </c>
      <c r="Y101" s="1146">
        <f t="shared" si="31"/>
        <v>0</v>
      </c>
      <c r="Z101" s="1146">
        <f t="shared" si="32"/>
        <v>0</v>
      </c>
      <c r="AA101" s="1146">
        <f t="shared" si="33"/>
        <v>0</v>
      </c>
      <c r="AB101" s="1146">
        <f t="shared" si="34"/>
        <v>0</v>
      </c>
    </row>
    <row r="102" spans="1:28" x14ac:dyDescent="0.15">
      <c r="A102" s="505">
        <f t="shared" si="39"/>
        <v>1118</v>
      </c>
      <c r="B102" s="502"/>
      <c r="C102" s="472"/>
      <c r="D102" s="472"/>
      <c r="E102" s="473"/>
      <c r="F102" s="478"/>
      <c r="G102" s="474"/>
      <c r="H102" s="475"/>
      <c r="I102" s="475"/>
      <c r="J102" s="476"/>
      <c r="K102" s="476"/>
      <c r="L102" s="476"/>
      <c r="M102" s="476"/>
      <c r="N102" s="476"/>
      <c r="O102" s="476"/>
      <c r="P102" s="476"/>
      <c r="Q102" s="477">
        <f t="shared" si="35"/>
        <v>0</v>
      </c>
      <c r="R102" s="477">
        <f t="shared" si="36"/>
        <v>0</v>
      </c>
      <c r="S102" s="477">
        <f t="shared" si="37"/>
        <v>0</v>
      </c>
      <c r="T102" s="477">
        <f t="shared" si="38"/>
        <v>0</v>
      </c>
      <c r="U102" s="1146">
        <f t="shared" si="27"/>
        <v>0</v>
      </c>
      <c r="V102" s="1146">
        <f t="shared" si="28"/>
        <v>0</v>
      </c>
      <c r="W102" s="1146">
        <f t="shared" si="29"/>
        <v>0</v>
      </c>
      <c r="X102" s="1146">
        <f t="shared" si="30"/>
        <v>0</v>
      </c>
      <c r="Y102" s="1146">
        <f t="shared" si="31"/>
        <v>0</v>
      </c>
      <c r="Z102" s="1146">
        <f t="shared" si="32"/>
        <v>0</v>
      </c>
      <c r="AA102" s="1146">
        <f t="shared" si="33"/>
        <v>0</v>
      </c>
      <c r="AB102" s="1146">
        <f t="shared" si="34"/>
        <v>0</v>
      </c>
    </row>
    <row r="103" spans="1:28" x14ac:dyDescent="0.15">
      <c r="A103" s="505">
        <f t="shared" si="39"/>
        <v>1119</v>
      </c>
      <c r="B103" s="502"/>
      <c r="C103" s="472"/>
      <c r="D103" s="472"/>
      <c r="E103" s="473"/>
      <c r="F103" s="478"/>
      <c r="G103" s="474"/>
      <c r="H103" s="475"/>
      <c r="I103" s="475"/>
      <c r="J103" s="476"/>
      <c r="K103" s="476"/>
      <c r="L103" s="476"/>
      <c r="M103" s="476"/>
      <c r="N103" s="476"/>
      <c r="O103" s="476"/>
      <c r="P103" s="476"/>
      <c r="Q103" s="477">
        <f t="shared" si="35"/>
        <v>0</v>
      </c>
      <c r="R103" s="477">
        <f t="shared" si="36"/>
        <v>0</v>
      </c>
      <c r="S103" s="477">
        <f t="shared" si="37"/>
        <v>0</v>
      </c>
      <c r="T103" s="477">
        <f t="shared" si="38"/>
        <v>0</v>
      </c>
      <c r="U103" s="1146">
        <f t="shared" si="27"/>
        <v>0</v>
      </c>
      <c r="V103" s="1146">
        <f t="shared" si="28"/>
        <v>0</v>
      </c>
      <c r="W103" s="1146">
        <f t="shared" si="29"/>
        <v>0</v>
      </c>
      <c r="X103" s="1146">
        <f t="shared" si="30"/>
        <v>0</v>
      </c>
      <c r="Y103" s="1146">
        <f t="shared" si="31"/>
        <v>0</v>
      </c>
      <c r="Z103" s="1146">
        <f t="shared" si="32"/>
        <v>0</v>
      </c>
      <c r="AA103" s="1146">
        <f t="shared" si="33"/>
        <v>0</v>
      </c>
      <c r="AB103" s="1146">
        <f t="shared" si="34"/>
        <v>0</v>
      </c>
    </row>
    <row r="104" spans="1:28" x14ac:dyDescent="0.15">
      <c r="A104" s="505">
        <f t="shared" si="39"/>
        <v>1120</v>
      </c>
      <c r="B104" s="502"/>
      <c r="C104" s="472"/>
      <c r="D104" s="472"/>
      <c r="E104" s="473"/>
      <c r="F104" s="478"/>
      <c r="G104" s="474"/>
      <c r="H104" s="475"/>
      <c r="I104" s="475"/>
      <c r="J104" s="476"/>
      <c r="K104" s="476"/>
      <c r="L104" s="476"/>
      <c r="M104" s="476"/>
      <c r="N104" s="476"/>
      <c r="O104" s="476"/>
      <c r="P104" s="476"/>
      <c r="Q104" s="477">
        <f t="shared" si="35"/>
        <v>0</v>
      </c>
      <c r="R104" s="477">
        <f t="shared" si="36"/>
        <v>0</v>
      </c>
      <c r="S104" s="477">
        <f t="shared" si="37"/>
        <v>0</v>
      </c>
      <c r="T104" s="477">
        <f t="shared" si="38"/>
        <v>0</v>
      </c>
      <c r="U104" s="1146">
        <f t="shared" si="27"/>
        <v>0</v>
      </c>
      <c r="V104" s="1146">
        <f t="shared" si="28"/>
        <v>0</v>
      </c>
      <c r="W104" s="1146">
        <f t="shared" si="29"/>
        <v>0</v>
      </c>
      <c r="X104" s="1146">
        <f t="shared" si="30"/>
        <v>0</v>
      </c>
      <c r="Y104" s="1146">
        <f t="shared" si="31"/>
        <v>0</v>
      </c>
      <c r="Z104" s="1146">
        <f t="shared" si="32"/>
        <v>0</v>
      </c>
      <c r="AA104" s="1146">
        <f t="shared" si="33"/>
        <v>0</v>
      </c>
      <c r="AB104" s="1146">
        <f t="shared" si="34"/>
        <v>0</v>
      </c>
    </row>
    <row r="105" spans="1:28" x14ac:dyDescent="0.15">
      <c r="A105" s="505">
        <f t="shared" si="39"/>
        <v>1121</v>
      </c>
      <c r="B105" s="502"/>
      <c r="C105" s="472"/>
      <c r="D105" s="472"/>
      <c r="E105" s="473"/>
      <c r="F105" s="478"/>
      <c r="G105" s="474"/>
      <c r="H105" s="475"/>
      <c r="I105" s="475"/>
      <c r="J105" s="476"/>
      <c r="K105" s="476"/>
      <c r="L105" s="476"/>
      <c r="M105" s="476"/>
      <c r="N105" s="476"/>
      <c r="O105" s="476"/>
      <c r="P105" s="476"/>
      <c r="Q105" s="477">
        <f t="shared" si="35"/>
        <v>0</v>
      </c>
      <c r="R105" s="477">
        <f t="shared" si="36"/>
        <v>0</v>
      </c>
      <c r="S105" s="477">
        <f t="shared" si="37"/>
        <v>0</v>
      </c>
      <c r="T105" s="477">
        <f t="shared" si="38"/>
        <v>0</v>
      </c>
      <c r="U105" s="1146">
        <f t="shared" si="27"/>
        <v>0</v>
      </c>
      <c r="V105" s="1146">
        <f t="shared" si="28"/>
        <v>0</v>
      </c>
      <c r="W105" s="1146">
        <f t="shared" si="29"/>
        <v>0</v>
      </c>
      <c r="X105" s="1146">
        <f t="shared" si="30"/>
        <v>0</v>
      </c>
      <c r="Y105" s="1146">
        <f t="shared" si="31"/>
        <v>0</v>
      </c>
      <c r="Z105" s="1146">
        <f t="shared" si="32"/>
        <v>0</v>
      </c>
      <c r="AA105" s="1146">
        <f t="shared" si="33"/>
        <v>0</v>
      </c>
      <c r="AB105" s="1146">
        <f t="shared" si="34"/>
        <v>0</v>
      </c>
    </row>
    <row r="106" spans="1:28" x14ac:dyDescent="0.15">
      <c r="A106" s="505">
        <f t="shared" si="39"/>
        <v>1122</v>
      </c>
      <c r="B106" s="502"/>
      <c r="C106" s="472"/>
      <c r="D106" s="472"/>
      <c r="E106" s="473"/>
      <c r="F106" s="478"/>
      <c r="G106" s="474"/>
      <c r="H106" s="475"/>
      <c r="I106" s="475"/>
      <c r="J106" s="476"/>
      <c r="K106" s="476"/>
      <c r="L106" s="476"/>
      <c r="M106" s="476"/>
      <c r="N106" s="476"/>
      <c r="O106" s="476"/>
      <c r="P106" s="476"/>
      <c r="Q106" s="477">
        <f t="shared" si="35"/>
        <v>0</v>
      </c>
      <c r="R106" s="477">
        <f t="shared" si="36"/>
        <v>0</v>
      </c>
      <c r="S106" s="477">
        <f t="shared" si="37"/>
        <v>0</v>
      </c>
      <c r="T106" s="477">
        <f t="shared" si="38"/>
        <v>0</v>
      </c>
      <c r="U106" s="1146">
        <f t="shared" si="27"/>
        <v>0</v>
      </c>
      <c r="V106" s="1146">
        <f t="shared" si="28"/>
        <v>0</v>
      </c>
      <c r="W106" s="1146">
        <f t="shared" si="29"/>
        <v>0</v>
      </c>
      <c r="X106" s="1146">
        <f t="shared" si="30"/>
        <v>0</v>
      </c>
      <c r="Y106" s="1146">
        <f t="shared" si="31"/>
        <v>0</v>
      </c>
      <c r="Z106" s="1146">
        <f t="shared" si="32"/>
        <v>0</v>
      </c>
      <c r="AA106" s="1146">
        <f t="shared" si="33"/>
        <v>0</v>
      </c>
      <c r="AB106" s="1146">
        <f t="shared" si="34"/>
        <v>0</v>
      </c>
    </row>
    <row r="107" spans="1:28" x14ac:dyDescent="0.15">
      <c r="A107" s="505">
        <f t="shared" si="39"/>
        <v>1123</v>
      </c>
      <c r="B107" s="502"/>
      <c r="C107" s="472"/>
      <c r="D107" s="472"/>
      <c r="E107" s="473"/>
      <c r="F107" s="478"/>
      <c r="G107" s="474"/>
      <c r="H107" s="475"/>
      <c r="I107" s="475"/>
      <c r="J107" s="476"/>
      <c r="K107" s="476"/>
      <c r="L107" s="476"/>
      <c r="M107" s="476"/>
      <c r="N107" s="476"/>
      <c r="O107" s="476"/>
      <c r="P107" s="476"/>
      <c r="Q107" s="477">
        <f t="shared" si="35"/>
        <v>0</v>
      </c>
      <c r="R107" s="477">
        <f t="shared" si="36"/>
        <v>0</v>
      </c>
      <c r="S107" s="477">
        <f t="shared" si="37"/>
        <v>0</v>
      </c>
      <c r="T107" s="477">
        <f t="shared" si="38"/>
        <v>0</v>
      </c>
      <c r="U107" s="1146">
        <f t="shared" si="27"/>
        <v>0</v>
      </c>
      <c r="V107" s="1146">
        <f t="shared" si="28"/>
        <v>0</v>
      </c>
      <c r="W107" s="1146">
        <f t="shared" si="29"/>
        <v>0</v>
      </c>
      <c r="X107" s="1146">
        <f t="shared" si="30"/>
        <v>0</v>
      </c>
      <c r="Y107" s="1146">
        <f t="shared" si="31"/>
        <v>0</v>
      </c>
      <c r="Z107" s="1146">
        <f t="shared" si="32"/>
        <v>0</v>
      </c>
      <c r="AA107" s="1146">
        <f t="shared" si="33"/>
        <v>0</v>
      </c>
      <c r="AB107" s="1146">
        <f t="shared" si="34"/>
        <v>0</v>
      </c>
    </row>
    <row r="108" spans="1:28" x14ac:dyDescent="0.15">
      <c r="A108" s="505">
        <f t="shared" si="39"/>
        <v>1124</v>
      </c>
      <c r="B108" s="502"/>
      <c r="C108" s="472"/>
      <c r="D108" s="472"/>
      <c r="E108" s="473"/>
      <c r="F108" s="478"/>
      <c r="G108" s="474"/>
      <c r="H108" s="475"/>
      <c r="I108" s="475"/>
      <c r="J108" s="476"/>
      <c r="K108" s="476"/>
      <c r="L108" s="476"/>
      <c r="M108" s="476"/>
      <c r="N108" s="476"/>
      <c r="O108" s="476"/>
      <c r="P108" s="476"/>
      <c r="Q108" s="477">
        <f t="shared" si="35"/>
        <v>0</v>
      </c>
      <c r="R108" s="477">
        <f t="shared" si="36"/>
        <v>0</v>
      </c>
      <c r="S108" s="477">
        <f t="shared" si="37"/>
        <v>0</v>
      </c>
      <c r="T108" s="477">
        <f t="shared" si="38"/>
        <v>0</v>
      </c>
      <c r="U108" s="1146">
        <f t="shared" si="27"/>
        <v>0</v>
      </c>
      <c r="V108" s="1146">
        <f t="shared" si="28"/>
        <v>0</v>
      </c>
      <c r="W108" s="1146">
        <f t="shared" si="29"/>
        <v>0</v>
      </c>
      <c r="X108" s="1146">
        <f t="shared" si="30"/>
        <v>0</v>
      </c>
      <c r="Y108" s="1146">
        <f t="shared" si="31"/>
        <v>0</v>
      </c>
      <c r="Z108" s="1146">
        <f t="shared" si="32"/>
        <v>0</v>
      </c>
      <c r="AA108" s="1146">
        <f t="shared" si="33"/>
        <v>0</v>
      </c>
      <c r="AB108" s="1146">
        <f t="shared" si="34"/>
        <v>0</v>
      </c>
    </row>
    <row r="109" spans="1:28" x14ac:dyDescent="0.15">
      <c r="A109" s="505">
        <f t="shared" si="39"/>
        <v>1125</v>
      </c>
      <c r="B109" s="502"/>
      <c r="C109" s="472"/>
      <c r="D109" s="472"/>
      <c r="E109" s="473"/>
      <c r="F109" s="478"/>
      <c r="G109" s="474"/>
      <c r="H109" s="475"/>
      <c r="I109" s="475"/>
      <c r="J109" s="476"/>
      <c r="K109" s="476"/>
      <c r="L109" s="476"/>
      <c r="M109" s="476"/>
      <c r="N109" s="476"/>
      <c r="O109" s="476"/>
      <c r="P109" s="476"/>
      <c r="Q109" s="477">
        <f t="shared" si="35"/>
        <v>0</v>
      </c>
      <c r="R109" s="477">
        <f t="shared" si="36"/>
        <v>0</v>
      </c>
      <c r="S109" s="477">
        <f t="shared" si="37"/>
        <v>0</v>
      </c>
      <c r="T109" s="477">
        <f t="shared" si="38"/>
        <v>0</v>
      </c>
      <c r="U109" s="1146">
        <f t="shared" si="27"/>
        <v>0</v>
      </c>
      <c r="V109" s="1146">
        <f t="shared" si="28"/>
        <v>0</v>
      </c>
      <c r="W109" s="1146">
        <f t="shared" si="29"/>
        <v>0</v>
      </c>
      <c r="X109" s="1146">
        <f t="shared" si="30"/>
        <v>0</v>
      </c>
      <c r="Y109" s="1146">
        <f t="shared" si="31"/>
        <v>0</v>
      </c>
      <c r="Z109" s="1146">
        <f t="shared" si="32"/>
        <v>0</v>
      </c>
      <c r="AA109" s="1146">
        <f t="shared" si="33"/>
        <v>0</v>
      </c>
      <c r="AB109" s="1146">
        <f t="shared" si="34"/>
        <v>0</v>
      </c>
    </row>
    <row r="110" spans="1:28" x14ac:dyDescent="0.15">
      <c r="A110" s="505">
        <f t="shared" si="39"/>
        <v>1126</v>
      </c>
      <c r="B110" s="502"/>
      <c r="C110" s="472"/>
      <c r="D110" s="472"/>
      <c r="E110" s="473"/>
      <c r="F110" s="478"/>
      <c r="G110" s="474"/>
      <c r="H110" s="475"/>
      <c r="I110" s="475"/>
      <c r="J110" s="476"/>
      <c r="K110" s="476"/>
      <c r="L110" s="476"/>
      <c r="M110" s="476"/>
      <c r="N110" s="476"/>
      <c r="O110" s="476"/>
      <c r="P110" s="476"/>
      <c r="Q110" s="477">
        <f t="shared" si="35"/>
        <v>0</v>
      </c>
      <c r="R110" s="477">
        <f t="shared" si="36"/>
        <v>0</v>
      </c>
      <c r="S110" s="477">
        <f t="shared" si="37"/>
        <v>0</v>
      </c>
      <c r="T110" s="477">
        <f t="shared" si="38"/>
        <v>0</v>
      </c>
      <c r="U110" s="1146">
        <f t="shared" si="27"/>
        <v>0</v>
      </c>
      <c r="V110" s="1146">
        <f t="shared" si="28"/>
        <v>0</v>
      </c>
      <c r="W110" s="1146">
        <f t="shared" si="29"/>
        <v>0</v>
      </c>
      <c r="X110" s="1146">
        <f t="shared" si="30"/>
        <v>0</v>
      </c>
      <c r="Y110" s="1146">
        <f t="shared" si="31"/>
        <v>0</v>
      </c>
      <c r="Z110" s="1146">
        <f t="shared" si="32"/>
        <v>0</v>
      </c>
      <c r="AA110" s="1146">
        <f t="shared" si="33"/>
        <v>0</v>
      </c>
      <c r="AB110" s="1146">
        <f t="shared" si="34"/>
        <v>0</v>
      </c>
    </row>
    <row r="111" spans="1:28" x14ac:dyDescent="0.15">
      <c r="A111" s="505">
        <f t="shared" si="39"/>
        <v>1127</v>
      </c>
      <c r="B111" s="503"/>
      <c r="C111" s="483"/>
      <c r="D111" s="483"/>
      <c r="E111" s="479"/>
      <c r="F111" s="480"/>
      <c r="G111" s="481"/>
      <c r="H111" s="475"/>
      <c r="I111" s="475"/>
      <c r="J111" s="476"/>
      <c r="K111" s="476"/>
      <c r="L111" s="476"/>
      <c r="M111" s="476"/>
      <c r="N111" s="476"/>
      <c r="O111" s="476"/>
      <c r="P111" s="476"/>
      <c r="Q111" s="477">
        <f t="shared" si="35"/>
        <v>0</v>
      </c>
      <c r="R111" s="477">
        <f t="shared" si="36"/>
        <v>0</v>
      </c>
      <c r="S111" s="477">
        <f t="shared" si="37"/>
        <v>0</v>
      </c>
      <c r="T111" s="477">
        <f t="shared" si="38"/>
        <v>0</v>
      </c>
      <c r="U111" s="1146">
        <f t="shared" si="27"/>
        <v>0</v>
      </c>
      <c r="V111" s="1146">
        <f t="shared" si="28"/>
        <v>0</v>
      </c>
      <c r="W111" s="1146">
        <f t="shared" si="29"/>
        <v>0</v>
      </c>
      <c r="X111" s="1146">
        <f t="shared" si="30"/>
        <v>0</v>
      </c>
      <c r="Y111" s="1146">
        <f t="shared" si="31"/>
        <v>0</v>
      </c>
      <c r="Z111" s="1146">
        <f t="shared" si="32"/>
        <v>0</v>
      </c>
      <c r="AA111" s="1146">
        <f t="shared" si="33"/>
        <v>0</v>
      </c>
      <c r="AB111" s="1146">
        <f t="shared" si="34"/>
        <v>0</v>
      </c>
    </row>
    <row r="112" spans="1:28" x14ac:dyDescent="0.15">
      <c r="A112" s="505">
        <f t="shared" si="39"/>
        <v>1128</v>
      </c>
      <c r="B112" s="503"/>
      <c r="C112" s="483"/>
      <c r="D112" s="483"/>
      <c r="E112" s="479"/>
      <c r="F112" s="480"/>
      <c r="G112" s="481"/>
      <c r="H112" s="475"/>
      <c r="I112" s="475"/>
      <c r="J112" s="476"/>
      <c r="K112" s="476"/>
      <c r="L112" s="476"/>
      <c r="M112" s="476"/>
      <c r="N112" s="476"/>
      <c r="O112" s="476"/>
      <c r="P112" s="476"/>
      <c r="Q112" s="477">
        <f t="shared" si="35"/>
        <v>0</v>
      </c>
      <c r="R112" s="477">
        <f t="shared" si="36"/>
        <v>0</v>
      </c>
      <c r="S112" s="477">
        <f t="shared" si="37"/>
        <v>0</v>
      </c>
      <c r="T112" s="477">
        <f t="shared" si="38"/>
        <v>0</v>
      </c>
      <c r="U112" s="1146">
        <f t="shared" si="27"/>
        <v>0</v>
      </c>
      <c r="V112" s="1146">
        <f t="shared" si="28"/>
        <v>0</v>
      </c>
      <c r="W112" s="1146">
        <f t="shared" si="29"/>
        <v>0</v>
      </c>
      <c r="X112" s="1146">
        <f t="shared" si="30"/>
        <v>0</v>
      </c>
      <c r="Y112" s="1146">
        <f t="shared" si="31"/>
        <v>0</v>
      </c>
      <c r="Z112" s="1146">
        <f t="shared" si="32"/>
        <v>0</v>
      </c>
      <c r="AA112" s="1146">
        <f t="shared" si="33"/>
        <v>0</v>
      </c>
      <c r="AB112" s="1146">
        <f t="shared" si="34"/>
        <v>0</v>
      </c>
    </row>
    <row r="113" spans="1:28" x14ac:dyDescent="0.15">
      <c r="A113" s="505">
        <f t="shared" si="39"/>
        <v>1129</v>
      </c>
      <c r="B113" s="503"/>
      <c r="C113" s="483"/>
      <c r="D113" s="483"/>
      <c r="E113" s="479"/>
      <c r="F113" s="480"/>
      <c r="G113" s="481"/>
      <c r="H113" s="475"/>
      <c r="I113" s="475"/>
      <c r="J113" s="476"/>
      <c r="K113" s="476"/>
      <c r="L113" s="476"/>
      <c r="M113" s="476"/>
      <c r="N113" s="476"/>
      <c r="O113" s="476"/>
      <c r="P113" s="476"/>
      <c r="Q113" s="477">
        <f t="shared" si="35"/>
        <v>0</v>
      </c>
      <c r="R113" s="477">
        <f t="shared" si="36"/>
        <v>0</v>
      </c>
      <c r="S113" s="477">
        <f t="shared" si="37"/>
        <v>0</v>
      </c>
      <c r="T113" s="477">
        <f t="shared" si="38"/>
        <v>0</v>
      </c>
      <c r="U113" s="1146">
        <f t="shared" si="27"/>
        <v>0</v>
      </c>
      <c r="V113" s="1146">
        <f t="shared" si="28"/>
        <v>0</v>
      </c>
      <c r="W113" s="1146">
        <f t="shared" si="29"/>
        <v>0</v>
      </c>
      <c r="X113" s="1146">
        <f t="shared" si="30"/>
        <v>0</v>
      </c>
      <c r="Y113" s="1146">
        <f t="shared" si="31"/>
        <v>0</v>
      </c>
      <c r="Z113" s="1146">
        <f t="shared" si="32"/>
        <v>0</v>
      </c>
      <c r="AA113" s="1146">
        <f t="shared" si="33"/>
        <v>0</v>
      </c>
      <c r="AB113" s="1146">
        <f t="shared" si="34"/>
        <v>0</v>
      </c>
    </row>
    <row r="114" spans="1:28" x14ac:dyDescent="0.15">
      <c r="A114" s="505">
        <f t="shared" si="39"/>
        <v>1130</v>
      </c>
      <c r="B114" s="503"/>
      <c r="C114" s="483"/>
      <c r="D114" s="483"/>
      <c r="E114" s="479"/>
      <c r="F114" s="480"/>
      <c r="G114" s="481"/>
      <c r="H114" s="475"/>
      <c r="I114" s="475"/>
      <c r="J114" s="476"/>
      <c r="K114" s="476"/>
      <c r="L114" s="476"/>
      <c r="M114" s="476"/>
      <c r="N114" s="476"/>
      <c r="O114" s="476"/>
      <c r="P114" s="476"/>
      <c r="Q114" s="477">
        <f t="shared" si="35"/>
        <v>0</v>
      </c>
      <c r="R114" s="477">
        <f t="shared" si="36"/>
        <v>0</v>
      </c>
      <c r="S114" s="477">
        <f t="shared" si="37"/>
        <v>0</v>
      </c>
      <c r="T114" s="477">
        <f t="shared" si="38"/>
        <v>0</v>
      </c>
      <c r="U114" s="1146">
        <f t="shared" si="27"/>
        <v>0</v>
      </c>
      <c r="V114" s="1146">
        <f t="shared" si="28"/>
        <v>0</v>
      </c>
      <c r="W114" s="1146">
        <f t="shared" si="29"/>
        <v>0</v>
      </c>
      <c r="X114" s="1146">
        <f t="shared" si="30"/>
        <v>0</v>
      </c>
      <c r="Y114" s="1146">
        <f t="shared" si="31"/>
        <v>0</v>
      </c>
      <c r="Z114" s="1146">
        <f t="shared" si="32"/>
        <v>0</v>
      </c>
      <c r="AA114" s="1146">
        <f t="shared" si="33"/>
        <v>0</v>
      </c>
      <c r="AB114" s="1146">
        <f t="shared" si="34"/>
        <v>0</v>
      </c>
    </row>
    <row r="115" spans="1:28" x14ac:dyDescent="0.15">
      <c r="A115" s="505">
        <f t="shared" si="39"/>
        <v>1131</v>
      </c>
      <c r="B115" s="503"/>
      <c r="C115" s="483"/>
      <c r="D115" s="483"/>
      <c r="E115" s="479"/>
      <c r="F115" s="480"/>
      <c r="G115" s="481"/>
      <c r="H115" s="475"/>
      <c r="I115" s="475"/>
      <c r="J115" s="476"/>
      <c r="K115" s="476"/>
      <c r="L115" s="476"/>
      <c r="M115" s="476"/>
      <c r="N115" s="476"/>
      <c r="O115" s="476"/>
      <c r="P115" s="476"/>
      <c r="Q115" s="477">
        <f t="shared" si="35"/>
        <v>0</v>
      </c>
      <c r="R115" s="477">
        <f t="shared" si="36"/>
        <v>0</v>
      </c>
      <c r="S115" s="477">
        <f t="shared" si="37"/>
        <v>0</v>
      </c>
      <c r="T115" s="477">
        <f t="shared" si="38"/>
        <v>0</v>
      </c>
      <c r="U115" s="1146">
        <f t="shared" si="27"/>
        <v>0</v>
      </c>
      <c r="V115" s="1146">
        <f t="shared" si="28"/>
        <v>0</v>
      </c>
      <c r="W115" s="1146">
        <f t="shared" si="29"/>
        <v>0</v>
      </c>
      <c r="X115" s="1146">
        <f t="shared" si="30"/>
        <v>0</v>
      </c>
      <c r="Y115" s="1146">
        <f t="shared" si="31"/>
        <v>0</v>
      </c>
      <c r="Z115" s="1146">
        <f t="shared" si="32"/>
        <v>0</v>
      </c>
      <c r="AA115" s="1146">
        <f t="shared" si="33"/>
        <v>0</v>
      </c>
      <c r="AB115" s="1146">
        <f t="shared" si="34"/>
        <v>0</v>
      </c>
    </row>
    <row r="116" spans="1:28" x14ac:dyDescent="0.15">
      <c r="A116" s="505">
        <f t="shared" si="39"/>
        <v>1132</v>
      </c>
      <c r="B116" s="503"/>
      <c r="C116" s="483"/>
      <c r="D116" s="483"/>
      <c r="E116" s="479"/>
      <c r="F116" s="480"/>
      <c r="G116" s="481"/>
      <c r="H116" s="475"/>
      <c r="I116" s="475"/>
      <c r="J116" s="476"/>
      <c r="K116" s="476"/>
      <c r="L116" s="476"/>
      <c r="M116" s="476"/>
      <c r="N116" s="476"/>
      <c r="O116" s="476"/>
      <c r="P116" s="476"/>
      <c r="Q116" s="477">
        <f t="shared" si="35"/>
        <v>0</v>
      </c>
      <c r="R116" s="477">
        <f t="shared" si="36"/>
        <v>0</v>
      </c>
      <c r="S116" s="477">
        <f t="shared" si="37"/>
        <v>0</v>
      </c>
      <c r="T116" s="477">
        <f t="shared" si="38"/>
        <v>0</v>
      </c>
      <c r="U116" s="1146">
        <f t="shared" si="27"/>
        <v>0</v>
      </c>
      <c r="V116" s="1146">
        <f t="shared" si="28"/>
        <v>0</v>
      </c>
      <c r="W116" s="1146">
        <f t="shared" si="29"/>
        <v>0</v>
      </c>
      <c r="X116" s="1146">
        <f t="shared" si="30"/>
        <v>0</v>
      </c>
      <c r="Y116" s="1146">
        <f t="shared" si="31"/>
        <v>0</v>
      </c>
      <c r="Z116" s="1146">
        <f t="shared" si="32"/>
        <v>0</v>
      </c>
      <c r="AA116" s="1146">
        <f t="shared" si="33"/>
        <v>0</v>
      </c>
      <c r="AB116" s="1146">
        <f t="shared" si="34"/>
        <v>0</v>
      </c>
    </row>
    <row r="117" spans="1:28" x14ac:dyDescent="0.15">
      <c r="A117" s="505">
        <f t="shared" si="39"/>
        <v>1133</v>
      </c>
      <c r="B117" s="503"/>
      <c r="C117" s="483"/>
      <c r="D117" s="483"/>
      <c r="E117" s="479"/>
      <c r="F117" s="480"/>
      <c r="G117" s="481"/>
      <c r="H117" s="475"/>
      <c r="I117" s="475"/>
      <c r="J117" s="476"/>
      <c r="K117" s="476"/>
      <c r="L117" s="476"/>
      <c r="M117" s="476"/>
      <c r="N117" s="476"/>
      <c r="O117" s="476"/>
      <c r="P117" s="476"/>
      <c r="Q117" s="477">
        <f t="shared" si="35"/>
        <v>0</v>
      </c>
      <c r="R117" s="477">
        <f t="shared" si="36"/>
        <v>0</v>
      </c>
      <c r="S117" s="477">
        <f t="shared" si="37"/>
        <v>0</v>
      </c>
      <c r="T117" s="477">
        <f t="shared" si="38"/>
        <v>0</v>
      </c>
      <c r="U117" s="1146">
        <f t="shared" si="27"/>
        <v>0</v>
      </c>
      <c r="V117" s="1146">
        <f t="shared" si="28"/>
        <v>0</v>
      </c>
      <c r="W117" s="1146">
        <f t="shared" si="29"/>
        <v>0</v>
      </c>
      <c r="X117" s="1146">
        <f t="shared" si="30"/>
        <v>0</v>
      </c>
      <c r="Y117" s="1146">
        <f t="shared" si="31"/>
        <v>0</v>
      </c>
      <c r="Z117" s="1146">
        <f t="shared" si="32"/>
        <v>0</v>
      </c>
      <c r="AA117" s="1146">
        <f t="shared" si="33"/>
        <v>0</v>
      </c>
      <c r="AB117" s="1146">
        <f t="shared" si="34"/>
        <v>0</v>
      </c>
    </row>
    <row r="118" spans="1:28" x14ac:dyDescent="0.15">
      <c r="A118" s="505">
        <f t="shared" si="39"/>
        <v>1134</v>
      </c>
      <c r="B118" s="503"/>
      <c r="C118" s="483"/>
      <c r="D118" s="483"/>
      <c r="E118" s="479"/>
      <c r="F118" s="480"/>
      <c r="G118" s="481"/>
      <c r="H118" s="475"/>
      <c r="I118" s="475"/>
      <c r="J118" s="476"/>
      <c r="K118" s="476"/>
      <c r="L118" s="476"/>
      <c r="M118" s="476"/>
      <c r="N118" s="476"/>
      <c r="O118" s="476"/>
      <c r="P118" s="476"/>
      <c r="Q118" s="477">
        <f t="shared" si="35"/>
        <v>0</v>
      </c>
      <c r="R118" s="477">
        <f t="shared" si="36"/>
        <v>0</v>
      </c>
      <c r="S118" s="477">
        <f t="shared" si="37"/>
        <v>0</v>
      </c>
      <c r="T118" s="477">
        <f t="shared" si="38"/>
        <v>0</v>
      </c>
      <c r="U118" s="1146">
        <f t="shared" ref="U118:Z118" si="40">IF(K139&gt;0,1,0)</f>
        <v>0</v>
      </c>
      <c r="V118" s="1146">
        <f t="shared" si="40"/>
        <v>0</v>
      </c>
      <c r="W118" s="1146">
        <f t="shared" si="40"/>
        <v>0</v>
      </c>
      <c r="X118" s="1146">
        <f t="shared" si="40"/>
        <v>0</v>
      </c>
      <c r="Y118" s="1146">
        <f t="shared" si="40"/>
        <v>0</v>
      </c>
      <c r="Z118" s="1146">
        <f t="shared" si="40"/>
        <v>0</v>
      </c>
      <c r="AA118" s="1146">
        <f t="shared" si="33"/>
        <v>0</v>
      </c>
      <c r="AB118" s="1146">
        <f>AA118*I139</f>
        <v>0</v>
      </c>
    </row>
    <row r="119" spans="1:28" x14ac:dyDescent="0.15">
      <c r="A119" s="505">
        <f t="shared" si="39"/>
        <v>1135</v>
      </c>
      <c r="B119" s="503"/>
      <c r="C119" s="483"/>
      <c r="D119" s="483"/>
      <c r="E119" s="479"/>
      <c r="F119" s="480"/>
      <c r="G119" s="481"/>
      <c r="H119" s="475"/>
      <c r="I119" s="475"/>
      <c r="J119" s="476"/>
      <c r="K119" s="476"/>
      <c r="L119" s="476"/>
      <c r="M119" s="476"/>
      <c r="N119" s="476"/>
      <c r="O119" s="476"/>
      <c r="P119" s="476"/>
      <c r="Q119" s="477"/>
      <c r="R119" s="477"/>
      <c r="S119" s="477"/>
      <c r="T119" s="477"/>
      <c r="U119" s="1146"/>
      <c r="V119" s="1146"/>
      <c r="W119" s="1146"/>
      <c r="X119" s="1146"/>
      <c r="Y119" s="1146"/>
      <c r="Z119" s="1146"/>
      <c r="AA119" s="1146"/>
      <c r="AB119" s="1146"/>
    </row>
    <row r="120" spans="1:28" x14ac:dyDescent="0.15">
      <c r="A120" s="505">
        <f t="shared" si="39"/>
        <v>1136</v>
      </c>
      <c r="B120" s="503"/>
      <c r="C120" s="483"/>
      <c r="D120" s="483"/>
      <c r="E120" s="479"/>
      <c r="F120" s="480"/>
      <c r="G120" s="481"/>
      <c r="H120" s="475"/>
      <c r="I120" s="475"/>
      <c r="J120" s="476"/>
      <c r="K120" s="476"/>
      <c r="L120" s="476"/>
      <c r="M120" s="476"/>
      <c r="N120" s="476"/>
      <c r="O120" s="476"/>
      <c r="P120" s="476"/>
      <c r="Q120" s="477"/>
      <c r="R120" s="477"/>
      <c r="S120" s="477"/>
      <c r="T120" s="477"/>
      <c r="U120" s="1146"/>
      <c r="V120" s="1146"/>
      <c r="W120" s="1146"/>
      <c r="X120" s="1146"/>
      <c r="Y120" s="1146"/>
      <c r="Z120" s="1146"/>
      <c r="AA120" s="1146"/>
      <c r="AB120" s="1146"/>
    </row>
    <row r="121" spans="1:28" x14ac:dyDescent="0.15">
      <c r="A121" s="505">
        <f t="shared" si="39"/>
        <v>1137</v>
      </c>
      <c r="B121" s="503"/>
      <c r="C121" s="483"/>
      <c r="D121" s="483"/>
      <c r="E121" s="479"/>
      <c r="F121" s="480"/>
      <c r="G121" s="481"/>
      <c r="H121" s="475"/>
      <c r="I121" s="475"/>
      <c r="J121" s="476"/>
      <c r="K121" s="476"/>
      <c r="L121" s="476"/>
      <c r="M121" s="476"/>
      <c r="N121" s="476"/>
      <c r="O121" s="476"/>
      <c r="P121" s="476"/>
      <c r="Q121" s="477"/>
      <c r="R121" s="477"/>
      <c r="S121" s="477"/>
      <c r="T121" s="477"/>
      <c r="U121" s="1146"/>
      <c r="V121" s="1146"/>
      <c r="W121" s="1146"/>
      <c r="X121" s="1146"/>
      <c r="Y121" s="1146"/>
      <c r="Z121" s="1146"/>
      <c r="AA121" s="1146"/>
      <c r="AB121" s="1146"/>
    </row>
    <row r="122" spans="1:28" x14ac:dyDescent="0.15">
      <c r="A122" s="505">
        <f t="shared" si="39"/>
        <v>1138</v>
      </c>
      <c r="B122" s="503"/>
      <c r="C122" s="483"/>
      <c r="D122" s="483"/>
      <c r="E122" s="479"/>
      <c r="F122" s="480"/>
      <c r="G122" s="481"/>
      <c r="H122" s="475"/>
      <c r="I122" s="475"/>
      <c r="J122" s="476"/>
      <c r="K122" s="476"/>
      <c r="L122" s="476"/>
      <c r="M122" s="476"/>
      <c r="N122" s="476"/>
      <c r="O122" s="476"/>
      <c r="P122" s="476"/>
      <c r="Q122" s="477"/>
      <c r="R122" s="477"/>
      <c r="S122" s="477"/>
      <c r="T122" s="477"/>
      <c r="U122" s="1146"/>
      <c r="V122" s="1146"/>
      <c r="W122" s="1146"/>
      <c r="X122" s="1146"/>
      <c r="Y122" s="1146"/>
      <c r="Z122" s="1146"/>
      <c r="AA122" s="1146"/>
      <c r="AB122" s="1146"/>
    </row>
    <row r="123" spans="1:28" x14ac:dyDescent="0.15">
      <c r="A123" s="505">
        <f t="shared" si="39"/>
        <v>1139</v>
      </c>
      <c r="B123" s="503"/>
      <c r="C123" s="483"/>
      <c r="D123" s="483"/>
      <c r="E123" s="479"/>
      <c r="F123" s="480"/>
      <c r="G123" s="481"/>
      <c r="H123" s="475"/>
      <c r="I123" s="475"/>
      <c r="J123" s="476"/>
      <c r="K123" s="476"/>
      <c r="L123" s="476"/>
      <c r="M123" s="476"/>
      <c r="N123" s="476"/>
      <c r="O123" s="476"/>
      <c r="P123" s="476"/>
      <c r="Q123" s="477"/>
      <c r="R123" s="477"/>
      <c r="S123" s="477"/>
      <c r="T123" s="477"/>
      <c r="U123" s="1146"/>
      <c r="V123" s="1146"/>
      <c r="W123" s="1146"/>
      <c r="X123" s="1146"/>
      <c r="Y123" s="1146"/>
      <c r="Z123" s="1146"/>
      <c r="AA123" s="1146"/>
      <c r="AB123" s="1146"/>
    </row>
    <row r="124" spans="1:28" x14ac:dyDescent="0.15">
      <c r="A124" s="505">
        <f t="shared" si="39"/>
        <v>1140</v>
      </c>
      <c r="B124" s="503"/>
      <c r="C124" s="483"/>
      <c r="D124" s="483"/>
      <c r="E124" s="479"/>
      <c r="F124" s="480"/>
      <c r="G124" s="481"/>
      <c r="H124" s="475"/>
      <c r="I124" s="475"/>
      <c r="J124" s="476"/>
      <c r="K124" s="476"/>
      <c r="L124" s="476"/>
      <c r="M124" s="476"/>
      <c r="N124" s="476"/>
      <c r="O124" s="476"/>
      <c r="P124" s="476"/>
      <c r="Q124" s="477"/>
      <c r="R124" s="477"/>
      <c r="S124" s="477"/>
      <c r="T124" s="477"/>
      <c r="U124" s="1146"/>
      <c r="V124" s="1146"/>
      <c r="W124" s="1146"/>
      <c r="X124" s="1146"/>
      <c r="Y124" s="1146"/>
      <c r="Z124" s="1146"/>
      <c r="AA124" s="1146"/>
      <c r="AB124" s="1146"/>
    </row>
    <row r="125" spans="1:28" x14ac:dyDescent="0.15">
      <c r="A125" s="505">
        <f t="shared" si="39"/>
        <v>1141</v>
      </c>
      <c r="B125" s="503"/>
      <c r="C125" s="483"/>
      <c r="D125" s="483"/>
      <c r="E125" s="479"/>
      <c r="F125" s="480"/>
      <c r="G125" s="481"/>
      <c r="H125" s="475"/>
      <c r="I125" s="475"/>
      <c r="J125" s="476"/>
      <c r="K125" s="476"/>
      <c r="L125" s="476"/>
      <c r="M125" s="476"/>
      <c r="N125" s="476"/>
      <c r="O125" s="476"/>
      <c r="P125" s="476"/>
      <c r="Q125" s="477"/>
      <c r="R125" s="477"/>
      <c r="S125" s="477"/>
      <c r="T125" s="477"/>
      <c r="U125" s="1146"/>
      <c r="V125" s="1146"/>
      <c r="W125" s="1146"/>
      <c r="X125" s="1146"/>
      <c r="Y125" s="1146"/>
      <c r="Z125" s="1146"/>
      <c r="AA125" s="1146"/>
      <c r="AB125" s="1146"/>
    </row>
    <row r="126" spans="1:28" x14ac:dyDescent="0.15">
      <c r="A126" s="505">
        <f t="shared" si="39"/>
        <v>1142</v>
      </c>
      <c r="B126" s="503"/>
      <c r="C126" s="483"/>
      <c r="D126" s="483"/>
      <c r="E126" s="479"/>
      <c r="F126" s="480"/>
      <c r="G126" s="481"/>
      <c r="H126" s="475"/>
      <c r="I126" s="475"/>
      <c r="J126" s="476"/>
      <c r="K126" s="476"/>
      <c r="L126" s="476"/>
      <c r="M126" s="476"/>
      <c r="N126" s="476"/>
      <c r="O126" s="476"/>
      <c r="P126" s="476"/>
      <c r="Q126" s="477"/>
      <c r="R126" s="477"/>
      <c r="S126" s="477"/>
      <c r="T126" s="477"/>
      <c r="U126" s="1146"/>
      <c r="V126" s="1146"/>
      <c r="W126" s="1146"/>
      <c r="X126" s="1146"/>
      <c r="Y126" s="1146"/>
      <c r="Z126" s="1146"/>
      <c r="AA126" s="1146"/>
      <c r="AB126" s="1146"/>
    </row>
    <row r="127" spans="1:28" x14ac:dyDescent="0.15">
      <c r="A127" s="505">
        <f t="shared" si="39"/>
        <v>1143</v>
      </c>
      <c r="B127" s="503"/>
      <c r="C127" s="483"/>
      <c r="D127" s="483"/>
      <c r="E127" s="479"/>
      <c r="F127" s="480"/>
      <c r="G127" s="481"/>
      <c r="H127" s="475"/>
      <c r="I127" s="475"/>
      <c r="J127" s="476"/>
      <c r="K127" s="476"/>
      <c r="L127" s="476"/>
      <c r="M127" s="476"/>
      <c r="N127" s="476"/>
      <c r="O127" s="476"/>
      <c r="P127" s="476"/>
      <c r="Q127" s="477"/>
      <c r="R127" s="477"/>
      <c r="S127" s="477"/>
      <c r="T127" s="477"/>
      <c r="U127" s="1146"/>
      <c r="V127" s="1146"/>
      <c r="W127" s="1146"/>
      <c r="X127" s="1146"/>
      <c r="Y127" s="1146"/>
      <c r="Z127" s="1146"/>
      <c r="AA127" s="1146"/>
      <c r="AB127" s="1146"/>
    </row>
    <row r="128" spans="1:28" x14ac:dyDescent="0.15">
      <c r="A128" s="505">
        <f t="shared" si="39"/>
        <v>1144</v>
      </c>
      <c r="B128" s="503"/>
      <c r="C128" s="483"/>
      <c r="D128" s="483"/>
      <c r="E128" s="479"/>
      <c r="F128" s="480"/>
      <c r="G128" s="481"/>
      <c r="H128" s="475"/>
      <c r="I128" s="475"/>
      <c r="J128" s="476"/>
      <c r="K128" s="476"/>
      <c r="L128" s="476"/>
      <c r="M128" s="476"/>
      <c r="N128" s="476"/>
      <c r="O128" s="476"/>
      <c r="P128" s="476"/>
      <c r="Q128" s="477"/>
      <c r="R128" s="477"/>
      <c r="S128" s="477"/>
      <c r="T128" s="477"/>
      <c r="U128" s="1146"/>
      <c r="V128" s="1146"/>
      <c r="W128" s="1146"/>
      <c r="X128" s="1146"/>
      <c r="Y128" s="1146"/>
      <c r="Z128" s="1146"/>
      <c r="AA128" s="1146"/>
      <c r="AB128" s="1146"/>
    </row>
    <row r="129" spans="1:28" x14ac:dyDescent="0.15">
      <c r="A129" s="505">
        <f t="shared" si="39"/>
        <v>1145</v>
      </c>
      <c r="B129" s="503"/>
      <c r="C129" s="483"/>
      <c r="D129" s="483"/>
      <c r="E129" s="479"/>
      <c r="F129" s="480"/>
      <c r="G129" s="481"/>
      <c r="H129" s="475"/>
      <c r="I129" s="475"/>
      <c r="J129" s="476"/>
      <c r="K129" s="476"/>
      <c r="L129" s="476"/>
      <c r="M129" s="476"/>
      <c r="N129" s="476"/>
      <c r="O129" s="476"/>
      <c r="P129" s="476"/>
      <c r="Q129" s="477"/>
      <c r="R129" s="477"/>
      <c r="S129" s="477"/>
      <c r="T129" s="477"/>
      <c r="U129" s="1146"/>
      <c r="V129" s="1146"/>
      <c r="W129" s="1146"/>
      <c r="X129" s="1146"/>
      <c r="Y129" s="1146"/>
      <c r="Z129" s="1146"/>
      <c r="AA129" s="1146"/>
      <c r="AB129" s="1146"/>
    </row>
    <row r="130" spans="1:28" x14ac:dyDescent="0.15">
      <c r="A130" s="505">
        <f t="shared" si="39"/>
        <v>1146</v>
      </c>
      <c r="B130" s="503"/>
      <c r="C130" s="483"/>
      <c r="D130" s="483"/>
      <c r="E130" s="479"/>
      <c r="F130" s="480"/>
      <c r="G130" s="481"/>
      <c r="H130" s="475"/>
      <c r="I130" s="475"/>
      <c r="J130" s="476"/>
      <c r="K130" s="476"/>
      <c r="L130" s="476"/>
      <c r="M130" s="476"/>
      <c r="N130" s="476"/>
      <c r="O130" s="476"/>
      <c r="P130" s="476"/>
      <c r="Q130" s="477"/>
      <c r="R130" s="477"/>
      <c r="S130" s="477"/>
      <c r="T130" s="477"/>
      <c r="U130" s="1146"/>
      <c r="V130" s="1146"/>
      <c r="W130" s="1146"/>
      <c r="X130" s="1146"/>
      <c r="Y130" s="1146"/>
      <c r="Z130" s="1146"/>
      <c r="AA130" s="1146"/>
      <c r="AB130" s="1146"/>
    </row>
    <row r="131" spans="1:28" x14ac:dyDescent="0.15">
      <c r="A131" s="505">
        <f t="shared" si="39"/>
        <v>1147</v>
      </c>
      <c r="B131" s="503"/>
      <c r="C131" s="483"/>
      <c r="D131" s="483"/>
      <c r="E131" s="479"/>
      <c r="F131" s="480"/>
      <c r="G131" s="481"/>
      <c r="H131" s="475"/>
      <c r="I131" s="475"/>
      <c r="J131" s="476"/>
      <c r="K131" s="476"/>
      <c r="L131" s="476"/>
      <c r="M131" s="476"/>
      <c r="N131" s="476"/>
      <c r="O131" s="476"/>
      <c r="P131" s="476"/>
      <c r="Q131" s="477"/>
      <c r="R131" s="477"/>
      <c r="S131" s="477"/>
      <c r="T131" s="477"/>
      <c r="U131" s="1146"/>
      <c r="V131" s="1146"/>
      <c r="W131" s="1146"/>
      <c r="X131" s="1146"/>
      <c r="Y131" s="1146"/>
      <c r="Z131" s="1146"/>
      <c r="AA131" s="1146"/>
      <c r="AB131" s="1146"/>
    </row>
    <row r="132" spans="1:28" x14ac:dyDescent="0.15">
      <c r="A132" s="505">
        <f t="shared" si="39"/>
        <v>1148</v>
      </c>
      <c r="B132" s="503"/>
      <c r="C132" s="483"/>
      <c r="D132" s="483"/>
      <c r="E132" s="479"/>
      <c r="F132" s="480"/>
      <c r="G132" s="481"/>
      <c r="H132" s="475"/>
      <c r="I132" s="475"/>
      <c r="J132" s="476"/>
      <c r="K132" s="476"/>
      <c r="L132" s="476"/>
      <c r="M132" s="476"/>
      <c r="N132" s="476"/>
      <c r="O132" s="476"/>
      <c r="P132" s="476"/>
      <c r="Q132" s="477"/>
      <c r="R132" s="477"/>
      <c r="S132" s="477"/>
      <c r="T132" s="477"/>
      <c r="U132" s="1146"/>
      <c r="V132" s="1146"/>
      <c r="W132" s="1146"/>
      <c r="X132" s="1146"/>
      <c r="Y132" s="1146"/>
      <c r="Z132" s="1146"/>
      <c r="AA132" s="1146"/>
      <c r="AB132" s="1146"/>
    </row>
    <row r="133" spans="1:28" x14ac:dyDescent="0.15">
      <c r="A133" s="505">
        <f t="shared" si="39"/>
        <v>1149</v>
      </c>
      <c r="B133" s="503"/>
      <c r="C133" s="483"/>
      <c r="D133" s="483"/>
      <c r="E133" s="479"/>
      <c r="F133" s="480"/>
      <c r="G133" s="481"/>
      <c r="H133" s="475"/>
      <c r="I133" s="475"/>
      <c r="J133" s="476"/>
      <c r="K133" s="476"/>
      <c r="L133" s="476"/>
      <c r="M133" s="476"/>
      <c r="N133" s="476"/>
      <c r="O133" s="476"/>
      <c r="P133" s="476"/>
      <c r="Q133" s="477"/>
      <c r="R133" s="477"/>
      <c r="S133" s="477"/>
      <c r="T133" s="477"/>
      <c r="U133" s="1146"/>
      <c r="V133" s="1146"/>
      <c r="W133" s="1146"/>
      <c r="X133" s="1146"/>
      <c r="Y133" s="1146"/>
      <c r="Z133" s="1146"/>
      <c r="AA133" s="1146"/>
      <c r="AB133" s="1146"/>
    </row>
    <row r="134" spans="1:28" x14ac:dyDescent="0.15">
      <c r="A134" s="505">
        <f t="shared" si="39"/>
        <v>1150</v>
      </c>
      <c r="B134" s="503"/>
      <c r="C134" s="483"/>
      <c r="D134" s="483"/>
      <c r="E134" s="479"/>
      <c r="F134" s="480"/>
      <c r="G134" s="481"/>
      <c r="H134" s="475"/>
      <c r="I134" s="475"/>
      <c r="J134" s="476"/>
      <c r="K134" s="476"/>
      <c r="L134" s="476"/>
      <c r="M134" s="476"/>
      <c r="N134" s="476"/>
      <c r="O134" s="476"/>
      <c r="P134" s="476"/>
      <c r="Q134" s="477"/>
      <c r="R134" s="477"/>
      <c r="S134" s="477"/>
      <c r="T134" s="477"/>
      <c r="U134" s="1146"/>
      <c r="V134" s="1146"/>
      <c r="W134" s="1146"/>
      <c r="X134" s="1146"/>
      <c r="Y134" s="1146"/>
      <c r="Z134" s="1146"/>
      <c r="AA134" s="1146"/>
      <c r="AB134" s="1146"/>
    </row>
    <row r="135" spans="1:28" x14ac:dyDescent="0.15">
      <c r="A135" s="505">
        <f t="shared" si="39"/>
        <v>1151</v>
      </c>
      <c r="B135" s="503"/>
      <c r="C135" s="483"/>
      <c r="D135" s="483"/>
      <c r="E135" s="479"/>
      <c r="F135" s="480"/>
      <c r="G135" s="481"/>
      <c r="H135" s="475"/>
      <c r="I135" s="475"/>
      <c r="J135" s="476"/>
      <c r="K135" s="476"/>
      <c r="L135" s="476"/>
      <c r="M135" s="476"/>
      <c r="N135" s="476"/>
      <c r="O135" s="476"/>
      <c r="P135" s="476"/>
      <c r="Q135" s="477"/>
      <c r="R135" s="477"/>
      <c r="S135" s="477"/>
      <c r="T135" s="477"/>
      <c r="U135" s="1146"/>
      <c r="V135" s="1146"/>
      <c r="W135" s="1146"/>
      <c r="X135" s="1146"/>
      <c r="Y135" s="1146"/>
      <c r="Z135" s="1146"/>
      <c r="AA135" s="1146"/>
      <c r="AB135" s="1146"/>
    </row>
    <row r="136" spans="1:28" x14ac:dyDescent="0.15">
      <c r="A136" s="505">
        <f t="shared" si="39"/>
        <v>1152</v>
      </c>
      <c r="B136" s="503"/>
      <c r="C136" s="483"/>
      <c r="D136" s="483"/>
      <c r="E136" s="479"/>
      <c r="F136" s="480"/>
      <c r="G136" s="481"/>
      <c r="H136" s="475"/>
      <c r="I136" s="475"/>
      <c r="J136" s="476"/>
      <c r="K136" s="476"/>
      <c r="L136" s="476"/>
      <c r="M136" s="476"/>
      <c r="N136" s="476"/>
      <c r="O136" s="476"/>
      <c r="P136" s="476"/>
      <c r="Q136" s="477"/>
      <c r="R136" s="477"/>
      <c r="S136" s="477"/>
      <c r="T136" s="477"/>
      <c r="U136" s="1146"/>
      <c r="V136" s="1146"/>
      <c r="W136" s="1146"/>
      <c r="X136" s="1146"/>
      <c r="Y136" s="1146"/>
      <c r="Z136" s="1146"/>
      <c r="AA136" s="1146"/>
      <c r="AB136" s="1146"/>
    </row>
    <row r="137" spans="1:28" x14ac:dyDescent="0.15">
      <c r="A137" s="505">
        <f t="shared" si="39"/>
        <v>1153</v>
      </c>
      <c r="B137" s="503"/>
      <c r="C137" s="483"/>
      <c r="D137" s="483"/>
      <c r="E137" s="479"/>
      <c r="F137" s="480"/>
      <c r="G137" s="481"/>
      <c r="H137" s="475"/>
      <c r="I137" s="475"/>
      <c r="J137" s="476"/>
      <c r="K137" s="476"/>
      <c r="L137" s="476"/>
      <c r="M137" s="476"/>
      <c r="N137" s="476"/>
      <c r="O137" s="476"/>
      <c r="P137" s="476"/>
      <c r="Q137" s="477"/>
      <c r="R137" s="477"/>
      <c r="S137" s="477"/>
      <c r="T137" s="477"/>
      <c r="U137" s="1146"/>
      <c r="V137" s="1146"/>
      <c r="W137" s="1146"/>
      <c r="X137" s="1146"/>
      <c r="Y137" s="1146"/>
      <c r="Z137" s="1146"/>
      <c r="AA137" s="1146"/>
      <c r="AB137" s="1146"/>
    </row>
    <row r="138" spans="1:28" x14ac:dyDescent="0.15">
      <c r="A138" s="505">
        <f t="shared" si="39"/>
        <v>1154</v>
      </c>
      <c r="B138" s="503"/>
      <c r="C138" s="483"/>
      <c r="D138" s="483"/>
      <c r="E138" s="479"/>
      <c r="F138" s="480"/>
      <c r="G138" s="481"/>
      <c r="H138" s="475"/>
      <c r="I138" s="475"/>
      <c r="J138" s="476"/>
      <c r="K138" s="476"/>
      <c r="L138" s="476"/>
      <c r="M138" s="476"/>
      <c r="N138" s="476"/>
      <c r="O138" s="476"/>
      <c r="P138" s="476"/>
      <c r="Q138" s="477"/>
      <c r="R138" s="477"/>
      <c r="S138" s="477"/>
      <c r="T138" s="477"/>
      <c r="U138" s="1146"/>
      <c r="V138" s="1146"/>
      <c r="W138" s="1146"/>
      <c r="X138" s="1146"/>
      <c r="Y138" s="1146"/>
      <c r="Z138" s="1146"/>
      <c r="AA138" s="1146"/>
      <c r="AB138" s="1146"/>
    </row>
    <row r="139" spans="1:28" x14ac:dyDescent="0.15">
      <c r="A139" s="505">
        <f t="shared" si="39"/>
        <v>1155</v>
      </c>
      <c r="B139" s="503"/>
      <c r="C139" s="483"/>
      <c r="D139" s="483"/>
      <c r="E139" s="479"/>
      <c r="F139" s="480"/>
      <c r="G139" s="481"/>
      <c r="H139" s="475"/>
      <c r="I139" s="475"/>
      <c r="J139" s="476"/>
      <c r="K139" s="476"/>
      <c r="L139" s="476"/>
      <c r="M139" s="476"/>
      <c r="N139" s="476"/>
      <c r="O139" s="476"/>
      <c r="P139" s="476"/>
      <c r="Q139" s="477">
        <f>H139-AB118</f>
        <v>0</v>
      </c>
      <c r="R139" s="477">
        <f>R203</f>
        <v>0</v>
      </c>
      <c r="S139" s="477">
        <f t="shared" si="37"/>
        <v>0</v>
      </c>
      <c r="T139" s="477">
        <f t="shared" si="38"/>
        <v>0</v>
      </c>
      <c r="AB139" s="1160">
        <f>SUM(AB84:AB118)</f>
        <v>0</v>
      </c>
    </row>
    <row r="140" spans="1:28" x14ac:dyDescent="0.15">
      <c r="A140" s="505">
        <f t="shared" si="39"/>
        <v>1156</v>
      </c>
      <c r="B140" s="1059" t="str">
        <f>CONCATENATE("Sub(totaal) regel ",A85," t/m ",A139)</f>
        <v>Sub(totaal) regel 1101 t/m 1155</v>
      </c>
      <c r="C140" s="1148"/>
      <c r="D140" s="1149"/>
      <c r="E140" s="1150"/>
      <c r="F140" s="1151"/>
      <c r="G140" s="504"/>
      <c r="H140" s="484">
        <f>SUM(H85:H139)</f>
        <v>0</v>
      </c>
      <c r="I140" s="485">
        <f>AB139</f>
        <v>0</v>
      </c>
      <c r="J140" s="486"/>
      <c r="K140" s="487"/>
      <c r="L140" s="487"/>
      <c r="M140" s="487"/>
      <c r="N140" s="487"/>
      <c r="O140" s="487"/>
      <c r="P140" s="488"/>
      <c r="Q140" s="489">
        <f>SUM(Q85:Q139)</f>
        <v>0</v>
      </c>
      <c r="R140" s="489">
        <f>SUM(R85:R139)</f>
        <v>0</v>
      </c>
      <c r="S140" s="489">
        <f>SUM(S85:S139)</f>
        <v>0</v>
      </c>
      <c r="T140" s="489">
        <f>SUM(T85:T139)</f>
        <v>0</v>
      </c>
    </row>
    <row r="141" spans="1:28" x14ac:dyDescent="0.15">
      <c r="A141" s="1098" t="s">
        <v>528</v>
      </c>
      <c r="B141" s="798"/>
      <c r="C141" s="798"/>
      <c r="D141" s="356"/>
      <c r="E141" s="798"/>
      <c r="F141" s="798"/>
      <c r="G141" s="798"/>
      <c r="H141" s="1122"/>
      <c r="I141" s="1122"/>
      <c r="J141" s="1122"/>
      <c r="K141" s="1122"/>
      <c r="L141" s="1122"/>
      <c r="M141" s="1122"/>
      <c r="N141" s="1122"/>
      <c r="O141" s="1122"/>
      <c r="P141" s="1122"/>
      <c r="Q141" s="1122"/>
      <c r="R141" s="1155"/>
    </row>
    <row r="142" spans="1:28" x14ac:dyDescent="0.15">
      <c r="A142" s="1154" t="s">
        <v>307</v>
      </c>
      <c r="D142" s="315"/>
      <c r="E142" s="315"/>
      <c r="F142" s="315"/>
      <c r="G142" s="315"/>
    </row>
    <row r="143" spans="1:28" s="798" customFormat="1" ht="20.25" customHeight="1" x14ac:dyDescent="0.15">
      <c r="B143" s="328"/>
      <c r="C143" s="328"/>
      <c r="D143" s="315"/>
      <c r="E143" s="315"/>
      <c r="F143" s="315"/>
      <c r="G143" s="315"/>
      <c r="H143" s="315"/>
      <c r="I143" s="315"/>
      <c r="J143" s="315"/>
      <c r="K143" s="315"/>
      <c r="L143" s="315"/>
      <c r="M143" s="315"/>
      <c r="N143" s="315"/>
      <c r="O143" s="315"/>
      <c r="P143" s="315"/>
      <c r="Q143" s="315"/>
      <c r="R143" s="315"/>
      <c r="S143" s="328"/>
      <c r="T143" s="328"/>
      <c r="U143" s="1127"/>
      <c r="V143" s="1127"/>
      <c r="W143" s="1127"/>
      <c r="X143" s="1127"/>
      <c r="Y143" s="1127"/>
      <c r="Z143" s="1127"/>
      <c r="AA143" s="1127"/>
      <c r="AB143" s="1127"/>
    </row>
    <row r="144" spans="1:28" x14ac:dyDescent="0.15">
      <c r="A144" s="880" t="str">
        <f>A2</f>
        <v>Rentenormeringsbalans 2012 algemene ziekenhuizen</v>
      </c>
      <c r="B144" s="318"/>
      <c r="C144" s="318"/>
      <c r="D144" s="318"/>
      <c r="E144" s="318"/>
      <c r="F144" s="318"/>
      <c r="G144" s="318"/>
      <c r="H144" s="319"/>
      <c r="I144" s="320"/>
      <c r="J144" s="319"/>
      <c r="K144" s="319"/>
      <c r="L144" s="320"/>
      <c r="M144" s="320"/>
      <c r="N144" s="319"/>
      <c r="O144" s="320"/>
      <c r="P144" s="320"/>
      <c r="Q144" s="319"/>
      <c r="R144" s="320"/>
      <c r="S144" s="798"/>
      <c r="T144" s="321">
        <f>T79+1</f>
        <v>12</v>
      </c>
    </row>
    <row r="145" spans="1:20" x14ac:dyDescent="0.15">
      <c r="B145" s="260"/>
      <c r="C145" s="260"/>
      <c r="D145" s="1145"/>
      <c r="E145" s="260"/>
      <c r="F145" s="260"/>
      <c r="G145" s="260"/>
      <c r="H145" s="1128"/>
      <c r="I145" s="1128"/>
      <c r="J145" s="1128"/>
      <c r="K145" s="1128"/>
      <c r="L145" s="1128"/>
      <c r="M145" s="1128"/>
      <c r="N145" s="1128"/>
      <c r="O145" s="1128"/>
      <c r="P145" s="1128"/>
      <c r="Q145" s="1128"/>
      <c r="R145" s="1128"/>
    </row>
    <row r="146" spans="1:20" x14ac:dyDescent="0.15">
      <c r="A146" s="1166"/>
      <c r="B146" s="1167" t="s">
        <v>529</v>
      </c>
      <c r="C146" s="1168"/>
      <c r="D146" s="1169"/>
      <c r="E146" s="1170"/>
      <c r="F146" s="1171"/>
      <c r="G146" s="1171"/>
      <c r="H146" s="1172"/>
      <c r="I146" s="1172"/>
      <c r="J146" s="1172"/>
      <c r="K146" s="1172"/>
      <c r="L146" s="1172"/>
      <c r="M146" s="1172"/>
      <c r="N146" s="1172"/>
      <c r="O146" s="1172"/>
      <c r="P146" s="1172"/>
      <c r="Q146" s="1173"/>
      <c r="R146" s="1174" t="s">
        <v>750</v>
      </c>
      <c r="S146" s="1175" t="s">
        <v>530</v>
      </c>
    </row>
    <row r="147" spans="1:20" x14ac:dyDescent="0.15">
      <c r="A147" s="1166"/>
      <c r="B147" s="798"/>
      <c r="C147" s="798"/>
      <c r="D147" s="356"/>
      <c r="E147" s="798"/>
      <c r="F147" s="1176"/>
      <c r="G147" s="1176"/>
      <c r="H147" s="1122"/>
      <c r="I147" s="1122"/>
      <c r="J147" s="1122"/>
      <c r="K147" s="1122"/>
      <c r="L147" s="1122"/>
      <c r="M147" s="1122"/>
      <c r="N147" s="1122"/>
      <c r="O147" s="1122"/>
      <c r="P147" s="1122"/>
      <c r="Q147" s="1122"/>
      <c r="R147" s="1177"/>
      <c r="S147" s="1065" t="s">
        <v>531</v>
      </c>
    </row>
    <row r="148" spans="1:20" x14ac:dyDescent="0.15">
      <c r="A148" s="877"/>
      <c r="B148" s="821" t="s">
        <v>532</v>
      </c>
      <c r="C148" s="821"/>
      <c r="D148" s="1178"/>
      <c r="E148" s="325"/>
      <c r="F148" s="1110"/>
      <c r="G148" s="1110"/>
      <c r="H148" s="325"/>
      <c r="I148" s="1537"/>
      <c r="J148" s="1538"/>
      <c r="K148" s="1537"/>
      <c r="L148" s="1538"/>
      <c r="M148" s="1538"/>
      <c r="N148" s="1538"/>
      <c r="O148" s="1538"/>
      <c r="P148" s="1538"/>
      <c r="Q148" s="1110"/>
      <c r="R148" s="798"/>
      <c r="S148" s="798"/>
      <c r="T148" s="798"/>
    </row>
    <row r="149" spans="1:20" x14ac:dyDescent="0.15">
      <c r="A149" s="505">
        <f>T144*100+1</f>
        <v>1201</v>
      </c>
      <c r="B149" s="1531">
        <f t="shared" ref="B149:B180" si="41">IF(I85=0,H85,(((DATE(2011,K85,J85)-DATE(2011,1,1))*H85)/366))</f>
        <v>0</v>
      </c>
      <c r="C149" s="1531"/>
      <c r="D149" s="1530">
        <f t="shared" ref="D149:D180" si="42">IF(K85=0,0,(IF(L85=0,((DATE(2011+1,1,1)-DATE(2011,(K85),J85))*(H85-(1*I85)))/366,((DATE(2011,(L85),J85)-DATE(2011,(K85),J85))*(H85-(1*I85)))/366)))</f>
        <v>0</v>
      </c>
      <c r="E149" s="1530"/>
      <c r="F149" s="1530">
        <f t="shared" ref="F149:F180" si="43">IF(L85=0,0,(IF(M85=0,((DATE(2011+1,1,1)-DATE(2011,(L85),J85))*(H85-(2*I85)))/366,((DATE(2011,(M85),J85)-DATE(2011,(L85),J85))*(H85-(2*I85)))/366)))</f>
        <v>0</v>
      </c>
      <c r="G149" s="1530"/>
      <c r="H149" s="497">
        <f t="shared" ref="H149:H180" si="44">IF(M85=0,0,(IF(N85=0,((DATE(2011+1,1,1)-DATE(2011,(M85),J85))*(H85-(3*I85)))/366,((DATE(2011,(N85),J85)-DATE(2011,(M85),J85))*(H85-(3*I85)))/366)))</f>
        <v>0</v>
      </c>
      <c r="I149" s="1530">
        <f t="shared" ref="I149:I180" si="45">IF(N85=0,0,(IF(O85=0,((DATE(2011+1,1,1)-DATE(2011,(N85),J85))*(H85-(4*I85)))/366,((DATE(2011,(O85),J85)-DATE(2011,(N85),J85))*(H85-(4*I85)))/366)))</f>
        <v>0</v>
      </c>
      <c r="J149" s="1530"/>
      <c r="K149" s="1530">
        <f t="shared" ref="K149:K180" si="46">IF(O85=0,0,(IF(P85=0,((DATE(2011+1,1,1)-DATE(2011,(O85),J85))*(H85-(5*I85)))/366,((DATE(2011,(P85),J85)-DATE(2011,(O85),J85))*(H85-(5*I85)))/366)))</f>
        <v>0</v>
      </c>
      <c r="L149" s="1530"/>
      <c r="M149" s="1530"/>
      <c r="N149" s="1530"/>
      <c r="O149" s="1530"/>
      <c r="P149" s="1530"/>
      <c r="Q149" s="497">
        <f t="shared" ref="Q149:Q180" si="47">IF(P85=0,0,((DATE(2011+1,1,1)-DATE(2011,(P85),J85))*(H85-(6*I85)))/366)</f>
        <v>0</v>
      </c>
      <c r="R149" s="498">
        <f>SUM(B149:Q149)</f>
        <v>0</v>
      </c>
      <c r="S149" s="477">
        <f t="shared" ref="S149:S182" si="48">IF(G85="n",R149*(F85/100),R149*(E85/100))</f>
        <v>0</v>
      </c>
    </row>
    <row r="150" spans="1:20" x14ac:dyDescent="0.15">
      <c r="A150" s="505">
        <f t="shared" ref="A150:A204" si="49">A149+1</f>
        <v>1202</v>
      </c>
      <c r="B150" s="1531">
        <f t="shared" si="41"/>
        <v>0</v>
      </c>
      <c r="C150" s="1531"/>
      <c r="D150" s="1530">
        <f t="shared" si="42"/>
        <v>0</v>
      </c>
      <c r="E150" s="1530"/>
      <c r="F150" s="1530">
        <f t="shared" si="43"/>
        <v>0</v>
      </c>
      <c r="G150" s="1530"/>
      <c r="H150" s="497">
        <f t="shared" si="44"/>
        <v>0</v>
      </c>
      <c r="I150" s="1530">
        <f t="shared" si="45"/>
        <v>0</v>
      </c>
      <c r="J150" s="1530"/>
      <c r="K150" s="1530">
        <f t="shared" si="46"/>
        <v>0</v>
      </c>
      <c r="L150" s="1530"/>
      <c r="M150" s="1530"/>
      <c r="N150" s="1530"/>
      <c r="O150" s="1530"/>
      <c r="P150" s="1530"/>
      <c r="Q150" s="497">
        <f t="shared" si="47"/>
        <v>0</v>
      </c>
      <c r="R150" s="498">
        <f t="shared" ref="R150:R182" si="50">SUM(B150:Q150)</f>
        <v>0</v>
      </c>
      <c r="S150" s="477">
        <f t="shared" si="48"/>
        <v>0</v>
      </c>
    </row>
    <row r="151" spans="1:20" x14ac:dyDescent="0.15">
      <c r="A151" s="505">
        <f t="shared" si="49"/>
        <v>1203</v>
      </c>
      <c r="B151" s="1531">
        <f t="shared" si="41"/>
        <v>0</v>
      </c>
      <c r="C151" s="1531"/>
      <c r="D151" s="1530">
        <f t="shared" si="42"/>
        <v>0</v>
      </c>
      <c r="E151" s="1530"/>
      <c r="F151" s="1530">
        <f t="shared" si="43"/>
        <v>0</v>
      </c>
      <c r="G151" s="1530"/>
      <c r="H151" s="497">
        <f t="shared" si="44"/>
        <v>0</v>
      </c>
      <c r="I151" s="1530">
        <f t="shared" si="45"/>
        <v>0</v>
      </c>
      <c r="J151" s="1530"/>
      <c r="K151" s="1530">
        <f t="shared" si="46"/>
        <v>0</v>
      </c>
      <c r="L151" s="1530"/>
      <c r="M151" s="1530"/>
      <c r="N151" s="1530"/>
      <c r="O151" s="1530"/>
      <c r="P151" s="1530"/>
      <c r="Q151" s="497">
        <f t="shared" si="47"/>
        <v>0</v>
      </c>
      <c r="R151" s="498">
        <f t="shared" si="50"/>
        <v>0</v>
      </c>
      <c r="S151" s="477">
        <f t="shared" si="48"/>
        <v>0</v>
      </c>
    </row>
    <row r="152" spans="1:20" x14ac:dyDescent="0.15">
      <c r="A152" s="505">
        <f t="shared" si="49"/>
        <v>1204</v>
      </c>
      <c r="B152" s="1531">
        <f t="shared" si="41"/>
        <v>0</v>
      </c>
      <c r="C152" s="1531"/>
      <c r="D152" s="1530">
        <f t="shared" si="42"/>
        <v>0</v>
      </c>
      <c r="E152" s="1530"/>
      <c r="F152" s="1530">
        <f t="shared" si="43"/>
        <v>0</v>
      </c>
      <c r="G152" s="1530"/>
      <c r="H152" s="497">
        <f t="shared" si="44"/>
        <v>0</v>
      </c>
      <c r="I152" s="1530">
        <f t="shared" si="45"/>
        <v>0</v>
      </c>
      <c r="J152" s="1530"/>
      <c r="K152" s="1530">
        <f t="shared" si="46"/>
        <v>0</v>
      </c>
      <c r="L152" s="1530"/>
      <c r="M152" s="1530"/>
      <c r="N152" s="1530"/>
      <c r="O152" s="1530"/>
      <c r="P152" s="1530"/>
      <c r="Q152" s="497">
        <f t="shared" si="47"/>
        <v>0</v>
      </c>
      <c r="R152" s="498">
        <f t="shared" si="50"/>
        <v>0</v>
      </c>
      <c r="S152" s="477">
        <f t="shared" si="48"/>
        <v>0</v>
      </c>
    </row>
    <row r="153" spans="1:20" x14ac:dyDescent="0.15">
      <c r="A153" s="505">
        <f t="shared" si="49"/>
        <v>1205</v>
      </c>
      <c r="B153" s="1531">
        <f t="shared" si="41"/>
        <v>0</v>
      </c>
      <c r="C153" s="1531"/>
      <c r="D153" s="1530">
        <f t="shared" si="42"/>
        <v>0</v>
      </c>
      <c r="E153" s="1530"/>
      <c r="F153" s="1530">
        <f t="shared" si="43"/>
        <v>0</v>
      </c>
      <c r="G153" s="1530"/>
      <c r="H153" s="497">
        <f t="shared" si="44"/>
        <v>0</v>
      </c>
      <c r="I153" s="1530">
        <f t="shared" si="45"/>
        <v>0</v>
      </c>
      <c r="J153" s="1530"/>
      <c r="K153" s="1530">
        <f t="shared" si="46"/>
        <v>0</v>
      </c>
      <c r="L153" s="1530"/>
      <c r="M153" s="1530"/>
      <c r="N153" s="1530"/>
      <c r="O153" s="1530"/>
      <c r="P153" s="1530"/>
      <c r="Q153" s="497">
        <f t="shared" si="47"/>
        <v>0</v>
      </c>
      <c r="R153" s="498">
        <f t="shared" si="50"/>
        <v>0</v>
      </c>
      <c r="S153" s="477">
        <f t="shared" si="48"/>
        <v>0</v>
      </c>
    </row>
    <row r="154" spans="1:20" x14ac:dyDescent="0.15">
      <c r="A154" s="505">
        <f t="shared" si="49"/>
        <v>1206</v>
      </c>
      <c r="B154" s="1531">
        <f t="shared" si="41"/>
        <v>0</v>
      </c>
      <c r="C154" s="1531"/>
      <c r="D154" s="1530">
        <f t="shared" si="42"/>
        <v>0</v>
      </c>
      <c r="E154" s="1530"/>
      <c r="F154" s="1530">
        <f t="shared" si="43"/>
        <v>0</v>
      </c>
      <c r="G154" s="1530"/>
      <c r="H154" s="497">
        <f t="shared" si="44"/>
        <v>0</v>
      </c>
      <c r="I154" s="1530">
        <f t="shared" si="45"/>
        <v>0</v>
      </c>
      <c r="J154" s="1530"/>
      <c r="K154" s="1530">
        <f t="shared" si="46"/>
        <v>0</v>
      </c>
      <c r="L154" s="1530"/>
      <c r="M154" s="1530"/>
      <c r="N154" s="1530"/>
      <c r="O154" s="1530"/>
      <c r="P154" s="1530"/>
      <c r="Q154" s="497">
        <f t="shared" si="47"/>
        <v>0</v>
      </c>
      <c r="R154" s="498">
        <f t="shared" si="50"/>
        <v>0</v>
      </c>
      <c r="S154" s="477">
        <f t="shared" si="48"/>
        <v>0</v>
      </c>
    </row>
    <row r="155" spans="1:20" x14ac:dyDescent="0.15">
      <c r="A155" s="505">
        <f t="shared" si="49"/>
        <v>1207</v>
      </c>
      <c r="B155" s="1531">
        <f t="shared" si="41"/>
        <v>0</v>
      </c>
      <c r="C155" s="1531"/>
      <c r="D155" s="1530">
        <f t="shared" si="42"/>
        <v>0</v>
      </c>
      <c r="E155" s="1530"/>
      <c r="F155" s="1530">
        <f t="shared" si="43"/>
        <v>0</v>
      </c>
      <c r="G155" s="1530"/>
      <c r="H155" s="497">
        <f t="shared" si="44"/>
        <v>0</v>
      </c>
      <c r="I155" s="1530">
        <f t="shared" si="45"/>
        <v>0</v>
      </c>
      <c r="J155" s="1530"/>
      <c r="K155" s="1530">
        <f t="shared" si="46"/>
        <v>0</v>
      </c>
      <c r="L155" s="1530"/>
      <c r="M155" s="1530"/>
      <c r="N155" s="1530"/>
      <c r="O155" s="1530"/>
      <c r="P155" s="1530"/>
      <c r="Q155" s="497">
        <f t="shared" si="47"/>
        <v>0</v>
      </c>
      <c r="R155" s="498">
        <f t="shared" si="50"/>
        <v>0</v>
      </c>
      <c r="S155" s="477">
        <f t="shared" si="48"/>
        <v>0</v>
      </c>
    </row>
    <row r="156" spans="1:20" x14ac:dyDescent="0.15">
      <c r="A156" s="505">
        <f t="shared" si="49"/>
        <v>1208</v>
      </c>
      <c r="B156" s="1531">
        <f t="shared" si="41"/>
        <v>0</v>
      </c>
      <c r="C156" s="1531"/>
      <c r="D156" s="1530">
        <f t="shared" si="42"/>
        <v>0</v>
      </c>
      <c r="E156" s="1530"/>
      <c r="F156" s="1530">
        <f t="shared" si="43"/>
        <v>0</v>
      </c>
      <c r="G156" s="1530"/>
      <c r="H156" s="497">
        <f t="shared" si="44"/>
        <v>0</v>
      </c>
      <c r="I156" s="1530">
        <f t="shared" si="45"/>
        <v>0</v>
      </c>
      <c r="J156" s="1530"/>
      <c r="K156" s="1530">
        <f t="shared" si="46"/>
        <v>0</v>
      </c>
      <c r="L156" s="1530"/>
      <c r="M156" s="1530"/>
      <c r="N156" s="1530"/>
      <c r="O156" s="1530"/>
      <c r="P156" s="1530"/>
      <c r="Q156" s="497">
        <f t="shared" si="47"/>
        <v>0</v>
      </c>
      <c r="R156" s="498">
        <f t="shared" si="50"/>
        <v>0</v>
      </c>
      <c r="S156" s="477">
        <f t="shared" si="48"/>
        <v>0</v>
      </c>
    </row>
    <row r="157" spans="1:20" x14ac:dyDescent="0.15">
      <c r="A157" s="505">
        <f t="shared" si="49"/>
        <v>1209</v>
      </c>
      <c r="B157" s="1531">
        <f t="shared" si="41"/>
        <v>0</v>
      </c>
      <c r="C157" s="1531"/>
      <c r="D157" s="1530">
        <f t="shared" si="42"/>
        <v>0</v>
      </c>
      <c r="E157" s="1530"/>
      <c r="F157" s="1530">
        <f t="shared" si="43"/>
        <v>0</v>
      </c>
      <c r="G157" s="1530"/>
      <c r="H157" s="497">
        <f t="shared" si="44"/>
        <v>0</v>
      </c>
      <c r="I157" s="1530">
        <f t="shared" si="45"/>
        <v>0</v>
      </c>
      <c r="J157" s="1530"/>
      <c r="K157" s="1530">
        <f t="shared" si="46"/>
        <v>0</v>
      </c>
      <c r="L157" s="1530"/>
      <c r="M157" s="1530"/>
      <c r="N157" s="1530"/>
      <c r="O157" s="1530"/>
      <c r="P157" s="1530"/>
      <c r="Q157" s="497">
        <f t="shared" si="47"/>
        <v>0</v>
      </c>
      <c r="R157" s="498">
        <f t="shared" si="50"/>
        <v>0</v>
      </c>
      <c r="S157" s="477">
        <f t="shared" si="48"/>
        <v>0</v>
      </c>
    </row>
    <row r="158" spans="1:20" x14ac:dyDescent="0.15">
      <c r="A158" s="505">
        <f t="shared" si="49"/>
        <v>1210</v>
      </c>
      <c r="B158" s="1531">
        <f t="shared" si="41"/>
        <v>0</v>
      </c>
      <c r="C158" s="1531"/>
      <c r="D158" s="1530">
        <f t="shared" si="42"/>
        <v>0</v>
      </c>
      <c r="E158" s="1530"/>
      <c r="F158" s="1530">
        <f t="shared" si="43"/>
        <v>0</v>
      </c>
      <c r="G158" s="1530"/>
      <c r="H158" s="497">
        <f t="shared" si="44"/>
        <v>0</v>
      </c>
      <c r="I158" s="1530">
        <f t="shared" si="45"/>
        <v>0</v>
      </c>
      <c r="J158" s="1530"/>
      <c r="K158" s="1530">
        <f t="shared" si="46"/>
        <v>0</v>
      </c>
      <c r="L158" s="1530"/>
      <c r="M158" s="1530"/>
      <c r="N158" s="1530"/>
      <c r="O158" s="1530"/>
      <c r="P158" s="1530"/>
      <c r="Q158" s="497">
        <f t="shared" si="47"/>
        <v>0</v>
      </c>
      <c r="R158" s="498">
        <f t="shared" si="50"/>
        <v>0</v>
      </c>
      <c r="S158" s="477">
        <f t="shared" si="48"/>
        <v>0</v>
      </c>
    </row>
    <row r="159" spans="1:20" x14ac:dyDescent="0.15">
      <c r="A159" s="505">
        <f t="shared" si="49"/>
        <v>1211</v>
      </c>
      <c r="B159" s="1531">
        <f t="shared" si="41"/>
        <v>0</v>
      </c>
      <c r="C159" s="1531"/>
      <c r="D159" s="1530">
        <f t="shared" si="42"/>
        <v>0</v>
      </c>
      <c r="E159" s="1530"/>
      <c r="F159" s="1530">
        <f t="shared" si="43"/>
        <v>0</v>
      </c>
      <c r="G159" s="1530"/>
      <c r="H159" s="497">
        <f t="shared" si="44"/>
        <v>0</v>
      </c>
      <c r="I159" s="1530">
        <f t="shared" si="45"/>
        <v>0</v>
      </c>
      <c r="J159" s="1530"/>
      <c r="K159" s="1530">
        <f t="shared" si="46"/>
        <v>0</v>
      </c>
      <c r="L159" s="1530"/>
      <c r="M159" s="1530"/>
      <c r="N159" s="1530"/>
      <c r="O159" s="1530"/>
      <c r="P159" s="1530"/>
      <c r="Q159" s="497">
        <f t="shared" si="47"/>
        <v>0</v>
      </c>
      <c r="R159" s="498">
        <f t="shared" si="50"/>
        <v>0</v>
      </c>
      <c r="S159" s="477">
        <f t="shared" si="48"/>
        <v>0</v>
      </c>
    </row>
    <row r="160" spans="1:20" x14ac:dyDescent="0.15">
      <c r="A160" s="505">
        <f t="shared" si="49"/>
        <v>1212</v>
      </c>
      <c r="B160" s="1531">
        <f t="shared" si="41"/>
        <v>0</v>
      </c>
      <c r="C160" s="1531"/>
      <c r="D160" s="1530">
        <f t="shared" si="42"/>
        <v>0</v>
      </c>
      <c r="E160" s="1530"/>
      <c r="F160" s="1530">
        <f t="shared" si="43"/>
        <v>0</v>
      </c>
      <c r="G160" s="1530"/>
      <c r="H160" s="497">
        <f t="shared" si="44"/>
        <v>0</v>
      </c>
      <c r="I160" s="1530">
        <f t="shared" si="45"/>
        <v>0</v>
      </c>
      <c r="J160" s="1530"/>
      <c r="K160" s="1530">
        <f t="shared" si="46"/>
        <v>0</v>
      </c>
      <c r="L160" s="1530"/>
      <c r="M160" s="1530"/>
      <c r="N160" s="1530"/>
      <c r="O160" s="1530"/>
      <c r="P160" s="1530"/>
      <c r="Q160" s="497">
        <f t="shared" si="47"/>
        <v>0</v>
      </c>
      <c r="R160" s="498">
        <f t="shared" si="50"/>
        <v>0</v>
      </c>
      <c r="S160" s="477">
        <f t="shared" si="48"/>
        <v>0</v>
      </c>
    </row>
    <row r="161" spans="1:19" x14ac:dyDescent="0.15">
      <c r="A161" s="505">
        <f t="shared" si="49"/>
        <v>1213</v>
      </c>
      <c r="B161" s="1531">
        <f t="shared" si="41"/>
        <v>0</v>
      </c>
      <c r="C161" s="1531"/>
      <c r="D161" s="1530">
        <f t="shared" si="42"/>
        <v>0</v>
      </c>
      <c r="E161" s="1530"/>
      <c r="F161" s="1530">
        <f t="shared" si="43"/>
        <v>0</v>
      </c>
      <c r="G161" s="1530"/>
      <c r="H161" s="497">
        <f t="shared" si="44"/>
        <v>0</v>
      </c>
      <c r="I161" s="1530">
        <f t="shared" si="45"/>
        <v>0</v>
      </c>
      <c r="J161" s="1530"/>
      <c r="K161" s="1530">
        <f t="shared" si="46"/>
        <v>0</v>
      </c>
      <c r="L161" s="1530"/>
      <c r="M161" s="1530"/>
      <c r="N161" s="1530"/>
      <c r="O161" s="1530"/>
      <c r="P161" s="1530"/>
      <c r="Q161" s="497">
        <f t="shared" si="47"/>
        <v>0</v>
      </c>
      <c r="R161" s="498">
        <f t="shared" si="50"/>
        <v>0</v>
      </c>
      <c r="S161" s="477">
        <f t="shared" si="48"/>
        <v>0</v>
      </c>
    </row>
    <row r="162" spans="1:19" x14ac:dyDescent="0.15">
      <c r="A162" s="505">
        <f t="shared" si="49"/>
        <v>1214</v>
      </c>
      <c r="B162" s="1531">
        <f t="shared" si="41"/>
        <v>0</v>
      </c>
      <c r="C162" s="1531"/>
      <c r="D162" s="1530">
        <f t="shared" si="42"/>
        <v>0</v>
      </c>
      <c r="E162" s="1530"/>
      <c r="F162" s="1530">
        <f t="shared" si="43"/>
        <v>0</v>
      </c>
      <c r="G162" s="1530"/>
      <c r="H162" s="497">
        <f t="shared" si="44"/>
        <v>0</v>
      </c>
      <c r="I162" s="1530">
        <f t="shared" si="45"/>
        <v>0</v>
      </c>
      <c r="J162" s="1530"/>
      <c r="K162" s="1530">
        <f t="shared" si="46"/>
        <v>0</v>
      </c>
      <c r="L162" s="1530"/>
      <c r="M162" s="1530"/>
      <c r="N162" s="1530"/>
      <c r="O162" s="1530"/>
      <c r="P162" s="1530"/>
      <c r="Q162" s="497">
        <f t="shared" si="47"/>
        <v>0</v>
      </c>
      <c r="R162" s="498">
        <f t="shared" si="50"/>
        <v>0</v>
      </c>
      <c r="S162" s="477">
        <f t="shared" si="48"/>
        <v>0</v>
      </c>
    </row>
    <row r="163" spans="1:19" x14ac:dyDescent="0.15">
      <c r="A163" s="505">
        <f t="shared" si="49"/>
        <v>1215</v>
      </c>
      <c r="B163" s="1531">
        <f t="shared" si="41"/>
        <v>0</v>
      </c>
      <c r="C163" s="1531"/>
      <c r="D163" s="1530">
        <f t="shared" si="42"/>
        <v>0</v>
      </c>
      <c r="E163" s="1530"/>
      <c r="F163" s="1530">
        <f t="shared" si="43"/>
        <v>0</v>
      </c>
      <c r="G163" s="1530"/>
      <c r="H163" s="497">
        <f t="shared" si="44"/>
        <v>0</v>
      </c>
      <c r="I163" s="1530">
        <f t="shared" si="45"/>
        <v>0</v>
      </c>
      <c r="J163" s="1530"/>
      <c r="K163" s="1530">
        <f t="shared" si="46"/>
        <v>0</v>
      </c>
      <c r="L163" s="1530"/>
      <c r="M163" s="1530"/>
      <c r="N163" s="1530"/>
      <c r="O163" s="1530"/>
      <c r="P163" s="1530"/>
      <c r="Q163" s="497">
        <f t="shared" si="47"/>
        <v>0</v>
      </c>
      <c r="R163" s="498">
        <f t="shared" si="50"/>
        <v>0</v>
      </c>
      <c r="S163" s="477">
        <f t="shared" si="48"/>
        <v>0</v>
      </c>
    </row>
    <row r="164" spans="1:19" x14ac:dyDescent="0.15">
      <c r="A164" s="505">
        <f t="shared" si="49"/>
        <v>1216</v>
      </c>
      <c r="B164" s="1531">
        <f t="shared" si="41"/>
        <v>0</v>
      </c>
      <c r="C164" s="1531"/>
      <c r="D164" s="1530">
        <f t="shared" si="42"/>
        <v>0</v>
      </c>
      <c r="E164" s="1530"/>
      <c r="F164" s="1530">
        <f t="shared" si="43"/>
        <v>0</v>
      </c>
      <c r="G164" s="1530"/>
      <c r="H164" s="497">
        <f t="shared" si="44"/>
        <v>0</v>
      </c>
      <c r="I164" s="1530">
        <f t="shared" si="45"/>
        <v>0</v>
      </c>
      <c r="J164" s="1530"/>
      <c r="K164" s="1530">
        <f t="shared" si="46"/>
        <v>0</v>
      </c>
      <c r="L164" s="1530"/>
      <c r="M164" s="1530"/>
      <c r="N164" s="1530"/>
      <c r="O164" s="1530"/>
      <c r="P164" s="1530"/>
      <c r="Q164" s="497">
        <f t="shared" si="47"/>
        <v>0</v>
      </c>
      <c r="R164" s="498">
        <f t="shared" si="50"/>
        <v>0</v>
      </c>
      <c r="S164" s="477">
        <f t="shared" si="48"/>
        <v>0</v>
      </c>
    </row>
    <row r="165" spans="1:19" x14ac:dyDescent="0.15">
      <c r="A165" s="505">
        <f t="shared" si="49"/>
        <v>1217</v>
      </c>
      <c r="B165" s="1531">
        <f t="shared" si="41"/>
        <v>0</v>
      </c>
      <c r="C165" s="1531"/>
      <c r="D165" s="1530">
        <f t="shared" si="42"/>
        <v>0</v>
      </c>
      <c r="E165" s="1530"/>
      <c r="F165" s="1530">
        <f t="shared" si="43"/>
        <v>0</v>
      </c>
      <c r="G165" s="1530"/>
      <c r="H165" s="497">
        <f t="shared" si="44"/>
        <v>0</v>
      </c>
      <c r="I165" s="1530">
        <f t="shared" si="45"/>
        <v>0</v>
      </c>
      <c r="J165" s="1530"/>
      <c r="K165" s="1530">
        <f t="shared" si="46"/>
        <v>0</v>
      </c>
      <c r="L165" s="1530"/>
      <c r="M165" s="1530"/>
      <c r="N165" s="1530"/>
      <c r="O165" s="1530"/>
      <c r="P165" s="1530"/>
      <c r="Q165" s="497">
        <f t="shared" si="47"/>
        <v>0</v>
      </c>
      <c r="R165" s="498">
        <f t="shared" si="50"/>
        <v>0</v>
      </c>
      <c r="S165" s="477">
        <f t="shared" si="48"/>
        <v>0</v>
      </c>
    </row>
    <row r="166" spans="1:19" x14ac:dyDescent="0.15">
      <c r="A166" s="505">
        <f t="shared" si="49"/>
        <v>1218</v>
      </c>
      <c r="B166" s="1531">
        <f t="shared" si="41"/>
        <v>0</v>
      </c>
      <c r="C166" s="1531"/>
      <c r="D166" s="1530">
        <f t="shared" si="42"/>
        <v>0</v>
      </c>
      <c r="E166" s="1530"/>
      <c r="F166" s="1530">
        <f t="shared" si="43"/>
        <v>0</v>
      </c>
      <c r="G166" s="1530"/>
      <c r="H166" s="497">
        <f t="shared" si="44"/>
        <v>0</v>
      </c>
      <c r="I166" s="1530">
        <f t="shared" si="45"/>
        <v>0</v>
      </c>
      <c r="J166" s="1530"/>
      <c r="K166" s="1530">
        <f t="shared" si="46"/>
        <v>0</v>
      </c>
      <c r="L166" s="1530"/>
      <c r="M166" s="1530"/>
      <c r="N166" s="1530"/>
      <c r="O166" s="1530"/>
      <c r="P166" s="1530"/>
      <c r="Q166" s="497">
        <f t="shared" si="47"/>
        <v>0</v>
      </c>
      <c r="R166" s="498">
        <f t="shared" si="50"/>
        <v>0</v>
      </c>
      <c r="S166" s="477">
        <f t="shared" si="48"/>
        <v>0</v>
      </c>
    </row>
    <row r="167" spans="1:19" x14ac:dyDescent="0.15">
      <c r="A167" s="505">
        <f t="shared" si="49"/>
        <v>1219</v>
      </c>
      <c r="B167" s="1531">
        <f t="shared" si="41"/>
        <v>0</v>
      </c>
      <c r="C167" s="1531"/>
      <c r="D167" s="1530">
        <f t="shared" si="42"/>
        <v>0</v>
      </c>
      <c r="E167" s="1530"/>
      <c r="F167" s="1530">
        <f t="shared" si="43"/>
        <v>0</v>
      </c>
      <c r="G167" s="1530"/>
      <c r="H167" s="497">
        <f t="shared" si="44"/>
        <v>0</v>
      </c>
      <c r="I167" s="1530">
        <f t="shared" si="45"/>
        <v>0</v>
      </c>
      <c r="J167" s="1530"/>
      <c r="K167" s="1530">
        <f t="shared" si="46"/>
        <v>0</v>
      </c>
      <c r="L167" s="1530"/>
      <c r="M167" s="1530"/>
      <c r="N167" s="1530"/>
      <c r="O167" s="1530"/>
      <c r="P167" s="1530"/>
      <c r="Q167" s="497">
        <f t="shared" si="47"/>
        <v>0</v>
      </c>
      <c r="R167" s="498">
        <f t="shared" si="50"/>
        <v>0</v>
      </c>
      <c r="S167" s="477">
        <f t="shared" si="48"/>
        <v>0</v>
      </c>
    </row>
    <row r="168" spans="1:19" x14ac:dyDescent="0.15">
      <c r="A168" s="505">
        <f t="shared" si="49"/>
        <v>1220</v>
      </c>
      <c r="B168" s="1531">
        <f t="shared" si="41"/>
        <v>0</v>
      </c>
      <c r="C168" s="1531"/>
      <c r="D168" s="1530">
        <f t="shared" si="42"/>
        <v>0</v>
      </c>
      <c r="E168" s="1530"/>
      <c r="F168" s="1530">
        <f t="shared" si="43"/>
        <v>0</v>
      </c>
      <c r="G168" s="1530"/>
      <c r="H168" s="497">
        <f t="shared" si="44"/>
        <v>0</v>
      </c>
      <c r="I168" s="1530">
        <f t="shared" si="45"/>
        <v>0</v>
      </c>
      <c r="J168" s="1530"/>
      <c r="K168" s="1530">
        <f t="shared" si="46"/>
        <v>0</v>
      </c>
      <c r="L168" s="1530"/>
      <c r="M168" s="1530"/>
      <c r="N168" s="1530"/>
      <c r="O168" s="1530"/>
      <c r="P168" s="1530"/>
      <c r="Q168" s="497">
        <f t="shared" si="47"/>
        <v>0</v>
      </c>
      <c r="R168" s="498">
        <f t="shared" si="50"/>
        <v>0</v>
      </c>
      <c r="S168" s="477">
        <f t="shared" si="48"/>
        <v>0</v>
      </c>
    </row>
    <row r="169" spans="1:19" x14ac:dyDescent="0.15">
      <c r="A169" s="505">
        <f t="shared" si="49"/>
        <v>1221</v>
      </c>
      <c r="B169" s="1531">
        <f t="shared" si="41"/>
        <v>0</v>
      </c>
      <c r="C169" s="1531"/>
      <c r="D169" s="1530">
        <f t="shared" si="42"/>
        <v>0</v>
      </c>
      <c r="E169" s="1530"/>
      <c r="F169" s="1530">
        <f t="shared" si="43"/>
        <v>0</v>
      </c>
      <c r="G169" s="1530"/>
      <c r="H169" s="497">
        <f t="shared" si="44"/>
        <v>0</v>
      </c>
      <c r="I169" s="1530">
        <f t="shared" si="45"/>
        <v>0</v>
      </c>
      <c r="J169" s="1530"/>
      <c r="K169" s="1530">
        <f t="shared" si="46"/>
        <v>0</v>
      </c>
      <c r="L169" s="1530"/>
      <c r="M169" s="1530"/>
      <c r="N169" s="1530"/>
      <c r="O169" s="1530"/>
      <c r="P169" s="1530"/>
      <c r="Q169" s="497">
        <f t="shared" si="47"/>
        <v>0</v>
      </c>
      <c r="R169" s="498">
        <f t="shared" si="50"/>
        <v>0</v>
      </c>
      <c r="S169" s="477">
        <f t="shared" si="48"/>
        <v>0</v>
      </c>
    </row>
    <row r="170" spans="1:19" x14ac:dyDescent="0.15">
      <c r="A170" s="505">
        <f t="shared" si="49"/>
        <v>1222</v>
      </c>
      <c r="B170" s="1531">
        <f t="shared" si="41"/>
        <v>0</v>
      </c>
      <c r="C170" s="1531"/>
      <c r="D170" s="1530">
        <f t="shared" si="42"/>
        <v>0</v>
      </c>
      <c r="E170" s="1530"/>
      <c r="F170" s="1530">
        <f t="shared" si="43"/>
        <v>0</v>
      </c>
      <c r="G170" s="1530"/>
      <c r="H170" s="497">
        <f t="shared" si="44"/>
        <v>0</v>
      </c>
      <c r="I170" s="1530">
        <f t="shared" si="45"/>
        <v>0</v>
      </c>
      <c r="J170" s="1530"/>
      <c r="K170" s="1530">
        <f t="shared" si="46"/>
        <v>0</v>
      </c>
      <c r="L170" s="1530"/>
      <c r="M170" s="1530"/>
      <c r="N170" s="1530"/>
      <c r="O170" s="1530"/>
      <c r="P170" s="1530"/>
      <c r="Q170" s="497">
        <f t="shared" si="47"/>
        <v>0</v>
      </c>
      <c r="R170" s="498">
        <f t="shared" si="50"/>
        <v>0</v>
      </c>
      <c r="S170" s="477">
        <f t="shared" si="48"/>
        <v>0</v>
      </c>
    </row>
    <row r="171" spans="1:19" x14ac:dyDescent="0.15">
      <c r="A171" s="505">
        <f t="shared" si="49"/>
        <v>1223</v>
      </c>
      <c r="B171" s="1531">
        <f t="shared" si="41"/>
        <v>0</v>
      </c>
      <c r="C171" s="1531"/>
      <c r="D171" s="1530">
        <f t="shared" si="42"/>
        <v>0</v>
      </c>
      <c r="E171" s="1530"/>
      <c r="F171" s="1530">
        <f t="shared" si="43"/>
        <v>0</v>
      </c>
      <c r="G171" s="1530"/>
      <c r="H171" s="497">
        <f t="shared" si="44"/>
        <v>0</v>
      </c>
      <c r="I171" s="1530">
        <f t="shared" si="45"/>
        <v>0</v>
      </c>
      <c r="J171" s="1530"/>
      <c r="K171" s="1530">
        <f t="shared" si="46"/>
        <v>0</v>
      </c>
      <c r="L171" s="1530"/>
      <c r="M171" s="1530"/>
      <c r="N171" s="1530"/>
      <c r="O171" s="1530"/>
      <c r="P171" s="1530"/>
      <c r="Q171" s="497">
        <f t="shared" si="47"/>
        <v>0</v>
      </c>
      <c r="R171" s="498">
        <f t="shared" si="50"/>
        <v>0</v>
      </c>
      <c r="S171" s="477">
        <f t="shared" si="48"/>
        <v>0</v>
      </c>
    </row>
    <row r="172" spans="1:19" x14ac:dyDescent="0.15">
      <c r="A172" s="505">
        <f t="shared" si="49"/>
        <v>1224</v>
      </c>
      <c r="B172" s="1531">
        <f t="shared" si="41"/>
        <v>0</v>
      </c>
      <c r="C172" s="1531"/>
      <c r="D172" s="1530">
        <f t="shared" si="42"/>
        <v>0</v>
      </c>
      <c r="E172" s="1530"/>
      <c r="F172" s="1530">
        <f t="shared" si="43"/>
        <v>0</v>
      </c>
      <c r="G172" s="1530"/>
      <c r="H172" s="497">
        <f t="shared" si="44"/>
        <v>0</v>
      </c>
      <c r="I172" s="1530">
        <f t="shared" si="45"/>
        <v>0</v>
      </c>
      <c r="J172" s="1530"/>
      <c r="K172" s="1530">
        <f t="shared" si="46"/>
        <v>0</v>
      </c>
      <c r="L172" s="1530"/>
      <c r="M172" s="1530"/>
      <c r="N172" s="1530"/>
      <c r="O172" s="1530"/>
      <c r="P172" s="1530"/>
      <c r="Q172" s="497">
        <f t="shared" si="47"/>
        <v>0</v>
      </c>
      <c r="R172" s="498">
        <f t="shared" si="50"/>
        <v>0</v>
      </c>
      <c r="S172" s="477">
        <f t="shared" si="48"/>
        <v>0</v>
      </c>
    </row>
    <row r="173" spans="1:19" x14ac:dyDescent="0.15">
      <c r="A173" s="505">
        <f t="shared" si="49"/>
        <v>1225</v>
      </c>
      <c r="B173" s="1531">
        <f t="shared" si="41"/>
        <v>0</v>
      </c>
      <c r="C173" s="1531"/>
      <c r="D173" s="1530">
        <f t="shared" si="42"/>
        <v>0</v>
      </c>
      <c r="E173" s="1530"/>
      <c r="F173" s="1530">
        <f t="shared" si="43"/>
        <v>0</v>
      </c>
      <c r="G173" s="1530"/>
      <c r="H173" s="497">
        <f t="shared" si="44"/>
        <v>0</v>
      </c>
      <c r="I173" s="1530">
        <f t="shared" si="45"/>
        <v>0</v>
      </c>
      <c r="J173" s="1530"/>
      <c r="K173" s="1530">
        <f t="shared" si="46"/>
        <v>0</v>
      </c>
      <c r="L173" s="1530"/>
      <c r="M173" s="1530"/>
      <c r="N173" s="1530"/>
      <c r="O173" s="1530"/>
      <c r="P173" s="1530"/>
      <c r="Q173" s="497">
        <f t="shared" si="47"/>
        <v>0</v>
      </c>
      <c r="R173" s="498">
        <f t="shared" si="50"/>
        <v>0</v>
      </c>
      <c r="S173" s="477">
        <f t="shared" si="48"/>
        <v>0</v>
      </c>
    </row>
    <row r="174" spans="1:19" x14ac:dyDescent="0.15">
      <c r="A174" s="505">
        <f t="shared" si="49"/>
        <v>1226</v>
      </c>
      <c r="B174" s="1531">
        <f t="shared" si="41"/>
        <v>0</v>
      </c>
      <c r="C174" s="1531"/>
      <c r="D174" s="1530">
        <f t="shared" si="42"/>
        <v>0</v>
      </c>
      <c r="E174" s="1530"/>
      <c r="F174" s="1530">
        <f t="shared" si="43"/>
        <v>0</v>
      </c>
      <c r="G174" s="1530"/>
      <c r="H174" s="497">
        <f t="shared" si="44"/>
        <v>0</v>
      </c>
      <c r="I174" s="1530">
        <f t="shared" si="45"/>
        <v>0</v>
      </c>
      <c r="J174" s="1530"/>
      <c r="K174" s="1530">
        <f t="shared" si="46"/>
        <v>0</v>
      </c>
      <c r="L174" s="1530"/>
      <c r="M174" s="1530"/>
      <c r="N174" s="1530"/>
      <c r="O174" s="1530"/>
      <c r="P174" s="1530"/>
      <c r="Q174" s="497">
        <f t="shared" si="47"/>
        <v>0</v>
      </c>
      <c r="R174" s="498">
        <f t="shared" si="50"/>
        <v>0</v>
      </c>
      <c r="S174" s="477">
        <f t="shared" si="48"/>
        <v>0</v>
      </c>
    </row>
    <row r="175" spans="1:19" x14ac:dyDescent="0.15">
      <c r="A175" s="505">
        <f t="shared" si="49"/>
        <v>1227</v>
      </c>
      <c r="B175" s="1531">
        <f t="shared" si="41"/>
        <v>0</v>
      </c>
      <c r="C175" s="1531"/>
      <c r="D175" s="1530">
        <f t="shared" si="42"/>
        <v>0</v>
      </c>
      <c r="E175" s="1530"/>
      <c r="F175" s="1530">
        <f t="shared" si="43"/>
        <v>0</v>
      </c>
      <c r="G175" s="1530"/>
      <c r="H175" s="497">
        <f t="shared" si="44"/>
        <v>0</v>
      </c>
      <c r="I175" s="1530">
        <f t="shared" si="45"/>
        <v>0</v>
      </c>
      <c r="J175" s="1530"/>
      <c r="K175" s="1530">
        <f t="shared" si="46"/>
        <v>0</v>
      </c>
      <c r="L175" s="1530"/>
      <c r="M175" s="1530"/>
      <c r="N175" s="1530"/>
      <c r="O175" s="1530"/>
      <c r="P175" s="1530"/>
      <c r="Q175" s="497">
        <f t="shared" si="47"/>
        <v>0</v>
      </c>
      <c r="R175" s="498">
        <f t="shared" si="50"/>
        <v>0</v>
      </c>
      <c r="S175" s="477">
        <f t="shared" si="48"/>
        <v>0</v>
      </c>
    </row>
    <row r="176" spans="1:19" x14ac:dyDescent="0.15">
      <c r="A176" s="505">
        <f t="shared" si="49"/>
        <v>1228</v>
      </c>
      <c r="B176" s="1531">
        <f t="shared" si="41"/>
        <v>0</v>
      </c>
      <c r="C176" s="1531"/>
      <c r="D176" s="1530">
        <f t="shared" si="42"/>
        <v>0</v>
      </c>
      <c r="E176" s="1530"/>
      <c r="F176" s="1530">
        <f t="shared" si="43"/>
        <v>0</v>
      </c>
      <c r="G176" s="1530"/>
      <c r="H176" s="497">
        <f t="shared" si="44"/>
        <v>0</v>
      </c>
      <c r="I176" s="1530">
        <f t="shared" si="45"/>
        <v>0</v>
      </c>
      <c r="J176" s="1530"/>
      <c r="K176" s="1530">
        <f t="shared" si="46"/>
        <v>0</v>
      </c>
      <c r="L176" s="1530"/>
      <c r="M176" s="1530"/>
      <c r="N176" s="1530"/>
      <c r="O176" s="1530"/>
      <c r="P176" s="1530"/>
      <c r="Q176" s="497">
        <f t="shared" si="47"/>
        <v>0</v>
      </c>
      <c r="R176" s="498">
        <f t="shared" si="50"/>
        <v>0</v>
      </c>
      <c r="S176" s="477">
        <f t="shared" si="48"/>
        <v>0</v>
      </c>
    </row>
    <row r="177" spans="1:19" x14ac:dyDescent="0.15">
      <c r="A177" s="505">
        <f t="shared" si="49"/>
        <v>1229</v>
      </c>
      <c r="B177" s="1531">
        <f t="shared" si="41"/>
        <v>0</v>
      </c>
      <c r="C177" s="1531"/>
      <c r="D177" s="1530">
        <f t="shared" si="42"/>
        <v>0</v>
      </c>
      <c r="E177" s="1530"/>
      <c r="F177" s="1530">
        <f t="shared" si="43"/>
        <v>0</v>
      </c>
      <c r="G177" s="1530"/>
      <c r="H177" s="497">
        <f t="shared" si="44"/>
        <v>0</v>
      </c>
      <c r="I177" s="1530">
        <f t="shared" si="45"/>
        <v>0</v>
      </c>
      <c r="J177" s="1530"/>
      <c r="K177" s="1530">
        <f t="shared" si="46"/>
        <v>0</v>
      </c>
      <c r="L177" s="1530"/>
      <c r="M177" s="1530"/>
      <c r="N177" s="1530"/>
      <c r="O177" s="1530"/>
      <c r="P177" s="1530"/>
      <c r="Q177" s="497">
        <f t="shared" si="47"/>
        <v>0</v>
      </c>
      <c r="R177" s="498">
        <f t="shared" si="50"/>
        <v>0</v>
      </c>
      <c r="S177" s="477">
        <f t="shared" si="48"/>
        <v>0</v>
      </c>
    </row>
    <row r="178" spans="1:19" x14ac:dyDescent="0.15">
      <c r="A178" s="505">
        <f t="shared" si="49"/>
        <v>1230</v>
      </c>
      <c r="B178" s="1531">
        <f t="shared" si="41"/>
        <v>0</v>
      </c>
      <c r="C178" s="1531"/>
      <c r="D178" s="1530">
        <f t="shared" si="42"/>
        <v>0</v>
      </c>
      <c r="E178" s="1530"/>
      <c r="F178" s="1530">
        <f t="shared" si="43"/>
        <v>0</v>
      </c>
      <c r="G178" s="1530"/>
      <c r="H178" s="497">
        <f t="shared" si="44"/>
        <v>0</v>
      </c>
      <c r="I178" s="1530">
        <f t="shared" si="45"/>
        <v>0</v>
      </c>
      <c r="J178" s="1530"/>
      <c r="K178" s="1530">
        <f t="shared" si="46"/>
        <v>0</v>
      </c>
      <c r="L178" s="1530"/>
      <c r="M178" s="1530"/>
      <c r="N178" s="1530"/>
      <c r="O178" s="1530"/>
      <c r="P178" s="1530"/>
      <c r="Q178" s="497">
        <f t="shared" si="47"/>
        <v>0</v>
      </c>
      <c r="R178" s="498">
        <f t="shared" si="50"/>
        <v>0</v>
      </c>
      <c r="S178" s="477">
        <f t="shared" si="48"/>
        <v>0</v>
      </c>
    </row>
    <row r="179" spans="1:19" x14ac:dyDescent="0.15">
      <c r="A179" s="505">
        <f t="shared" si="49"/>
        <v>1231</v>
      </c>
      <c r="B179" s="1531">
        <f t="shared" si="41"/>
        <v>0</v>
      </c>
      <c r="C179" s="1531"/>
      <c r="D179" s="1530">
        <f t="shared" si="42"/>
        <v>0</v>
      </c>
      <c r="E179" s="1530"/>
      <c r="F179" s="1530">
        <f t="shared" si="43"/>
        <v>0</v>
      </c>
      <c r="G179" s="1530"/>
      <c r="H179" s="497">
        <f t="shared" si="44"/>
        <v>0</v>
      </c>
      <c r="I179" s="1530">
        <f t="shared" si="45"/>
        <v>0</v>
      </c>
      <c r="J179" s="1530"/>
      <c r="K179" s="1530">
        <f t="shared" si="46"/>
        <v>0</v>
      </c>
      <c r="L179" s="1530"/>
      <c r="M179" s="1530"/>
      <c r="N179" s="1530"/>
      <c r="O179" s="1530"/>
      <c r="P179" s="1530"/>
      <c r="Q179" s="497">
        <f t="shared" si="47"/>
        <v>0</v>
      </c>
      <c r="R179" s="498">
        <f t="shared" si="50"/>
        <v>0</v>
      </c>
      <c r="S179" s="477">
        <f t="shared" si="48"/>
        <v>0</v>
      </c>
    </row>
    <row r="180" spans="1:19" x14ac:dyDescent="0.15">
      <c r="A180" s="505">
        <f t="shared" si="49"/>
        <v>1232</v>
      </c>
      <c r="B180" s="1531">
        <f t="shared" si="41"/>
        <v>0</v>
      </c>
      <c r="C180" s="1531"/>
      <c r="D180" s="1530">
        <f t="shared" si="42"/>
        <v>0</v>
      </c>
      <c r="E180" s="1530"/>
      <c r="F180" s="1530">
        <f t="shared" si="43"/>
        <v>0</v>
      </c>
      <c r="G180" s="1530"/>
      <c r="H180" s="497">
        <f t="shared" si="44"/>
        <v>0</v>
      </c>
      <c r="I180" s="1530">
        <f t="shared" si="45"/>
        <v>0</v>
      </c>
      <c r="J180" s="1530"/>
      <c r="K180" s="1530">
        <f t="shared" si="46"/>
        <v>0</v>
      </c>
      <c r="L180" s="1530"/>
      <c r="M180" s="1530"/>
      <c r="N180" s="1530"/>
      <c r="O180" s="1530"/>
      <c r="P180" s="1530"/>
      <c r="Q180" s="497">
        <f t="shared" si="47"/>
        <v>0</v>
      </c>
      <c r="R180" s="498">
        <f t="shared" si="50"/>
        <v>0</v>
      </c>
      <c r="S180" s="477">
        <f t="shared" si="48"/>
        <v>0</v>
      </c>
    </row>
    <row r="181" spans="1:19" x14ac:dyDescent="0.15">
      <c r="A181" s="505">
        <f t="shared" si="49"/>
        <v>1233</v>
      </c>
      <c r="B181" s="1531">
        <f t="shared" ref="B181:B203" si="51">IF(I117=0,H117,(((DATE(2011,K117,J117)-DATE(2011,1,1))*H117)/366))</f>
        <v>0</v>
      </c>
      <c r="C181" s="1531"/>
      <c r="D181" s="1530">
        <f t="shared" ref="D181:D203" si="52">IF(K117=0,0,(IF(L117=0,((DATE(2011+1,1,1)-DATE(2011,(K117),J117))*(H117-(1*I117)))/366,((DATE(2011,(L117),J117)-DATE(2011,(K117),J117))*(H117-(1*I117)))/366)))</f>
        <v>0</v>
      </c>
      <c r="E181" s="1530"/>
      <c r="F181" s="1530">
        <f t="shared" ref="F181:F203" si="53">IF(L117=0,0,(IF(M117=0,((DATE(2011+1,1,1)-DATE(2011,(L117),J117))*(H117-(2*I117)))/366,((DATE(2011,(M117),J117)-DATE(2011,(L117),J117))*(H117-(2*I117)))/366)))</f>
        <v>0</v>
      </c>
      <c r="G181" s="1530"/>
      <c r="H181" s="497">
        <f t="shared" ref="H181:H203" si="54">IF(M117=0,0,(IF(N117=0,((DATE(2011+1,1,1)-DATE(2011,(M117),J117))*(H117-(3*I117)))/366,((DATE(2011,(N117),J117)-DATE(2011,(M117),J117))*(H117-(3*I117)))/366)))</f>
        <v>0</v>
      </c>
      <c r="I181" s="1530">
        <f t="shared" ref="I181:I203" si="55">IF(N117=0,0,(IF(O117=0,((DATE(2011+1,1,1)-DATE(2011,(N117),J117))*(H117-(4*I117)))/366,((DATE(2011,(O117),J117)-DATE(2011,(N117),J117))*(H117-(4*I117)))/366)))</f>
        <v>0</v>
      </c>
      <c r="J181" s="1530"/>
      <c r="K181" s="1530">
        <f t="shared" ref="K181:K203" si="56">IF(O117=0,0,(IF(P117=0,((DATE(2011+1,1,1)-DATE(2011,(O117),J117))*(H117-(5*I117)))/366,((DATE(2011,(P117),J117)-DATE(2011,(O117),J117))*(H117-(5*I117)))/366)))</f>
        <v>0</v>
      </c>
      <c r="L181" s="1530"/>
      <c r="M181" s="1530"/>
      <c r="N181" s="1530"/>
      <c r="O181" s="1530"/>
      <c r="P181" s="1530"/>
      <c r="Q181" s="497">
        <f t="shared" ref="Q181:Q203" si="57">IF(P117=0,0,((DATE(2011+1,1,1)-DATE(2011,(P117),J117))*(H117-(6*I117)))/366)</f>
        <v>0</v>
      </c>
      <c r="R181" s="498">
        <f t="shared" si="50"/>
        <v>0</v>
      </c>
      <c r="S181" s="477">
        <f t="shared" si="48"/>
        <v>0</v>
      </c>
    </row>
    <row r="182" spans="1:19" x14ac:dyDescent="0.15">
      <c r="A182" s="505">
        <f t="shared" si="49"/>
        <v>1234</v>
      </c>
      <c r="B182" s="1531">
        <f t="shared" si="51"/>
        <v>0</v>
      </c>
      <c r="C182" s="1531"/>
      <c r="D182" s="1530">
        <f t="shared" si="52"/>
        <v>0</v>
      </c>
      <c r="E182" s="1530"/>
      <c r="F182" s="1530">
        <f t="shared" si="53"/>
        <v>0</v>
      </c>
      <c r="G182" s="1530"/>
      <c r="H182" s="497">
        <f t="shared" si="54"/>
        <v>0</v>
      </c>
      <c r="I182" s="1530">
        <f t="shared" si="55"/>
        <v>0</v>
      </c>
      <c r="J182" s="1530"/>
      <c r="K182" s="1530">
        <f t="shared" si="56"/>
        <v>0</v>
      </c>
      <c r="L182" s="1530"/>
      <c r="M182" s="1530"/>
      <c r="N182" s="1530"/>
      <c r="O182" s="1530"/>
      <c r="P182" s="1530"/>
      <c r="Q182" s="497">
        <f t="shared" si="57"/>
        <v>0</v>
      </c>
      <c r="R182" s="498">
        <f t="shared" si="50"/>
        <v>0</v>
      </c>
      <c r="S182" s="477">
        <f t="shared" si="48"/>
        <v>0</v>
      </c>
    </row>
    <row r="183" spans="1:19" x14ac:dyDescent="0.15">
      <c r="A183" s="505">
        <f t="shared" si="49"/>
        <v>1235</v>
      </c>
      <c r="B183" s="1531">
        <f t="shared" si="51"/>
        <v>0</v>
      </c>
      <c r="C183" s="1531"/>
      <c r="D183" s="1530">
        <f t="shared" si="52"/>
        <v>0</v>
      </c>
      <c r="E183" s="1530"/>
      <c r="F183" s="1530">
        <f t="shared" si="53"/>
        <v>0</v>
      </c>
      <c r="G183" s="1530"/>
      <c r="H183" s="497">
        <f t="shared" si="54"/>
        <v>0</v>
      </c>
      <c r="I183" s="1530">
        <f t="shared" si="55"/>
        <v>0</v>
      </c>
      <c r="J183" s="1530"/>
      <c r="K183" s="1530">
        <f t="shared" si="56"/>
        <v>0</v>
      </c>
      <c r="L183" s="1530"/>
      <c r="M183" s="1530"/>
      <c r="N183" s="1530"/>
      <c r="O183" s="1530"/>
      <c r="P183" s="1530"/>
      <c r="Q183" s="497">
        <f t="shared" si="57"/>
        <v>0</v>
      </c>
      <c r="R183" s="498">
        <f t="shared" ref="R183:R203" si="58">SUM(B183:Q183)</f>
        <v>0</v>
      </c>
      <c r="S183" s="477">
        <f t="shared" ref="S183:S203" si="59">IF(G119="n",R183*(F119/100),R183*(E119/100))</f>
        <v>0</v>
      </c>
    </row>
    <row r="184" spans="1:19" x14ac:dyDescent="0.15">
      <c r="A184" s="505">
        <f t="shared" si="49"/>
        <v>1236</v>
      </c>
      <c r="B184" s="1531">
        <f t="shared" si="51"/>
        <v>0</v>
      </c>
      <c r="C184" s="1531"/>
      <c r="D184" s="1530">
        <f t="shared" si="52"/>
        <v>0</v>
      </c>
      <c r="E184" s="1530"/>
      <c r="F184" s="1530">
        <f t="shared" si="53"/>
        <v>0</v>
      </c>
      <c r="G184" s="1530"/>
      <c r="H184" s="497">
        <f t="shared" si="54"/>
        <v>0</v>
      </c>
      <c r="I184" s="1530">
        <f t="shared" si="55"/>
        <v>0</v>
      </c>
      <c r="J184" s="1530"/>
      <c r="K184" s="1530">
        <f t="shared" si="56"/>
        <v>0</v>
      </c>
      <c r="L184" s="1530"/>
      <c r="M184" s="1530"/>
      <c r="N184" s="1530"/>
      <c r="O184" s="1530"/>
      <c r="P184" s="1530"/>
      <c r="Q184" s="497">
        <f t="shared" si="57"/>
        <v>0</v>
      </c>
      <c r="R184" s="498">
        <f t="shared" si="58"/>
        <v>0</v>
      </c>
      <c r="S184" s="477">
        <f t="shared" si="59"/>
        <v>0</v>
      </c>
    </row>
    <row r="185" spans="1:19" x14ac:dyDescent="0.15">
      <c r="A185" s="505">
        <f t="shared" si="49"/>
        <v>1237</v>
      </c>
      <c r="B185" s="1531">
        <f t="shared" si="51"/>
        <v>0</v>
      </c>
      <c r="C185" s="1531"/>
      <c r="D185" s="1530">
        <f t="shared" si="52"/>
        <v>0</v>
      </c>
      <c r="E185" s="1530"/>
      <c r="F185" s="1530">
        <f t="shared" si="53"/>
        <v>0</v>
      </c>
      <c r="G185" s="1530"/>
      <c r="H185" s="497">
        <f t="shared" si="54"/>
        <v>0</v>
      </c>
      <c r="I185" s="1530">
        <f t="shared" si="55"/>
        <v>0</v>
      </c>
      <c r="J185" s="1530"/>
      <c r="K185" s="1530">
        <f t="shared" si="56"/>
        <v>0</v>
      </c>
      <c r="L185" s="1530"/>
      <c r="M185" s="1530"/>
      <c r="N185" s="1530"/>
      <c r="O185" s="1530"/>
      <c r="P185" s="1530"/>
      <c r="Q185" s="497">
        <f t="shared" si="57"/>
        <v>0</v>
      </c>
      <c r="R185" s="498">
        <f t="shared" si="58"/>
        <v>0</v>
      </c>
      <c r="S185" s="477">
        <f t="shared" si="59"/>
        <v>0</v>
      </c>
    </row>
    <row r="186" spans="1:19" x14ac:dyDescent="0.15">
      <c r="A186" s="505">
        <f t="shared" si="49"/>
        <v>1238</v>
      </c>
      <c r="B186" s="1531">
        <f t="shared" si="51"/>
        <v>0</v>
      </c>
      <c r="C186" s="1531"/>
      <c r="D186" s="1530">
        <f t="shared" si="52"/>
        <v>0</v>
      </c>
      <c r="E186" s="1530"/>
      <c r="F186" s="1530">
        <f t="shared" si="53"/>
        <v>0</v>
      </c>
      <c r="G186" s="1530"/>
      <c r="H186" s="497">
        <f t="shared" si="54"/>
        <v>0</v>
      </c>
      <c r="I186" s="1530">
        <f t="shared" si="55"/>
        <v>0</v>
      </c>
      <c r="J186" s="1530"/>
      <c r="K186" s="1530">
        <f t="shared" si="56"/>
        <v>0</v>
      </c>
      <c r="L186" s="1530"/>
      <c r="M186" s="1530"/>
      <c r="N186" s="1530"/>
      <c r="O186" s="1530"/>
      <c r="P186" s="1530"/>
      <c r="Q186" s="497">
        <f t="shared" si="57"/>
        <v>0</v>
      </c>
      <c r="R186" s="498">
        <f t="shared" si="58"/>
        <v>0</v>
      </c>
      <c r="S186" s="477">
        <f t="shared" si="59"/>
        <v>0</v>
      </c>
    </row>
    <row r="187" spans="1:19" x14ac:dyDescent="0.15">
      <c r="A187" s="505">
        <f t="shared" si="49"/>
        <v>1239</v>
      </c>
      <c r="B187" s="1531">
        <f t="shared" si="51"/>
        <v>0</v>
      </c>
      <c r="C187" s="1531"/>
      <c r="D187" s="1530">
        <f t="shared" si="52"/>
        <v>0</v>
      </c>
      <c r="E187" s="1530"/>
      <c r="F187" s="1530">
        <f t="shared" si="53"/>
        <v>0</v>
      </c>
      <c r="G187" s="1530"/>
      <c r="H187" s="497">
        <f t="shared" si="54"/>
        <v>0</v>
      </c>
      <c r="I187" s="1530">
        <f t="shared" si="55"/>
        <v>0</v>
      </c>
      <c r="J187" s="1530"/>
      <c r="K187" s="1530">
        <f t="shared" si="56"/>
        <v>0</v>
      </c>
      <c r="L187" s="1530"/>
      <c r="M187" s="1530"/>
      <c r="N187" s="1530"/>
      <c r="O187" s="1530"/>
      <c r="P187" s="1530"/>
      <c r="Q187" s="497">
        <f t="shared" si="57"/>
        <v>0</v>
      </c>
      <c r="R187" s="498">
        <f t="shared" si="58"/>
        <v>0</v>
      </c>
      <c r="S187" s="477">
        <f t="shared" si="59"/>
        <v>0</v>
      </c>
    </row>
    <row r="188" spans="1:19" x14ac:dyDescent="0.15">
      <c r="A188" s="505">
        <f t="shared" si="49"/>
        <v>1240</v>
      </c>
      <c r="B188" s="1531">
        <f t="shared" si="51"/>
        <v>0</v>
      </c>
      <c r="C188" s="1531"/>
      <c r="D188" s="1530">
        <f t="shared" si="52"/>
        <v>0</v>
      </c>
      <c r="E188" s="1530"/>
      <c r="F188" s="1530">
        <f t="shared" si="53"/>
        <v>0</v>
      </c>
      <c r="G188" s="1530"/>
      <c r="H188" s="497">
        <f t="shared" si="54"/>
        <v>0</v>
      </c>
      <c r="I188" s="1530">
        <f t="shared" si="55"/>
        <v>0</v>
      </c>
      <c r="J188" s="1530"/>
      <c r="K188" s="1530">
        <f t="shared" si="56"/>
        <v>0</v>
      </c>
      <c r="L188" s="1530"/>
      <c r="M188" s="1530"/>
      <c r="N188" s="1530"/>
      <c r="O188" s="1530"/>
      <c r="P188" s="1530"/>
      <c r="Q188" s="497">
        <f t="shared" si="57"/>
        <v>0</v>
      </c>
      <c r="R188" s="498">
        <f t="shared" si="58"/>
        <v>0</v>
      </c>
      <c r="S188" s="477">
        <f t="shared" si="59"/>
        <v>0</v>
      </c>
    </row>
    <row r="189" spans="1:19" x14ac:dyDescent="0.15">
      <c r="A189" s="505">
        <f t="shared" si="49"/>
        <v>1241</v>
      </c>
      <c r="B189" s="1531">
        <f t="shared" si="51"/>
        <v>0</v>
      </c>
      <c r="C189" s="1531"/>
      <c r="D189" s="1530">
        <f t="shared" si="52"/>
        <v>0</v>
      </c>
      <c r="E189" s="1530"/>
      <c r="F189" s="1530">
        <f t="shared" si="53"/>
        <v>0</v>
      </c>
      <c r="G189" s="1530"/>
      <c r="H189" s="497">
        <f t="shared" si="54"/>
        <v>0</v>
      </c>
      <c r="I189" s="1530">
        <f t="shared" si="55"/>
        <v>0</v>
      </c>
      <c r="J189" s="1530"/>
      <c r="K189" s="1530">
        <f t="shared" si="56"/>
        <v>0</v>
      </c>
      <c r="L189" s="1530"/>
      <c r="M189" s="1530"/>
      <c r="N189" s="1530"/>
      <c r="O189" s="1530"/>
      <c r="P189" s="1530"/>
      <c r="Q189" s="497">
        <f t="shared" si="57"/>
        <v>0</v>
      </c>
      <c r="R189" s="498">
        <f t="shared" si="58"/>
        <v>0</v>
      </c>
      <c r="S189" s="477">
        <f t="shared" si="59"/>
        <v>0</v>
      </c>
    </row>
    <row r="190" spans="1:19" x14ac:dyDescent="0.15">
      <c r="A190" s="505">
        <f t="shared" si="49"/>
        <v>1242</v>
      </c>
      <c r="B190" s="1531">
        <f t="shared" si="51"/>
        <v>0</v>
      </c>
      <c r="C190" s="1531"/>
      <c r="D190" s="1530">
        <f t="shared" si="52"/>
        <v>0</v>
      </c>
      <c r="E190" s="1530"/>
      <c r="F190" s="1530">
        <f t="shared" si="53"/>
        <v>0</v>
      </c>
      <c r="G190" s="1530"/>
      <c r="H190" s="497">
        <f t="shared" si="54"/>
        <v>0</v>
      </c>
      <c r="I190" s="1530">
        <f t="shared" si="55"/>
        <v>0</v>
      </c>
      <c r="J190" s="1530"/>
      <c r="K190" s="1530">
        <f t="shared" si="56"/>
        <v>0</v>
      </c>
      <c r="L190" s="1530"/>
      <c r="M190" s="1530"/>
      <c r="N190" s="1530"/>
      <c r="O190" s="1530"/>
      <c r="P190" s="1530"/>
      <c r="Q190" s="497">
        <f t="shared" si="57"/>
        <v>0</v>
      </c>
      <c r="R190" s="498">
        <f t="shared" si="58"/>
        <v>0</v>
      </c>
      <c r="S190" s="477">
        <f t="shared" si="59"/>
        <v>0</v>
      </c>
    </row>
    <row r="191" spans="1:19" x14ac:dyDescent="0.15">
      <c r="A191" s="505">
        <f t="shared" si="49"/>
        <v>1243</v>
      </c>
      <c r="B191" s="1531">
        <f t="shared" si="51"/>
        <v>0</v>
      </c>
      <c r="C191" s="1531"/>
      <c r="D191" s="1530">
        <f t="shared" si="52"/>
        <v>0</v>
      </c>
      <c r="E191" s="1530"/>
      <c r="F191" s="1530">
        <f t="shared" si="53"/>
        <v>0</v>
      </c>
      <c r="G191" s="1530"/>
      <c r="H191" s="497">
        <f t="shared" si="54"/>
        <v>0</v>
      </c>
      <c r="I191" s="1530">
        <f t="shared" si="55"/>
        <v>0</v>
      </c>
      <c r="J191" s="1530"/>
      <c r="K191" s="1530">
        <f t="shared" si="56"/>
        <v>0</v>
      </c>
      <c r="L191" s="1530"/>
      <c r="M191" s="1530"/>
      <c r="N191" s="1530"/>
      <c r="O191" s="1530"/>
      <c r="P191" s="1530"/>
      <c r="Q191" s="497">
        <f t="shared" si="57"/>
        <v>0</v>
      </c>
      <c r="R191" s="498">
        <f t="shared" si="58"/>
        <v>0</v>
      </c>
      <c r="S191" s="477">
        <f t="shared" si="59"/>
        <v>0</v>
      </c>
    </row>
    <row r="192" spans="1:19" x14ac:dyDescent="0.15">
      <c r="A192" s="505">
        <f t="shared" si="49"/>
        <v>1244</v>
      </c>
      <c r="B192" s="1531">
        <f t="shared" si="51"/>
        <v>0</v>
      </c>
      <c r="C192" s="1531"/>
      <c r="D192" s="1530">
        <f t="shared" si="52"/>
        <v>0</v>
      </c>
      <c r="E192" s="1530"/>
      <c r="F192" s="1530">
        <f t="shared" si="53"/>
        <v>0</v>
      </c>
      <c r="G192" s="1530"/>
      <c r="H192" s="497">
        <f t="shared" si="54"/>
        <v>0</v>
      </c>
      <c r="I192" s="1530">
        <f t="shared" si="55"/>
        <v>0</v>
      </c>
      <c r="J192" s="1530"/>
      <c r="K192" s="1530">
        <f t="shared" si="56"/>
        <v>0</v>
      </c>
      <c r="L192" s="1530"/>
      <c r="M192" s="1530"/>
      <c r="N192" s="1530"/>
      <c r="O192" s="1530"/>
      <c r="P192" s="1530"/>
      <c r="Q192" s="497">
        <f t="shared" si="57"/>
        <v>0</v>
      </c>
      <c r="R192" s="498">
        <f t="shared" si="58"/>
        <v>0</v>
      </c>
      <c r="S192" s="477">
        <f t="shared" si="59"/>
        <v>0</v>
      </c>
    </row>
    <row r="193" spans="1:19" x14ac:dyDescent="0.15">
      <c r="A193" s="505">
        <f t="shared" si="49"/>
        <v>1245</v>
      </c>
      <c r="B193" s="1531">
        <f t="shared" si="51"/>
        <v>0</v>
      </c>
      <c r="C193" s="1531"/>
      <c r="D193" s="1530">
        <f t="shared" si="52"/>
        <v>0</v>
      </c>
      <c r="E193" s="1530"/>
      <c r="F193" s="1530">
        <f t="shared" si="53"/>
        <v>0</v>
      </c>
      <c r="G193" s="1530"/>
      <c r="H193" s="497">
        <f t="shared" si="54"/>
        <v>0</v>
      </c>
      <c r="I193" s="1530">
        <f t="shared" si="55"/>
        <v>0</v>
      </c>
      <c r="J193" s="1530"/>
      <c r="K193" s="1530">
        <f t="shared" si="56"/>
        <v>0</v>
      </c>
      <c r="L193" s="1530"/>
      <c r="M193" s="1530"/>
      <c r="N193" s="1530"/>
      <c r="O193" s="1530"/>
      <c r="P193" s="1530"/>
      <c r="Q193" s="497">
        <f t="shared" si="57"/>
        <v>0</v>
      </c>
      <c r="R193" s="498">
        <f t="shared" si="58"/>
        <v>0</v>
      </c>
      <c r="S193" s="477">
        <f t="shared" si="59"/>
        <v>0</v>
      </c>
    </row>
    <row r="194" spans="1:19" x14ac:dyDescent="0.15">
      <c r="A194" s="505">
        <f t="shared" si="49"/>
        <v>1246</v>
      </c>
      <c r="B194" s="1531">
        <f t="shared" si="51"/>
        <v>0</v>
      </c>
      <c r="C194" s="1531"/>
      <c r="D194" s="1530">
        <f t="shared" si="52"/>
        <v>0</v>
      </c>
      <c r="E194" s="1530"/>
      <c r="F194" s="1530">
        <f t="shared" si="53"/>
        <v>0</v>
      </c>
      <c r="G194" s="1530"/>
      <c r="H194" s="497">
        <f t="shared" si="54"/>
        <v>0</v>
      </c>
      <c r="I194" s="1530">
        <f t="shared" si="55"/>
        <v>0</v>
      </c>
      <c r="J194" s="1530"/>
      <c r="K194" s="1530">
        <f t="shared" si="56"/>
        <v>0</v>
      </c>
      <c r="L194" s="1530"/>
      <c r="M194" s="1530"/>
      <c r="N194" s="1530"/>
      <c r="O194" s="1530"/>
      <c r="P194" s="1530"/>
      <c r="Q194" s="497">
        <f t="shared" si="57"/>
        <v>0</v>
      </c>
      <c r="R194" s="498">
        <f t="shared" si="58"/>
        <v>0</v>
      </c>
      <c r="S194" s="477">
        <f t="shared" si="59"/>
        <v>0</v>
      </c>
    </row>
    <row r="195" spans="1:19" x14ac:dyDescent="0.15">
      <c r="A195" s="505">
        <f t="shared" si="49"/>
        <v>1247</v>
      </c>
      <c r="B195" s="1531">
        <f t="shared" si="51"/>
        <v>0</v>
      </c>
      <c r="C195" s="1531"/>
      <c r="D195" s="1530">
        <f t="shared" si="52"/>
        <v>0</v>
      </c>
      <c r="E195" s="1530"/>
      <c r="F195" s="1530">
        <f t="shared" si="53"/>
        <v>0</v>
      </c>
      <c r="G195" s="1530"/>
      <c r="H195" s="497">
        <f t="shared" si="54"/>
        <v>0</v>
      </c>
      <c r="I195" s="1530">
        <f t="shared" si="55"/>
        <v>0</v>
      </c>
      <c r="J195" s="1530"/>
      <c r="K195" s="1530">
        <f t="shared" si="56"/>
        <v>0</v>
      </c>
      <c r="L195" s="1530"/>
      <c r="M195" s="1530"/>
      <c r="N195" s="1530"/>
      <c r="O195" s="1530"/>
      <c r="P195" s="1530"/>
      <c r="Q195" s="497">
        <f t="shared" si="57"/>
        <v>0</v>
      </c>
      <c r="R195" s="498">
        <f t="shared" si="58"/>
        <v>0</v>
      </c>
      <c r="S195" s="477">
        <f t="shared" si="59"/>
        <v>0</v>
      </c>
    </row>
    <row r="196" spans="1:19" x14ac:dyDescent="0.15">
      <c r="A196" s="505">
        <f t="shared" si="49"/>
        <v>1248</v>
      </c>
      <c r="B196" s="1531">
        <f t="shared" si="51"/>
        <v>0</v>
      </c>
      <c r="C196" s="1531"/>
      <c r="D196" s="1530">
        <f t="shared" si="52"/>
        <v>0</v>
      </c>
      <c r="E196" s="1530"/>
      <c r="F196" s="1530">
        <f t="shared" si="53"/>
        <v>0</v>
      </c>
      <c r="G196" s="1530"/>
      <c r="H196" s="497">
        <f t="shared" si="54"/>
        <v>0</v>
      </c>
      <c r="I196" s="1530">
        <f t="shared" si="55"/>
        <v>0</v>
      </c>
      <c r="J196" s="1530"/>
      <c r="K196" s="1530">
        <f t="shared" si="56"/>
        <v>0</v>
      </c>
      <c r="L196" s="1530"/>
      <c r="M196" s="1530"/>
      <c r="N196" s="1530"/>
      <c r="O196" s="1530"/>
      <c r="P196" s="1530"/>
      <c r="Q196" s="497">
        <f t="shared" si="57"/>
        <v>0</v>
      </c>
      <c r="R196" s="498">
        <f t="shared" si="58"/>
        <v>0</v>
      </c>
      <c r="S196" s="477">
        <f t="shared" si="59"/>
        <v>0</v>
      </c>
    </row>
    <row r="197" spans="1:19" x14ac:dyDescent="0.15">
      <c r="A197" s="505">
        <f t="shared" si="49"/>
        <v>1249</v>
      </c>
      <c r="B197" s="1531">
        <f t="shared" si="51"/>
        <v>0</v>
      </c>
      <c r="C197" s="1531"/>
      <c r="D197" s="1530">
        <f t="shared" si="52"/>
        <v>0</v>
      </c>
      <c r="E197" s="1530"/>
      <c r="F197" s="1530">
        <f t="shared" si="53"/>
        <v>0</v>
      </c>
      <c r="G197" s="1530"/>
      <c r="H197" s="497">
        <f t="shared" si="54"/>
        <v>0</v>
      </c>
      <c r="I197" s="1530">
        <f t="shared" si="55"/>
        <v>0</v>
      </c>
      <c r="J197" s="1530"/>
      <c r="K197" s="1530">
        <f t="shared" si="56"/>
        <v>0</v>
      </c>
      <c r="L197" s="1530"/>
      <c r="M197" s="1530"/>
      <c r="N197" s="1530"/>
      <c r="O197" s="1530"/>
      <c r="P197" s="1530"/>
      <c r="Q197" s="497">
        <f t="shared" si="57"/>
        <v>0</v>
      </c>
      <c r="R197" s="498">
        <f t="shared" si="58"/>
        <v>0</v>
      </c>
      <c r="S197" s="477">
        <f t="shared" si="59"/>
        <v>0</v>
      </c>
    </row>
    <row r="198" spans="1:19" x14ac:dyDescent="0.15">
      <c r="A198" s="505">
        <f t="shared" si="49"/>
        <v>1250</v>
      </c>
      <c r="B198" s="1531">
        <f t="shared" si="51"/>
        <v>0</v>
      </c>
      <c r="C198" s="1531"/>
      <c r="D198" s="1530">
        <f t="shared" si="52"/>
        <v>0</v>
      </c>
      <c r="E198" s="1530"/>
      <c r="F198" s="1530">
        <f t="shared" si="53"/>
        <v>0</v>
      </c>
      <c r="G198" s="1530"/>
      <c r="H198" s="497">
        <f t="shared" si="54"/>
        <v>0</v>
      </c>
      <c r="I198" s="1530">
        <f t="shared" si="55"/>
        <v>0</v>
      </c>
      <c r="J198" s="1530"/>
      <c r="K198" s="1530">
        <f t="shared" si="56"/>
        <v>0</v>
      </c>
      <c r="L198" s="1530"/>
      <c r="M198" s="1530"/>
      <c r="N198" s="1530"/>
      <c r="O198" s="1530"/>
      <c r="P198" s="1530"/>
      <c r="Q198" s="497">
        <f t="shared" si="57"/>
        <v>0</v>
      </c>
      <c r="R198" s="498">
        <f t="shared" si="58"/>
        <v>0</v>
      </c>
      <c r="S198" s="477">
        <f t="shared" si="59"/>
        <v>0</v>
      </c>
    </row>
    <row r="199" spans="1:19" x14ac:dyDescent="0.15">
      <c r="A199" s="505">
        <f t="shared" si="49"/>
        <v>1251</v>
      </c>
      <c r="B199" s="1531">
        <f t="shared" si="51"/>
        <v>0</v>
      </c>
      <c r="C199" s="1531"/>
      <c r="D199" s="1530">
        <f t="shared" si="52"/>
        <v>0</v>
      </c>
      <c r="E199" s="1530"/>
      <c r="F199" s="1530">
        <f t="shared" si="53"/>
        <v>0</v>
      </c>
      <c r="G199" s="1530"/>
      <c r="H199" s="497">
        <f t="shared" si="54"/>
        <v>0</v>
      </c>
      <c r="I199" s="1530">
        <f t="shared" si="55"/>
        <v>0</v>
      </c>
      <c r="J199" s="1530"/>
      <c r="K199" s="1530">
        <f t="shared" si="56"/>
        <v>0</v>
      </c>
      <c r="L199" s="1530"/>
      <c r="M199" s="1530"/>
      <c r="N199" s="1530"/>
      <c r="O199" s="1530"/>
      <c r="P199" s="1530"/>
      <c r="Q199" s="497">
        <f t="shared" si="57"/>
        <v>0</v>
      </c>
      <c r="R199" s="498">
        <f t="shared" si="58"/>
        <v>0</v>
      </c>
      <c r="S199" s="477">
        <f t="shared" si="59"/>
        <v>0</v>
      </c>
    </row>
    <row r="200" spans="1:19" x14ac:dyDescent="0.15">
      <c r="A200" s="505">
        <f t="shared" si="49"/>
        <v>1252</v>
      </c>
      <c r="B200" s="1531">
        <f t="shared" si="51"/>
        <v>0</v>
      </c>
      <c r="C200" s="1531"/>
      <c r="D200" s="1530">
        <f t="shared" si="52"/>
        <v>0</v>
      </c>
      <c r="E200" s="1530"/>
      <c r="F200" s="1530">
        <f t="shared" si="53"/>
        <v>0</v>
      </c>
      <c r="G200" s="1530"/>
      <c r="H200" s="497">
        <f t="shared" si="54"/>
        <v>0</v>
      </c>
      <c r="I200" s="1530">
        <f t="shared" si="55"/>
        <v>0</v>
      </c>
      <c r="J200" s="1530"/>
      <c r="K200" s="1530">
        <f t="shared" si="56"/>
        <v>0</v>
      </c>
      <c r="L200" s="1530"/>
      <c r="M200" s="1530"/>
      <c r="N200" s="1530"/>
      <c r="O200" s="1530"/>
      <c r="P200" s="1530"/>
      <c r="Q200" s="497">
        <f t="shared" si="57"/>
        <v>0</v>
      </c>
      <c r="R200" s="498">
        <f t="shared" si="58"/>
        <v>0</v>
      </c>
      <c r="S200" s="477">
        <f t="shared" si="59"/>
        <v>0</v>
      </c>
    </row>
    <row r="201" spans="1:19" x14ac:dyDescent="0.15">
      <c r="A201" s="505">
        <f t="shared" si="49"/>
        <v>1253</v>
      </c>
      <c r="B201" s="1531">
        <f t="shared" si="51"/>
        <v>0</v>
      </c>
      <c r="C201" s="1531"/>
      <c r="D201" s="1530">
        <f t="shared" si="52"/>
        <v>0</v>
      </c>
      <c r="E201" s="1530"/>
      <c r="F201" s="1530">
        <f t="shared" si="53"/>
        <v>0</v>
      </c>
      <c r="G201" s="1530"/>
      <c r="H201" s="497">
        <f t="shared" si="54"/>
        <v>0</v>
      </c>
      <c r="I201" s="1530">
        <f t="shared" si="55"/>
        <v>0</v>
      </c>
      <c r="J201" s="1530"/>
      <c r="K201" s="1530">
        <f t="shared" si="56"/>
        <v>0</v>
      </c>
      <c r="L201" s="1530"/>
      <c r="M201" s="1530"/>
      <c r="N201" s="1530"/>
      <c r="O201" s="1530"/>
      <c r="P201" s="1530"/>
      <c r="Q201" s="497">
        <f t="shared" si="57"/>
        <v>0</v>
      </c>
      <c r="R201" s="498">
        <f t="shared" si="58"/>
        <v>0</v>
      </c>
      <c r="S201" s="477">
        <f t="shared" si="59"/>
        <v>0</v>
      </c>
    </row>
    <row r="202" spans="1:19" x14ac:dyDescent="0.15">
      <c r="A202" s="505">
        <f t="shared" si="49"/>
        <v>1254</v>
      </c>
      <c r="B202" s="1531">
        <f t="shared" si="51"/>
        <v>0</v>
      </c>
      <c r="C202" s="1531"/>
      <c r="D202" s="1530">
        <f t="shared" si="52"/>
        <v>0</v>
      </c>
      <c r="E202" s="1530"/>
      <c r="F202" s="1530">
        <f t="shared" si="53"/>
        <v>0</v>
      </c>
      <c r="G202" s="1530"/>
      <c r="H202" s="497">
        <f t="shared" si="54"/>
        <v>0</v>
      </c>
      <c r="I202" s="1530">
        <f t="shared" si="55"/>
        <v>0</v>
      </c>
      <c r="J202" s="1530"/>
      <c r="K202" s="1530">
        <f t="shared" si="56"/>
        <v>0</v>
      </c>
      <c r="L202" s="1530"/>
      <c r="M202" s="1530"/>
      <c r="N202" s="1530"/>
      <c r="O202" s="1530"/>
      <c r="P202" s="1530"/>
      <c r="Q202" s="497">
        <f t="shared" si="57"/>
        <v>0</v>
      </c>
      <c r="R202" s="498">
        <f t="shared" si="58"/>
        <v>0</v>
      </c>
      <c r="S202" s="477">
        <f t="shared" si="59"/>
        <v>0</v>
      </c>
    </row>
    <row r="203" spans="1:19" x14ac:dyDescent="0.15">
      <c r="A203" s="505">
        <f t="shared" si="49"/>
        <v>1255</v>
      </c>
      <c r="B203" s="1531">
        <f t="shared" si="51"/>
        <v>0</v>
      </c>
      <c r="C203" s="1531"/>
      <c r="D203" s="1530">
        <f t="shared" si="52"/>
        <v>0</v>
      </c>
      <c r="E203" s="1530"/>
      <c r="F203" s="1530">
        <f t="shared" si="53"/>
        <v>0</v>
      </c>
      <c r="G203" s="1530"/>
      <c r="H203" s="497">
        <f t="shared" si="54"/>
        <v>0</v>
      </c>
      <c r="I203" s="1530">
        <f t="shared" si="55"/>
        <v>0</v>
      </c>
      <c r="J203" s="1530"/>
      <c r="K203" s="1530">
        <f t="shared" si="56"/>
        <v>0</v>
      </c>
      <c r="L203" s="1530"/>
      <c r="M203" s="1530"/>
      <c r="N203" s="1530"/>
      <c r="O203" s="1530"/>
      <c r="P203" s="1530"/>
      <c r="Q203" s="497">
        <f t="shared" si="57"/>
        <v>0</v>
      </c>
      <c r="R203" s="498">
        <f t="shared" si="58"/>
        <v>0</v>
      </c>
      <c r="S203" s="477">
        <f t="shared" si="59"/>
        <v>0</v>
      </c>
    </row>
    <row r="204" spans="1:19" x14ac:dyDescent="0.15">
      <c r="A204" s="505">
        <f t="shared" si="49"/>
        <v>1256</v>
      </c>
      <c r="B204" s="499" t="s">
        <v>749</v>
      </c>
      <c r="C204" s="500"/>
      <c r="D204" s="500"/>
      <c r="E204" s="500"/>
      <c r="F204" s="500"/>
      <c r="G204" s="500"/>
      <c r="H204" s="500"/>
      <c r="I204" s="500"/>
      <c r="J204" s="500"/>
      <c r="K204" s="500"/>
      <c r="L204" s="500"/>
      <c r="M204" s="500"/>
      <c r="N204" s="500"/>
      <c r="O204" s="500"/>
      <c r="P204" s="500"/>
      <c r="Q204" s="501"/>
      <c r="R204" s="489">
        <f>SUM(R149:R203)</f>
        <v>0</v>
      </c>
      <c r="S204" s="489">
        <f>SUM(S149:S203)</f>
        <v>0</v>
      </c>
    </row>
  </sheetData>
  <sheetProtection password="CA39" sheet="1" objects="1" scenarios="1"/>
  <mergeCells count="419">
    <mergeCell ref="B201:C201"/>
    <mergeCell ref="D201:E201"/>
    <mergeCell ref="F201:G201"/>
    <mergeCell ref="I201:J201"/>
    <mergeCell ref="K201:P201"/>
    <mergeCell ref="B202:C202"/>
    <mergeCell ref="D202:E202"/>
    <mergeCell ref="F202:G202"/>
    <mergeCell ref="I202:J202"/>
    <mergeCell ref="K202:P202"/>
    <mergeCell ref="B199:C199"/>
    <mergeCell ref="D199:E199"/>
    <mergeCell ref="F199:G199"/>
    <mergeCell ref="I199:J199"/>
    <mergeCell ref="K199:P199"/>
    <mergeCell ref="B200:C200"/>
    <mergeCell ref="D200:E200"/>
    <mergeCell ref="F200:G200"/>
    <mergeCell ref="I200:J200"/>
    <mergeCell ref="K200:P200"/>
    <mergeCell ref="B197:C197"/>
    <mergeCell ref="D197:E197"/>
    <mergeCell ref="F197:G197"/>
    <mergeCell ref="I197:J197"/>
    <mergeCell ref="K197:P197"/>
    <mergeCell ref="B198:C198"/>
    <mergeCell ref="D198:E198"/>
    <mergeCell ref="F198:G198"/>
    <mergeCell ref="I198:J198"/>
    <mergeCell ref="K198:P198"/>
    <mergeCell ref="B195:C195"/>
    <mergeCell ref="D195:E195"/>
    <mergeCell ref="F195:G195"/>
    <mergeCell ref="I195:J195"/>
    <mergeCell ref="K195:P195"/>
    <mergeCell ref="B196:C196"/>
    <mergeCell ref="D196:E196"/>
    <mergeCell ref="F196:G196"/>
    <mergeCell ref="I196:J196"/>
    <mergeCell ref="K196:P196"/>
    <mergeCell ref="B193:C193"/>
    <mergeCell ref="D193:E193"/>
    <mergeCell ref="F193:G193"/>
    <mergeCell ref="I193:J193"/>
    <mergeCell ref="K193:P193"/>
    <mergeCell ref="B194:C194"/>
    <mergeCell ref="D194:E194"/>
    <mergeCell ref="F194:G194"/>
    <mergeCell ref="I194:J194"/>
    <mergeCell ref="K194:P194"/>
    <mergeCell ref="B191:C191"/>
    <mergeCell ref="D191:E191"/>
    <mergeCell ref="F191:G191"/>
    <mergeCell ref="I191:J191"/>
    <mergeCell ref="K191:P191"/>
    <mergeCell ref="B192:C192"/>
    <mergeCell ref="D192:E192"/>
    <mergeCell ref="F192:G192"/>
    <mergeCell ref="I192:J192"/>
    <mergeCell ref="K192:P192"/>
    <mergeCell ref="B189:C189"/>
    <mergeCell ref="D189:E189"/>
    <mergeCell ref="F189:G189"/>
    <mergeCell ref="I189:J189"/>
    <mergeCell ref="K189:P189"/>
    <mergeCell ref="B190:C190"/>
    <mergeCell ref="D190:E190"/>
    <mergeCell ref="F190:G190"/>
    <mergeCell ref="I190:J190"/>
    <mergeCell ref="K190:P190"/>
    <mergeCell ref="B187:C187"/>
    <mergeCell ref="D187:E187"/>
    <mergeCell ref="F187:G187"/>
    <mergeCell ref="I187:J187"/>
    <mergeCell ref="K187:P187"/>
    <mergeCell ref="B188:C188"/>
    <mergeCell ref="D188:E188"/>
    <mergeCell ref="F188:G188"/>
    <mergeCell ref="I188:J188"/>
    <mergeCell ref="K188:P188"/>
    <mergeCell ref="K184:P184"/>
    <mergeCell ref="B185:C185"/>
    <mergeCell ref="D185:E185"/>
    <mergeCell ref="F185:G185"/>
    <mergeCell ref="I185:J185"/>
    <mergeCell ref="K185:P185"/>
    <mergeCell ref="B186:C186"/>
    <mergeCell ref="D186:E186"/>
    <mergeCell ref="F186:G186"/>
    <mergeCell ref="I186:J186"/>
    <mergeCell ref="K186:P186"/>
    <mergeCell ref="K57:P57"/>
    <mergeCell ref="A3:D3"/>
    <mergeCell ref="D65:E65"/>
    <mergeCell ref="I65:J65"/>
    <mergeCell ref="K65:P65"/>
    <mergeCell ref="D55:E55"/>
    <mergeCell ref="I55:J55"/>
    <mergeCell ref="K55:P55"/>
    <mergeCell ref="F65:G65"/>
    <mergeCell ref="D58:E58"/>
    <mergeCell ref="K54:P54"/>
    <mergeCell ref="F57:G57"/>
    <mergeCell ref="K53:P53"/>
    <mergeCell ref="I4:P4"/>
    <mergeCell ref="I60:J60"/>
    <mergeCell ref="K60:P60"/>
    <mergeCell ref="K58:P58"/>
    <mergeCell ref="D59:E59"/>
    <mergeCell ref="F59:G59"/>
    <mergeCell ref="I59:J59"/>
    <mergeCell ref="K59:P59"/>
    <mergeCell ref="I58:J58"/>
    <mergeCell ref="I62:J62"/>
    <mergeCell ref="K62:P62"/>
    <mergeCell ref="D66:E66"/>
    <mergeCell ref="I66:J66"/>
    <mergeCell ref="K66:P66"/>
    <mergeCell ref="D56:E56"/>
    <mergeCell ref="I56:J56"/>
    <mergeCell ref="K56:P56"/>
    <mergeCell ref="D57:E57"/>
    <mergeCell ref="F50:G50"/>
    <mergeCell ref="K5:P5"/>
    <mergeCell ref="D50:E50"/>
    <mergeCell ref="D52:E52"/>
    <mergeCell ref="I52:J52"/>
    <mergeCell ref="K52:P52"/>
    <mergeCell ref="F51:G51"/>
    <mergeCell ref="F52:G52"/>
    <mergeCell ref="D51:E51"/>
    <mergeCell ref="I51:J51"/>
    <mergeCell ref="I49:J49"/>
    <mergeCell ref="K49:P49"/>
    <mergeCell ref="K51:P51"/>
    <mergeCell ref="I50:J50"/>
    <mergeCell ref="K50:P50"/>
    <mergeCell ref="D53:E53"/>
    <mergeCell ref="D54:E54"/>
    <mergeCell ref="D74:E74"/>
    <mergeCell ref="I70:J70"/>
    <mergeCell ref="I71:J71"/>
    <mergeCell ref="I67:J67"/>
    <mergeCell ref="I68:J68"/>
    <mergeCell ref="I69:J69"/>
    <mergeCell ref="I72:J72"/>
    <mergeCell ref="I73:J73"/>
    <mergeCell ref="I74:J74"/>
    <mergeCell ref="F70:G70"/>
    <mergeCell ref="D72:E72"/>
    <mergeCell ref="D73:E73"/>
    <mergeCell ref="I53:J53"/>
    <mergeCell ref="I54:J54"/>
    <mergeCell ref="I57:J57"/>
    <mergeCell ref="F58:G58"/>
    <mergeCell ref="F71:G71"/>
    <mergeCell ref="F72:G72"/>
    <mergeCell ref="F73:G73"/>
    <mergeCell ref="F74:G74"/>
    <mergeCell ref="F66:G66"/>
    <mergeCell ref="F67:G67"/>
    <mergeCell ref="F68:G68"/>
    <mergeCell ref="F69:G69"/>
    <mergeCell ref="I61:J61"/>
    <mergeCell ref="K61:P61"/>
    <mergeCell ref="I64:J64"/>
    <mergeCell ref="K64:P64"/>
    <mergeCell ref="D63:E63"/>
    <mergeCell ref="F63:G63"/>
    <mergeCell ref="I63:J63"/>
    <mergeCell ref="K63:P63"/>
    <mergeCell ref="D75:E75"/>
    <mergeCell ref="F75:G75"/>
    <mergeCell ref="K75:P75"/>
    <mergeCell ref="I75:J75"/>
    <mergeCell ref="K67:P67"/>
    <mergeCell ref="K72:P72"/>
    <mergeCell ref="K73:P73"/>
    <mergeCell ref="K74:P74"/>
    <mergeCell ref="K68:P68"/>
    <mergeCell ref="K69:P69"/>
    <mergeCell ref="K70:P70"/>
    <mergeCell ref="K71:P71"/>
    <mergeCell ref="D67:E67"/>
    <mergeCell ref="D68:E68"/>
    <mergeCell ref="D69:E69"/>
    <mergeCell ref="D70:E70"/>
    <mergeCell ref="D71:E71"/>
    <mergeCell ref="B50:C50"/>
    <mergeCell ref="B51:C51"/>
    <mergeCell ref="B52:C52"/>
    <mergeCell ref="B53:C53"/>
    <mergeCell ref="D64:E64"/>
    <mergeCell ref="F64:G64"/>
    <mergeCell ref="D62:E62"/>
    <mergeCell ref="F62:G62"/>
    <mergeCell ref="D60:E60"/>
    <mergeCell ref="F60:G60"/>
    <mergeCell ref="B58:C58"/>
    <mergeCell ref="B59:C59"/>
    <mergeCell ref="B60:C60"/>
    <mergeCell ref="B61:C61"/>
    <mergeCell ref="B54:C54"/>
    <mergeCell ref="B55:C55"/>
    <mergeCell ref="B56:C56"/>
    <mergeCell ref="B57:C57"/>
    <mergeCell ref="D61:E61"/>
    <mergeCell ref="F61:G61"/>
    <mergeCell ref="F53:G53"/>
    <mergeCell ref="F54:G54"/>
    <mergeCell ref="F55:G55"/>
    <mergeCell ref="F56:G56"/>
    <mergeCell ref="B66:C66"/>
    <mergeCell ref="B67:C67"/>
    <mergeCell ref="B68:C68"/>
    <mergeCell ref="B69:C69"/>
    <mergeCell ref="B62:C62"/>
    <mergeCell ref="B63:C63"/>
    <mergeCell ref="B64:C64"/>
    <mergeCell ref="B65:C65"/>
    <mergeCell ref="B74:C74"/>
    <mergeCell ref="K149:P149"/>
    <mergeCell ref="B150:C150"/>
    <mergeCell ref="D150:E150"/>
    <mergeCell ref="F150:G150"/>
    <mergeCell ref="I150:J150"/>
    <mergeCell ref="B75:C75"/>
    <mergeCell ref="B76:C76"/>
    <mergeCell ref="B70:C70"/>
    <mergeCell ref="B71:C71"/>
    <mergeCell ref="B72:C72"/>
    <mergeCell ref="B73:C73"/>
    <mergeCell ref="K150:P150"/>
    <mergeCell ref="B149:C149"/>
    <mergeCell ref="D149:E149"/>
    <mergeCell ref="F149:G149"/>
    <mergeCell ref="I149:J149"/>
    <mergeCell ref="I81:P81"/>
    <mergeCell ref="K82:P82"/>
    <mergeCell ref="I148:J148"/>
    <mergeCell ref="K148:P148"/>
    <mergeCell ref="D76:E76"/>
    <mergeCell ref="F76:G76"/>
    <mergeCell ref="K76:P76"/>
    <mergeCell ref="I76:J76"/>
    <mergeCell ref="K151:P151"/>
    <mergeCell ref="B152:C152"/>
    <mergeCell ref="D152:E152"/>
    <mergeCell ref="F152:G152"/>
    <mergeCell ref="I152:J152"/>
    <mergeCell ref="K152:P152"/>
    <mergeCell ref="B151:C151"/>
    <mergeCell ref="D151:E151"/>
    <mergeCell ref="F151:G151"/>
    <mergeCell ref="I151:J151"/>
    <mergeCell ref="K153:P153"/>
    <mergeCell ref="B154:C154"/>
    <mergeCell ref="D154:E154"/>
    <mergeCell ref="F154:G154"/>
    <mergeCell ref="I154:J154"/>
    <mergeCell ref="K154:P154"/>
    <mergeCell ref="B153:C153"/>
    <mergeCell ref="D153:E153"/>
    <mergeCell ref="F153:G153"/>
    <mergeCell ref="I153:J153"/>
    <mergeCell ref="K155:P155"/>
    <mergeCell ref="B156:C156"/>
    <mergeCell ref="D156:E156"/>
    <mergeCell ref="F156:G156"/>
    <mergeCell ref="I156:J156"/>
    <mergeCell ref="K156:P156"/>
    <mergeCell ref="B155:C155"/>
    <mergeCell ref="D155:E155"/>
    <mergeCell ref="F155:G155"/>
    <mergeCell ref="I155:J155"/>
    <mergeCell ref="K157:P157"/>
    <mergeCell ref="B158:C158"/>
    <mergeCell ref="D158:E158"/>
    <mergeCell ref="F158:G158"/>
    <mergeCell ref="I158:J158"/>
    <mergeCell ref="K158:P158"/>
    <mergeCell ref="B157:C157"/>
    <mergeCell ref="D157:E157"/>
    <mergeCell ref="F157:G157"/>
    <mergeCell ref="I157:J157"/>
    <mergeCell ref="K159:P159"/>
    <mergeCell ref="B160:C160"/>
    <mergeCell ref="D160:E160"/>
    <mergeCell ref="F160:G160"/>
    <mergeCell ref="I160:J160"/>
    <mergeCell ref="K160:P160"/>
    <mergeCell ref="B159:C159"/>
    <mergeCell ref="D159:E159"/>
    <mergeCell ref="F159:G159"/>
    <mergeCell ref="I159:J159"/>
    <mergeCell ref="K161:P161"/>
    <mergeCell ref="B162:C162"/>
    <mergeCell ref="D162:E162"/>
    <mergeCell ref="F162:G162"/>
    <mergeCell ref="I162:J162"/>
    <mergeCell ref="K162:P162"/>
    <mergeCell ref="B161:C161"/>
    <mergeCell ref="D161:E161"/>
    <mergeCell ref="F161:G161"/>
    <mergeCell ref="I161:J161"/>
    <mergeCell ref="K163:P163"/>
    <mergeCell ref="B164:C164"/>
    <mergeCell ref="D164:E164"/>
    <mergeCell ref="F164:G164"/>
    <mergeCell ref="I164:J164"/>
    <mergeCell ref="K164:P164"/>
    <mergeCell ref="B163:C163"/>
    <mergeCell ref="D163:E163"/>
    <mergeCell ref="F163:G163"/>
    <mergeCell ref="I163:J163"/>
    <mergeCell ref="K165:P165"/>
    <mergeCell ref="B166:C166"/>
    <mergeCell ref="D166:E166"/>
    <mergeCell ref="F166:G166"/>
    <mergeCell ref="I166:J166"/>
    <mergeCell ref="K166:P166"/>
    <mergeCell ref="B165:C165"/>
    <mergeCell ref="D165:E165"/>
    <mergeCell ref="F165:G165"/>
    <mergeCell ref="I165:J165"/>
    <mergeCell ref="K167:P167"/>
    <mergeCell ref="B168:C168"/>
    <mergeCell ref="D168:E168"/>
    <mergeCell ref="F168:G168"/>
    <mergeCell ref="I168:J168"/>
    <mergeCell ref="K168:P168"/>
    <mergeCell ref="B167:C167"/>
    <mergeCell ref="D167:E167"/>
    <mergeCell ref="F167:G167"/>
    <mergeCell ref="I167:J167"/>
    <mergeCell ref="K169:P169"/>
    <mergeCell ref="B170:C170"/>
    <mergeCell ref="D170:E170"/>
    <mergeCell ref="F170:G170"/>
    <mergeCell ref="I170:J170"/>
    <mergeCell ref="K170:P170"/>
    <mergeCell ref="B169:C169"/>
    <mergeCell ref="D169:E169"/>
    <mergeCell ref="F169:G169"/>
    <mergeCell ref="I169:J169"/>
    <mergeCell ref="K171:P171"/>
    <mergeCell ref="B172:C172"/>
    <mergeCell ref="D172:E172"/>
    <mergeCell ref="F172:G172"/>
    <mergeCell ref="I172:J172"/>
    <mergeCell ref="K172:P172"/>
    <mergeCell ref="B171:C171"/>
    <mergeCell ref="D171:E171"/>
    <mergeCell ref="F171:G171"/>
    <mergeCell ref="I171:J171"/>
    <mergeCell ref="K173:P173"/>
    <mergeCell ref="B174:C174"/>
    <mergeCell ref="D174:E174"/>
    <mergeCell ref="F174:G174"/>
    <mergeCell ref="I174:J174"/>
    <mergeCell ref="K174:P174"/>
    <mergeCell ref="B173:C173"/>
    <mergeCell ref="D173:E173"/>
    <mergeCell ref="F173:G173"/>
    <mergeCell ref="I173:J173"/>
    <mergeCell ref="K175:P175"/>
    <mergeCell ref="B176:C176"/>
    <mergeCell ref="D176:E176"/>
    <mergeCell ref="F176:G176"/>
    <mergeCell ref="I176:J176"/>
    <mergeCell ref="K176:P176"/>
    <mergeCell ref="B175:C175"/>
    <mergeCell ref="D175:E175"/>
    <mergeCell ref="F175:G175"/>
    <mergeCell ref="I175:J175"/>
    <mergeCell ref="K177:P177"/>
    <mergeCell ref="B178:C178"/>
    <mergeCell ref="D178:E178"/>
    <mergeCell ref="F178:G178"/>
    <mergeCell ref="I178:J178"/>
    <mergeCell ref="K178:P178"/>
    <mergeCell ref="B177:C177"/>
    <mergeCell ref="D177:E177"/>
    <mergeCell ref="F177:G177"/>
    <mergeCell ref="I177:J177"/>
    <mergeCell ref="K179:P179"/>
    <mergeCell ref="B180:C180"/>
    <mergeCell ref="D180:E180"/>
    <mergeCell ref="F180:G180"/>
    <mergeCell ref="I180:J180"/>
    <mergeCell ref="K180:P180"/>
    <mergeCell ref="B179:C179"/>
    <mergeCell ref="D179:E179"/>
    <mergeCell ref="F179:G179"/>
    <mergeCell ref="I179:J179"/>
    <mergeCell ref="K203:P203"/>
    <mergeCell ref="B203:C203"/>
    <mergeCell ref="D203:E203"/>
    <mergeCell ref="F203:G203"/>
    <mergeCell ref="I203:J203"/>
    <mergeCell ref="K181:P181"/>
    <mergeCell ref="B182:C182"/>
    <mergeCell ref="D182:E182"/>
    <mergeCell ref="F182:G182"/>
    <mergeCell ref="I182:J182"/>
    <mergeCell ref="K182:P182"/>
    <mergeCell ref="B181:C181"/>
    <mergeCell ref="D181:E181"/>
    <mergeCell ref="F181:G181"/>
    <mergeCell ref="I181:J181"/>
    <mergeCell ref="B183:C183"/>
    <mergeCell ref="D183:E183"/>
    <mergeCell ref="F183:G183"/>
    <mergeCell ref="I183:J183"/>
    <mergeCell ref="K183:P183"/>
    <mergeCell ref="B184:C184"/>
    <mergeCell ref="D184:E184"/>
    <mergeCell ref="F184:G184"/>
    <mergeCell ref="I184:J184"/>
  </mergeCells>
  <phoneticPr fontId="12" type="noConversion"/>
  <conditionalFormatting sqref="A50:A77 A149:A204">
    <cfRule type="cellIs" dxfId="4" priority="2" stopIfTrue="1" operator="equal">
      <formula>0</formula>
    </cfRule>
  </conditionalFormatting>
  <conditionalFormatting sqref="B85:P139 R39:R40 B8:P34">
    <cfRule type="expression" dxfId="3" priority="3" stopIfTrue="1">
      <formula>$I$2=TRUE</formula>
    </cfRule>
  </conditionalFormatting>
  <conditionalFormatting sqref="A3">
    <cfRule type="cellIs" dxfId="2" priority="4" stopIfTrue="1" operator="equal">
      <formula>"Vul het Nza-nummer in op het voorblad"</formula>
    </cfRule>
  </conditionalFormatting>
  <pageMargins left="0.39370078740157483" right="0.39370078740157483" top="0.39370078740157483" bottom="0.39370078740157483" header="0.51181102362204722" footer="0.51181102362204722"/>
  <pageSetup paperSize="9" scale="85" orientation="landscape" cellComments="asDisplayed" horizontalDpi="300" verticalDpi="300" r:id="rId1"/>
  <headerFooter alignWithMargins="0"/>
  <rowBreaks count="2" manualBreakCount="2">
    <brk id="43" max="16383" man="1"/>
    <brk id="77" max="16383" man="1"/>
  </rowBreaks>
  <ignoredErrors>
    <ignoredError sqref="T139 T8:T34 T85:T118" unlockedFormula="1"/>
  </ignoredErrors>
  <drawing r:id="rId2"/>
  <legacyDrawing r:id="rId3"/>
  <oleObjects>
    <mc:AlternateContent xmlns:mc="http://schemas.openxmlformats.org/markup-compatibility/2006">
      <mc:Choice Requires="x14">
        <oleObject progId="MSPhotoEd.3" shapeId="91137" r:id="rId4">
          <objectPr defaultSize="0" autoPict="0" r:id="rId5">
            <anchor moveWithCells="1" sizeWithCells="1">
              <from>
                <xdr:col>17</xdr:col>
                <xdr:colOff>609600</xdr:colOff>
                <xdr:row>78</xdr:row>
                <xdr:rowOff>28575</xdr:rowOff>
              </from>
              <to>
                <xdr:col>19</xdr:col>
                <xdr:colOff>485775</xdr:colOff>
                <xdr:row>79</xdr:row>
                <xdr:rowOff>0</xdr:rowOff>
              </to>
            </anchor>
          </objectPr>
        </oleObject>
      </mc:Choice>
      <mc:Fallback>
        <oleObject progId="MSPhotoEd.3" shapeId="91137" r:id="rId4"/>
      </mc:Fallback>
    </mc:AlternateContent>
    <mc:AlternateContent xmlns:mc="http://schemas.openxmlformats.org/markup-compatibility/2006">
      <mc:Choice Requires="x14">
        <oleObject progId="MSPhotoEd.3" shapeId="91138" r:id="rId6">
          <objectPr defaultSize="0" autoPict="0" r:id="rId5">
            <anchor moveWithCells="1" sizeWithCells="1">
              <from>
                <xdr:col>17</xdr:col>
                <xdr:colOff>647700</xdr:colOff>
                <xdr:row>143</xdr:row>
                <xdr:rowOff>0</xdr:rowOff>
              </from>
              <to>
                <xdr:col>19</xdr:col>
                <xdr:colOff>523875</xdr:colOff>
                <xdr:row>144</xdr:row>
                <xdr:rowOff>0</xdr:rowOff>
              </to>
            </anchor>
          </objectPr>
        </oleObject>
      </mc:Choice>
      <mc:Fallback>
        <oleObject progId="MSPhotoEd.3" shapeId="91138" r:id="rId6"/>
      </mc:Fallback>
    </mc:AlternateContent>
    <mc:AlternateContent xmlns:mc="http://schemas.openxmlformats.org/markup-compatibility/2006">
      <mc:Choice Requires="x14">
        <oleObject progId="MSPhotoEd.3" shapeId="91139" r:id="rId7">
          <objectPr defaultSize="0" autoPict="0" r:id="rId5">
            <anchor moveWithCells="1" sizeWithCells="1">
              <from>
                <xdr:col>17</xdr:col>
                <xdr:colOff>695325</xdr:colOff>
                <xdr:row>1</xdr:row>
                <xdr:rowOff>47625</xdr:rowOff>
              </from>
              <to>
                <xdr:col>19</xdr:col>
                <xdr:colOff>571500</xdr:colOff>
                <xdr:row>1</xdr:row>
                <xdr:rowOff>190500</xdr:rowOff>
              </to>
            </anchor>
          </objectPr>
        </oleObject>
      </mc:Choice>
      <mc:Fallback>
        <oleObject progId="MSPhotoEd.3" shapeId="91139" r:id="rId7"/>
      </mc:Fallback>
    </mc:AlternateContent>
    <mc:AlternateContent xmlns:mc="http://schemas.openxmlformats.org/markup-compatibility/2006">
      <mc:Choice Requires="x14">
        <oleObject progId="MSPhotoEd.3" shapeId="91140" r:id="rId8">
          <objectPr defaultSize="0" autoPict="0" r:id="rId5">
            <anchor moveWithCells="1" sizeWithCells="1">
              <from>
                <xdr:col>17</xdr:col>
                <xdr:colOff>657225</xdr:colOff>
                <xdr:row>44</xdr:row>
                <xdr:rowOff>0</xdr:rowOff>
              </from>
              <to>
                <xdr:col>19</xdr:col>
                <xdr:colOff>533400</xdr:colOff>
                <xdr:row>44</xdr:row>
                <xdr:rowOff>152400</xdr:rowOff>
              </to>
            </anchor>
          </objectPr>
        </oleObject>
      </mc:Choice>
      <mc:Fallback>
        <oleObject progId="MSPhotoEd.3" shapeId="91140" r:id="rId8"/>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0">
    <tabColor indexed="44"/>
  </sheetPr>
  <dimension ref="A1:R52"/>
  <sheetViews>
    <sheetView showGridLines="0" showZeros="0" showOutlineSymbols="0" zoomScaleNormal="100" zoomScaleSheetLayoutView="100" workbookViewId="0">
      <selection activeCell="P49" sqref="P49"/>
    </sheetView>
  </sheetViews>
  <sheetFormatPr defaultRowHeight="12.75" x14ac:dyDescent="0.2"/>
  <cols>
    <col min="1" max="1" width="7.5703125" style="534" customWidth="1"/>
    <col min="2" max="2" width="78.7109375" style="135" customWidth="1"/>
    <col min="3" max="4" width="17.7109375" style="2" customWidth="1"/>
    <col min="5" max="5" width="17.7109375" style="135" customWidth="1"/>
    <col min="6" max="6" width="9.140625" style="135"/>
    <col min="7" max="7" width="10.7109375" style="164" customWidth="1"/>
    <col min="8" max="8" width="10.7109375" style="160" customWidth="1"/>
    <col min="9" max="13" width="10.7109375" style="164" customWidth="1"/>
    <col min="14" max="21" width="9.140625" style="135"/>
    <col min="22" max="22" width="1.7109375" style="135" customWidth="1"/>
    <col min="23" max="16384" width="9.140625" style="135"/>
  </cols>
  <sheetData>
    <row r="1" spans="1:18" x14ac:dyDescent="0.2">
      <c r="A1" s="506"/>
      <c r="B1" s="772"/>
      <c r="C1" s="27"/>
      <c r="D1" s="27"/>
      <c r="E1" s="26"/>
      <c r="F1" s="26"/>
      <c r="G1" s="26"/>
      <c r="H1" s="28"/>
      <c r="I1" s="26"/>
      <c r="J1" s="26"/>
      <c r="K1" s="26"/>
      <c r="L1" s="26"/>
      <c r="M1" s="26"/>
      <c r="N1" s="26"/>
      <c r="O1" s="26"/>
      <c r="P1" s="26"/>
      <c r="Q1" s="26"/>
      <c r="R1" s="26"/>
    </row>
    <row r="2" spans="1:18" s="163" customFormat="1" ht="15.75" customHeight="1" x14ac:dyDescent="0.2">
      <c r="A2" s="71" t="str">
        <f>'toelicht. rentenormeringsbalans'!A2</f>
        <v>Rentenormeringsbalans 2012 algemene ziekenhuizen</v>
      </c>
      <c r="B2" s="130"/>
      <c r="C2" s="507" t="b">
        <f>rentenormeringsbalans!D24</f>
        <v>1</v>
      </c>
      <c r="D2" s="507"/>
      <c r="E2" s="42">
        <f>H!T144+1</f>
        <v>13</v>
      </c>
      <c r="F2" s="130"/>
      <c r="G2" s="508"/>
      <c r="H2" s="508"/>
      <c r="I2" s="508"/>
      <c r="J2" s="508"/>
      <c r="K2" s="508"/>
      <c r="L2" s="508"/>
      <c r="M2" s="508"/>
      <c r="N2" s="130"/>
      <c r="O2" s="130"/>
      <c r="P2" s="130"/>
      <c r="Q2" s="130"/>
      <c r="R2" s="130"/>
    </row>
    <row r="3" spans="1:18" s="20" customFormat="1" ht="12.75" customHeight="1" x14ac:dyDescent="0.2">
      <c r="A3" s="1317" t="str">
        <f>IF(Voorblad!$F$10&lt;1,"Vul het NZa-nummer in op het voorblad","")</f>
        <v>Vul het NZa-nummer in op het voorblad</v>
      </c>
      <c r="B3" s="1318"/>
      <c r="C3" s="1318"/>
      <c r="D3" s="1318"/>
      <c r="E3" s="43"/>
      <c r="F3" s="43"/>
      <c r="G3" s="43"/>
      <c r="H3" s="55"/>
      <c r="I3" s="43"/>
      <c r="J3" s="43"/>
      <c r="K3" s="43"/>
      <c r="L3" s="43"/>
      <c r="M3" s="43"/>
      <c r="N3" s="43"/>
      <c r="O3" s="43"/>
      <c r="P3" s="43"/>
      <c r="Q3" s="43"/>
      <c r="R3" s="43"/>
    </row>
    <row r="4" spans="1:18" s="3" customFormat="1" ht="12.75" customHeight="1" x14ac:dyDescent="0.2">
      <c r="A4" s="509"/>
      <c r="B4" s="510"/>
      <c r="C4" s="511" t="str">
        <f>"31-12-" &amp; Voorblad!K4-1</f>
        <v>31-12-2011</v>
      </c>
      <c r="D4" s="511" t="str">
        <f>"31-12-" &amp; Voorblad!K4</f>
        <v>31-12-2012</v>
      </c>
      <c r="E4" s="511" t="str">
        <f>"Gemiddeld "&amp; Voorblad!K4</f>
        <v>Gemiddeld 2012</v>
      </c>
      <c r="F4" s="512"/>
      <c r="G4" s="512"/>
      <c r="H4" s="512"/>
      <c r="I4" s="512"/>
      <c r="J4" s="512"/>
      <c r="K4" s="512"/>
      <c r="L4" s="512"/>
      <c r="M4" s="512"/>
      <c r="N4" s="512"/>
      <c r="O4" s="512"/>
      <c r="P4" s="512"/>
      <c r="Q4" s="512"/>
      <c r="R4" s="512"/>
    </row>
    <row r="5" spans="1:18" s="20" customFormat="1" ht="12.75" customHeight="1" x14ac:dyDescent="0.2">
      <c r="A5" s="44"/>
      <c r="B5" s="43"/>
      <c r="C5" s="513"/>
      <c r="D5" s="36"/>
      <c r="E5" s="43"/>
      <c r="F5" s="43"/>
      <c r="G5" s="43"/>
      <c r="H5" s="43"/>
      <c r="I5" s="43"/>
      <c r="J5" s="43"/>
      <c r="K5" s="43"/>
      <c r="L5" s="43"/>
      <c r="M5" s="43"/>
      <c r="N5" s="43"/>
      <c r="O5" s="43"/>
      <c r="P5" s="43"/>
      <c r="Q5" s="43"/>
      <c r="R5" s="43"/>
    </row>
    <row r="6" spans="1:18" s="20" customFormat="1" ht="12.75" customHeight="1" x14ac:dyDescent="0.2">
      <c r="A6" s="467" t="s">
        <v>776</v>
      </c>
      <c r="B6" s="469" t="s">
        <v>546</v>
      </c>
      <c r="C6" s="468"/>
      <c r="D6" s="468"/>
      <c r="E6" s="43"/>
      <c r="F6" s="43"/>
      <c r="G6" s="43"/>
      <c r="H6" s="55"/>
      <c r="I6" s="43"/>
      <c r="J6" s="43"/>
      <c r="K6" s="43"/>
      <c r="L6" s="43"/>
      <c r="M6" s="43"/>
      <c r="N6" s="43"/>
      <c r="O6" s="43"/>
      <c r="P6" s="43"/>
      <c r="Q6" s="43"/>
      <c r="R6" s="43"/>
    </row>
    <row r="7" spans="1:18" s="20" customFormat="1" ht="12.75" customHeight="1" x14ac:dyDescent="0.2">
      <c r="A7" s="470">
        <f>(100*E2)+1</f>
        <v>1301</v>
      </c>
      <c r="B7" s="514" t="s">
        <v>547</v>
      </c>
      <c r="C7" s="45"/>
      <c r="D7" s="45"/>
      <c r="E7" s="443">
        <f t="shared" ref="E7:E17" si="0">(C7+D7)/2</f>
        <v>0</v>
      </c>
      <c r="F7" s="43"/>
      <c r="G7" s="43"/>
      <c r="H7" s="43"/>
      <c r="I7" s="43"/>
      <c r="J7" s="43"/>
      <c r="K7" s="43"/>
      <c r="L7" s="43"/>
      <c r="M7" s="43"/>
      <c r="N7" s="43"/>
      <c r="O7" s="43"/>
      <c r="P7" s="43"/>
      <c r="Q7" s="43"/>
      <c r="R7" s="43"/>
    </row>
    <row r="8" spans="1:18" s="20" customFormat="1" ht="12.75" customHeight="1" x14ac:dyDescent="0.2">
      <c r="A8" s="470">
        <f t="shared" ref="A8:A21" si="1">A7+1</f>
        <v>1302</v>
      </c>
      <c r="B8" s="514" t="s">
        <v>548</v>
      </c>
      <c r="C8" s="45"/>
      <c r="D8" s="45"/>
      <c r="E8" s="443">
        <f t="shared" si="0"/>
        <v>0</v>
      </c>
      <c r="F8" s="43"/>
      <c r="G8" s="43"/>
      <c r="H8" s="43"/>
      <c r="I8" s="43"/>
      <c r="J8" s="43"/>
      <c r="K8" s="43"/>
      <c r="L8" s="43"/>
      <c r="M8" s="43"/>
      <c r="N8" s="43"/>
      <c r="O8" s="43"/>
      <c r="P8" s="43"/>
      <c r="Q8" s="43"/>
      <c r="R8" s="43"/>
    </row>
    <row r="9" spans="1:18" s="20" customFormat="1" ht="12.75" customHeight="1" x14ac:dyDescent="0.2">
      <c r="A9" s="470">
        <f t="shared" si="1"/>
        <v>1303</v>
      </c>
      <c r="B9" s="43" t="s">
        <v>549</v>
      </c>
      <c r="C9" s="45"/>
      <c r="D9" s="45"/>
      <c r="E9" s="443">
        <f t="shared" si="0"/>
        <v>0</v>
      </c>
      <c r="F9" s="43"/>
      <c r="G9" s="43"/>
      <c r="H9" s="43"/>
      <c r="I9" s="43"/>
      <c r="J9" s="43"/>
      <c r="K9" s="43"/>
      <c r="L9" s="43"/>
      <c r="M9" s="43"/>
      <c r="N9" s="43"/>
      <c r="O9" s="43"/>
      <c r="P9" s="43"/>
      <c r="Q9" s="43"/>
      <c r="R9" s="43"/>
    </row>
    <row r="10" spans="1:18" s="20" customFormat="1" ht="12.75" customHeight="1" x14ac:dyDescent="0.2">
      <c r="A10" s="470">
        <f t="shared" si="1"/>
        <v>1304</v>
      </c>
      <c r="B10" s="514" t="s">
        <v>550</v>
      </c>
      <c r="C10" s="45"/>
      <c r="D10" s="45"/>
      <c r="E10" s="443">
        <f t="shared" si="0"/>
        <v>0</v>
      </c>
      <c r="F10" s="43"/>
      <c r="G10" s="43"/>
      <c r="H10" s="43"/>
      <c r="I10" s="43"/>
      <c r="J10" s="43"/>
      <c r="K10" s="43"/>
      <c r="L10" s="43"/>
      <c r="M10" s="43"/>
      <c r="N10" s="43"/>
      <c r="O10" s="43"/>
      <c r="P10" s="43"/>
      <c r="Q10" s="59"/>
      <c r="R10" s="43"/>
    </row>
    <row r="11" spans="1:18" s="20" customFormat="1" ht="12.75" customHeight="1" x14ac:dyDescent="0.2">
      <c r="A11" s="470">
        <f t="shared" si="1"/>
        <v>1305</v>
      </c>
      <c r="B11" s="514" t="s">
        <v>551</v>
      </c>
      <c r="C11" s="45"/>
      <c r="D11" s="45"/>
      <c r="E11" s="443">
        <f t="shared" si="0"/>
        <v>0</v>
      </c>
      <c r="F11" s="43"/>
      <c r="G11" s="43"/>
      <c r="H11" s="43"/>
      <c r="I11" s="43"/>
      <c r="J11" s="43"/>
      <c r="K11" s="43"/>
      <c r="L11" s="43"/>
      <c r="M11" s="43"/>
      <c r="N11" s="43"/>
      <c r="O11" s="43"/>
      <c r="P11" s="43"/>
      <c r="Q11" s="43"/>
      <c r="R11" s="43"/>
    </row>
    <row r="12" spans="1:18" s="20" customFormat="1" ht="12.75" customHeight="1" x14ac:dyDescent="0.2">
      <c r="A12" s="470">
        <f t="shared" si="1"/>
        <v>1306</v>
      </c>
      <c r="B12" s="514" t="s">
        <v>552</v>
      </c>
      <c r="C12" s="45"/>
      <c r="D12" s="45"/>
      <c r="E12" s="443">
        <f t="shared" si="0"/>
        <v>0</v>
      </c>
      <c r="F12" s="43"/>
      <c r="G12" s="43"/>
      <c r="H12" s="43"/>
      <c r="I12" s="43"/>
      <c r="J12" s="43"/>
      <c r="K12" s="43"/>
      <c r="L12" s="43"/>
      <c r="M12" s="43"/>
      <c r="N12" s="43"/>
      <c r="O12" s="43"/>
      <c r="P12" s="43"/>
      <c r="Q12" s="43"/>
      <c r="R12" s="43"/>
    </row>
    <row r="13" spans="1:18" s="20" customFormat="1" ht="12.75" customHeight="1" x14ac:dyDescent="0.2">
      <c r="A13" s="470">
        <f t="shared" si="1"/>
        <v>1307</v>
      </c>
      <c r="B13" s="514" t="s">
        <v>553</v>
      </c>
      <c r="C13" s="45"/>
      <c r="D13" s="45"/>
      <c r="E13" s="443">
        <f t="shared" si="0"/>
        <v>0</v>
      </c>
      <c r="F13" s="43"/>
      <c r="G13" s="43"/>
      <c r="H13" s="43"/>
      <c r="I13" s="43"/>
      <c r="J13" s="43"/>
      <c r="K13" s="43"/>
      <c r="L13" s="43"/>
      <c r="M13" s="43"/>
      <c r="N13" s="43"/>
      <c r="O13" s="43"/>
      <c r="P13" s="43"/>
      <c r="Q13" s="43"/>
      <c r="R13" s="43"/>
    </row>
    <row r="14" spans="1:18" s="20" customFormat="1" ht="12.75" customHeight="1" x14ac:dyDescent="0.2">
      <c r="A14" s="470">
        <f t="shared" si="1"/>
        <v>1308</v>
      </c>
      <c r="B14" s="514" t="s">
        <v>554</v>
      </c>
      <c r="C14" s="45"/>
      <c r="D14" s="45"/>
      <c r="E14" s="443">
        <f t="shared" si="0"/>
        <v>0</v>
      </c>
      <c r="F14" s="43"/>
      <c r="G14" s="43"/>
      <c r="H14" s="43"/>
      <c r="I14" s="43"/>
      <c r="J14" s="43"/>
      <c r="K14" s="43"/>
      <c r="L14" s="43"/>
      <c r="M14" s="43"/>
      <c r="N14" s="43"/>
      <c r="O14" s="43"/>
      <c r="P14" s="43"/>
      <c r="Q14" s="43"/>
      <c r="R14" s="43"/>
    </row>
    <row r="15" spans="1:18" s="20" customFormat="1" ht="12.75" customHeight="1" x14ac:dyDescent="0.2">
      <c r="A15" s="470">
        <f t="shared" si="1"/>
        <v>1309</v>
      </c>
      <c r="B15" s="514" t="s">
        <v>555</v>
      </c>
      <c r="C15" s="45"/>
      <c r="D15" s="45"/>
      <c r="E15" s="443">
        <f t="shared" si="0"/>
        <v>0</v>
      </c>
      <c r="F15" s="43"/>
      <c r="G15" s="43"/>
      <c r="H15" s="43"/>
      <c r="I15" s="43"/>
      <c r="J15" s="43"/>
      <c r="K15" s="43"/>
      <c r="L15" s="43"/>
      <c r="M15" s="43"/>
      <c r="N15" s="43"/>
      <c r="O15" s="43"/>
      <c r="P15" s="43"/>
      <c r="Q15" s="43"/>
      <c r="R15" s="43"/>
    </row>
    <row r="16" spans="1:18" s="20" customFormat="1" ht="12.75" customHeight="1" x14ac:dyDescent="0.2">
      <c r="A16" s="470">
        <f t="shared" si="1"/>
        <v>1310</v>
      </c>
      <c r="B16" s="514" t="s">
        <v>556</v>
      </c>
      <c r="C16" s="45"/>
      <c r="D16" s="45"/>
      <c r="E16" s="443">
        <f t="shared" si="0"/>
        <v>0</v>
      </c>
      <c r="F16" s="43"/>
      <c r="G16" s="43"/>
      <c r="H16" s="43"/>
      <c r="I16" s="43"/>
      <c r="J16" s="43"/>
      <c r="K16" s="43"/>
      <c r="L16" s="43"/>
      <c r="M16" s="43"/>
      <c r="N16" s="43"/>
      <c r="O16" s="43"/>
      <c r="P16" s="43"/>
      <c r="Q16" s="43"/>
      <c r="R16" s="43"/>
    </row>
    <row r="17" spans="1:18" s="20" customFormat="1" ht="12.75" customHeight="1" x14ac:dyDescent="0.2">
      <c r="A17" s="470">
        <f t="shared" si="1"/>
        <v>1311</v>
      </c>
      <c r="B17" s="514" t="s">
        <v>557</v>
      </c>
      <c r="C17" s="45"/>
      <c r="D17" s="45"/>
      <c r="E17" s="443">
        <f t="shared" si="0"/>
        <v>0</v>
      </c>
      <c r="F17" s="43"/>
      <c r="G17" s="43"/>
      <c r="H17" s="43"/>
      <c r="I17" s="43"/>
      <c r="J17" s="43"/>
      <c r="K17" s="43"/>
      <c r="L17" s="43"/>
      <c r="M17" s="43"/>
      <c r="N17" s="43"/>
      <c r="O17" s="43"/>
      <c r="P17" s="43"/>
      <c r="Q17" s="43"/>
      <c r="R17" s="43"/>
    </row>
    <row r="18" spans="1:18" s="20" customFormat="1" ht="12.75" customHeight="1" x14ac:dyDescent="0.2">
      <c r="A18" s="470">
        <f t="shared" si="1"/>
        <v>1312</v>
      </c>
      <c r="B18" s="387" t="str">
        <f>CONCATENATE("Totaal eigen vermogen conform jaarrekening (regel ",A7," t/m ",A17,")")</f>
        <v>Totaal eigen vermogen conform jaarrekening (regel 1301 t/m 1311)</v>
      </c>
      <c r="C18" s="515">
        <f>SUM(C7:C17)</f>
        <v>0</v>
      </c>
      <c r="D18" s="515">
        <f>SUM(D7:D17)</f>
        <v>0</v>
      </c>
      <c r="E18" s="515">
        <f>SUM(E7:E17)</f>
        <v>0</v>
      </c>
      <c r="F18" s="43"/>
      <c r="G18" s="43"/>
      <c r="H18" s="43"/>
      <c r="I18" s="43"/>
      <c r="J18" s="43"/>
      <c r="K18" s="43"/>
      <c r="L18" s="43"/>
      <c r="M18" s="43"/>
      <c r="N18" s="43"/>
      <c r="O18" s="43"/>
      <c r="P18" s="43"/>
      <c r="Q18" s="43"/>
      <c r="R18" s="43"/>
    </row>
    <row r="19" spans="1:18" s="20" customFormat="1" ht="12.75" customHeight="1" x14ac:dyDescent="0.2">
      <c r="A19" s="470">
        <f t="shared" si="1"/>
        <v>1313</v>
      </c>
      <c r="B19" s="491" t="s">
        <v>558</v>
      </c>
      <c r="C19" s="516"/>
      <c r="D19" s="517">
        <v>0</v>
      </c>
      <c r="E19" s="518">
        <f>(C19+D19)/2</f>
        <v>0</v>
      </c>
      <c r="F19" s="43"/>
      <c r="G19" s="43"/>
      <c r="H19" s="43"/>
      <c r="I19" s="43"/>
      <c r="J19" s="43"/>
      <c r="K19" s="43"/>
      <c r="L19" s="43"/>
      <c r="M19" s="43"/>
      <c r="N19" s="43"/>
      <c r="O19" s="43"/>
      <c r="P19" s="43"/>
      <c r="Q19" s="43"/>
      <c r="R19" s="43"/>
    </row>
    <row r="20" spans="1:18" s="20" customFormat="1" ht="12.75" customHeight="1" x14ac:dyDescent="0.2">
      <c r="A20" s="470">
        <f t="shared" si="1"/>
        <v>1314</v>
      </c>
      <c r="B20" s="452" t="s">
        <v>559</v>
      </c>
      <c r="C20" s="519">
        <v>0</v>
      </c>
      <c r="D20" s="517">
        <v>0</v>
      </c>
      <c r="E20" s="518">
        <f>(C20+D20)/2</f>
        <v>0</v>
      </c>
      <c r="F20" s="43"/>
      <c r="G20" s="43"/>
      <c r="H20" s="43"/>
      <c r="I20" s="43"/>
      <c r="J20" s="43"/>
      <c r="K20" s="43"/>
      <c r="L20" s="43"/>
      <c r="M20" s="43"/>
      <c r="N20" s="43"/>
      <c r="O20" s="43"/>
      <c r="P20" s="43"/>
      <c r="Q20" s="43"/>
      <c r="R20" s="43"/>
    </row>
    <row r="21" spans="1:18" s="20" customFormat="1" ht="12.75" customHeight="1" x14ac:dyDescent="0.2">
      <c r="A21" s="470">
        <f t="shared" si="1"/>
        <v>1315</v>
      </c>
      <c r="B21" s="387" t="str">
        <f>CONCATENATE("In aanmerking te nemen eigen vermogen (regel ",A18, " -/- ",A19," t/m ",A20,")")</f>
        <v>In aanmerking te nemen eigen vermogen (regel 1312 -/- 1313 t/m 1314)</v>
      </c>
      <c r="C21" s="515">
        <f>SUM(C7:C17)-C19-C20</f>
        <v>0</v>
      </c>
      <c r="D21" s="515">
        <f>SUM(D7:D17)-D19-D20</f>
        <v>0</v>
      </c>
      <c r="E21" s="515">
        <f>SUM(E7:E17)-E19-E20</f>
        <v>0</v>
      </c>
      <c r="F21" s="43"/>
      <c r="G21" s="43"/>
      <c r="H21" s="43"/>
      <c r="I21" s="43"/>
      <c r="J21" s="43"/>
      <c r="K21" s="43"/>
      <c r="L21" s="43"/>
      <c r="M21" s="43"/>
      <c r="N21" s="43"/>
      <c r="O21" s="43"/>
      <c r="P21" s="43"/>
      <c r="Q21" s="43"/>
      <c r="R21" s="43"/>
    </row>
    <row r="22" spans="1:18" s="20" customFormat="1" ht="12.75" customHeight="1" x14ac:dyDescent="0.2">
      <c r="A22" s="544" t="s">
        <v>335</v>
      </c>
      <c r="C22" s="36"/>
      <c r="D22" s="36"/>
      <c r="E22" s="43"/>
      <c r="F22" s="43"/>
      <c r="G22" s="43"/>
      <c r="H22" s="43"/>
      <c r="I22" s="43"/>
      <c r="J22" s="43"/>
      <c r="K22" s="43"/>
      <c r="L22" s="43"/>
      <c r="M22" s="43"/>
      <c r="N22" s="43"/>
      <c r="O22" s="43"/>
      <c r="P22" s="43"/>
      <c r="Q22" s="43"/>
      <c r="R22" s="43"/>
    </row>
    <row r="23" spans="1:18" s="20" customFormat="1" ht="12.75" customHeight="1" x14ac:dyDescent="0.2">
      <c r="A23" s="520"/>
      <c r="B23" s="521"/>
      <c r="C23" s="521"/>
      <c r="D23" s="522"/>
      <c r="E23" s="523" t="s">
        <v>750</v>
      </c>
      <c r="F23" s="43"/>
      <c r="G23" s="43"/>
      <c r="H23" s="55"/>
      <c r="I23" s="43"/>
      <c r="J23" s="43"/>
      <c r="K23" s="43"/>
      <c r="L23" s="43"/>
      <c r="M23" s="43"/>
      <c r="N23" s="43"/>
      <c r="O23" s="43"/>
      <c r="P23" s="43"/>
      <c r="Q23" s="43"/>
      <c r="R23" s="43"/>
    </row>
    <row r="24" spans="1:18" s="20" customFormat="1" ht="12.75" customHeight="1" x14ac:dyDescent="0.2">
      <c r="A24" s="467" t="s">
        <v>327</v>
      </c>
      <c r="B24" s="524" t="s">
        <v>328</v>
      </c>
      <c r="C24" s="373"/>
      <c r="D24" s="43"/>
      <c r="E24" s="36"/>
      <c r="F24" s="43"/>
      <c r="G24" s="43"/>
      <c r="H24" s="43"/>
      <c r="I24" s="36"/>
      <c r="J24" s="43"/>
      <c r="K24" s="43"/>
      <c r="L24" s="43"/>
      <c r="M24" s="43"/>
      <c r="N24" s="43"/>
      <c r="O24" s="43"/>
      <c r="P24" s="43"/>
      <c r="Q24" s="43"/>
      <c r="R24" s="43"/>
    </row>
    <row r="25" spans="1:18" s="20" customFormat="1" ht="12.75" customHeight="1" x14ac:dyDescent="0.2">
      <c r="A25" s="470">
        <f>A21+1</f>
        <v>1316</v>
      </c>
      <c r="B25" s="525" t="str">
        <f>CONCATENATE("Rente lange leningen bijlage ",LEFT(H!A7)," (exclusief eventuele boeterente van conversies)")</f>
        <v>Rente lange leningen bijlage H (exclusief eventuele boeterente van conversies)</v>
      </c>
      <c r="C25" s="494"/>
      <c r="D25" s="526"/>
      <c r="E25" s="443">
        <f>H!T35+H!T140</f>
        <v>0</v>
      </c>
      <c r="F25" s="522"/>
      <c r="G25" s="522"/>
      <c r="H25" s="522"/>
      <c r="I25" s="522"/>
      <c r="J25" s="43"/>
      <c r="K25" s="43"/>
      <c r="L25" s="43"/>
      <c r="M25" s="43"/>
      <c r="N25" s="43"/>
      <c r="O25" s="43"/>
      <c r="P25" s="43"/>
      <c r="Q25" s="43"/>
      <c r="R25" s="43"/>
    </row>
    <row r="26" spans="1:18" s="6" customFormat="1" ht="12.75" customHeight="1" x14ac:dyDescent="0.2">
      <c r="A26" s="470">
        <f>A25+1</f>
        <v>1317</v>
      </c>
      <c r="B26" s="528" t="s">
        <v>560</v>
      </c>
      <c r="C26" s="451"/>
      <c r="D26" s="452"/>
      <c r="E26" s="527"/>
      <c r="F26" s="36"/>
      <c r="G26" s="36"/>
      <c r="H26" s="36"/>
      <c r="I26" s="36"/>
      <c r="J26" s="36"/>
      <c r="K26" s="36"/>
      <c r="L26" s="36"/>
      <c r="M26" s="36"/>
      <c r="N26" s="36"/>
      <c r="O26" s="36"/>
      <c r="P26" s="36"/>
      <c r="Q26" s="36"/>
      <c r="R26" s="36"/>
    </row>
    <row r="27" spans="1:18" s="6" customFormat="1" ht="12.75" customHeight="1" x14ac:dyDescent="0.2">
      <c r="A27" s="470">
        <f>A26+1</f>
        <v>1318</v>
      </c>
      <c r="B27" s="528" t="s">
        <v>561</v>
      </c>
      <c r="C27" s="451"/>
      <c r="D27" s="452"/>
      <c r="E27" s="527"/>
      <c r="F27" s="36"/>
      <c r="G27" s="36"/>
      <c r="H27" s="36"/>
      <c r="I27" s="36"/>
      <c r="J27" s="36"/>
      <c r="K27" s="36"/>
      <c r="L27" s="36"/>
      <c r="M27" s="36"/>
      <c r="N27" s="36"/>
      <c r="O27" s="36"/>
      <c r="P27" s="36"/>
      <c r="Q27" s="36"/>
      <c r="R27" s="36"/>
    </row>
    <row r="28" spans="1:18" s="6" customFormat="1" ht="12.75" customHeight="1" x14ac:dyDescent="0.2">
      <c r="A28" s="470">
        <f>A27+1</f>
        <v>1319</v>
      </c>
      <c r="B28" s="387" t="str">
        <f>CONCATENATE("Totaal regels ",A25," t/m ",A27)</f>
        <v>Totaal regels 1316 t/m 1318</v>
      </c>
      <c r="C28" s="529"/>
      <c r="D28" s="359"/>
      <c r="E28" s="530">
        <f>SUM(E25:E27)</f>
        <v>0</v>
      </c>
      <c r="F28" s="36"/>
      <c r="G28" s="36"/>
      <c r="H28" s="36"/>
      <c r="I28" s="36"/>
      <c r="J28" s="36"/>
      <c r="K28" s="36"/>
      <c r="L28" s="36"/>
      <c r="M28" s="36"/>
      <c r="N28" s="36"/>
      <c r="O28" s="36"/>
      <c r="P28" s="36"/>
      <c r="Q28" s="36"/>
      <c r="R28" s="36"/>
    </row>
    <row r="29" spans="1:18" s="6" customFormat="1" ht="12.75" customHeight="1" x14ac:dyDescent="0.2">
      <c r="A29" s="531"/>
      <c r="B29" s="26"/>
      <c r="C29" s="26"/>
      <c r="D29" s="26"/>
      <c r="E29" s="26"/>
      <c r="F29" s="36"/>
      <c r="G29" s="36"/>
      <c r="H29" s="36"/>
      <c r="I29" s="36"/>
      <c r="J29" s="36"/>
      <c r="K29" s="36"/>
      <c r="L29" s="36"/>
      <c r="M29" s="36"/>
      <c r="N29" s="36"/>
      <c r="O29" s="36"/>
      <c r="P29" s="36"/>
      <c r="Q29" s="36"/>
      <c r="R29" s="36"/>
    </row>
    <row r="30" spans="1:18" s="6" customFormat="1" ht="12.75" customHeight="1" x14ac:dyDescent="0.2">
      <c r="A30" s="532"/>
      <c r="B30" s="28"/>
      <c r="C30" s="28"/>
      <c r="D30" s="28"/>
      <c r="E30" s="28"/>
      <c r="F30" s="36"/>
      <c r="G30" s="36"/>
      <c r="H30" s="36"/>
      <c r="I30" s="36"/>
      <c r="J30" s="36"/>
      <c r="K30" s="36"/>
      <c r="L30" s="36"/>
      <c r="M30" s="36"/>
      <c r="N30" s="36"/>
      <c r="O30" s="36"/>
      <c r="P30" s="36"/>
      <c r="Q30" s="36"/>
      <c r="R30" s="36"/>
    </row>
    <row r="31" spans="1:18" s="6" customFormat="1" x14ac:dyDescent="0.2">
      <c r="B31" s="28"/>
      <c r="C31" s="28"/>
      <c r="D31" s="28"/>
      <c r="E31" s="28"/>
      <c r="F31" s="26"/>
      <c r="G31" s="26"/>
      <c r="H31" s="26"/>
      <c r="I31" s="26"/>
      <c r="J31" s="26"/>
      <c r="K31" s="26"/>
      <c r="L31" s="36"/>
      <c r="M31" s="36"/>
      <c r="N31" s="36"/>
      <c r="O31" s="36"/>
      <c r="P31" s="36"/>
      <c r="Q31" s="36"/>
      <c r="R31" s="36"/>
    </row>
    <row r="32" spans="1:18" ht="12.75" customHeight="1" x14ac:dyDescent="0.2">
      <c r="A32" s="532"/>
      <c r="B32" s="28"/>
      <c r="C32" s="28"/>
      <c r="D32" s="28"/>
      <c r="E32" s="28"/>
      <c r="F32" s="26"/>
      <c r="G32" s="26"/>
      <c r="H32" s="26"/>
      <c r="I32" s="26"/>
      <c r="J32" s="26"/>
      <c r="K32" s="26"/>
      <c r="L32" s="26"/>
      <c r="M32" s="26"/>
      <c r="N32" s="26"/>
      <c r="O32" s="26"/>
      <c r="P32" s="26"/>
      <c r="Q32" s="26"/>
      <c r="R32" s="26"/>
    </row>
    <row r="33" spans="1:18" ht="12.75" customHeight="1" x14ac:dyDescent="0.2">
      <c r="A33" s="532"/>
      <c r="B33" s="28"/>
      <c r="C33" s="28"/>
      <c r="D33" s="28"/>
      <c r="E33" s="28"/>
      <c r="F33" s="26"/>
      <c r="G33" s="26"/>
      <c r="H33" s="26"/>
      <c r="I33" s="26"/>
      <c r="J33" s="26"/>
      <c r="K33" s="26"/>
      <c r="L33" s="26"/>
      <c r="M33" s="26"/>
      <c r="N33" s="26"/>
      <c r="O33" s="26"/>
      <c r="P33" s="26"/>
      <c r="Q33" s="26"/>
      <c r="R33" s="26"/>
    </row>
    <row r="34" spans="1:18" ht="12.75" customHeight="1" x14ac:dyDescent="0.2">
      <c r="A34" s="532"/>
      <c r="B34" s="28"/>
      <c r="C34" s="28"/>
      <c r="D34" s="28"/>
      <c r="E34" s="28"/>
      <c r="F34" s="26"/>
      <c r="G34" s="26"/>
      <c r="H34" s="26"/>
      <c r="I34" s="26"/>
      <c r="J34" s="26"/>
      <c r="K34" s="26"/>
      <c r="L34" s="26"/>
      <c r="M34" s="26"/>
      <c r="N34" s="26"/>
      <c r="O34" s="26"/>
      <c r="P34" s="26"/>
      <c r="Q34" s="26"/>
      <c r="R34" s="26"/>
    </row>
    <row r="35" spans="1:18" ht="12.75" customHeight="1" x14ac:dyDescent="0.2">
      <c r="A35" s="532"/>
      <c r="B35" s="28"/>
      <c r="C35" s="28"/>
      <c r="D35" s="28"/>
      <c r="E35" s="28"/>
      <c r="F35" s="26"/>
      <c r="G35" s="26"/>
      <c r="H35" s="26"/>
      <c r="I35" s="26"/>
      <c r="J35" s="26"/>
      <c r="K35" s="26"/>
      <c r="L35" s="26"/>
      <c r="M35" s="26"/>
      <c r="N35" s="26"/>
      <c r="O35" s="26"/>
      <c r="P35" s="26"/>
      <c r="Q35" s="26"/>
      <c r="R35" s="26"/>
    </row>
    <row r="36" spans="1:18" ht="12.75" customHeight="1" x14ac:dyDescent="0.2">
      <c r="A36" s="532"/>
      <c r="B36" s="28"/>
      <c r="C36" s="28"/>
      <c r="D36" s="28"/>
      <c r="E36" s="28"/>
      <c r="F36" s="26"/>
      <c r="G36" s="26"/>
      <c r="H36" s="26"/>
      <c r="I36" s="26"/>
      <c r="J36" s="26"/>
      <c r="K36" s="26"/>
      <c r="L36" s="26"/>
      <c r="M36" s="26"/>
      <c r="N36" s="26"/>
      <c r="O36" s="26"/>
      <c r="P36" s="26"/>
      <c r="Q36" s="26"/>
      <c r="R36" s="26"/>
    </row>
    <row r="37" spans="1:18" ht="12.75" customHeight="1" x14ac:dyDescent="0.2">
      <c r="A37" s="533"/>
      <c r="B37" s="28"/>
      <c r="C37" s="29"/>
      <c r="D37" s="29"/>
      <c r="E37" s="28"/>
      <c r="F37" s="26"/>
      <c r="G37" s="26"/>
      <c r="H37" s="26"/>
      <c r="I37" s="26"/>
      <c r="J37" s="26"/>
      <c r="K37" s="26"/>
      <c r="L37" s="26"/>
      <c r="M37" s="26"/>
      <c r="N37" s="26"/>
      <c r="O37" s="26"/>
      <c r="P37" s="26"/>
      <c r="Q37" s="26"/>
      <c r="R37" s="26"/>
    </row>
    <row r="38" spans="1:18" x14ac:dyDescent="0.2">
      <c r="A38" s="506"/>
      <c r="B38" s="26"/>
      <c r="C38" s="27"/>
      <c r="D38" s="27"/>
      <c r="E38" s="26"/>
      <c r="F38" s="26"/>
      <c r="G38" s="26"/>
      <c r="H38" s="26"/>
      <c r="I38" s="26"/>
      <c r="J38" s="26"/>
      <c r="K38" s="26"/>
      <c r="L38" s="26"/>
      <c r="M38" s="26"/>
      <c r="N38" s="26"/>
      <c r="O38" s="26"/>
      <c r="P38" s="26"/>
      <c r="Q38" s="26"/>
      <c r="R38" s="26"/>
    </row>
    <row r="39" spans="1:18" x14ac:dyDescent="0.2">
      <c r="A39" s="506"/>
      <c r="B39" s="26"/>
      <c r="C39" s="27"/>
      <c r="D39" s="27"/>
      <c r="E39" s="26"/>
      <c r="F39" s="26"/>
      <c r="G39" s="26"/>
      <c r="H39" s="28"/>
      <c r="I39" s="26"/>
      <c r="J39" s="26"/>
      <c r="K39" s="26"/>
      <c r="L39" s="26"/>
      <c r="M39" s="26"/>
      <c r="N39" s="26"/>
      <c r="O39" s="26"/>
      <c r="P39" s="26"/>
      <c r="Q39" s="26"/>
      <c r="R39" s="26"/>
    </row>
    <row r="40" spans="1:18" x14ac:dyDescent="0.2">
      <c r="A40" s="506"/>
      <c r="B40" s="26"/>
      <c r="C40" s="27"/>
      <c r="D40" s="27"/>
      <c r="E40" s="26"/>
      <c r="F40" s="26"/>
      <c r="G40" s="26"/>
      <c r="H40" s="28"/>
      <c r="I40" s="26"/>
      <c r="J40" s="26"/>
      <c r="K40" s="26"/>
      <c r="L40" s="26"/>
      <c r="M40" s="26"/>
      <c r="N40" s="26"/>
      <c r="O40" s="26"/>
      <c r="P40" s="26"/>
      <c r="Q40" s="26"/>
      <c r="R40" s="26"/>
    </row>
    <row r="41" spans="1:18" x14ac:dyDescent="0.2">
      <c r="A41" s="506"/>
      <c r="B41" s="26"/>
      <c r="C41" s="27"/>
      <c r="D41" s="27"/>
      <c r="E41" s="26"/>
      <c r="F41" s="26"/>
      <c r="G41" s="26"/>
      <c r="H41" s="28"/>
      <c r="I41" s="26"/>
      <c r="J41" s="26"/>
      <c r="K41" s="26"/>
      <c r="L41" s="26"/>
      <c r="M41" s="26"/>
      <c r="N41" s="26"/>
      <c r="O41" s="26"/>
      <c r="P41" s="26"/>
      <c r="Q41" s="26"/>
      <c r="R41" s="26"/>
    </row>
    <row r="42" spans="1:18" x14ac:dyDescent="0.2">
      <c r="A42" s="506"/>
      <c r="B42" s="26"/>
      <c r="C42" s="27"/>
      <c r="D42" s="27"/>
      <c r="E42" s="26"/>
      <c r="F42" s="26"/>
      <c r="G42" s="26"/>
      <c r="H42" s="28"/>
      <c r="I42" s="26"/>
      <c r="J42" s="26"/>
      <c r="K42" s="26"/>
      <c r="L42" s="26"/>
      <c r="M42" s="26"/>
      <c r="N42" s="26"/>
      <c r="O42" s="26"/>
      <c r="P42" s="26"/>
      <c r="Q42" s="26"/>
      <c r="R42" s="26"/>
    </row>
    <row r="43" spans="1:18" x14ac:dyDescent="0.2">
      <c r="A43" s="506"/>
      <c r="B43" s="26"/>
      <c r="C43" s="27"/>
      <c r="D43" s="27"/>
      <c r="E43" s="26"/>
      <c r="F43" s="26"/>
      <c r="G43" s="26"/>
      <c r="H43" s="28"/>
      <c r="I43" s="26"/>
      <c r="J43" s="26"/>
      <c r="K43" s="26"/>
      <c r="L43" s="26"/>
      <c r="M43" s="26"/>
      <c r="N43" s="26"/>
      <c r="O43" s="26"/>
      <c r="P43" s="26"/>
      <c r="Q43" s="26"/>
      <c r="R43" s="26"/>
    </row>
    <row r="44" spans="1:18" x14ac:dyDescent="0.2">
      <c r="A44" s="506"/>
      <c r="B44" s="26"/>
      <c r="C44" s="27"/>
      <c r="D44" s="27"/>
      <c r="E44" s="26"/>
      <c r="F44" s="26"/>
      <c r="G44" s="26"/>
      <c r="H44" s="28"/>
      <c r="I44" s="26"/>
      <c r="J44" s="26"/>
      <c r="K44" s="26"/>
      <c r="L44" s="26"/>
      <c r="M44" s="26"/>
      <c r="N44" s="26"/>
      <c r="O44" s="26"/>
      <c r="P44" s="26"/>
      <c r="Q44" s="26"/>
      <c r="R44" s="26"/>
    </row>
    <row r="45" spans="1:18" x14ac:dyDescent="0.2">
      <c r="A45" s="506"/>
      <c r="B45" s="26"/>
      <c r="C45" s="27"/>
      <c r="D45" s="27"/>
      <c r="E45" s="26"/>
      <c r="F45" s="26"/>
      <c r="G45" s="26"/>
      <c r="H45" s="28"/>
      <c r="I45" s="26"/>
      <c r="J45" s="26"/>
      <c r="K45" s="26"/>
      <c r="L45" s="26"/>
      <c r="M45" s="26"/>
      <c r="N45" s="26"/>
      <c r="O45" s="26"/>
      <c r="P45" s="26"/>
      <c r="Q45" s="26"/>
      <c r="R45" s="26"/>
    </row>
    <row r="46" spans="1:18" x14ac:dyDescent="0.2">
      <c r="A46" s="506"/>
      <c r="B46" s="26"/>
      <c r="C46" s="27"/>
      <c r="D46" s="27"/>
      <c r="E46" s="26"/>
      <c r="F46" s="26"/>
      <c r="G46" s="26"/>
      <c r="H46" s="28"/>
      <c r="I46" s="26"/>
      <c r="J46" s="26"/>
      <c r="K46" s="26"/>
      <c r="L46" s="26"/>
      <c r="M46" s="26"/>
      <c r="N46" s="26"/>
      <c r="O46" s="26"/>
      <c r="P46" s="26"/>
      <c r="Q46" s="26"/>
      <c r="R46" s="26"/>
    </row>
    <row r="47" spans="1:18" x14ac:dyDescent="0.2">
      <c r="A47" s="506"/>
      <c r="B47" s="26"/>
      <c r="C47" s="27"/>
      <c r="D47" s="27"/>
      <c r="E47" s="26"/>
      <c r="F47" s="26"/>
      <c r="G47" s="26"/>
      <c r="H47" s="28"/>
      <c r="I47" s="26"/>
      <c r="J47" s="26"/>
      <c r="K47" s="26"/>
      <c r="L47" s="26"/>
      <c r="M47" s="26"/>
      <c r="N47" s="26"/>
      <c r="O47" s="26"/>
      <c r="P47" s="26"/>
      <c r="Q47" s="26"/>
      <c r="R47" s="26"/>
    </row>
    <row r="48" spans="1:18" x14ac:dyDescent="0.2">
      <c r="A48" s="506"/>
      <c r="B48" s="26"/>
      <c r="C48" s="27"/>
      <c r="D48" s="27"/>
      <c r="E48" s="26"/>
      <c r="F48" s="26"/>
      <c r="G48" s="26"/>
      <c r="H48" s="28"/>
      <c r="I48" s="26"/>
      <c r="J48" s="26"/>
      <c r="K48" s="26"/>
      <c r="L48" s="26"/>
      <c r="M48" s="26"/>
      <c r="N48" s="26"/>
      <c r="O48" s="26"/>
      <c r="P48" s="26"/>
      <c r="Q48" s="26"/>
      <c r="R48" s="26"/>
    </row>
    <row r="49" spans="1:18" x14ac:dyDescent="0.2">
      <c r="A49" s="506"/>
      <c r="B49" s="26"/>
      <c r="C49" s="27"/>
      <c r="D49" s="27"/>
      <c r="E49" s="26"/>
      <c r="F49" s="26"/>
      <c r="G49" s="26"/>
      <c r="H49" s="28"/>
      <c r="I49" s="26"/>
      <c r="J49" s="26"/>
      <c r="K49" s="26"/>
      <c r="L49" s="26"/>
      <c r="M49" s="26"/>
      <c r="N49" s="26"/>
      <c r="O49" s="26"/>
      <c r="P49" s="26"/>
      <c r="Q49" s="26"/>
      <c r="R49" s="26"/>
    </row>
    <row r="50" spans="1:18" x14ac:dyDescent="0.2">
      <c r="A50" s="506"/>
      <c r="B50" s="26"/>
      <c r="C50" s="27"/>
      <c r="D50" s="27"/>
      <c r="E50" s="26"/>
      <c r="F50" s="26"/>
      <c r="G50" s="26"/>
      <c r="H50" s="28"/>
      <c r="I50" s="26"/>
      <c r="J50" s="26"/>
      <c r="K50" s="26"/>
      <c r="L50" s="26"/>
      <c r="M50" s="26"/>
      <c r="N50" s="26"/>
      <c r="O50" s="26"/>
      <c r="P50" s="26"/>
      <c r="Q50" s="26"/>
      <c r="R50" s="26"/>
    </row>
    <row r="51" spans="1:18" x14ac:dyDescent="0.2">
      <c r="A51" s="506"/>
      <c r="B51" s="26"/>
      <c r="C51" s="27"/>
      <c r="D51" s="27"/>
      <c r="E51" s="26"/>
      <c r="F51" s="26"/>
      <c r="G51" s="26"/>
      <c r="H51" s="28"/>
      <c r="I51" s="26"/>
      <c r="J51" s="26"/>
      <c r="K51" s="26"/>
      <c r="L51" s="26"/>
      <c r="M51" s="26"/>
      <c r="N51" s="26"/>
      <c r="O51" s="26"/>
      <c r="P51" s="26"/>
      <c r="Q51" s="26"/>
      <c r="R51" s="26"/>
    </row>
    <row r="52" spans="1:18" x14ac:dyDescent="0.2">
      <c r="A52" s="506"/>
      <c r="B52" s="26"/>
      <c r="C52" s="27"/>
      <c r="D52" s="27"/>
      <c r="E52" s="26"/>
      <c r="F52" s="26"/>
      <c r="G52" s="26"/>
      <c r="H52" s="28"/>
      <c r="I52" s="26"/>
      <c r="J52" s="26"/>
      <c r="K52" s="26"/>
      <c r="L52" s="26"/>
      <c r="M52" s="26"/>
      <c r="N52" s="26"/>
      <c r="O52" s="26"/>
      <c r="P52" s="26"/>
      <c r="Q52" s="26"/>
      <c r="R52" s="26"/>
    </row>
  </sheetData>
  <sheetProtection password="CA39" sheet="1" objects="1" scenarios="1"/>
  <mergeCells count="1">
    <mergeCell ref="A3:D3"/>
  </mergeCells>
  <phoneticPr fontId="12" type="noConversion"/>
  <conditionalFormatting sqref="E26:E27 D19 C20:D20 C7:D17">
    <cfRule type="expression" dxfId="1" priority="1" stopIfTrue="1">
      <formula>$C$2=TRUE</formula>
    </cfRule>
  </conditionalFormatting>
  <conditionalFormatting sqref="A3">
    <cfRule type="cellIs" dxfId="0" priority="2" stopIfTrue="1" operator="equal">
      <formula>"Vul het Nza-nummer in op het voorblad"</formula>
    </cfRule>
  </conditionalFormatting>
  <pageMargins left="0.39370078740157483" right="0.39370078740157483" top="0.39370078740157483" bottom="0.39370078740157483" header="0.51181102362204722" footer="0.51181102362204722"/>
  <pageSetup paperSize="9" orientation="landscape" cellComments="asDisplayed" horizontalDpi="300" verticalDpi="300" r:id="rId1"/>
  <headerFooter alignWithMargins="0"/>
  <drawing r:id="rId2"/>
  <legacyDrawing r:id="rId3"/>
  <oleObjects>
    <mc:AlternateContent xmlns:mc="http://schemas.openxmlformats.org/markup-compatibility/2006">
      <mc:Choice Requires="x14">
        <oleObject progId="MSPhotoEd.3" shapeId="92161" r:id="rId4">
          <objectPr defaultSize="0" autoPict="0" r:id="rId5">
            <anchor moveWithCells="1" sizeWithCells="1">
              <from>
                <xdr:col>3</xdr:col>
                <xdr:colOff>504825</xdr:colOff>
                <xdr:row>1</xdr:row>
                <xdr:rowOff>38100</xdr:rowOff>
              </from>
              <to>
                <xdr:col>4</xdr:col>
                <xdr:colOff>857250</xdr:colOff>
                <xdr:row>1</xdr:row>
                <xdr:rowOff>180975</xdr:rowOff>
              </to>
            </anchor>
          </objectPr>
        </oleObject>
      </mc:Choice>
      <mc:Fallback>
        <oleObject progId="MSPhotoEd.3" shapeId="92161"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2"/>
  <dimension ref="A1:R116"/>
  <sheetViews>
    <sheetView showGridLines="0" showZeros="0" showOutlineSymbols="0" zoomScaleNormal="100" zoomScaleSheetLayoutView="100" workbookViewId="0">
      <selection activeCell="A6" sqref="A6"/>
    </sheetView>
  </sheetViews>
  <sheetFormatPr defaultRowHeight="12.75" x14ac:dyDescent="0.2"/>
  <cols>
    <col min="1" max="1" width="15.7109375" style="236" customWidth="1"/>
    <col min="2" max="2" width="69" style="237" customWidth="1"/>
    <col min="3" max="3" width="11.85546875" style="589" customWidth="1"/>
    <col min="4" max="4" width="12.5703125" style="588" customWidth="1"/>
    <col min="5" max="16384" width="9.140625" style="224"/>
  </cols>
  <sheetData>
    <row r="1" spans="1:18" s="164" customFormat="1" ht="15.95" customHeight="1" x14ac:dyDescent="0.2">
      <c r="A1" s="214"/>
      <c r="B1" s="772"/>
      <c r="C1" s="182"/>
      <c r="D1" s="558"/>
      <c r="E1" s="28"/>
      <c r="F1" s="26"/>
      <c r="G1" s="26"/>
      <c r="H1" s="26"/>
      <c r="I1" s="26"/>
      <c r="J1" s="26"/>
      <c r="K1" s="26"/>
      <c r="L1" s="26"/>
      <c r="M1" s="26"/>
      <c r="N1" s="26"/>
      <c r="O1" s="26"/>
      <c r="P1" s="26"/>
      <c r="Q1" s="26"/>
      <c r="R1" s="26"/>
    </row>
    <row r="2" spans="1:18" s="163" customFormat="1" ht="15.75" customHeight="1" x14ac:dyDescent="0.2">
      <c r="A2" s="66" t="str">
        <f>inhoud!A2</f>
        <v>Vaststelling Transitiebedrag 2012</v>
      </c>
      <c r="B2" s="217"/>
      <c r="C2" s="559"/>
      <c r="D2" s="131"/>
      <c r="E2" s="130"/>
      <c r="F2" s="130"/>
      <c r="G2" s="130"/>
      <c r="H2" s="130"/>
      <c r="I2" s="130"/>
      <c r="J2" s="130"/>
      <c r="K2" s="130"/>
      <c r="L2" s="130"/>
      <c r="M2" s="130"/>
      <c r="N2" s="130"/>
      <c r="O2" s="130"/>
      <c r="P2" s="130"/>
      <c r="Q2" s="130"/>
      <c r="R2" s="130"/>
    </row>
    <row r="3" spans="1:18" x14ac:dyDescent="0.2">
      <c r="A3" s="220"/>
      <c r="B3" s="221"/>
      <c r="C3" s="182"/>
      <c r="D3" s="558"/>
      <c r="E3" s="221"/>
      <c r="F3" s="221"/>
      <c r="G3" s="221"/>
      <c r="H3" s="221"/>
      <c r="I3" s="221"/>
      <c r="J3" s="221"/>
      <c r="K3" s="221"/>
      <c r="L3" s="221"/>
      <c r="M3" s="221"/>
      <c r="N3" s="221"/>
      <c r="O3" s="221"/>
      <c r="P3" s="221"/>
      <c r="Q3" s="221"/>
      <c r="R3" s="221"/>
    </row>
    <row r="4" spans="1:18" s="6" customFormat="1" ht="12" x14ac:dyDescent="0.2">
      <c r="A4" s="35" t="s">
        <v>719</v>
      </c>
      <c r="B4" s="93"/>
      <c r="C4" s="560"/>
      <c r="D4" s="225"/>
      <c r="E4" s="36"/>
      <c r="F4" s="36"/>
      <c r="G4" s="36"/>
      <c r="H4" s="36"/>
      <c r="I4" s="36"/>
      <c r="J4" s="36"/>
      <c r="K4" s="36"/>
      <c r="L4" s="36"/>
      <c r="M4" s="36"/>
      <c r="N4" s="36"/>
      <c r="O4" s="36"/>
      <c r="P4" s="36"/>
      <c r="Q4" s="36"/>
      <c r="R4" s="36"/>
    </row>
    <row r="5" spans="1:18" s="6" customFormat="1" ht="12" x14ac:dyDescent="0.2">
      <c r="A5" s="561" t="s">
        <v>587</v>
      </c>
      <c r="B5" s="562" t="s">
        <v>717</v>
      </c>
      <c r="C5" s="563" t="s">
        <v>735</v>
      </c>
      <c r="D5" s="564" t="s">
        <v>718</v>
      </c>
      <c r="E5" s="36"/>
      <c r="F5" s="36"/>
      <c r="G5" s="36"/>
      <c r="H5" s="36"/>
      <c r="I5" s="36"/>
      <c r="J5" s="36"/>
      <c r="K5" s="36"/>
      <c r="L5" s="36"/>
      <c r="M5" s="36"/>
      <c r="N5" s="36"/>
      <c r="O5" s="36"/>
      <c r="P5" s="36"/>
      <c r="Q5" s="36"/>
      <c r="R5" s="36"/>
    </row>
    <row r="6" spans="1:18" s="6" customFormat="1" ht="12" x14ac:dyDescent="0.2">
      <c r="A6" s="818" t="s">
        <v>584</v>
      </c>
      <c r="B6" s="819" t="s">
        <v>585</v>
      </c>
      <c r="C6" s="731">
        <v>41786</v>
      </c>
      <c r="D6" s="732">
        <v>41786</v>
      </c>
      <c r="E6" s="36"/>
      <c r="F6" s="36"/>
      <c r="G6" s="36"/>
      <c r="H6" s="36"/>
      <c r="I6" s="36"/>
      <c r="J6" s="36"/>
      <c r="K6" s="36"/>
      <c r="L6" s="36"/>
      <c r="M6" s="36"/>
      <c r="N6" s="36"/>
      <c r="O6" s="36"/>
      <c r="P6" s="36"/>
      <c r="Q6" s="36"/>
      <c r="R6" s="36"/>
    </row>
    <row r="7" spans="1:18" s="6" customFormat="1" ht="12" x14ac:dyDescent="0.2">
      <c r="A7" s="729"/>
      <c r="B7" s="730"/>
      <c r="C7" s="731"/>
      <c r="D7" s="732"/>
      <c r="E7" s="36"/>
      <c r="F7" s="36"/>
      <c r="G7" s="36"/>
      <c r="H7" s="36"/>
      <c r="I7" s="36"/>
      <c r="J7" s="36"/>
      <c r="K7" s="36"/>
      <c r="L7" s="36"/>
      <c r="M7" s="36"/>
      <c r="N7" s="36"/>
      <c r="O7" s="36"/>
      <c r="P7" s="36"/>
      <c r="Q7" s="36"/>
      <c r="R7" s="36"/>
    </row>
    <row r="8" spans="1:18" s="6" customFormat="1" ht="27" customHeight="1" x14ac:dyDescent="0.2">
      <c r="A8" s="729"/>
      <c r="B8" s="730"/>
      <c r="C8" s="731"/>
      <c r="D8" s="731"/>
      <c r="E8" s="36"/>
      <c r="F8" s="36"/>
      <c r="G8" s="36"/>
      <c r="H8" s="36"/>
      <c r="I8" s="36"/>
      <c r="J8" s="36"/>
      <c r="K8" s="36"/>
      <c r="L8" s="36"/>
      <c r="M8" s="36"/>
      <c r="N8" s="36"/>
      <c r="O8" s="36"/>
      <c r="P8" s="36"/>
      <c r="Q8" s="36"/>
      <c r="R8" s="36"/>
    </row>
    <row r="9" spans="1:18" s="6" customFormat="1" ht="12" x14ac:dyDescent="0.2">
      <c r="A9" s="729"/>
      <c r="B9" s="730"/>
      <c r="C9" s="731"/>
      <c r="D9" s="731"/>
      <c r="E9" s="36"/>
      <c r="F9" s="36"/>
      <c r="G9" s="36"/>
      <c r="H9" s="36"/>
      <c r="I9" s="36"/>
      <c r="J9" s="36"/>
      <c r="K9" s="36"/>
      <c r="L9" s="36"/>
      <c r="M9" s="36"/>
      <c r="N9" s="36"/>
      <c r="O9" s="36"/>
      <c r="P9" s="36"/>
      <c r="Q9" s="36"/>
      <c r="R9" s="36"/>
    </row>
    <row r="10" spans="1:18" s="6" customFormat="1" ht="12" x14ac:dyDescent="0.2">
      <c r="A10" s="729"/>
      <c r="B10" s="730"/>
      <c r="C10" s="731"/>
      <c r="D10" s="731"/>
      <c r="E10" s="36"/>
      <c r="F10" s="36"/>
      <c r="G10" s="36"/>
      <c r="H10" s="36"/>
      <c r="I10" s="36"/>
      <c r="J10" s="36"/>
      <c r="K10" s="36"/>
      <c r="L10" s="36"/>
      <c r="M10" s="36"/>
      <c r="N10" s="36"/>
      <c r="O10" s="36"/>
      <c r="P10" s="36"/>
      <c r="Q10" s="36"/>
      <c r="R10" s="36"/>
    </row>
    <row r="11" spans="1:18" s="6" customFormat="1" ht="12" x14ac:dyDescent="0.2">
      <c r="A11" s="729"/>
      <c r="B11" s="730"/>
      <c r="C11" s="731"/>
      <c r="D11" s="731"/>
      <c r="E11" s="36"/>
      <c r="F11" s="36"/>
      <c r="G11" s="36"/>
      <c r="H11" s="36"/>
      <c r="I11" s="36"/>
      <c r="J11" s="36"/>
      <c r="K11" s="36"/>
      <c r="L11" s="36"/>
      <c r="M11" s="36"/>
      <c r="N11" s="36"/>
      <c r="O11" s="36"/>
      <c r="P11" s="36"/>
      <c r="Q11" s="36"/>
      <c r="R11" s="36"/>
    </row>
    <row r="12" spans="1:18" s="6" customFormat="1" ht="12" x14ac:dyDescent="0.2">
      <c r="A12" s="729"/>
      <c r="B12" s="730"/>
      <c r="C12" s="731"/>
      <c r="D12" s="731"/>
      <c r="E12" s="36"/>
      <c r="F12" s="36"/>
      <c r="G12" s="36"/>
      <c r="H12" s="36"/>
      <c r="I12" s="36"/>
      <c r="J12" s="36"/>
      <c r="K12" s="36"/>
      <c r="L12" s="36"/>
      <c r="M12" s="36"/>
      <c r="N12" s="36"/>
      <c r="O12" s="36"/>
      <c r="P12" s="36"/>
      <c r="Q12" s="36"/>
      <c r="R12" s="36"/>
    </row>
    <row r="13" spans="1:18" s="6" customFormat="1" ht="12" x14ac:dyDescent="0.2">
      <c r="A13" s="729"/>
      <c r="B13" s="730"/>
      <c r="C13" s="731"/>
      <c r="D13" s="731"/>
      <c r="E13" s="36"/>
      <c r="F13" s="36"/>
      <c r="G13" s="36"/>
      <c r="H13" s="36"/>
      <c r="I13" s="36"/>
      <c r="J13" s="36"/>
      <c r="K13" s="36"/>
      <c r="L13" s="36"/>
      <c r="M13" s="36"/>
      <c r="N13" s="36"/>
      <c r="O13" s="36"/>
      <c r="P13" s="36"/>
      <c r="Q13" s="36"/>
      <c r="R13" s="36"/>
    </row>
    <row r="14" spans="1:18" s="6" customFormat="1" ht="12" x14ac:dyDescent="0.2">
      <c r="A14" s="729"/>
      <c r="B14" s="730"/>
      <c r="C14" s="731"/>
      <c r="D14" s="731"/>
      <c r="E14" s="36"/>
      <c r="F14" s="36"/>
      <c r="G14" s="36"/>
      <c r="H14" s="36"/>
      <c r="I14" s="36"/>
      <c r="J14" s="36"/>
      <c r="K14" s="36"/>
      <c r="L14" s="36"/>
      <c r="M14" s="36"/>
      <c r="N14" s="36"/>
      <c r="O14" s="36"/>
      <c r="P14" s="36"/>
      <c r="Q14" s="36"/>
      <c r="R14" s="36"/>
    </row>
    <row r="15" spans="1:18" s="6" customFormat="1" ht="12" x14ac:dyDescent="0.2">
      <c r="A15" s="729"/>
      <c r="B15" s="730"/>
      <c r="C15" s="731"/>
      <c r="D15" s="731"/>
      <c r="E15" s="36"/>
      <c r="F15" s="36"/>
      <c r="G15" s="36"/>
      <c r="H15" s="36"/>
      <c r="I15" s="36"/>
      <c r="J15" s="36"/>
      <c r="K15" s="36"/>
      <c r="L15" s="36"/>
      <c r="M15" s="36"/>
      <c r="N15" s="36"/>
      <c r="O15" s="36"/>
      <c r="P15" s="36"/>
      <c r="Q15" s="36"/>
      <c r="R15" s="36"/>
    </row>
    <row r="16" spans="1:18" s="6" customFormat="1" ht="12" x14ac:dyDescent="0.2">
      <c r="A16" s="729"/>
      <c r="B16" s="730"/>
      <c r="C16" s="731"/>
      <c r="D16" s="731"/>
      <c r="E16" s="36"/>
      <c r="F16" s="36"/>
      <c r="G16" s="36"/>
      <c r="H16" s="36"/>
      <c r="I16" s="36"/>
      <c r="J16" s="36"/>
      <c r="K16" s="36"/>
      <c r="L16" s="36"/>
      <c r="M16" s="36"/>
      <c r="N16" s="36"/>
      <c r="O16" s="36"/>
      <c r="P16" s="36"/>
      <c r="Q16" s="36"/>
      <c r="R16" s="36"/>
    </row>
    <row r="17" spans="1:18" s="6" customFormat="1" ht="12" x14ac:dyDescent="0.2">
      <c r="A17" s="729"/>
      <c r="B17" s="730"/>
      <c r="C17" s="731"/>
      <c r="D17" s="731"/>
      <c r="E17" s="36"/>
      <c r="F17" s="36"/>
      <c r="G17" s="36"/>
      <c r="H17" s="36"/>
      <c r="I17" s="36"/>
      <c r="J17" s="36"/>
      <c r="K17" s="36"/>
      <c r="L17" s="36"/>
      <c r="M17" s="36"/>
      <c r="N17" s="36"/>
      <c r="O17" s="36"/>
      <c r="P17" s="36"/>
      <c r="Q17" s="36"/>
      <c r="R17" s="36"/>
    </row>
    <row r="18" spans="1:18" s="6" customFormat="1" ht="12" x14ac:dyDescent="0.2">
      <c r="A18" s="685"/>
      <c r="B18" s="686"/>
      <c r="C18" s="687"/>
      <c r="D18" s="688"/>
      <c r="E18" s="36"/>
      <c r="F18" s="36"/>
      <c r="G18" s="36"/>
      <c r="H18" s="36"/>
      <c r="I18" s="36"/>
      <c r="J18" s="36"/>
      <c r="K18" s="36"/>
      <c r="L18" s="36"/>
      <c r="M18" s="36"/>
      <c r="N18" s="36"/>
      <c r="O18" s="36"/>
      <c r="P18" s="36"/>
      <c r="Q18" s="36"/>
      <c r="R18" s="36"/>
    </row>
    <row r="19" spans="1:18" s="6" customFormat="1" ht="12" customHeight="1" x14ac:dyDescent="0.2">
      <c r="A19" s="685"/>
      <c r="B19" s="686"/>
      <c r="C19" s="687"/>
      <c r="D19" s="689"/>
      <c r="E19" s="36"/>
      <c r="F19" s="36"/>
      <c r="G19" s="36"/>
      <c r="H19" s="36"/>
      <c r="I19" s="36"/>
      <c r="J19" s="36"/>
      <c r="K19" s="36"/>
      <c r="L19" s="36"/>
      <c r="M19" s="36"/>
      <c r="N19" s="36"/>
      <c r="O19" s="36"/>
      <c r="P19" s="36"/>
      <c r="Q19" s="36"/>
      <c r="R19" s="36"/>
    </row>
    <row r="20" spans="1:18" s="6" customFormat="1" ht="12" x14ac:dyDescent="0.2">
      <c r="A20" s="51"/>
      <c r="B20" s="93"/>
      <c r="C20" s="95"/>
      <c r="D20" s="565"/>
      <c r="E20" s="36"/>
      <c r="F20" s="36"/>
      <c r="G20" s="36"/>
      <c r="H20" s="36"/>
      <c r="I20" s="36"/>
      <c r="J20" s="36"/>
      <c r="K20" s="36"/>
      <c r="L20" s="36"/>
      <c r="M20" s="36"/>
      <c r="N20" s="36"/>
      <c r="O20" s="36"/>
      <c r="P20" s="36"/>
      <c r="Q20" s="36"/>
      <c r="R20" s="36"/>
    </row>
    <row r="21" spans="1:18" s="6" customFormat="1" ht="12" customHeight="1" x14ac:dyDescent="0.2">
      <c r="A21" s="51"/>
      <c r="B21" s="93"/>
      <c r="C21" s="95"/>
      <c r="D21" s="566"/>
      <c r="E21" s="36"/>
      <c r="F21" s="36"/>
      <c r="G21" s="36"/>
      <c r="H21" s="36"/>
      <c r="I21" s="36"/>
      <c r="J21" s="36"/>
      <c r="K21" s="36"/>
      <c r="L21" s="36"/>
      <c r="M21" s="36"/>
      <c r="N21" s="36"/>
      <c r="O21" s="36"/>
      <c r="P21" s="36"/>
      <c r="Q21" s="36"/>
      <c r="R21" s="36"/>
    </row>
    <row r="22" spans="1:18" s="6" customFormat="1" ht="12" x14ac:dyDescent="0.2">
      <c r="A22" s="36"/>
      <c r="B22" s="93"/>
      <c r="C22" s="95"/>
      <c r="D22" s="567"/>
      <c r="E22" s="36"/>
      <c r="F22" s="36"/>
      <c r="G22" s="36"/>
      <c r="H22" s="36"/>
      <c r="I22" s="36"/>
      <c r="J22" s="36"/>
      <c r="K22" s="36"/>
      <c r="L22" s="36"/>
      <c r="M22" s="36"/>
      <c r="N22" s="36"/>
      <c r="O22" s="36"/>
      <c r="P22" s="36"/>
      <c r="Q22" s="36"/>
      <c r="R22" s="36"/>
    </row>
    <row r="23" spans="1:18" s="6" customFormat="1" ht="12" x14ac:dyDescent="0.2">
      <c r="A23" s="36"/>
      <c r="B23" s="93"/>
      <c r="C23" s="95"/>
      <c r="D23" s="567"/>
      <c r="E23" s="36"/>
      <c r="F23" s="36"/>
      <c r="G23" s="36"/>
      <c r="H23" s="36"/>
      <c r="I23" s="36"/>
      <c r="J23" s="36"/>
      <c r="K23" s="36"/>
      <c r="L23" s="36"/>
      <c r="M23" s="36"/>
      <c r="N23" s="36"/>
      <c r="O23" s="36"/>
      <c r="P23" s="36"/>
      <c r="Q23" s="36"/>
      <c r="R23" s="36"/>
    </row>
    <row r="24" spans="1:18" s="213" customFormat="1" ht="12" x14ac:dyDescent="0.2">
      <c r="A24" s="36"/>
      <c r="B24" s="93"/>
      <c r="C24" s="95"/>
      <c r="D24" s="565"/>
      <c r="E24" s="36"/>
      <c r="F24" s="212"/>
      <c r="G24" s="212"/>
      <c r="H24" s="212"/>
      <c r="I24" s="74"/>
      <c r="J24" s="74"/>
      <c r="K24" s="74"/>
      <c r="L24" s="74"/>
      <c r="M24" s="74"/>
      <c r="N24" s="74"/>
      <c r="O24" s="74"/>
      <c r="P24" s="74"/>
      <c r="Q24" s="74"/>
      <c r="R24" s="74"/>
    </row>
    <row r="25" spans="1:18" s="8" customFormat="1" ht="12" x14ac:dyDescent="0.2">
      <c r="A25" s="36"/>
      <c r="B25" s="36"/>
      <c r="C25" s="74"/>
      <c r="D25" s="95"/>
      <c r="E25" s="31"/>
      <c r="F25" s="30"/>
      <c r="G25" s="30"/>
      <c r="H25" s="30"/>
      <c r="I25" s="30"/>
      <c r="J25" s="30"/>
      <c r="K25" s="30"/>
      <c r="L25" s="30"/>
      <c r="M25" s="30"/>
      <c r="N25" s="30"/>
      <c r="O25" s="30"/>
      <c r="P25" s="30"/>
      <c r="Q25" s="30"/>
      <c r="R25" s="30"/>
    </row>
    <row r="26" spans="1:18" s="12" customFormat="1" ht="12" x14ac:dyDescent="0.2">
      <c r="A26" s="31"/>
      <c r="B26" s="31"/>
      <c r="C26" s="568"/>
      <c r="D26" s="568"/>
      <c r="E26" s="212"/>
      <c r="F26" s="31"/>
      <c r="G26" s="31"/>
      <c r="H26" s="31"/>
      <c r="I26" s="31"/>
      <c r="J26" s="31"/>
      <c r="K26" s="31"/>
      <c r="L26" s="31"/>
      <c r="M26" s="31"/>
      <c r="N26" s="31"/>
      <c r="O26" s="31"/>
      <c r="P26" s="31"/>
      <c r="Q26" s="31"/>
      <c r="R26" s="31"/>
    </row>
    <row r="27" spans="1:18" s="570" customFormat="1" ht="12" x14ac:dyDescent="0.2">
      <c r="A27" s="490"/>
      <c r="B27" s="569"/>
      <c r="C27" s="568"/>
      <c r="D27" s="568"/>
      <c r="E27" s="30"/>
      <c r="F27" s="212"/>
      <c r="G27" s="212"/>
      <c r="H27" s="212"/>
      <c r="I27" s="212"/>
      <c r="J27" s="212"/>
      <c r="K27" s="212"/>
      <c r="L27" s="212"/>
      <c r="M27" s="212"/>
      <c r="N27" s="212"/>
      <c r="O27" s="212"/>
      <c r="P27" s="212"/>
      <c r="Q27" s="212"/>
      <c r="R27" s="212"/>
    </row>
    <row r="28" spans="1:18" s="570" customFormat="1" ht="12" x14ac:dyDescent="0.2">
      <c r="A28" s="31"/>
      <c r="B28" s="571"/>
      <c r="C28" s="568"/>
      <c r="D28" s="568"/>
      <c r="E28" s="30"/>
      <c r="F28" s="212"/>
      <c r="G28" s="212"/>
      <c r="H28" s="212"/>
      <c r="I28" s="212"/>
      <c r="J28" s="212"/>
      <c r="K28" s="212"/>
      <c r="L28" s="212"/>
      <c r="M28" s="212"/>
      <c r="N28" s="212"/>
      <c r="O28" s="212"/>
      <c r="P28" s="212"/>
      <c r="Q28" s="212"/>
      <c r="R28" s="212"/>
    </row>
    <row r="29" spans="1:18" s="570" customFormat="1" ht="12" x14ac:dyDescent="0.2">
      <c r="A29" s="31"/>
      <c r="B29" s="571"/>
      <c r="C29" s="568"/>
      <c r="D29" s="568"/>
      <c r="E29" s="31"/>
      <c r="F29" s="212"/>
      <c r="G29" s="212"/>
      <c r="H29" s="212"/>
      <c r="I29" s="212"/>
      <c r="J29" s="212"/>
      <c r="K29" s="212"/>
      <c r="L29" s="212"/>
      <c r="M29" s="212"/>
      <c r="N29" s="212"/>
      <c r="O29" s="212"/>
      <c r="P29" s="212"/>
      <c r="Q29" s="212"/>
      <c r="R29" s="212"/>
    </row>
    <row r="30" spans="1:18" s="570" customFormat="1" ht="12" x14ac:dyDescent="0.2">
      <c r="A30" s="31"/>
      <c r="B30" s="571"/>
      <c r="C30" s="568"/>
      <c r="D30" s="568"/>
      <c r="E30" s="212"/>
      <c r="F30" s="212"/>
      <c r="G30" s="212"/>
      <c r="H30" s="212"/>
      <c r="I30" s="212"/>
      <c r="J30" s="212"/>
      <c r="K30" s="212"/>
      <c r="L30" s="212"/>
      <c r="M30" s="212"/>
      <c r="N30" s="212"/>
      <c r="O30" s="212"/>
      <c r="P30" s="212"/>
      <c r="Q30" s="212"/>
      <c r="R30" s="212"/>
    </row>
    <row r="31" spans="1:18" s="570" customFormat="1" ht="12" x14ac:dyDescent="0.2">
      <c r="A31" s="31"/>
      <c r="B31" s="571"/>
      <c r="C31" s="568"/>
      <c r="D31" s="568"/>
      <c r="E31" s="212"/>
      <c r="F31" s="212"/>
      <c r="G31" s="212"/>
      <c r="H31" s="212"/>
      <c r="I31" s="212"/>
      <c r="J31" s="212"/>
      <c r="K31" s="212"/>
      <c r="L31" s="212"/>
      <c r="M31" s="212"/>
      <c r="N31" s="212"/>
      <c r="O31" s="212"/>
      <c r="P31" s="212"/>
      <c r="Q31" s="212"/>
      <c r="R31" s="212"/>
    </row>
    <row r="32" spans="1:18" s="570" customFormat="1" ht="12" x14ac:dyDescent="0.2">
      <c r="A32" s="31"/>
      <c r="B32" s="571"/>
      <c r="C32" s="568"/>
      <c r="D32" s="568"/>
      <c r="E32" s="212"/>
      <c r="F32" s="212"/>
      <c r="G32" s="212"/>
      <c r="H32" s="212"/>
      <c r="I32" s="212"/>
      <c r="J32" s="212"/>
      <c r="K32" s="212"/>
      <c r="L32" s="212"/>
      <c r="M32" s="212"/>
      <c r="N32" s="212"/>
      <c r="O32" s="212"/>
      <c r="P32" s="212"/>
      <c r="Q32" s="212"/>
      <c r="R32" s="212"/>
    </row>
    <row r="33" spans="1:18" s="570" customFormat="1" ht="12" x14ac:dyDescent="0.2">
      <c r="A33" s="31"/>
      <c r="B33" s="363"/>
      <c r="C33" s="568"/>
      <c r="D33" s="568"/>
      <c r="E33" s="212"/>
      <c r="F33" s="212"/>
      <c r="G33" s="212"/>
      <c r="H33" s="212"/>
      <c r="I33" s="212"/>
      <c r="J33" s="212"/>
      <c r="K33" s="212"/>
      <c r="L33" s="212"/>
      <c r="M33" s="212"/>
      <c r="N33" s="212"/>
      <c r="O33" s="212"/>
      <c r="P33" s="212"/>
      <c r="Q33" s="212"/>
      <c r="R33" s="212"/>
    </row>
    <row r="34" spans="1:18" s="570" customFormat="1" ht="12" x14ac:dyDescent="0.2">
      <c r="A34" s="31"/>
      <c r="B34" s="571"/>
      <c r="C34" s="568"/>
      <c r="D34" s="568"/>
      <c r="E34" s="212"/>
      <c r="F34" s="212"/>
      <c r="G34" s="212"/>
      <c r="H34" s="212"/>
      <c r="I34" s="212"/>
      <c r="J34" s="212"/>
      <c r="K34" s="212"/>
      <c r="L34" s="212"/>
      <c r="M34" s="212"/>
      <c r="N34" s="212"/>
      <c r="O34" s="212"/>
      <c r="P34" s="212"/>
      <c r="Q34" s="212"/>
      <c r="R34" s="212"/>
    </row>
    <row r="35" spans="1:18" s="570" customFormat="1" ht="12" x14ac:dyDescent="0.2">
      <c r="A35" s="212"/>
      <c r="B35" s="212"/>
      <c r="C35" s="568"/>
      <c r="D35" s="568"/>
      <c r="E35" s="212"/>
      <c r="F35" s="212"/>
      <c r="G35" s="212"/>
      <c r="H35" s="212"/>
      <c r="I35" s="212"/>
      <c r="J35" s="212"/>
      <c r="K35" s="212"/>
      <c r="L35" s="212"/>
      <c r="M35" s="212"/>
      <c r="N35" s="212"/>
      <c r="O35" s="212"/>
      <c r="P35" s="212"/>
      <c r="Q35" s="212"/>
      <c r="R35" s="212"/>
    </row>
    <row r="36" spans="1:18" s="8" customFormat="1" ht="12" x14ac:dyDescent="0.2">
      <c r="A36" s="490"/>
      <c r="B36" s="569"/>
      <c r="C36" s="568"/>
      <c r="D36" s="568"/>
      <c r="E36" s="212"/>
      <c r="F36" s="30"/>
      <c r="G36" s="30"/>
      <c r="H36" s="30"/>
      <c r="I36" s="30"/>
      <c r="J36" s="30"/>
      <c r="K36" s="30"/>
      <c r="L36" s="30"/>
      <c r="M36" s="30"/>
      <c r="N36" s="30"/>
      <c r="O36" s="30"/>
      <c r="P36" s="30"/>
      <c r="Q36" s="30"/>
      <c r="R36" s="30"/>
    </row>
    <row r="37" spans="1:18" s="570" customFormat="1" ht="12" x14ac:dyDescent="0.2">
      <c r="A37" s="31"/>
      <c r="B37" s="571"/>
      <c r="C37" s="568"/>
      <c r="D37" s="568"/>
      <c r="E37" s="212"/>
      <c r="F37" s="212"/>
      <c r="G37" s="212"/>
      <c r="H37" s="212"/>
      <c r="I37" s="212"/>
      <c r="J37" s="212"/>
      <c r="K37" s="212"/>
      <c r="L37" s="212"/>
      <c r="M37" s="212"/>
      <c r="N37" s="212"/>
      <c r="O37" s="212"/>
      <c r="P37" s="212"/>
      <c r="Q37" s="212"/>
      <c r="R37" s="212"/>
    </row>
    <row r="38" spans="1:18" s="8" customFormat="1" ht="12" x14ac:dyDescent="0.2">
      <c r="A38" s="212"/>
      <c r="B38" s="571"/>
      <c r="C38" s="568"/>
      <c r="D38" s="568"/>
      <c r="E38" s="30"/>
      <c r="F38" s="30"/>
      <c r="G38" s="30"/>
      <c r="H38" s="30"/>
      <c r="I38" s="30"/>
      <c r="J38" s="30"/>
      <c r="K38" s="30"/>
      <c r="L38" s="30"/>
      <c r="M38" s="30"/>
      <c r="N38" s="30"/>
      <c r="O38" s="30"/>
      <c r="P38" s="30"/>
      <c r="Q38" s="30"/>
      <c r="R38" s="30"/>
    </row>
    <row r="39" spans="1:18" s="570" customFormat="1" ht="12" x14ac:dyDescent="0.2">
      <c r="A39" s="212"/>
      <c r="B39" s="571"/>
      <c r="C39" s="568"/>
      <c r="D39" s="568"/>
      <c r="E39" s="212"/>
      <c r="F39" s="212"/>
      <c r="G39" s="212"/>
      <c r="H39" s="212"/>
      <c r="I39" s="212"/>
      <c r="J39" s="212"/>
      <c r="K39" s="212"/>
      <c r="L39" s="212"/>
      <c r="M39" s="212"/>
      <c r="N39" s="212"/>
      <c r="O39" s="212"/>
      <c r="P39" s="212"/>
      <c r="Q39" s="212"/>
      <c r="R39" s="212"/>
    </row>
    <row r="40" spans="1:18" s="570" customFormat="1" ht="12" x14ac:dyDescent="0.2">
      <c r="A40" s="212"/>
      <c r="B40" s="571"/>
      <c r="C40" s="568"/>
      <c r="D40" s="568"/>
      <c r="E40" s="30"/>
      <c r="F40" s="212"/>
      <c r="G40" s="212"/>
      <c r="H40" s="212"/>
      <c r="I40" s="212"/>
      <c r="J40" s="212"/>
      <c r="K40" s="212"/>
      <c r="L40" s="212"/>
      <c r="M40" s="212"/>
      <c r="N40" s="212"/>
      <c r="O40" s="212"/>
      <c r="P40" s="212"/>
      <c r="Q40" s="212"/>
      <c r="R40" s="212"/>
    </row>
    <row r="41" spans="1:18" s="570" customFormat="1" x14ac:dyDescent="0.2">
      <c r="A41" s="212"/>
      <c r="B41" s="571"/>
      <c r="C41" s="568"/>
      <c r="D41" s="568"/>
      <c r="E41" s="572"/>
      <c r="F41" s="212"/>
      <c r="G41" s="212"/>
      <c r="H41" s="212"/>
      <c r="I41" s="212"/>
      <c r="J41" s="212"/>
      <c r="K41" s="212"/>
      <c r="L41" s="212"/>
      <c r="M41" s="212"/>
      <c r="N41" s="212"/>
      <c r="O41" s="212"/>
      <c r="P41" s="212"/>
      <c r="Q41" s="212"/>
      <c r="R41" s="212"/>
    </row>
    <row r="42" spans="1:18" s="570" customFormat="1" ht="12" x14ac:dyDescent="0.2">
      <c r="A42" s="212"/>
      <c r="B42" s="569"/>
      <c r="C42" s="568"/>
      <c r="D42" s="568"/>
      <c r="E42" s="212"/>
      <c r="F42" s="212"/>
      <c r="G42" s="212"/>
      <c r="H42" s="212"/>
      <c r="I42" s="212"/>
      <c r="J42" s="212"/>
      <c r="K42" s="212"/>
      <c r="L42" s="212"/>
      <c r="M42" s="212"/>
      <c r="N42" s="212"/>
      <c r="O42" s="212"/>
      <c r="P42" s="212"/>
      <c r="Q42" s="212"/>
      <c r="R42" s="212"/>
    </row>
    <row r="43" spans="1:18" s="12" customFormat="1" ht="12" x14ac:dyDescent="0.2">
      <c r="A43" s="212"/>
      <c r="B43" s="571"/>
      <c r="C43" s="568"/>
      <c r="D43" s="568"/>
      <c r="E43" s="212"/>
      <c r="F43" s="31"/>
      <c r="G43" s="31"/>
      <c r="H43" s="31"/>
      <c r="I43" s="31"/>
      <c r="J43" s="31"/>
      <c r="K43" s="31"/>
      <c r="L43" s="31"/>
      <c r="M43" s="31"/>
      <c r="N43" s="31"/>
      <c r="O43" s="31"/>
      <c r="P43" s="31"/>
      <c r="Q43" s="31"/>
      <c r="R43" s="31"/>
    </row>
    <row r="44" spans="1:18" s="18" customFormat="1" ht="12" x14ac:dyDescent="0.2">
      <c r="A44" s="212"/>
      <c r="B44" s="571"/>
      <c r="C44" s="568"/>
      <c r="D44" s="568"/>
      <c r="E44" s="573"/>
      <c r="F44" s="574"/>
      <c r="G44" s="574"/>
      <c r="H44" s="574"/>
      <c r="I44" s="574"/>
      <c r="J44" s="574"/>
      <c r="K44" s="574"/>
      <c r="L44" s="574"/>
      <c r="M44" s="574"/>
      <c r="N44" s="574"/>
      <c r="O44" s="574"/>
      <c r="P44" s="574"/>
      <c r="Q44" s="574"/>
      <c r="R44" s="574"/>
    </row>
    <row r="45" spans="1:18" s="11" customFormat="1" ht="12" x14ac:dyDescent="0.2">
      <c r="A45" s="573"/>
      <c r="B45" s="573"/>
      <c r="C45" s="575"/>
      <c r="D45" s="575"/>
      <c r="E45" s="370"/>
      <c r="F45" s="370"/>
      <c r="G45" s="370"/>
      <c r="H45" s="370"/>
      <c r="I45" s="370"/>
      <c r="J45" s="370"/>
      <c r="K45" s="370"/>
      <c r="L45" s="370"/>
      <c r="M45" s="370"/>
      <c r="N45" s="370"/>
      <c r="O45" s="370"/>
      <c r="P45" s="370"/>
      <c r="Q45" s="370"/>
      <c r="R45" s="370"/>
    </row>
    <row r="46" spans="1:18" s="12" customFormat="1" ht="12" x14ac:dyDescent="0.2">
      <c r="A46" s="573"/>
      <c r="B46" s="573"/>
      <c r="C46" s="575"/>
      <c r="D46" s="575"/>
      <c r="E46" s="30"/>
      <c r="F46" s="31"/>
      <c r="G46" s="31"/>
      <c r="H46" s="31"/>
      <c r="I46" s="31"/>
      <c r="J46" s="31"/>
      <c r="K46" s="31"/>
      <c r="L46" s="31"/>
      <c r="M46" s="31"/>
      <c r="N46" s="31"/>
      <c r="O46" s="31"/>
      <c r="P46" s="31"/>
      <c r="Q46" s="31"/>
      <c r="R46" s="31"/>
    </row>
    <row r="47" spans="1:18" s="12" customFormat="1" ht="12" x14ac:dyDescent="0.2">
      <c r="A47" s="31"/>
      <c r="B47" s="31"/>
      <c r="C47" s="568"/>
      <c r="D47" s="576"/>
      <c r="E47" s="31"/>
      <c r="F47" s="31"/>
      <c r="G47" s="31"/>
      <c r="H47" s="31"/>
      <c r="I47" s="31"/>
      <c r="J47" s="31"/>
      <c r="K47" s="31"/>
      <c r="L47" s="31"/>
      <c r="M47" s="31"/>
      <c r="N47" s="31"/>
      <c r="O47" s="31"/>
      <c r="P47" s="31"/>
      <c r="Q47" s="31"/>
      <c r="R47" s="31"/>
    </row>
    <row r="48" spans="1:18" s="11" customFormat="1" ht="12" x14ac:dyDescent="0.2">
      <c r="A48" s="31"/>
      <c r="B48" s="31"/>
      <c r="C48" s="568"/>
      <c r="D48" s="576"/>
      <c r="E48" s="370"/>
      <c r="F48" s="370"/>
      <c r="G48" s="370"/>
      <c r="H48" s="370"/>
      <c r="I48" s="370"/>
      <c r="J48" s="370"/>
      <c r="K48" s="370"/>
      <c r="L48" s="370"/>
      <c r="M48" s="370"/>
      <c r="N48" s="370"/>
      <c r="O48" s="370"/>
      <c r="P48" s="370"/>
      <c r="Q48" s="370"/>
      <c r="R48" s="370"/>
    </row>
    <row r="49" spans="1:18" s="11" customFormat="1" x14ac:dyDescent="0.2">
      <c r="A49" s="573"/>
      <c r="B49" s="166"/>
      <c r="C49" s="575"/>
      <c r="D49" s="577"/>
      <c r="E49" s="370"/>
      <c r="F49" s="370"/>
      <c r="G49" s="370"/>
      <c r="H49" s="370"/>
      <c r="I49" s="370"/>
      <c r="J49" s="370"/>
      <c r="K49" s="370"/>
      <c r="L49" s="370"/>
      <c r="M49" s="370"/>
      <c r="N49" s="370"/>
      <c r="O49" s="370"/>
      <c r="P49" s="370"/>
      <c r="Q49" s="370"/>
      <c r="R49" s="370"/>
    </row>
    <row r="50" spans="1:18" s="11" customFormat="1" x14ac:dyDescent="0.2">
      <c r="A50" s="370"/>
      <c r="B50" s="166"/>
      <c r="C50" s="575"/>
      <c r="D50" s="577"/>
      <c r="E50" s="370"/>
      <c r="F50" s="370"/>
      <c r="G50" s="370"/>
      <c r="H50" s="370"/>
      <c r="I50" s="370"/>
      <c r="J50" s="370"/>
      <c r="K50" s="370"/>
      <c r="L50" s="370"/>
      <c r="M50" s="370"/>
      <c r="N50" s="370"/>
      <c r="O50" s="370"/>
      <c r="P50" s="370"/>
      <c r="Q50" s="370"/>
      <c r="R50" s="370"/>
    </row>
    <row r="51" spans="1:18" s="11" customFormat="1" x14ac:dyDescent="0.2">
      <c r="A51" s="573"/>
      <c r="B51" s="166"/>
      <c r="C51" s="575"/>
      <c r="D51" s="578"/>
      <c r="E51" s="370"/>
      <c r="F51" s="370"/>
      <c r="G51" s="370"/>
      <c r="H51" s="370"/>
      <c r="I51" s="370"/>
      <c r="J51" s="370"/>
      <c r="K51" s="370"/>
      <c r="L51" s="370"/>
      <c r="M51" s="370"/>
      <c r="N51" s="370"/>
      <c r="O51" s="370"/>
      <c r="P51" s="370"/>
      <c r="Q51" s="370"/>
      <c r="R51" s="370"/>
    </row>
    <row r="52" spans="1:18" s="11" customFormat="1" ht="39" customHeight="1" x14ac:dyDescent="0.2">
      <c r="A52" s="573"/>
      <c r="B52" s="166"/>
      <c r="C52" s="575"/>
      <c r="D52" s="579"/>
      <c r="E52" s="370"/>
      <c r="F52" s="370"/>
      <c r="G52" s="370"/>
      <c r="H52" s="370"/>
      <c r="I52" s="370"/>
      <c r="J52" s="370"/>
      <c r="K52" s="370"/>
      <c r="L52" s="370"/>
      <c r="M52" s="370"/>
      <c r="N52" s="370"/>
      <c r="O52" s="370"/>
      <c r="P52" s="370"/>
      <c r="Q52" s="370"/>
      <c r="R52" s="370"/>
    </row>
    <row r="53" spans="1:18" s="11" customFormat="1" ht="23.25" customHeight="1" x14ac:dyDescent="0.2">
      <c r="A53" s="370"/>
      <c r="B53" s="580"/>
      <c r="C53" s="575"/>
      <c r="D53" s="578"/>
      <c r="E53" s="370"/>
      <c r="F53" s="370"/>
      <c r="G53" s="370"/>
      <c r="H53" s="370"/>
      <c r="I53" s="370"/>
      <c r="J53" s="370"/>
      <c r="K53" s="370"/>
      <c r="L53" s="370"/>
      <c r="M53" s="370"/>
      <c r="N53" s="370"/>
      <c r="O53" s="370"/>
      <c r="P53" s="370"/>
      <c r="Q53" s="370"/>
      <c r="R53" s="370"/>
    </row>
    <row r="54" spans="1:18" s="11" customFormat="1" ht="12" x14ac:dyDescent="0.2">
      <c r="A54" s="581"/>
      <c r="B54" s="582"/>
      <c r="C54" s="575"/>
      <c r="D54" s="578"/>
      <c r="E54" s="370"/>
      <c r="F54" s="370"/>
      <c r="G54" s="370"/>
      <c r="H54" s="370"/>
      <c r="I54" s="370"/>
      <c r="J54" s="370"/>
      <c r="K54" s="370"/>
      <c r="L54" s="370"/>
      <c r="M54" s="370"/>
      <c r="N54" s="370"/>
      <c r="O54" s="370"/>
      <c r="P54" s="370"/>
      <c r="Q54" s="370"/>
      <c r="R54" s="370"/>
    </row>
    <row r="55" spans="1:18" s="11" customFormat="1" ht="12" x14ac:dyDescent="0.2">
      <c r="A55" s="581"/>
      <c r="B55" s="583"/>
      <c r="C55" s="575"/>
      <c r="D55" s="578"/>
      <c r="E55" s="370"/>
      <c r="F55" s="370"/>
      <c r="G55" s="370"/>
      <c r="H55" s="370"/>
      <c r="I55" s="370"/>
      <c r="J55" s="370"/>
      <c r="K55" s="370"/>
      <c r="L55" s="370"/>
      <c r="M55" s="370"/>
      <c r="N55" s="370"/>
      <c r="O55" s="370"/>
      <c r="P55" s="370"/>
      <c r="Q55" s="370"/>
      <c r="R55" s="370"/>
    </row>
    <row r="56" spans="1:18" s="11" customFormat="1" ht="12" x14ac:dyDescent="0.2">
      <c r="A56" s="581"/>
      <c r="B56" s="583"/>
      <c r="C56" s="575"/>
      <c r="D56" s="578"/>
      <c r="E56" s="370"/>
      <c r="F56" s="370"/>
      <c r="G56" s="370"/>
      <c r="H56" s="370"/>
      <c r="I56" s="370"/>
      <c r="J56" s="370"/>
      <c r="K56" s="370"/>
      <c r="L56" s="370"/>
      <c r="M56" s="370"/>
      <c r="N56" s="370"/>
      <c r="O56" s="370"/>
      <c r="P56" s="370"/>
      <c r="Q56" s="370"/>
      <c r="R56" s="370"/>
    </row>
    <row r="57" spans="1:18" s="11" customFormat="1" ht="12" x14ac:dyDescent="0.2">
      <c r="A57" s="581"/>
      <c r="B57" s="583"/>
      <c r="C57" s="575"/>
      <c r="D57" s="578"/>
      <c r="E57" s="370"/>
      <c r="F57" s="370"/>
      <c r="G57" s="370"/>
      <c r="H57" s="370"/>
      <c r="I57" s="370"/>
      <c r="J57" s="370"/>
      <c r="K57" s="370"/>
      <c r="L57" s="370"/>
      <c r="M57" s="370"/>
      <c r="N57" s="370"/>
      <c r="O57" s="370"/>
      <c r="P57" s="370"/>
      <c r="Q57" s="370"/>
      <c r="R57" s="370"/>
    </row>
    <row r="58" spans="1:18" s="11" customFormat="1" ht="12" x14ac:dyDescent="0.2">
      <c r="A58" s="581"/>
      <c r="B58" s="583"/>
      <c r="C58" s="575"/>
      <c r="D58" s="578"/>
      <c r="E58" s="370"/>
      <c r="F58" s="370"/>
      <c r="G58" s="370"/>
      <c r="H58" s="370"/>
      <c r="I58" s="370"/>
      <c r="J58" s="370"/>
      <c r="K58" s="370"/>
      <c r="L58" s="370"/>
      <c r="M58" s="370"/>
      <c r="N58" s="370"/>
      <c r="O58" s="370"/>
      <c r="P58" s="370"/>
      <c r="Q58" s="370"/>
      <c r="R58" s="370"/>
    </row>
    <row r="59" spans="1:18" s="11" customFormat="1" ht="12" x14ac:dyDescent="0.2">
      <c r="A59" s="581"/>
      <c r="B59" s="583"/>
      <c r="C59" s="575"/>
      <c r="D59" s="578"/>
      <c r="E59" s="370"/>
      <c r="F59" s="370"/>
      <c r="G59" s="370"/>
      <c r="H59" s="370"/>
      <c r="I59" s="370"/>
      <c r="J59" s="370"/>
      <c r="K59" s="370"/>
      <c r="L59" s="370"/>
      <c r="M59" s="370"/>
      <c r="N59" s="370"/>
      <c r="O59" s="370"/>
      <c r="P59" s="370"/>
      <c r="Q59" s="370"/>
      <c r="R59" s="370"/>
    </row>
    <row r="60" spans="1:18" s="11" customFormat="1" ht="12" x14ac:dyDescent="0.2">
      <c r="A60" s="581"/>
      <c r="B60" s="583"/>
      <c r="C60" s="575"/>
      <c r="D60" s="578"/>
      <c r="E60" s="370"/>
      <c r="F60" s="370"/>
      <c r="G60" s="370"/>
      <c r="H60" s="370"/>
      <c r="I60" s="370"/>
      <c r="J60" s="370"/>
      <c r="K60" s="370"/>
      <c r="L60" s="370"/>
      <c r="M60" s="370"/>
      <c r="N60" s="370"/>
      <c r="O60" s="370"/>
      <c r="P60" s="370"/>
      <c r="Q60" s="370"/>
      <c r="R60" s="370"/>
    </row>
    <row r="61" spans="1:18" s="12" customFormat="1" ht="12" x14ac:dyDescent="0.2">
      <c r="A61" s="581"/>
      <c r="B61" s="583"/>
      <c r="C61" s="575"/>
      <c r="D61" s="578"/>
      <c r="E61" s="31"/>
      <c r="F61" s="31"/>
      <c r="G61" s="31"/>
      <c r="H61" s="31"/>
      <c r="I61" s="31"/>
      <c r="J61" s="31"/>
      <c r="K61" s="31"/>
      <c r="L61" s="31"/>
      <c r="M61" s="31"/>
      <c r="N61" s="31"/>
      <c r="O61" s="31"/>
      <c r="P61" s="31"/>
      <c r="Q61" s="31"/>
      <c r="R61" s="31"/>
    </row>
    <row r="62" spans="1:18" s="19" customFormat="1" ht="22.5" customHeight="1" x14ac:dyDescent="0.2">
      <c r="A62" s="38"/>
      <c r="B62" s="569"/>
      <c r="C62" s="568"/>
      <c r="D62" s="578"/>
      <c r="E62" s="11"/>
    </row>
    <row r="63" spans="1:18" s="19" customFormat="1" x14ac:dyDescent="0.2">
      <c r="A63" s="10"/>
      <c r="B63" s="584"/>
      <c r="C63" s="575"/>
      <c r="D63" s="578"/>
      <c r="E63" s="11"/>
    </row>
    <row r="64" spans="1:18" s="16" customFormat="1" x14ac:dyDescent="0.2">
      <c r="A64" s="10"/>
      <c r="B64" s="585"/>
      <c r="C64" s="575"/>
      <c r="D64" s="578"/>
    </row>
    <row r="65" spans="1:4" s="15" customFormat="1" x14ac:dyDescent="0.2">
      <c r="A65" s="4"/>
      <c r="B65" s="586"/>
      <c r="C65" s="568"/>
      <c r="D65" s="587"/>
    </row>
    <row r="66" spans="1:4" s="15" customFormat="1" x14ac:dyDescent="0.2">
      <c r="A66" s="5"/>
      <c r="B66" s="233"/>
      <c r="C66" s="7"/>
      <c r="D66" s="588"/>
    </row>
    <row r="67" spans="1:4" s="15" customFormat="1" x14ac:dyDescent="0.2">
      <c r="A67" s="5"/>
      <c r="B67" s="233"/>
      <c r="C67" s="7"/>
      <c r="D67" s="588"/>
    </row>
    <row r="68" spans="1:4" s="15" customFormat="1" x14ac:dyDescent="0.2">
      <c r="A68" s="1"/>
      <c r="B68" s="234"/>
      <c r="C68" s="589"/>
      <c r="D68" s="588"/>
    </row>
    <row r="69" spans="1:4" s="15" customFormat="1" x14ac:dyDescent="0.2">
      <c r="A69" s="1"/>
      <c r="B69" s="234"/>
      <c r="C69" s="589"/>
      <c r="D69" s="588"/>
    </row>
    <row r="70" spans="1:4" s="15" customFormat="1" x14ac:dyDescent="0.2">
      <c r="A70" s="1"/>
      <c r="B70" s="234"/>
      <c r="C70" s="589"/>
      <c r="D70" s="588"/>
    </row>
    <row r="71" spans="1:4" s="15" customFormat="1" x14ac:dyDescent="0.2">
      <c r="A71" s="1"/>
      <c r="B71" s="234"/>
      <c r="C71" s="589"/>
      <c r="D71" s="588"/>
    </row>
    <row r="72" spans="1:4" s="15" customFormat="1" x14ac:dyDescent="0.2">
      <c r="A72" s="1"/>
      <c r="B72" s="234"/>
      <c r="C72" s="589"/>
      <c r="D72" s="588"/>
    </row>
    <row r="73" spans="1:4" s="15" customFormat="1" x14ac:dyDescent="0.2">
      <c r="A73" s="1"/>
      <c r="B73" s="234"/>
      <c r="C73" s="589"/>
      <c r="D73" s="588"/>
    </row>
    <row r="74" spans="1:4" s="15" customFormat="1" x14ac:dyDescent="0.2">
      <c r="A74" s="1"/>
      <c r="B74" s="234"/>
      <c r="C74" s="589"/>
      <c r="D74" s="588"/>
    </row>
    <row r="75" spans="1:4" s="15" customFormat="1" x14ac:dyDescent="0.2">
      <c r="A75" s="1"/>
      <c r="B75" s="234"/>
      <c r="C75" s="589"/>
      <c r="D75" s="588"/>
    </row>
    <row r="76" spans="1:4" s="15" customFormat="1" x14ac:dyDescent="0.2">
      <c r="A76" s="1"/>
      <c r="B76" s="234"/>
      <c r="C76" s="589"/>
      <c r="D76" s="588"/>
    </row>
    <row r="77" spans="1:4" s="15" customFormat="1" x14ac:dyDescent="0.2">
      <c r="A77" s="1"/>
      <c r="B77" s="234"/>
      <c r="C77" s="589"/>
      <c r="D77" s="588"/>
    </row>
    <row r="78" spans="1:4" s="15" customFormat="1" x14ac:dyDescent="0.2">
      <c r="A78" s="1"/>
      <c r="B78" s="234"/>
      <c r="C78" s="589"/>
      <c r="D78" s="588"/>
    </row>
    <row r="79" spans="1:4" s="15" customFormat="1" x14ac:dyDescent="0.2">
      <c r="A79" s="1"/>
      <c r="B79" s="234"/>
      <c r="C79" s="589"/>
      <c r="D79" s="588"/>
    </row>
    <row r="80" spans="1:4" s="15" customFormat="1" x14ac:dyDescent="0.2">
      <c r="A80" s="1"/>
      <c r="B80" s="234"/>
      <c r="C80" s="589"/>
      <c r="D80" s="588"/>
    </row>
    <row r="81" spans="1:4" s="15" customFormat="1" x14ac:dyDescent="0.2">
      <c r="A81" s="1"/>
      <c r="B81" s="234"/>
      <c r="C81" s="589"/>
      <c r="D81" s="588"/>
    </row>
    <row r="82" spans="1:4" s="15" customFormat="1" x14ac:dyDescent="0.2">
      <c r="A82" s="1"/>
      <c r="B82" s="234"/>
      <c r="C82" s="589"/>
      <c r="D82" s="588"/>
    </row>
    <row r="83" spans="1:4" s="15" customFormat="1" x14ac:dyDescent="0.2">
      <c r="A83" s="1"/>
      <c r="B83" s="234"/>
      <c r="C83" s="589"/>
      <c r="D83" s="588"/>
    </row>
    <row r="84" spans="1:4" s="15" customFormat="1" x14ac:dyDescent="0.2">
      <c r="A84" s="1"/>
      <c r="B84" s="234"/>
      <c r="C84" s="589"/>
      <c r="D84" s="588"/>
    </row>
    <row r="85" spans="1:4" s="15" customFormat="1" x14ac:dyDescent="0.2">
      <c r="A85" s="1"/>
      <c r="B85" s="234"/>
      <c r="C85" s="589"/>
      <c r="D85" s="588"/>
    </row>
    <row r="86" spans="1:4" s="15" customFormat="1" x14ac:dyDescent="0.2">
      <c r="A86" s="1"/>
      <c r="B86" s="234"/>
      <c r="C86" s="589"/>
      <c r="D86" s="588"/>
    </row>
    <row r="87" spans="1:4" s="15" customFormat="1" x14ac:dyDescent="0.2">
      <c r="A87" s="1"/>
      <c r="B87" s="234"/>
      <c r="C87" s="589"/>
      <c r="D87" s="588"/>
    </row>
    <row r="88" spans="1:4" s="15" customFormat="1" x14ac:dyDescent="0.2">
      <c r="A88" s="1"/>
      <c r="B88" s="234"/>
      <c r="C88" s="589"/>
      <c r="D88" s="588"/>
    </row>
    <row r="89" spans="1:4" s="15" customFormat="1" x14ac:dyDescent="0.2">
      <c r="A89" s="1"/>
      <c r="B89" s="234"/>
      <c r="C89" s="589"/>
      <c r="D89" s="588"/>
    </row>
    <row r="90" spans="1:4" s="15" customFormat="1" x14ac:dyDescent="0.2">
      <c r="A90" s="1"/>
      <c r="B90" s="234"/>
      <c r="C90" s="589"/>
      <c r="D90" s="588"/>
    </row>
    <row r="91" spans="1:4" s="15" customFormat="1" x14ac:dyDescent="0.2">
      <c r="A91" s="1"/>
      <c r="B91" s="234"/>
      <c r="C91" s="589"/>
      <c r="D91" s="588"/>
    </row>
    <row r="92" spans="1:4" s="15" customFormat="1" x14ac:dyDescent="0.2">
      <c r="A92" s="1"/>
      <c r="B92" s="234"/>
      <c r="C92" s="589"/>
      <c r="D92" s="588"/>
    </row>
    <row r="93" spans="1:4" s="15" customFormat="1" x14ac:dyDescent="0.2">
      <c r="A93" s="1"/>
      <c r="B93" s="234"/>
      <c r="C93" s="589"/>
      <c r="D93" s="588"/>
    </row>
    <row r="94" spans="1:4" s="15" customFormat="1" x14ac:dyDescent="0.2">
      <c r="A94" s="1"/>
      <c r="B94" s="234"/>
      <c r="C94" s="589"/>
      <c r="D94" s="588"/>
    </row>
    <row r="95" spans="1:4" s="15" customFormat="1" x14ac:dyDescent="0.2">
      <c r="A95" s="1"/>
      <c r="B95" s="234"/>
      <c r="C95" s="589"/>
      <c r="D95" s="588"/>
    </row>
    <row r="96" spans="1:4" s="15" customFormat="1" x14ac:dyDescent="0.2">
      <c r="A96" s="1"/>
      <c r="B96" s="234"/>
      <c r="C96" s="589"/>
      <c r="D96" s="588"/>
    </row>
    <row r="97" spans="1:5" s="15" customFormat="1" x14ac:dyDescent="0.2">
      <c r="A97" s="1"/>
      <c r="B97" s="234"/>
      <c r="C97" s="589"/>
      <c r="D97" s="588"/>
    </row>
    <row r="98" spans="1:5" s="15" customFormat="1" x14ac:dyDescent="0.2">
      <c r="A98" s="1"/>
      <c r="B98" s="234"/>
      <c r="C98" s="589"/>
      <c r="D98" s="588"/>
    </row>
    <row r="99" spans="1:5" s="15" customFormat="1" x14ac:dyDescent="0.2">
      <c r="A99" s="1"/>
      <c r="B99" s="234"/>
      <c r="C99" s="589"/>
      <c r="D99" s="588"/>
    </row>
    <row r="100" spans="1:5" s="15" customFormat="1" x14ac:dyDescent="0.2">
      <c r="A100" s="1"/>
      <c r="B100" s="234"/>
      <c r="C100" s="589"/>
      <c r="D100" s="588"/>
    </row>
    <row r="101" spans="1:5" s="15" customFormat="1" x14ac:dyDescent="0.2">
      <c r="A101" s="1"/>
      <c r="B101" s="234"/>
      <c r="C101" s="589"/>
      <c r="D101" s="588"/>
    </row>
    <row r="102" spans="1:5" s="15" customFormat="1" x14ac:dyDescent="0.2">
      <c r="A102" s="1"/>
      <c r="B102" s="234"/>
      <c r="C102" s="589"/>
      <c r="D102" s="588"/>
    </row>
    <row r="103" spans="1:5" s="15" customFormat="1" x14ac:dyDescent="0.2">
      <c r="A103" s="1"/>
      <c r="B103" s="234"/>
      <c r="C103" s="589"/>
      <c r="D103" s="588"/>
    </row>
    <row r="104" spans="1:5" s="15" customFormat="1" x14ac:dyDescent="0.2">
      <c r="A104" s="1"/>
      <c r="B104" s="234"/>
      <c r="C104" s="589"/>
      <c r="D104" s="588"/>
    </row>
    <row r="105" spans="1:5" s="15" customFormat="1" x14ac:dyDescent="0.2">
      <c r="A105" s="1"/>
      <c r="B105" s="234"/>
      <c r="C105" s="589"/>
      <c r="D105" s="588"/>
    </row>
    <row r="106" spans="1:5" s="15" customFormat="1" x14ac:dyDescent="0.2">
      <c r="A106" s="1"/>
      <c r="B106" s="234"/>
      <c r="C106" s="589"/>
      <c r="D106" s="588"/>
    </row>
    <row r="107" spans="1:5" s="15" customFormat="1" x14ac:dyDescent="0.2">
      <c r="A107" s="1"/>
      <c r="B107" s="234"/>
      <c r="C107" s="589"/>
      <c r="D107" s="588"/>
    </row>
    <row r="108" spans="1:5" s="15" customFormat="1" x14ac:dyDescent="0.2">
      <c r="A108" s="1"/>
      <c r="B108" s="234"/>
      <c r="C108" s="589"/>
      <c r="D108" s="588"/>
    </row>
    <row r="109" spans="1:5" s="15" customFormat="1" x14ac:dyDescent="0.2">
      <c r="A109" s="1"/>
      <c r="B109" s="234"/>
      <c r="C109" s="589"/>
      <c r="D109" s="588"/>
    </row>
    <row r="110" spans="1:5" s="15" customFormat="1" x14ac:dyDescent="0.2">
      <c r="A110" s="1"/>
      <c r="B110" s="234"/>
      <c r="C110" s="589"/>
      <c r="D110" s="588"/>
    </row>
    <row r="111" spans="1:5" x14ac:dyDescent="0.2">
      <c r="A111" s="1"/>
      <c r="B111" s="234"/>
      <c r="E111" s="15"/>
    </row>
    <row r="112" spans="1:5" x14ac:dyDescent="0.2">
      <c r="A112" s="1"/>
      <c r="B112" s="234"/>
      <c r="E112" s="15"/>
    </row>
    <row r="113" spans="1:2" x14ac:dyDescent="0.2">
      <c r="A113" s="1"/>
      <c r="B113" s="234"/>
    </row>
    <row r="114" spans="1:2" x14ac:dyDescent="0.2">
      <c r="A114" s="1"/>
      <c r="B114" s="234"/>
    </row>
    <row r="115" spans="1:2" x14ac:dyDescent="0.2">
      <c r="A115" s="1"/>
      <c r="B115" s="234"/>
    </row>
    <row r="116" spans="1:2" x14ac:dyDescent="0.2">
      <c r="A116" s="1"/>
      <c r="B116" s="234"/>
    </row>
  </sheetData>
  <sheetProtection password="CA39" sheet="1" objects="1" scenarios="1"/>
  <phoneticPr fontId="12" type="noConversion"/>
  <pageMargins left="0.39370078740157483" right="0.39370078740157483" top="0.39370078740157483" bottom="0.39370078740157483" header="0.51181102362204722" footer="0.51181102362204722"/>
  <pageSetup paperSize="9" orientation="landscape" cellComments="asDisplayed" horizontalDpi="300" verticalDpi="300" r:id="rId1"/>
  <headerFooter alignWithMargins="0"/>
  <drawing r:id="rId2"/>
  <legacyDrawing r:id="rId3"/>
  <oleObjects>
    <mc:AlternateContent xmlns:mc="http://schemas.openxmlformats.org/markup-compatibility/2006">
      <mc:Choice Requires="x14">
        <oleObject progId="MSPhotoEd.3" shapeId="94209" r:id="rId4">
          <objectPr defaultSize="0" autoPict="0" r:id="rId5">
            <anchor moveWithCells="1" sizeWithCells="1">
              <from>
                <xdr:col>2</xdr:col>
                <xdr:colOff>371475</xdr:colOff>
                <xdr:row>1</xdr:row>
                <xdr:rowOff>38100</xdr:rowOff>
              </from>
              <to>
                <xdr:col>4</xdr:col>
                <xdr:colOff>276225</xdr:colOff>
                <xdr:row>1</xdr:row>
                <xdr:rowOff>180975</xdr:rowOff>
              </to>
            </anchor>
          </objectPr>
        </oleObject>
      </mc:Choice>
      <mc:Fallback>
        <oleObject progId="MSPhotoEd.3" shapeId="94209"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dimension ref="A2:H54"/>
  <sheetViews>
    <sheetView showGridLines="0" showZeros="0" showOutlineSymbols="0" zoomScaleNormal="100" zoomScaleSheetLayoutView="100" workbookViewId="0">
      <selection activeCell="A7" sqref="A7:G7"/>
    </sheetView>
  </sheetViews>
  <sheetFormatPr defaultColWidth="13.42578125" defaultRowHeight="11.25" x14ac:dyDescent="0.2"/>
  <cols>
    <col min="1" max="1" width="74.28515625" style="595" customWidth="1"/>
    <col min="2" max="2" width="7" style="592" customWidth="1"/>
    <col min="3" max="16384" width="13.42578125" style="592"/>
  </cols>
  <sheetData>
    <row r="2" spans="1:8" x14ac:dyDescent="0.2">
      <c r="A2" s="594" t="str">
        <f>inhoud!A2</f>
        <v>Vaststelling Transitiebedrag 2012</v>
      </c>
      <c r="B2" s="596"/>
      <c r="H2" s="599">
        <v>3</v>
      </c>
    </row>
    <row r="4" spans="1:8" x14ac:dyDescent="0.2">
      <c r="A4" s="595" t="s">
        <v>778</v>
      </c>
    </row>
    <row r="6" spans="1:8" x14ac:dyDescent="0.2">
      <c r="A6" s="595" t="s">
        <v>827</v>
      </c>
    </row>
    <row r="7" spans="1:8" ht="22.5" customHeight="1" x14ac:dyDescent="0.2">
      <c r="A7" s="1298" t="s">
        <v>900</v>
      </c>
      <c r="B7" s="1298"/>
      <c r="C7" s="1298"/>
      <c r="D7" s="1298"/>
      <c r="E7" s="1298"/>
      <c r="F7" s="1298"/>
      <c r="G7" s="1298"/>
    </row>
    <row r="8" spans="1:8" ht="22.5" customHeight="1" x14ac:dyDescent="0.2">
      <c r="A8" s="1298" t="s">
        <v>1203</v>
      </c>
      <c r="B8" s="1298"/>
      <c r="C8" s="1298"/>
      <c r="D8" s="1298"/>
      <c r="E8" s="1298"/>
      <c r="F8" s="1298"/>
      <c r="G8" s="1298"/>
    </row>
    <row r="10" spans="1:8" x14ac:dyDescent="0.2">
      <c r="A10" s="595" t="s">
        <v>169</v>
      </c>
    </row>
    <row r="11" spans="1:8" x14ac:dyDescent="0.2">
      <c r="A11" s="1298" t="s">
        <v>168</v>
      </c>
      <c r="B11" s="1298"/>
      <c r="C11" s="1298"/>
      <c r="D11" s="1298"/>
      <c r="E11" s="1298"/>
      <c r="F11" s="1298"/>
      <c r="G11" s="1298"/>
    </row>
    <row r="12" spans="1:8" x14ac:dyDescent="0.2">
      <c r="A12" s="1298"/>
      <c r="B12" s="1298"/>
      <c r="C12" s="1298"/>
      <c r="D12" s="1298"/>
      <c r="E12" s="1298"/>
      <c r="F12" s="1298"/>
      <c r="G12" s="1298"/>
    </row>
    <row r="13" spans="1:8" x14ac:dyDescent="0.2">
      <c r="A13" s="594"/>
      <c r="B13" s="594"/>
      <c r="C13" s="594"/>
      <c r="D13" s="594"/>
      <c r="E13" s="594"/>
      <c r="F13" s="594"/>
      <c r="G13" s="594"/>
    </row>
    <row r="14" spans="1:8" x14ac:dyDescent="0.2">
      <c r="A14" s="595" t="str">
        <f>CONCATENATE("Nacalculeerbare afschrijvingskosten (pagina ", '2 afschrijv. instandhoud. '!P2, ")")</f>
        <v>Nacalculeerbare afschrijvingskosten (pagina 15)</v>
      </c>
      <c r="B14" s="593"/>
      <c r="C14" s="593"/>
    </row>
    <row r="15" spans="1:8" ht="48" customHeight="1" x14ac:dyDescent="0.2">
      <c r="A15" s="1298" t="s">
        <v>920</v>
      </c>
      <c r="B15" s="1298"/>
      <c r="C15" s="1298"/>
      <c r="D15" s="1298"/>
      <c r="E15" s="1298"/>
      <c r="F15" s="1298"/>
      <c r="G15" s="1298"/>
      <c r="H15" s="1298"/>
    </row>
    <row r="16" spans="1:8" x14ac:dyDescent="0.2">
      <c r="A16" s="594"/>
    </row>
    <row r="17" spans="1:8" x14ac:dyDescent="0.2">
      <c r="A17" s="1299" t="str">
        <f>"Investeringen in instandhouding (WZV-meldingsplichtige vaste activa) (pagina " &amp;'2 afschrijv. instandhoud. '!P2 &amp; ")"</f>
        <v>Investeringen in instandhouding (WZV-meldingsplichtige vaste activa) (pagina 15)</v>
      </c>
      <c r="B17" s="1299"/>
      <c r="C17" s="1299"/>
    </row>
    <row r="18" spans="1:8" ht="35.25" customHeight="1" x14ac:dyDescent="0.2">
      <c r="A18" s="1298" t="s">
        <v>1064</v>
      </c>
      <c r="B18" s="1298"/>
      <c r="C18" s="1298"/>
      <c r="D18" s="1298"/>
      <c r="E18" s="1298"/>
      <c r="F18" s="1298"/>
      <c r="G18" s="1298"/>
      <c r="H18" s="1298"/>
    </row>
    <row r="19" spans="1:8" x14ac:dyDescent="0.2">
      <c r="A19" s="594"/>
    </row>
    <row r="20" spans="1:8" ht="12" customHeight="1" x14ac:dyDescent="0.2">
      <c r="A20" s="595" t="str">
        <f>"Afschrijvingskosten medische en overige inventarissen (pagina "&amp;'2.3 inventaris '!G2&amp;")"</f>
        <v>Afschrijvingskosten medische en overige inventarissen (pagina 16)</v>
      </c>
    </row>
    <row r="21" spans="1:8" ht="35.25" customHeight="1" x14ac:dyDescent="0.2">
      <c r="A21" s="1298" t="s">
        <v>1065</v>
      </c>
      <c r="B21" s="1298"/>
      <c r="C21" s="1298"/>
      <c r="D21" s="1298"/>
      <c r="E21" s="1298"/>
      <c r="F21" s="1298"/>
      <c r="G21" s="1298"/>
    </row>
    <row r="22" spans="1:8" ht="24" customHeight="1" x14ac:dyDescent="0.2">
      <c r="A22" s="1298" t="s">
        <v>214</v>
      </c>
      <c r="B22" s="1298"/>
      <c r="C22" s="1298"/>
      <c r="D22" s="1298"/>
      <c r="E22" s="1298"/>
      <c r="F22" s="1298"/>
      <c r="G22" s="1298"/>
    </row>
    <row r="23" spans="1:8" x14ac:dyDescent="0.2">
      <c r="A23" s="594"/>
      <c r="B23" s="594"/>
      <c r="C23" s="594"/>
      <c r="D23" s="594"/>
      <c r="E23" s="594"/>
      <c r="F23" s="594"/>
      <c r="G23" s="594"/>
    </row>
    <row r="24" spans="1:8" x14ac:dyDescent="0.2">
      <c r="A24" s="594"/>
      <c r="B24" s="594"/>
      <c r="C24" s="594"/>
      <c r="D24" s="594"/>
      <c r="E24" s="594"/>
      <c r="F24" s="594"/>
      <c r="G24" s="594"/>
      <c r="H24" s="594"/>
    </row>
    <row r="25" spans="1:8" x14ac:dyDescent="0.2">
      <c r="A25" s="793" t="str">
        <f>"Werkelijke opbrengsten (pagina "&amp;'3 opbrengsten'!J2&amp;")"</f>
        <v>Werkelijke opbrengsten (pagina 17)</v>
      </c>
      <c r="B25" s="794"/>
      <c r="C25" s="794"/>
      <c r="D25" s="794"/>
      <c r="E25" s="794"/>
      <c r="F25" s="794"/>
      <c r="G25" s="794"/>
      <c r="H25" s="794"/>
    </row>
    <row r="26" spans="1:8" ht="11.25" customHeight="1" x14ac:dyDescent="0.2">
      <c r="A26" s="1301" t="s">
        <v>166</v>
      </c>
      <c r="B26" s="1301"/>
      <c r="C26" s="1301"/>
      <c r="D26" s="1301"/>
      <c r="E26" s="1301"/>
      <c r="F26" s="1301"/>
      <c r="G26" s="1301"/>
      <c r="H26" s="1301"/>
    </row>
    <row r="27" spans="1:8" x14ac:dyDescent="0.2">
      <c r="A27" s="1301"/>
      <c r="B27" s="1301"/>
      <c r="C27" s="1301"/>
      <c r="D27" s="1301"/>
      <c r="E27" s="1301"/>
      <c r="F27" s="1301"/>
      <c r="G27" s="1301"/>
      <c r="H27" s="1301"/>
    </row>
    <row r="28" spans="1:8" x14ac:dyDescent="0.2">
      <c r="A28" s="1301"/>
      <c r="B28" s="1301"/>
      <c r="C28" s="1301"/>
      <c r="D28" s="1301"/>
      <c r="E28" s="1301"/>
      <c r="F28" s="1301"/>
      <c r="G28" s="1301"/>
      <c r="H28" s="1301"/>
    </row>
    <row r="29" spans="1:8" x14ac:dyDescent="0.2">
      <c r="A29" s="1301"/>
      <c r="B29" s="1301"/>
      <c r="C29" s="1301"/>
      <c r="D29" s="1301"/>
      <c r="E29" s="1301"/>
      <c r="F29" s="1301"/>
      <c r="G29" s="1301"/>
      <c r="H29" s="1301"/>
    </row>
    <row r="30" spans="1:8" x14ac:dyDescent="0.2">
      <c r="A30" s="1301"/>
      <c r="B30" s="1301"/>
      <c r="C30" s="1301"/>
      <c r="D30" s="1301"/>
      <c r="E30" s="1301"/>
      <c r="F30" s="1301"/>
      <c r="G30" s="1301"/>
      <c r="H30" s="1301"/>
    </row>
    <row r="31" spans="1:8" x14ac:dyDescent="0.2">
      <c r="A31" s="1301"/>
      <c r="B31" s="1301"/>
      <c r="C31" s="1301"/>
      <c r="D31" s="1301"/>
      <c r="E31" s="1301"/>
      <c r="F31" s="1301"/>
      <c r="G31" s="1301"/>
      <c r="H31" s="1301"/>
    </row>
    <row r="32" spans="1:8" x14ac:dyDescent="0.2">
      <c r="A32" s="1301"/>
      <c r="B32" s="1301"/>
      <c r="C32" s="1301"/>
      <c r="D32" s="1301"/>
      <c r="E32" s="1301"/>
      <c r="F32" s="1301"/>
      <c r="G32" s="1301"/>
      <c r="H32" s="1301"/>
    </row>
    <row r="33" spans="1:8" x14ac:dyDescent="0.2">
      <c r="A33" s="1301"/>
      <c r="B33" s="1301"/>
      <c r="C33" s="1301"/>
      <c r="D33" s="1301"/>
      <c r="E33" s="1301"/>
      <c r="F33" s="1301"/>
      <c r="G33" s="1301"/>
      <c r="H33" s="1301"/>
    </row>
    <row r="34" spans="1:8" x14ac:dyDescent="0.2">
      <c r="A34" s="594"/>
      <c r="B34" s="594"/>
      <c r="C34" s="594"/>
      <c r="D34" s="594"/>
      <c r="E34" s="594"/>
      <c r="F34" s="594"/>
      <c r="G34" s="594"/>
      <c r="H34" s="594"/>
    </row>
    <row r="35" spans="1:8" x14ac:dyDescent="0.2">
      <c r="A35" s="594" t="str">
        <f>CONCATENATE("Nacalculatieformulier ",Voorblad!K4)</f>
        <v>Nacalculatieformulier 2012</v>
      </c>
      <c r="H35" s="599">
        <f>H2+1</f>
        <v>4</v>
      </c>
    </row>
    <row r="36" spans="1:8" x14ac:dyDescent="0.2">
      <c r="A36" s="594"/>
    </row>
    <row r="37" spans="1:8" x14ac:dyDescent="0.2">
      <c r="A37" s="793" t="str">
        <f>"Opbrengstverrekening  " &amp;Voorblad!K4 &amp; " (pagina 17)"</f>
        <v>Opbrengstverrekening  2012 (pagina 17)</v>
      </c>
      <c r="B37" s="792"/>
      <c r="C37" s="792"/>
      <c r="D37" s="794"/>
      <c r="E37" s="794"/>
      <c r="F37" s="794"/>
      <c r="G37" s="794"/>
    </row>
    <row r="38" spans="1:8" ht="11.25" customHeight="1" x14ac:dyDescent="0.2">
      <c r="A38" s="1300" t="s">
        <v>167</v>
      </c>
      <c r="B38" s="1300"/>
      <c r="C38" s="1300"/>
      <c r="D38" s="1300"/>
      <c r="E38" s="1300"/>
      <c r="F38" s="1300"/>
      <c r="G38" s="1300"/>
    </row>
    <row r="39" spans="1:8" x14ac:dyDescent="0.2">
      <c r="A39" s="1300"/>
      <c r="B39" s="1300"/>
      <c r="C39" s="1300"/>
      <c r="D39" s="1300"/>
      <c r="E39" s="1300"/>
      <c r="F39" s="1300"/>
      <c r="G39" s="1300"/>
    </row>
    <row r="40" spans="1:8" x14ac:dyDescent="0.2">
      <c r="A40" s="1300"/>
      <c r="B40" s="1300"/>
      <c r="C40" s="1300"/>
      <c r="D40" s="1300"/>
      <c r="E40" s="1300"/>
      <c r="F40" s="1300"/>
      <c r="G40" s="1300"/>
    </row>
    <row r="41" spans="1:8" x14ac:dyDescent="0.2">
      <c r="A41" s="1300"/>
      <c r="B41" s="1300"/>
      <c r="C41" s="1300"/>
      <c r="D41" s="1300"/>
      <c r="E41" s="1300"/>
      <c r="F41" s="1300"/>
      <c r="G41" s="1300"/>
    </row>
    <row r="42" spans="1:8" x14ac:dyDescent="0.2">
      <c r="A42" s="1300"/>
      <c r="B42" s="1300"/>
      <c r="C42" s="1300"/>
      <c r="D42" s="1300"/>
      <c r="E42" s="1300"/>
      <c r="F42" s="1300"/>
      <c r="G42" s="1300"/>
    </row>
    <row r="43" spans="1:8" ht="10.5" customHeight="1" x14ac:dyDescent="0.2">
      <c r="A43" s="1300"/>
      <c r="B43" s="1300"/>
      <c r="C43" s="1300"/>
      <c r="D43" s="1300"/>
      <c r="E43" s="1300"/>
      <c r="F43" s="1300"/>
      <c r="G43" s="1300"/>
    </row>
    <row r="44" spans="1:8" ht="3.75" hidden="1" customHeight="1" x14ac:dyDescent="0.2">
      <c r="A44" s="1300"/>
      <c r="B44" s="1300"/>
      <c r="C44" s="1300"/>
      <c r="D44" s="1300"/>
      <c r="E44" s="1300"/>
      <c r="F44" s="1300"/>
      <c r="G44" s="1300"/>
    </row>
    <row r="45" spans="1:8" x14ac:dyDescent="0.2">
      <c r="A45" s="594"/>
    </row>
    <row r="46" spans="1:8" ht="16.5" customHeight="1" x14ac:dyDescent="0.2">
      <c r="A46" s="595" t="str">
        <f>"Bepaling Onderhanden werk voor opbrengstenverantwoording (pagina "&amp;'3 opbrengsten'!J2&amp;")"</f>
        <v>Bepaling Onderhanden werk voor opbrengstenverantwoording (pagina 17)</v>
      </c>
    </row>
    <row r="47" spans="1:8" ht="23.25" customHeight="1" x14ac:dyDescent="0.2">
      <c r="A47" s="1298" t="s">
        <v>1201</v>
      </c>
      <c r="B47" s="1298"/>
      <c r="C47" s="1298"/>
      <c r="D47" s="1298"/>
      <c r="E47" s="1298"/>
      <c r="F47" s="1298"/>
      <c r="G47" s="1298"/>
      <c r="H47" s="1298"/>
    </row>
    <row r="49" spans="1:8" x14ac:dyDescent="0.15">
      <c r="A49" s="1302" t="s">
        <v>656</v>
      </c>
      <c r="B49" s="1302"/>
      <c r="C49" s="820"/>
      <c r="D49" s="820"/>
      <c r="E49" s="820"/>
    </row>
    <row r="50" spans="1:8" x14ac:dyDescent="0.2">
      <c r="A50" s="1297" t="s">
        <v>690</v>
      </c>
      <c r="B50" s="1297"/>
      <c r="C50" s="1297"/>
      <c r="D50" s="1297"/>
      <c r="E50" s="1297"/>
      <c r="F50" s="1297"/>
      <c r="G50" s="1297"/>
      <c r="H50" s="1297"/>
    </row>
    <row r="51" spans="1:8" x14ac:dyDescent="0.2">
      <c r="A51" s="1297"/>
      <c r="B51" s="1297"/>
      <c r="C51" s="1297"/>
      <c r="D51" s="1297"/>
      <c r="E51" s="1297"/>
      <c r="F51" s="1297"/>
      <c r="G51" s="1297"/>
      <c r="H51" s="1297"/>
    </row>
    <row r="52" spans="1:8" x14ac:dyDescent="0.2">
      <c r="A52" s="1297"/>
      <c r="B52" s="1297"/>
      <c r="C52" s="1297"/>
      <c r="D52" s="1297"/>
      <c r="E52" s="1297"/>
      <c r="F52" s="1297"/>
      <c r="G52" s="1297"/>
      <c r="H52" s="1297"/>
    </row>
    <row r="53" spans="1:8" x14ac:dyDescent="0.2">
      <c r="A53" s="1297"/>
      <c r="B53" s="1297"/>
      <c r="C53" s="1297"/>
      <c r="D53" s="1297"/>
      <c r="E53" s="1297"/>
      <c r="F53" s="1297"/>
      <c r="G53" s="1297"/>
      <c r="H53" s="1297"/>
    </row>
    <row r="54" spans="1:8" x14ac:dyDescent="0.2">
      <c r="A54" s="1297"/>
      <c r="B54" s="1297"/>
      <c r="C54" s="1297"/>
      <c r="D54" s="1297"/>
      <c r="E54" s="1297"/>
      <c r="F54" s="1297"/>
      <c r="G54" s="1297"/>
      <c r="H54" s="1297"/>
    </row>
  </sheetData>
  <sheetProtection password="CA39" sheet="1" objects="1" scenarios="1"/>
  <customSheetViews>
    <customSheetView guid="{52EB1485-ECFC-4D16-B893-125E4D85986E}" scale="75" showPageBreaks="1" showGridLines="0" printArea="1" hiddenRows="1" view="pageBreakPreview" showRuler="0" topLeftCell="A50">
      <selection activeCell="A33" sqref="A33:E35"/>
      <rowBreaks count="3" manualBreakCount="3">
        <brk id="20" max="4" man="1"/>
        <brk id="33" max="4" man="1"/>
        <brk id="50" max="4" man="1"/>
      </rowBreaks>
      <pageMargins left="0.39370078740157483" right="0.39370078740157483" top="0.39370078740157483" bottom="0.19685039370078741" header="0.51181102362204722" footer="0.11811023622047245"/>
      <pageSetup paperSize="9" fitToHeight="6" orientation="landscape" horizontalDpi="300" verticalDpi="300" r:id="rId1"/>
      <headerFooter alignWithMargins="0"/>
    </customSheetView>
  </customSheetViews>
  <mergeCells count="13">
    <mergeCell ref="A50:H54"/>
    <mergeCell ref="A7:G7"/>
    <mergeCell ref="A11:G12"/>
    <mergeCell ref="A21:G21"/>
    <mergeCell ref="A22:G22"/>
    <mergeCell ref="A15:H15"/>
    <mergeCell ref="A47:H47"/>
    <mergeCell ref="A17:C17"/>
    <mergeCell ref="A8:G8"/>
    <mergeCell ref="A38:G44"/>
    <mergeCell ref="A18:H18"/>
    <mergeCell ref="A26:H33"/>
    <mergeCell ref="A49:B49"/>
  </mergeCells>
  <phoneticPr fontId="12" type="noConversion"/>
  <printOptions horizontalCentered="1"/>
  <pageMargins left="0.39370078740157483" right="0.27559055118110237" top="0.31496062992125984" bottom="0.31496062992125984" header="0.43307086614173229" footer="0.35433070866141736"/>
  <pageSetup paperSize="9" scale="86" fitToHeight="2" orientation="landscape" cellComments="asDisplayed" r:id="rId2"/>
  <headerFooter alignWithMargins="0"/>
  <rowBreaks count="1" manualBreakCount="1">
    <brk id="34" max="7" man="1"/>
  </rowBreaks>
  <drawing r:id="rId3"/>
  <legacyDrawing r:id="rId4"/>
  <oleObjects>
    <mc:AlternateContent xmlns:mc="http://schemas.openxmlformats.org/markup-compatibility/2006">
      <mc:Choice Requires="x14">
        <oleObject progId="MSPhotoEd.3" shapeId="26735" r:id="rId5">
          <objectPr defaultSize="0" autoPict="0" r:id="rId6">
            <anchor moveWithCells="1" sizeWithCells="1">
              <from>
                <xdr:col>1</xdr:col>
                <xdr:colOff>0</xdr:colOff>
                <xdr:row>47</xdr:row>
                <xdr:rowOff>0</xdr:rowOff>
              </from>
              <to>
                <xdr:col>1</xdr:col>
                <xdr:colOff>381000</xdr:colOff>
                <xdr:row>47</xdr:row>
                <xdr:rowOff>0</xdr:rowOff>
              </to>
            </anchor>
          </objectPr>
        </oleObject>
      </mc:Choice>
      <mc:Fallback>
        <oleObject progId="MSPhotoEd.3" shapeId="26735" r:id="rId5"/>
      </mc:Fallback>
    </mc:AlternateContent>
    <mc:AlternateContent xmlns:mc="http://schemas.openxmlformats.org/markup-compatibility/2006">
      <mc:Choice Requires="x14">
        <oleObject progId="MSPhotoEd.3" shapeId="26737" r:id="rId7">
          <objectPr defaultSize="0" autoPict="0" r:id="rId6">
            <anchor moveWithCells="1" sizeWithCells="1">
              <from>
                <xdr:col>1</xdr:col>
                <xdr:colOff>0</xdr:colOff>
                <xdr:row>35</xdr:row>
                <xdr:rowOff>0</xdr:rowOff>
              </from>
              <to>
                <xdr:col>1</xdr:col>
                <xdr:colOff>323850</xdr:colOff>
                <xdr:row>35</xdr:row>
                <xdr:rowOff>0</xdr:rowOff>
              </to>
            </anchor>
          </objectPr>
        </oleObject>
      </mc:Choice>
      <mc:Fallback>
        <oleObject progId="MSPhotoEd.3" shapeId="26737" r:id="rId7"/>
      </mc:Fallback>
    </mc:AlternateContent>
    <mc:AlternateContent xmlns:mc="http://schemas.openxmlformats.org/markup-compatibility/2006">
      <mc:Choice Requires="x14">
        <oleObject progId="MSPhotoEd.3" shapeId="26739" r:id="rId8">
          <objectPr defaultSize="0" autoPict="0" r:id="rId6">
            <anchor moveWithCells="1" sizeWithCells="1">
              <from>
                <xdr:col>5</xdr:col>
                <xdr:colOff>400050</xdr:colOff>
                <xdr:row>1</xdr:row>
                <xdr:rowOff>19050</xdr:rowOff>
              </from>
              <to>
                <xdr:col>7</xdr:col>
                <xdr:colOff>38100</xdr:colOff>
                <xdr:row>2</xdr:row>
                <xdr:rowOff>19050</xdr:rowOff>
              </to>
            </anchor>
          </objectPr>
        </oleObject>
      </mc:Choice>
      <mc:Fallback>
        <oleObject progId="MSPhotoEd.3" shapeId="26739" r:id="rId8"/>
      </mc:Fallback>
    </mc:AlternateContent>
    <mc:AlternateContent xmlns:mc="http://schemas.openxmlformats.org/markup-compatibility/2006">
      <mc:Choice Requires="x14">
        <oleObject progId="MSPhotoEd.3" shapeId="26743" r:id="rId9">
          <objectPr defaultSize="0" autoPict="0" r:id="rId6">
            <anchor moveWithCells="1" sizeWithCells="1">
              <from>
                <xdr:col>5</xdr:col>
                <xdr:colOff>704850</xdr:colOff>
                <xdr:row>34</xdr:row>
                <xdr:rowOff>47625</xdr:rowOff>
              </from>
              <to>
                <xdr:col>7</xdr:col>
                <xdr:colOff>295275</xdr:colOff>
                <xdr:row>35</xdr:row>
                <xdr:rowOff>47625</xdr:rowOff>
              </to>
            </anchor>
          </objectPr>
        </oleObject>
      </mc:Choice>
      <mc:Fallback>
        <oleObject progId="MSPhotoEd.3" shapeId="26743" r:id="rId9"/>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dimension ref="A1:AM165"/>
  <sheetViews>
    <sheetView showGridLines="0" showZeros="0" showOutlineSymbols="0" zoomScaleNormal="100" zoomScaleSheetLayoutView="100" workbookViewId="0">
      <selection activeCell="D11" sqref="D11"/>
    </sheetView>
  </sheetViews>
  <sheetFormatPr defaultRowHeight="11.25" x14ac:dyDescent="0.15"/>
  <cols>
    <col min="1" max="1" width="6.28515625" style="37" customWidth="1"/>
    <col min="2" max="2" width="43.28515625" style="43" customWidth="1"/>
    <col min="3" max="7" width="11.7109375" style="187" customWidth="1"/>
    <col min="8" max="9" width="14" style="187" customWidth="1"/>
    <col min="10" max="10" width="14.7109375" style="187" customWidth="1"/>
    <col min="11" max="11" width="9.140625" style="43"/>
    <col min="12" max="12" width="12" style="43" customWidth="1"/>
    <col min="13" max="14" width="9.140625" style="43"/>
    <col min="15" max="15" width="25.42578125" style="607" customWidth="1"/>
    <col min="16" max="17" width="9.140625" style="607"/>
    <col min="18" max="18" width="19.42578125" style="607" bestFit="1" customWidth="1"/>
    <col min="19" max="20" width="9.140625" style="607"/>
    <col min="21" max="16384" width="9.140625" style="43"/>
  </cols>
  <sheetData>
    <row r="1" spans="1:23" ht="15.95" customHeight="1" x14ac:dyDescent="0.15">
      <c r="A1" s="116"/>
      <c r="B1" s="36"/>
      <c r="C1" s="772"/>
      <c r="D1" s="772"/>
      <c r="E1" s="36"/>
      <c r="F1" s="43"/>
      <c r="G1" s="55"/>
      <c r="H1" s="43"/>
      <c r="I1" s="55"/>
      <c r="J1" s="55"/>
      <c r="K1" s="55"/>
      <c r="L1" s="55"/>
    </row>
    <row r="2" spans="1:23" s="40" customFormat="1" ht="15.75" customHeight="1" x14ac:dyDescent="0.2">
      <c r="A2" s="66" t="str">
        <f>inhoud!A2</f>
        <v>Vaststelling Transitiebedrag 2012</v>
      </c>
      <c r="E2" s="69" t="b">
        <f>Voorblad!D27</f>
        <v>1</v>
      </c>
      <c r="J2" s="42">
        <f>instructie!H35+1</f>
        <v>5</v>
      </c>
      <c r="O2" s="608"/>
      <c r="P2" s="608"/>
      <c r="Q2" s="608"/>
      <c r="R2" s="608"/>
      <c r="S2" s="608"/>
      <c r="T2" s="608"/>
    </row>
    <row r="3" spans="1:23" s="48" customFormat="1" ht="7.5" customHeight="1" x14ac:dyDescent="0.2">
      <c r="A3" s="71"/>
      <c r="B3" s="40"/>
      <c r="C3" s="40"/>
      <c r="D3" s="40"/>
      <c r="E3" s="69"/>
      <c r="F3" s="40"/>
      <c r="G3" s="40"/>
      <c r="H3" s="40"/>
      <c r="I3" s="40"/>
      <c r="J3" s="42"/>
      <c r="K3" s="40"/>
      <c r="L3" s="40"/>
      <c r="O3" s="608"/>
      <c r="P3" s="608"/>
      <c r="Q3" s="608"/>
      <c r="R3" s="608"/>
      <c r="S3" s="608"/>
      <c r="T3" s="608"/>
      <c r="U3" s="40"/>
      <c r="V3" s="40"/>
      <c r="W3" s="40"/>
    </row>
    <row r="4" spans="1:23" x14ac:dyDescent="0.15">
      <c r="A4" s="186" t="s">
        <v>572</v>
      </c>
      <c r="B4" s="59"/>
      <c r="D4" s="768"/>
      <c r="E4" s="768"/>
      <c r="F4" s="768"/>
      <c r="G4" s="43"/>
      <c r="H4" s="43"/>
      <c r="I4" s="43"/>
      <c r="J4" s="43"/>
      <c r="K4" s="55"/>
      <c r="L4" s="55"/>
      <c r="O4" s="609"/>
      <c r="P4" s="609"/>
      <c r="Q4" s="609"/>
      <c r="R4" s="609"/>
      <c r="S4" s="609"/>
      <c r="T4" s="609"/>
      <c r="U4" s="601"/>
      <c r="V4" s="601"/>
      <c r="W4" s="601"/>
    </row>
    <row r="5" spans="1:23" ht="12.75" x14ac:dyDescent="0.2">
      <c r="A5" s="1317" t="str">
        <f>IF(Voorblad!$F$10&lt;1,"Vul het NZa-nummer in op het voorblad","")</f>
        <v>Vul het NZa-nummer in op het voorblad</v>
      </c>
      <c r="B5" s="1318"/>
      <c r="C5" s="59"/>
      <c r="D5" s="43"/>
      <c r="E5" s="43"/>
      <c r="F5" s="43"/>
      <c r="G5" s="43"/>
      <c r="H5" s="43"/>
      <c r="I5" s="43"/>
      <c r="J5" s="43"/>
      <c r="K5" s="55"/>
      <c r="L5" s="55"/>
      <c r="O5" s="609"/>
      <c r="P5" s="609"/>
      <c r="Q5" s="609"/>
      <c r="R5" s="609"/>
      <c r="S5" s="609"/>
      <c r="T5" s="609"/>
      <c r="U5" s="601"/>
      <c r="V5" s="601"/>
      <c r="W5" s="601"/>
    </row>
    <row r="6" spans="1:23" x14ac:dyDescent="0.15">
      <c r="B6" s="59"/>
      <c r="E6" s="202"/>
      <c r="O6" s="609"/>
      <c r="P6" s="609" t="s">
        <v>884</v>
      </c>
      <c r="Q6" s="609"/>
      <c r="R6" s="609"/>
      <c r="S6" s="609"/>
      <c r="T6" s="609"/>
      <c r="U6" s="601"/>
      <c r="V6" s="601"/>
      <c r="W6" s="601"/>
    </row>
    <row r="7" spans="1:23" x14ac:dyDescent="0.15">
      <c r="A7" s="702" t="s">
        <v>748</v>
      </c>
      <c r="B7" s="702" t="str">
        <f>CONCATENATE("Productieaantallen en realisatie ",Voorblad!K4,"")</f>
        <v>Productieaantallen en realisatie 2012</v>
      </c>
      <c r="C7" s="189" t="s">
        <v>575</v>
      </c>
      <c r="D7" s="189" t="s">
        <v>732</v>
      </c>
      <c r="E7" s="1303" t="s">
        <v>574</v>
      </c>
      <c r="F7" s="1306" t="s">
        <v>573</v>
      </c>
      <c r="G7" s="1307"/>
      <c r="H7" s="1308" t="s">
        <v>593</v>
      </c>
      <c r="I7" s="1309"/>
      <c r="J7" s="189" t="s">
        <v>768</v>
      </c>
      <c r="O7" s="609"/>
      <c r="P7" s="610" t="str">
        <f>"ultimo "&amp;Voorblad!K4</f>
        <v>ultimo 2012</v>
      </c>
      <c r="Q7" s="609"/>
      <c r="R7" s="609"/>
      <c r="S7" s="609"/>
      <c r="T7" s="609"/>
      <c r="U7" s="601"/>
      <c r="V7" s="601"/>
      <c r="W7" s="601"/>
    </row>
    <row r="8" spans="1:23" x14ac:dyDescent="0.15">
      <c r="A8" s="702"/>
      <c r="B8" s="702"/>
      <c r="C8" s="713"/>
      <c r="D8" s="289"/>
      <c r="E8" s="1304"/>
      <c r="F8" s="708"/>
      <c r="G8" s="707"/>
      <c r="H8" s="709"/>
      <c r="I8" s="288"/>
      <c r="J8" s="713"/>
      <c r="O8" s="609"/>
      <c r="P8" s="610"/>
      <c r="Q8" s="609"/>
      <c r="R8" s="609"/>
      <c r="S8" s="609"/>
      <c r="T8" s="609"/>
      <c r="U8" s="601"/>
      <c r="V8" s="601"/>
      <c r="W8" s="601"/>
    </row>
    <row r="9" spans="1:23" ht="12.75" customHeight="1" x14ac:dyDescent="0.15">
      <c r="C9" s="190">
        <f>Voorblad!K4</f>
        <v>2012</v>
      </c>
      <c r="D9" s="190">
        <f>C9</f>
        <v>2012</v>
      </c>
      <c r="E9" s="1305"/>
      <c r="F9" s="188" t="s">
        <v>889</v>
      </c>
      <c r="G9" s="188" t="s">
        <v>890</v>
      </c>
      <c r="H9" s="198" t="s">
        <v>889</v>
      </c>
      <c r="I9" s="198" t="s">
        <v>890</v>
      </c>
      <c r="J9" s="190" t="str">
        <f>CONCATENATE("FB ",Voorblad!K4)</f>
        <v>FB 2012</v>
      </c>
      <c r="O9" s="609" t="s">
        <v>885</v>
      </c>
      <c r="P9" s="611" t="s">
        <v>886</v>
      </c>
      <c r="Q9" s="611" t="s">
        <v>887</v>
      </c>
      <c r="U9" s="601"/>
      <c r="V9" s="601"/>
      <c r="W9" s="601"/>
    </row>
    <row r="10" spans="1:23" ht="10.5" customHeight="1" x14ac:dyDescent="0.15">
      <c r="B10" s="55"/>
      <c r="C10" s="203"/>
      <c r="D10" s="203"/>
      <c r="E10" s="203"/>
      <c r="F10" s="203"/>
      <c r="G10" s="203"/>
      <c r="H10" s="203"/>
      <c r="I10" s="203"/>
      <c r="J10" s="203"/>
      <c r="O10" s="609" t="s">
        <v>888</v>
      </c>
      <c r="P10" s="612">
        <f>beleidsregelwaarden!F42</f>
        <v>484.85</v>
      </c>
      <c r="Q10" s="612">
        <f>beleidsregelwaarden!G42</f>
        <v>536.92999999999995</v>
      </c>
      <c r="R10" s="613" t="str">
        <f>beleidsregelwaarden!A9</f>
        <v>Prijsindexcijfer 2012</v>
      </c>
      <c r="S10" s="609">
        <f>beleidsregelwaarden!B9</f>
        <v>1.0295000000000001</v>
      </c>
      <c r="T10" s="609">
        <f>beleidsregelwaarden!C9</f>
        <v>1.0241</v>
      </c>
      <c r="U10" s="601"/>
      <c r="V10" s="601"/>
      <c r="W10" s="601"/>
    </row>
    <row r="11" spans="1:23" x14ac:dyDescent="0.15">
      <c r="A11" s="667" t="str">
        <f>"Gewogen. spec.eenheden volgens laatste rekenstaat "&amp;Voorblad!K4</f>
        <v>Gewogen. spec.eenheden volgens laatste rekenstaat 2012</v>
      </c>
      <c r="C11" s="203"/>
      <c r="D11" s="710"/>
      <c r="O11" s="609" t="s">
        <v>891</v>
      </c>
      <c r="P11" s="612">
        <f>beleidsregelwaarden!F43</f>
        <v>503.54</v>
      </c>
      <c r="Q11" s="612">
        <f>beleidsregelwaarden!G43</f>
        <v>590.84</v>
      </c>
      <c r="S11" s="614"/>
      <c r="T11" s="614"/>
      <c r="U11" s="601"/>
      <c r="V11" s="601"/>
      <c r="W11" s="601"/>
    </row>
    <row r="12" spans="1:23" x14ac:dyDescent="0.15">
      <c r="L12" s="32"/>
      <c r="M12" s="55"/>
      <c r="N12" s="55"/>
      <c r="O12" s="609" t="s">
        <v>892</v>
      </c>
      <c r="P12" s="612">
        <f>beleidsregelwaarden!F44</f>
        <v>45.39</v>
      </c>
      <c r="Q12" s="612">
        <f>beleidsregelwaarden!G44</f>
        <v>9.7899999999999991</v>
      </c>
      <c r="R12" s="609"/>
      <c r="S12" s="609"/>
      <c r="T12" s="609"/>
      <c r="U12" s="601"/>
      <c r="V12" s="601"/>
      <c r="W12" s="601"/>
    </row>
    <row r="13" spans="1:23" x14ac:dyDescent="0.15">
      <c r="A13" s="256">
        <f>J2*100+1</f>
        <v>501</v>
      </c>
      <c r="B13" s="254" t="s">
        <v>222</v>
      </c>
      <c r="C13" s="715">
        <f>'1.5 opnamen, epb, extra opl.'!F37</f>
        <v>0</v>
      </c>
      <c r="D13" s="715">
        <f>'1.5 opnamen, epb, extra opl.'!G37</f>
        <v>0</v>
      </c>
      <c r="E13" s="715">
        <f t="shared" ref="E13:E17" si="0">C13-D13</f>
        <v>0</v>
      </c>
      <c r="F13" s="716">
        <f>IF(D11=0,0,ROUND(IF($D$11&lt;62.5,P10,IF($D$11&gt;=88,P11,P10+($D$11-62.5)/25.5*(P11-P10))),2))</f>
        <v>0</v>
      </c>
      <c r="G13" s="287">
        <f>IF(D11=0,0,ROUND(IF($D$11&lt;62.5,Q10,IF($D$11&gt;=88,Q11,Q10+($D$11-62.5)/25.5*(Q11-Q10))),2))</f>
        <v>0</v>
      </c>
      <c r="H13" s="252">
        <f>ROUND($E13*(F13*$S$10),2)</f>
        <v>0</v>
      </c>
      <c r="I13" s="252">
        <f>ROUND($E13*(G13*$T$10),2)</f>
        <v>0</v>
      </c>
      <c r="J13" s="252">
        <f>ROUND(C13*ROUND(F13*S$10,2),0)+ROUND(C13*ROUND(G13*T$10,2),0)</f>
        <v>0</v>
      </c>
      <c r="O13" s="609" t="s">
        <v>893</v>
      </c>
      <c r="P13" s="612">
        <f>beleidsregelwaarden!F45</f>
        <v>46.86</v>
      </c>
      <c r="Q13" s="612">
        <f>beleidsregelwaarden!G45</f>
        <v>10.029999999999999</v>
      </c>
      <c r="R13" s="609"/>
      <c r="S13" s="609"/>
      <c r="T13" s="609"/>
      <c r="U13" s="601"/>
      <c r="V13" s="601"/>
      <c r="W13" s="601"/>
    </row>
    <row r="14" spans="1:23" x14ac:dyDescent="0.15">
      <c r="A14" s="256">
        <f t="shared" ref="A14:A23" si="1">A13+1</f>
        <v>502</v>
      </c>
      <c r="B14" s="254" t="s">
        <v>272</v>
      </c>
      <c r="C14" s="710"/>
      <c r="D14" s="710"/>
      <c r="E14" s="251">
        <f t="shared" si="0"/>
        <v>0</v>
      </c>
      <c r="F14" s="287">
        <f>IF(D11=0,0,ROUND(IF($D$11&lt;62.5,P12,IF($D$11&gt;=88,P13,P12+($D$11-62.5)/25.5*(P13-P12))),2))</f>
        <v>0</v>
      </c>
      <c r="G14" s="287">
        <f>IF(D11=0,0,ROUND(IF($D$11&lt;62.5,Q12,IF($D$11&gt;=88,Q13,Q12+($D$11-62.5)/25.5*(Q13-Q12))),2))</f>
        <v>0</v>
      </c>
      <c r="H14" s="252">
        <f t="shared" ref="H14:H47" si="2">ROUND($E14*(F14*$S$10),2)</f>
        <v>0</v>
      </c>
      <c r="I14" s="252">
        <f t="shared" ref="I14:I47" si="3">ROUND($E14*(G14*$T$10),2)</f>
        <v>0</v>
      </c>
      <c r="J14" s="252">
        <f t="shared" ref="J14:J17" si="4">ROUND(C14*ROUND(F14*S$10,2),0)+ROUND(C14*ROUND(G14*T$10,2),0)</f>
        <v>0</v>
      </c>
      <c r="O14" s="609" t="s">
        <v>894</v>
      </c>
      <c r="P14" s="612">
        <f>beleidsregelwaarden!F46</f>
        <v>89.89</v>
      </c>
      <c r="Q14" s="612">
        <f>beleidsregelwaarden!G46</f>
        <v>42.07</v>
      </c>
      <c r="R14" s="609"/>
      <c r="S14" s="609"/>
      <c r="T14" s="609"/>
      <c r="U14" s="601"/>
      <c r="V14" s="601"/>
      <c r="W14" s="601"/>
    </row>
    <row r="15" spans="1:23" x14ac:dyDescent="0.15">
      <c r="A15" s="256">
        <f t="shared" si="1"/>
        <v>503</v>
      </c>
      <c r="B15" s="254" t="s">
        <v>223</v>
      </c>
      <c r="C15" s="251">
        <f>'1.5 opnamen, epb, extra opl.'!J37</f>
        <v>0</v>
      </c>
      <c r="D15" s="251">
        <f>'1.5 opnamen, epb, extra opl.'!K37</f>
        <v>0</v>
      </c>
      <c r="E15" s="251">
        <f t="shared" si="0"/>
        <v>0</v>
      </c>
      <c r="F15" s="253">
        <f>IF(D11=0,0,ROUND(IF($D$11&lt;62.5,P14,IF($D$11&gt;=88,P15,P14+($D$11-62.5)/25.5*(P15-P14))),2))</f>
        <v>0</v>
      </c>
      <c r="G15" s="253">
        <f>IF(D11=0,0,ROUND(IF($D$11&lt;62.5,Q14,IF($D$11&gt;=88,Q15,Q14+($D$11-62.5)/25.5*(Q15-Q14))),2))</f>
        <v>0</v>
      </c>
      <c r="H15" s="252">
        <f t="shared" si="2"/>
        <v>0</v>
      </c>
      <c r="I15" s="252">
        <f t="shared" si="3"/>
        <v>0</v>
      </c>
      <c r="J15" s="252">
        <f t="shared" si="4"/>
        <v>0</v>
      </c>
      <c r="O15" s="609" t="s">
        <v>895</v>
      </c>
      <c r="P15" s="612">
        <f>beleidsregelwaarden!F47</f>
        <v>93.59</v>
      </c>
      <c r="Q15" s="612">
        <f>beleidsregelwaarden!G47</f>
        <v>46.14</v>
      </c>
      <c r="R15" s="609"/>
      <c r="S15" s="609"/>
      <c r="T15" s="609"/>
      <c r="U15" s="601"/>
      <c r="V15" s="601"/>
      <c r="W15" s="601"/>
    </row>
    <row r="16" spans="1:23" ht="12.6" customHeight="1" x14ac:dyDescent="0.15">
      <c r="A16" s="256">
        <f t="shared" si="1"/>
        <v>504</v>
      </c>
      <c r="B16" s="254" t="s">
        <v>224</v>
      </c>
      <c r="C16" s="251">
        <f>'1.5 opnamen, epb, extra opl.'!D72</f>
        <v>0</v>
      </c>
      <c r="D16" s="251">
        <f>'1.5 opnamen, epb, extra opl.'!F72</f>
        <v>0</v>
      </c>
      <c r="E16" s="251">
        <f t="shared" si="0"/>
        <v>0</v>
      </c>
      <c r="F16" s="253">
        <f>IF(D11=0,0,ROUND(IF($D$11&lt;62.5,P16,IF($D$11&gt;=88,P17,P16+($D$11-62.5)/25.5*(P17-P16))),2))</f>
        <v>0</v>
      </c>
      <c r="G16" s="253">
        <f>IF(D11=0,0,ROUND(IF($D$11&lt;62.5,Q16,IF($D$11&gt;=88,Q17,Q16+($D$11-62.5)/25.5*(Q17-Q16))),2))</f>
        <v>0</v>
      </c>
      <c r="H16" s="252">
        <f t="shared" si="2"/>
        <v>0</v>
      </c>
      <c r="I16" s="252">
        <f t="shared" si="3"/>
        <v>0</v>
      </c>
      <c r="J16" s="252">
        <f t="shared" si="4"/>
        <v>0</v>
      </c>
      <c r="O16" s="609" t="s">
        <v>896</v>
      </c>
      <c r="P16" s="612">
        <f>beleidsregelwaarden!F48</f>
        <v>253</v>
      </c>
      <c r="Q16" s="612">
        <f>beleidsregelwaarden!G48</f>
        <v>115.58</v>
      </c>
      <c r="R16" s="609"/>
      <c r="S16" s="609"/>
      <c r="T16" s="609"/>
      <c r="U16" s="601"/>
      <c r="V16" s="601"/>
      <c r="W16" s="601"/>
    </row>
    <row r="17" spans="1:39" ht="12.6" customHeight="1" x14ac:dyDescent="0.15">
      <c r="A17" s="256">
        <f t="shared" si="1"/>
        <v>505</v>
      </c>
      <c r="B17" s="254" t="s">
        <v>225</v>
      </c>
      <c r="C17" s="251">
        <f>'1.5 opnamen, epb, extra opl.'!H72</f>
        <v>0</v>
      </c>
      <c r="D17" s="251">
        <f>'1.5 opnamen, epb, extra opl.'!J72</f>
        <v>0</v>
      </c>
      <c r="E17" s="251">
        <f t="shared" si="0"/>
        <v>0</v>
      </c>
      <c r="F17" s="253">
        <f>IF(D11=0,0,ROUND(IF($D$11&lt;62.5,P18,IF($D$11&gt;=88,P19,P18+($D$11-62.5)/25.5*(P19-P18))),2))</f>
        <v>0</v>
      </c>
      <c r="G17" s="253">
        <f>IF(D11=0,0,ROUND(IF($D$11&lt;62.5,Q18,IF($D$11&gt;=88,Q19,Q18+($D$11-62.5)/25.5*(Q19-Q18))),2))</f>
        <v>0</v>
      </c>
      <c r="H17" s="252">
        <f t="shared" si="2"/>
        <v>0</v>
      </c>
      <c r="I17" s="252">
        <f t="shared" si="3"/>
        <v>0</v>
      </c>
      <c r="J17" s="252">
        <f t="shared" si="4"/>
        <v>0</v>
      </c>
      <c r="O17" s="609" t="s">
        <v>897</v>
      </c>
      <c r="P17" s="612">
        <f>beleidsregelwaarden!F49</f>
        <v>257.89</v>
      </c>
      <c r="Q17" s="612">
        <f>beleidsregelwaarden!G49</f>
        <v>122.22</v>
      </c>
      <c r="R17" s="609"/>
      <c r="S17" s="609"/>
      <c r="T17" s="609"/>
      <c r="U17" s="601"/>
      <c r="V17" s="601"/>
      <c r="W17" s="601"/>
    </row>
    <row r="18" spans="1:39" ht="12.6" customHeight="1" x14ac:dyDescent="0.15">
      <c r="A18" s="256">
        <f t="shared" si="1"/>
        <v>506</v>
      </c>
      <c r="B18" s="254" t="s">
        <v>653</v>
      </c>
      <c r="C18" s="710"/>
      <c r="D18" s="710"/>
      <c r="E18" s="251">
        <f t="shared" ref="E18:E47" si="5">C18-D18</f>
        <v>0</v>
      </c>
      <c r="F18" s="254">
        <f>beleidsregelwaarden!B74</f>
        <v>0</v>
      </c>
      <c r="G18" s="254">
        <f>beleidsregelwaarden!C74</f>
        <v>5337.84</v>
      </c>
      <c r="H18" s="252">
        <f t="shared" si="2"/>
        <v>0</v>
      </c>
      <c r="I18" s="252">
        <f t="shared" si="3"/>
        <v>0</v>
      </c>
      <c r="J18" s="252">
        <f t="shared" ref="J18:J47" si="6">ROUND(C18*ROUND(F18*S$10,2),0)+ROUND(C18*ROUND(G18*T$10,2),0)</f>
        <v>0</v>
      </c>
      <c r="O18" s="609" t="s">
        <v>898</v>
      </c>
      <c r="P18" s="612">
        <f>beleidsregelwaarden!F50</f>
        <v>575.59</v>
      </c>
      <c r="Q18" s="612">
        <f>beleidsregelwaarden!G50</f>
        <v>556.48</v>
      </c>
      <c r="R18" s="609"/>
      <c r="S18" s="609"/>
      <c r="T18" s="609"/>
      <c r="U18" s="601"/>
      <c r="V18" s="601"/>
      <c r="W18" s="601"/>
    </row>
    <row r="19" spans="1:39" ht="12.6" customHeight="1" x14ac:dyDescent="0.15">
      <c r="A19" s="256">
        <f t="shared" si="1"/>
        <v>507</v>
      </c>
      <c r="B19" s="254" t="s">
        <v>654</v>
      </c>
      <c r="C19" s="710"/>
      <c r="D19" s="710"/>
      <c r="E19" s="251">
        <f t="shared" si="5"/>
        <v>0</v>
      </c>
      <c r="F19" s="254">
        <f>beleidsregelwaarden!B75</f>
        <v>0</v>
      </c>
      <c r="G19" s="254">
        <f>beleidsregelwaarden!C75</f>
        <v>3296.32</v>
      </c>
      <c r="H19" s="252">
        <f t="shared" si="2"/>
        <v>0</v>
      </c>
      <c r="I19" s="252">
        <f t="shared" si="3"/>
        <v>0</v>
      </c>
      <c r="J19" s="252">
        <f t="shared" si="6"/>
        <v>0</v>
      </c>
      <c r="O19" s="614" t="s">
        <v>901</v>
      </c>
      <c r="P19" s="612">
        <f>beleidsregelwaarden!F51</f>
        <v>597.28</v>
      </c>
      <c r="Q19" s="612">
        <f>beleidsregelwaarden!G51</f>
        <v>610.88</v>
      </c>
      <c r="R19" s="609"/>
      <c r="S19" s="609"/>
      <c r="T19" s="609"/>
      <c r="U19" s="601"/>
      <c r="V19" s="601"/>
      <c r="W19" s="601"/>
    </row>
    <row r="20" spans="1:39" ht="12.6" customHeight="1" x14ac:dyDescent="0.15">
      <c r="A20" s="256">
        <f t="shared" si="1"/>
        <v>508</v>
      </c>
      <c r="B20" s="254" t="s">
        <v>299</v>
      </c>
      <c r="C20" s="710"/>
      <c r="D20" s="710"/>
      <c r="E20" s="251">
        <f t="shared" si="5"/>
        <v>0</v>
      </c>
      <c r="F20" s="254">
        <f>beleidsregelwaarden!B76</f>
        <v>18659.169999999998</v>
      </c>
      <c r="G20" s="254">
        <f>beleidsregelwaarden!C76</f>
        <v>7071.72</v>
      </c>
      <c r="H20" s="252">
        <f t="shared" si="2"/>
        <v>0</v>
      </c>
      <c r="I20" s="252">
        <f t="shared" si="3"/>
        <v>0</v>
      </c>
      <c r="J20" s="252">
        <f t="shared" si="6"/>
        <v>0</v>
      </c>
      <c r="O20" s="614"/>
      <c r="P20" s="615"/>
      <c r="Q20" s="615"/>
      <c r="R20" s="609"/>
      <c r="S20" s="609"/>
      <c r="T20" s="609"/>
      <c r="U20" s="601"/>
      <c r="V20" s="601"/>
      <c r="W20" s="601"/>
    </row>
    <row r="21" spans="1:39" ht="12.6" customHeight="1" x14ac:dyDescent="0.15">
      <c r="A21" s="256">
        <f t="shared" si="1"/>
        <v>509</v>
      </c>
      <c r="B21" s="254" t="s">
        <v>576</v>
      </c>
      <c r="C21" s="710"/>
      <c r="D21" s="710"/>
      <c r="E21" s="251">
        <f t="shared" si="5"/>
        <v>0</v>
      </c>
      <c r="F21" s="254">
        <f>beleidsregelwaarden!F24</f>
        <v>205.16</v>
      </c>
      <c r="G21" s="254">
        <f>beleidsregelwaarden!G24</f>
        <v>151.68</v>
      </c>
      <c r="H21" s="252">
        <f>ROUND($E21*(F21*$S$10),2)</f>
        <v>0</v>
      </c>
      <c r="I21" s="252">
        <f t="shared" si="3"/>
        <v>0</v>
      </c>
      <c r="J21" s="252">
        <f t="shared" si="6"/>
        <v>0</v>
      </c>
      <c r="O21" s="609" t="s">
        <v>902</v>
      </c>
      <c r="P21" s="612">
        <f>beleidsregelwaarden!F53</f>
        <v>253</v>
      </c>
      <c r="Q21" s="612">
        <f>beleidsregelwaarden!G53</f>
        <v>115.58</v>
      </c>
      <c r="R21" s="614"/>
      <c r="S21" s="614"/>
      <c r="T21" s="614"/>
      <c r="U21" s="602"/>
      <c r="V21" s="602"/>
      <c r="W21" s="602"/>
      <c r="X21" s="123"/>
      <c r="Y21" s="123"/>
      <c r="Z21" s="123"/>
      <c r="AA21" s="123"/>
      <c r="AB21" s="123"/>
      <c r="AC21" s="123"/>
      <c r="AD21" s="123"/>
      <c r="AE21" s="123"/>
      <c r="AF21" s="123"/>
      <c r="AG21" s="123"/>
      <c r="AH21" s="123"/>
      <c r="AI21" s="123"/>
      <c r="AJ21" s="123"/>
      <c r="AK21" s="123"/>
      <c r="AL21" s="123"/>
      <c r="AM21" s="123"/>
    </row>
    <row r="22" spans="1:39" ht="12.6" customHeight="1" x14ac:dyDescent="0.15">
      <c r="A22" s="256">
        <f t="shared" si="1"/>
        <v>510</v>
      </c>
      <c r="B22" s="254" t="s">
        <v>908</v>
      </c>
      <c r="C22" s="710"/>
      <c r="D22" s="710"/>
      <c r="E22" s="251">
        <f t="shared" si="5"/>
        <v>0</v>
      </c>
      <c r="F22" s="254">
        <f>beleidsregelwaarden!F25</f>
        <v>20.96</v>
      </c>
      <c r="G22" s="254">
        <f>beleidsregelwaarden!G25</f>
        <v>88.72</v>
      </c>
      <c r="H22" s="252">
        <f t="shared" si="2"/>
        <v>0</v>
      </c>
      <c r="I22" s="252">
        <f t="shared" si="3"/>
        <v>0</v>
      </c>
      <c r="J22" s="252">
        <f t="shared" si="6"/>
        <v>0</v>
      </c>
      <c r="O22" s="609" t="s">
        <v>903</v>
      </c>
      <c r="P22" s="612">
        <f>beleidsregelwaarden!F54</f>
        <v>257.89</v>
      </c>
      <c r="Q22" s="612">
        <f>beleidsregelwaarden!G54</f>
        <v>122.22</v>
      </c>
      <c r="R22" s="609"/>
      <c r="S22" s="609"/>
      <c r="T22" s="609"/>
      <c r="U22" s="601"/>
      <c r="V22" s="601"/>
      <c r="W22" s="601"/>
    </row>
    <row r="23" spans="1:39" ht="12.6" customHeight="1" x14ac:dyDescent="0.15">
      <c r="A23" s="256">
        <f t="shared" si="1"/>
        <v>511</v>
      </c>
      <c r="B23" s="254" t="s">
        <v>577</v>
      </c>
      <c r="C23" s="710"/>
      <c r="D23" s="710"/>
      <c r="E23" s="251">
        <f t="shared" si="5"/>
        <v>0</v>
      </c>
      <c r="F23" s="254">
        <f>beleidsregelwaarden!F26</f>
        <v>205.16</v>
      </c>
      <c r="G23" s="254">
        <f>beleidsregelwaarden!G26</f>
        <v>218.29</v>
      </c>
      <c r="H23" s="252">
        <f t="shared" si="2"/>
        <v>0</v>
      </c>
      <c r="I23" s="252">
        <f t="shared" si="3"/>
        <v>0</v>
      </c>
      <c r="J23" s="252">
        <f t="shared" si="6"/>
        <v>0</v>
      </c>
      <c r="O23" s="609" t="s">
        <v>904</v>
      </c>
      <c r="P23" s="612">
        <f>beleidsregelwaarden!F56</f>
        <v>253</v>
      </c>
      <c r="Q23" s="612">
        <f>beleidsregelwaarden!G56</f>
        <v>115.58</v>
      </c>
      <c r="R23" s="609"/>
      <c r="S23" s="609"/>
      <c r="T23" s="609"/>
      <c r="U23" s="601"/>
      <c r="V23" s="601"/>
      <c r="W23" s="601"/>
    </row>
    <row r="24" spans="1:39" ht="12.6" customHeight="1" x14ac:dyDescent="0.15">
      <c r="A24" s="256">
        <f t="shared" ref="A24:A33" si="7">A23+1</f>
        <v>512</v>
      </c>
      <c r="B24" s="254" t="s">
        <v>909</v>
      </c>
      <c r="C24" s="710"/>
      <c r="D24" s="710"/>
      <c r="E24" s="251">
        <f t="shared" si="5"/>
        <v>0</v>
      </c>
      <c r="F24" s="254">
        <f>beleidsregelwaarden!F27</f>
        <v>20.96</v>
      </c>
      <c r="G24" s="254">
        <f>beleidsregelwaarden!G27</f>
        <v>111.41</v>
      </c>
      <c r="H24" s="252">
        <f t="shared" si="2"/>
        <v>0</v>
      </c>
      <c r="I24" s="252">
        <f t="shared" si="3"/>
        <v>0</v>
      </c>
      <c r="J24" s="252">
        <f t="shared" si="6"/>
        <v>0</v>
      </c>
      <c r="O24" s="609" t="s">
        <v>905</v>
      </c>
      <c r="P24" s="612">
        <f>beleidsregelwaarden!F57</f>
        <v>257.89</v>
      </c>
      <c r="Q24" s="612">
        <f>beleidsregelwaarden!G57</f>
        <v>122.22</v>
      </c>
      <c r="R24" s="609"/>
      <c r="S24" s="609"/>
      <c r="T24" s="609"/>
      <c r="U24" s="601"/>
      <c r="V24" s="601"/>
      <c r="W24" s="601"/>
    </row>
    <row r="25" spans="1:39" ht="12.6" customHeight="1" x14ac:dyDescent="0.15">
      <c r="A25" s="256">
        <f t="shared" si="7"/>
        <v>513</v>
      </c>
      <c r="B25" s="254" t="s">
        <v>578</v>
      </c>
      <c r="C25" s="710"/>
      <c r="D25" s="710"/>
      <c r="E25" s="251">
        <f t="shared" si="5"/>
        <v>0</v>
      </c>
      <c r="F25" s="254">
        <f>beleidsregelwaarden!F28</f>
        <v>124.84</v>
      </c>
      <c r="G25" s="254">
        <f>beleidsregelwaarden!G28</f>
        <v>123.32</v>
      </c>
      <c r="H25" s="252">
        <f t="shared" si="2"/>
        <v>0</v>
      </c>
      <c r="I25" s="252">
        <f t="shared" si="3"/>
        <v>0</v>
      </c>
      <c r="J25" s="252">
        <f t="shared" si="6"/>
        <v>0</v>
      </c>
      <c r="O25" s="609" t="s">
        <v>906</v>
      </c>
      <c r="P25" s="612">
        <f>beleidsregelwaarden!F60</f>
        <v>4.3899999999999997</v>
      </c>
      <c r="Q25" s="612">
        <f>beleidsregelwaarden!G60</f>
        <v>1.52</v>
      </c>
      <c r="R25" s="609"/>
      <c r="S25" s="609"/>
      <c r="T25" s="609"/>
      <c r="U25" s="601"/>
      <c r="V25" s="601"/>
      <c r="W25" s="601"/>
    </row>
    <row r="26" spans="1:39" ht="12.6" customHeight="1" x14ac:dyDescent="0.15">
      <c r="A26" s="256">
        <f t="shared" si="7"/>
        <v>514</v>
      </c>
      <c r="B26" s="254" t="s">
        <v>579</v>
      </c>
      <c r="C26" s="710"/>
      <c r="D26" s="710"/>
      <c r="E26" s="251">
        <f t="shared" si="5"/>
        <v>0</v>
      </c>
      <c r="F26" s="254">
        <f>beleidsregelwaarden!F29</f>
        <v>124.84</v>
      </c>
      <c r="G26" s="254">
        <f>beleidsregelwaarden!G29</f>
        <v>191.37</v>
      </c>
      <c r="H26" s="252">
        <f t="shared" si="2"/>
        <v>0</v>
      </c>
      <c r="I26" s="252">
        <f t="shared" si="3"/>
        <v>0</v>
      </c>
      <c r="J26" s="252">
        <f t="shared" si="6"/>
        <v>0</v>
      </c>
      <c r="O26" s="609" t="s">
        <v>907</v>
      </c>
      <c r="P26" s="612">
        <f>beleidsregelwaarden!F61</f>
        <v>10.9</v>
      </c>
      <c r="Q26" s="612">
        <f>beleidsregelwaarden!G61</f>
        <v>3.76</v>
      </c>
      <c r="R26" s="609"/>
      <c r="S26" s="609"/>
      <c r="T26" s="609"/>
      <c r="U26" s="601"/>
      <c r="V26" s="601"/>
      <c r="W26" s="601"/>
    </row>
    <row r="27" spans="1:39" ht="12.6" customHeight="1" x14ac:dyDescent="0.15">
      <c r="A27" s="256">
        <f t="shared" si="7"/>
        <v>515</v>
      </c>
      <c r="B27" s="254" t="s">
        <v>580</v>
      </c>
      <c r="C27" s="710"/>
      <c r="D27" s="710"/>
      <c r="E27" s="251">
        <f t="shared" si="5"/>
        <v>0</v>
      </c>
      <c r="F27" s="254">
        <f>beleidsregelwaarden!F30</f>
        <v>292.72000000000003</v>
      </c>
      <c r="G27" s="254">
        <f>beleidsregelwaarden!G30</f>
        <v>123.32</v>
      </c>
      <c r="H27" s="252">
        <f t="shared" si="2"/>
        <v>0</v>
      </c>
      <c r="I27" s="252">
        <f t="shared" si="3"/>
        <v>0</v>
      </c>
      <c r="J27" s="252">
        <f t="shared" si="6"/>
        <v>0</v>
      </c>
      <c r="O27" s="609"/>
      <c r="P27" s="609"/>
      <c r="Q27" s="609"/>
      <c r="R27" s="609"/>
      <c r="S27" s="609"/>
      <c r="T27" s="609"/>
      <c r="U27" s="601"/>
      <c r="V27" s="601"/>
      <c r="W27" s="601"/>
    </row>
    <row r="28" spans="1:39" ht="12.6" customHeight="1" x14ac:dyDescent="0.15">
      <c r="A28" s="256">
        <f t="shared" si="7"/>
        <v>516</v>
      </c>
      <c r="B28" s="254" t="s">
        <v>581</v>
      </c>
      <c r="C28" s="710"/>
      <c r="D28" s="710"/>
      <c r="E28" s="251">
        <f t="shared" si="5"/>
        <v>0</v>
      </c>
      <c r="F28" s="254">
        <f>beleidsregelwaarden!F31</f>
        <v>292.72000000000003</v>
      </c>
      <c r="G28" s="254">
        <f>beleidsregelwaarden!G31</f>
        <v>191.37</v>
      </c>
      <c r="H28" s="252">
        <f t="shared" si="2"/>
        <v>0</v>
      </c>
      <c r="I28" s="252">
        <f t="shared" si="3"/>
        <v>0</v>
      </c>
      <c r="J28" s="252">
        <f t="shared" si="6"/>
        <v>0</v>
      </c>
      <c r="O28" s="609"/>
      <c r="P28" s="609"/>
      <c r="Q28" s="609"/>
      <c r="R28" s="609"/>
      <c r="S28" s="609"/>
      <c r="T28" s="609"/>
      <c r="U28" s="601"/>
      <c r="V28" s="601"/>
      <c r="W28" s="601"/>
    </row>
    <row r="29" spans="1:39" ht="12.6" customHeight="1" x14ac:dyDescent="0.15">
      <c r="A29" s="256">
        <f t="shared" si="7"/>
        <v>517</v>
      </c>
      <c r="B29" s="254" t="s">
        <v>910</v>
      </c>
      <c r="C29" s="710"/>
      <c r="D29" s="710"/>
      <c r="E29" s="251">
        <f t="shared" si="5"/>
        <v>0</v>
      </c>
      <c r="F29" s="254">
        <f>beleidsregelwaarden!F32</f>
        <v>20.96</v>
      </c>
      <c r="G29" s="254">
        <f>beleidsregelwaarden!G32</f>
        <v>99.56</v>
      </c>
      <c r="H29" s="252">
        <f t="shared" si="2"/>
        <v>0</v>
      </c>
      <c r="I29" s="252">
        <f t="shared" si="3"/>
        <v>0</v>
      </c>
      <c r="J29" s="252">
        <f t="shared" si="6"/>
        <v>0</v>
      </c>
      <c r="O29" s="609"/>
      <c r="P29" s="609"/>
      <c r="Q29" s="609"/>
      <c r="R29" s="609"/>
      <c r="S29" s="609"/>
      <c r="T29" s="609"/>
      <c r="U29" s="55"/>
      <c r="V29" s="55"/>
      <c r="W29" s="55"/>
    </row>
    <row r="30" spans="1:39" ht="12.6" customHeight="1" x14ac:dyDescent="0.15">
      <c r="A30" s="256">
        <f t="shared" si="7"/>
        <v>518</v>
      </c>
      <c r="B30" s="254" t="s">
        <v>911</v>
      </c>
      <c r="C30" s="710"/>
      <c r="D30" s="710"/>
      <c r="E30" s="251">
        <f t="shared" si="5"/>
        <v>0</v>
      </c>
      <c r="F30" s="254">
        <f>beleidsregelwaarden!F33</f>
        <v>20.96</v>
      </c>
      <c r="G30" s="254">
        <f>beleidsregelwaarden!G33</f>
        <v>122.24</v>
      </c>
      <c r="H30" s="252">
        <f t="shared" si="2"/>
        <v>0</v>
      </c>
      <c r="I30" s="252">
        <f t="shared" si="3"/>
        <v>0</v>
      </c>
      <c r="J30" s="252">
        <f t="shared" si="6"/>
        <v>0</v>
      </c>
      <c r="O30" s="609"/>
      <c r="P30" s="609"/>
      <c r="Q30" s="609"/>
      <c r="R30" s="609"/>
      <c r="S30" s="609"/>
      <c r="T30" s="609"/>
      <c r="U30" s="55"/>
      <c r="V30" s="55"/>
      <c r="W30" s="55"/>
    </row>
    <row r="31" spans="1:39" ht="12.6" customHeight="1" x14ac:dyDescent="0.15">
      <c r="A31" s="256">
        <f t="shared" si="7"/>
        <v>519</v>
      </c>
      <c r="B31" s="254" t="s">
        <v>582</v>
      </c>
      <c r="C31" s="710"/>
      <c r="D31" s="710"/>
      <c r="E31" s="251">
        <f t="shared" si="5"/>
        <v>0</v>
      </c>
      <c r="F31" s="254">
        <f>beleidsregelwaarden!B22</f>
        <v>3224.04</v>
      </c>
      <c r="G31" s="254">
        <f>beleidsregelwaarden!C22</f>
        <v>4695.6899999999996</v>
      </c>
      <c r="H31" s="252">
        <f t="shared" si="2"/>
        <v>0</v>
      </c>
      <c r="I31" s="252">
        <f t="shared" si="3"/>
        <v>0</v>
      </c>
      <c r="J31" s="252">
        <f t="shared" si="6"/>
        <v>0</v>
      </c>
    </row>
    <row r="32" spans="1:39" ht="12.6" customHeight="1" x14ac:dyDescent="0.15">
      <c r="A32" s="256">
        <f t="shared" si="7"/>
        <v>520</v>
      </c>
      <c r="B32" s="254" t="s">
        <v>864</v>
      </c>
      <c r="C32" s="710"/>
      <c r="D32" s="710"/>
      <c r="E32" s="251">
        <f t="shared" si="5"/>
        <v>0</v>
      </c>
      <c r="F32" s="254">
        <f>beleidsregelwaarden!B24</f>
        <v>9874.81</v>
      </c>
      <c r="G32" s="254">
        <f>beleidsregelwaarden!C24</f>
        <v>6390.81</v>
      </c>
      <c r="H32" s="252">
        <f t="shared" si="2"/>
        <v>0</v>
      </c>
      <c r="I32" s="252">
        <f t="shared" si="3"/>
        <v>0</v>
      </c>
      <c r="J32" s="252">
        <f t="shared" si="6"/>
        <v>0</v>
      </c>
    </row>
    <row r="33" spans="1:12" ht="12.6" customHeight="1" x14ac:dyDescent="0.15">
      <c r="A33" s="256">
        <f t="shared" si="7"/>
        <v>521</v>
      </c>
      <c r="B33" s="254" t="s">
        <v>865</v>
      </c>
      <c r="C33" s="710"/>
      <c r="D33" s="710"/>
      <c r="E33" s="251">
        <f t="shared" si="5"/>
        <v>0</v>
      </c>
      <c r="F33" s="254">
        <f>beleidsregelwaarden!B25</f>
        <v>13799.35</v>
      </c>
      <c r="G33" s="254">
        <f>beleidsregelwaarden!C25</f>
        <v>7500.39</v>
      </c>
      <c r="H33" s="252">
        <f t="shared" si="2"/>
        <v>0</v>
      </c>
      <c r="I33" s="252">
        <f t="shared" si="3"/>
        <v>0</v>
      </c>
      <c r="J33" s="252">
        <f t="shared" si="6"/>
        <v>0</v>
      </c>
    </row>
    <row r="34" spans="1:12" ht="12.6" customHeight="1" x14ac:dyDescent="0.15">
      <c r="A34" s="256">
        <f t="shared" ref="A34:A48" si="8">A33+1</f>
        <v>522</v>
      </c>
      <c r="B34" s="254" t="s">
        <v>912</v>
      </c>
      <c r="C34" s="710"/>
      <c r="D34" s="710"/>
      <c r="E34" s="251">
        <f t="shared" si="5"/>
        <v>0</v>
      </c>
      <c r="F34" s="254">
        <f>beleidsregelwaarden!B26</f>
        <v>0</v>
      </c>
      <c r="G34" s="254">
        <f>beleidsregelwaarden!C26</f>
        <v>4570.93</v>
      </c>
      <c r="H34" s="252">
        <f t="shared" si="2"/>
        <v>0</v>
      </c>
      <c r="I34" s="252">
        <f t="shared" si="3"/>
        <v>0</v>
      </c>
      <c r="J34" s="252">
        <f t="shared" si="6"/>
        <v>0</v>
      </c>
    </row>
    <row r="35" spans="1:12" ht="12.6" customHeight="1" x14ac:dyDescent="0.15">
      <c r="A35" s="256">
        <f t="shared" si="8"/>
        <v>523</v>
      </c>
      <c r="B35" s="254" t="s">
        <v>298</v>
      </c>
      <c r="C35" s="710"/>
      <c r="D35" s="710"/>
      <c r="E35" s="251">
        <f t="shared" si="5"/>
        <v>0</v>
      </c>
      <c r="F35" s="254">
        <f>beleidsregelwaarden!B27</f>
        <v>0</v>
      </c>
      <c r="G35" s="254">
        <f>beleidsregelwaarden!C27</f>
        <v>932.21</v>
      </c>
      <c r="H35" s="252">
        <f t="shared" si="2"/>
        <v>0</v>
      </c>
      <c r="I35" s="252">
        <f t="shared" si="3"/>
        <v>0</v>
      </c>
      <c r="J35" s="252">
        <f t="shared" si="6"/>
        <v>0</v>
      </c>
    </row>
    <row r="36" spans="1:12" ht="12.6" customHeight="1" x14ac:dyDescent="0.15">
      <c r="A36" s="256">
        <f t="shared" si="8"/>
        <v>524</v>
      </c>
      <c r="B36" s="254" t="s">
        <v>805</v>
      </c>
      <c r="C36" s="710"/>
      <c r="D36" s="710"/>
      <c r="E36" s="251">
        <f t="shared" si="5"/>
        <v>0</v>
      </c>
      <c r="F36" s="254">
        <f>beleidsregelwaarden!B28</f>
        <v>0</v>
      </c>
      <c r="G36" s="254">
        <f>beleidsregelwaarden!C28</f>
        <v>1369.02</v>
      </c>
      <c r="H36" s="252">
        <f t="shared" si="2"/>
        <v>0</v>
      </c>
      <c r="I36" s="252">
        <f t="shared" si="3"/>
        <v>0</v>
      </c>
      <c r="J36" s="252">
        <f t="shared" si="6"/>
        <v>0</v>
      </c>
    </row>
    <row r="37" spans="1:12" ht="12.6" customHeight="1" x14ac:dyDescent="0.15">
      <c r="A37" s="256">
        <f t="shared" si="8"/>
        <v>525</v>
      </c>
      <c r="B37" s="254" t="s">
        <v>806</v>
      </c>
      <c r="C37" s="710"/>
      <c r="D37" s="710"/>
      <c r="E37" s="251">
        <f t="shared" si="5"/>
        <v>0</v>
      </c>
      <c r="F37" s="254">
        <f>beleidsregelwaarden!B29</f>
        <v>0</v>
      </c>
      <c r="G37" s="254">
        <f>beleidsregelwaarden!C29</f>
        <v>2358.61</v>
      </c>
      <c r="H37" s="252">
        <f t="shared" si="2"/>
        <v>0</v>
      </c>
      <c r="I37" s="252">
        <f t="shared" si="3"/>
        <v>0</v>
      </c>
      <c r="J37" s="252">
        <f t="shared" si="6"/>
        <v>0</v>
      </c>
    </row>
    <row r="38" spans="1:12" ht="12.6" customHeight="1" x14ac:dyDescent="0.15">
      <c r="A38" s="256">
        <f t="shared" si="8"/>
        <v>526</v>
      </c>
      <c r="B38" s="254" t="s">
        <v>807</v>
      </c>
      <c r="C38" s="710"/>
      <c r="D38" s="710"/>
      <c r="E38" s="251">
        <f t="shared" si="5"/>
        <v>0</v>
      </c>
      <c r="F38" s="254">
        <f>beleidsregelwaarden!B30</f>
        <v>14706.43</v>
      </c>
      <c r="G38" s="254">
        <f>beleidsregelwaarden!C30</f>
        <v>4387.0200000000004</v>
      </c>
      <c r="H38" s="252">
        <f t="shared" si="2"/>
        <v>0</v>
      </c>
      <c r="I38" s="252">
        <f t="shared" si="3"/>
        <v>0</v>
      </c>
      <c r="J38" s="252">
        <f t="shared" si="6"/>
        <v>0</v>
      </c>
    </row>
    <row r="39" spans="1:12" ht="12.6" customHeight="1" x14ac:dyDescent="0.15">
      <c r="A39" s="256">
        <f t="shared" si="8"/>
        <v>527</v>
      </c>
      <c r="B39" s="254" t="s">
        <v>788</v>
      </c>
      <c r="C39" s="710"/>
      <c r="D39" s="710"/>
      <c r="E39" s="251">
        <f t="shared" si="5"/>
        <v>0</v>
      </c>
      <c r="F39" s="254">
        <f>beleidsregelwaarden!B31</f>
        <v>0</v>
      </c>
      <c r="G39" s="254">
        <f>beleidsregelwaarden!C31</f>
        <v>33889.47</v>
      </c>
      <c r="H39" s="252">
        <f t="shared" si="2"/>
        <v>0</v>
      </c>
      <c r="I39" s="252">
        <f t="shared" si="3"/>
        <v>0</v>
      </c>
      <c r="J39" s="252">
        <f t="shared" si="6"/>
        <v>0</v>
      </c>
    </row>
    <row r="40" spans="1:12" ht="12.6" customHeight="1" x14ac:dyDescent="0.15">
      <c r="A40" s="256">
        <f t="shared" si="8"/>
        <v>528</v>
      </c>
      <c r="B40" s="254" t="s">
        <v>583</v>
      </c>
      <c r="C40" s="710"/>
      <c r="D40" s="710"/>
      <c r="E40" s="251">
        <f t="shared" si="5"/>
        <v>0</v>
      </c>
      <c r="F40" s="254">
        <f>beleidsregelwaarden!B32</f>
        <v>0</v>
      </c>
      <c r="G40" s="254">
        <f>beleidsregelwaarden!C32</f>
        <v>4214.55</v>
      </c>
      <c r="H40" s="252">
        <f t="shared" si="2"/>
        <v>0</v>
      </c>
      <c r="I40" s="252">
        <f t="shared" si="3"/>
        <v>0</v>
      </c>
      <c r="J40" s="252">
        <f t="shared" si="6"/>
        <v>0</v>
      </c>
    </row>
    <row r="41" spans="1:12" ht="12.6" customHeight="1" x14ac:dyDescent="0.15">
      <c r="A41" s="256">
        <f t="shared" si="8"/>
        <v>529</v>
      </c>
      <c r="B41" s="254" t="s">
        <v>586</v>
      </c>
      <c r="C41" s="710"/>
      <c r="D41" s="710"/>
      <c r="E41" s="251">
        <f t="shared" si="5"/>
        <v>0</v>
      </c>
      <c r="F41" s="253">
        <f>beleidsregelwaarden!B37</f>
        <v>28742.79</v>
      </c>
      <c r="G41" s="253">
        <f>beleidsregelwaarden!C37</f>
        <v>17466.03</v>
      </c>
      <c r="H41" s="252">
        <f t="shared" si="2"/>
        <v>0</v>
      </c>
      <c r="I41" s="252">
        <f t="shared" si="3"/>
        <v>0</v>
      </c>
      <c r="J41" s="252">
        <f t="shared" si="6"/>
        <v>0</v>
      </c>
    </row>
    <row r="42" spans="1:12" ht="12.6" customHeight="1" x14ac:dyDescent="0.15">
      <c r="A42" s="256">
        <f t="shared" si="8"/>
        <v>530</v>
      </c>
      <c r="B42" s="254" t="s">
        <v>836</v>
      </c>
      <c r="C42" s="710"/>
      <c r="D42" s="710"/>
      <c r="E42" s="251">
        <f t="shared" si="5"/>
        <v>0</v>
      </c>
      <c r="F42" s="254">
        <f>beleidsregelwaarden!B62</f>
        <v>0</v>
      </c>
      <c r="G42" s="254">
        <f>beleidsregelwaarden!C62</f>
        <v>15934.66</v>
      </c>
      <c r="H42" s="252">
        <f t="shared" si="2"/>
        <v>0</v>
      </c>
      <c r="I42" s="252">
        <f t="shared" si="3"/>
        <v>0</v>
      </c>
      <c r="J42" s="252">
        <f t="shared" si="6"/>
        <v>0</v>
      </c>
    </row>
    <row r="43" spans="1:12" ht="12.6" customHeight="1" x14ac:dyDescent="0.15">
      <c r="A43" s="256">
        <f t="shared" si="8"/>
        <v>531</v>
      </c>
      <c r="B43" s="254" t="s">
        <v>839</v>
      </c>
      <c r="C43" s="710"/>
      <c r="D43" s="710"/>
      <c r="E43" s="251">
        <f t="shared" si="5"/>
        <v>0</v>
      </c>
      <c r="F43" s="254">
        <f>beleidsregelwaarden!B58</f>
        <v>0</v>
      </c>
      <c r="G43" s="254">
        <f>beleidsregelwaarden!C58</f>
        <v>13628.6</v>
      </c>
      <c r="H43" s="252">
        <f t="shared" si="2"/>
        <v>0</v>
      </c>
      <c r="I43" s="252">
        <f t="shared" si="3"/>
        <v>0</v>
      </c>
      <c r="J43" s="252">
        <f t="shared" si="6"/>
        <v>0</v>
      </c>
    </row>
    <row r="44" spans="1:12" ht="12.6" customHeight="1" x14ac:dyDescent="0.15">
      <c r="A44" s="256">
        <f t="shared" si="8"/>
        <v>532</v>
      </c>
      <c r="B44" s="254" t="s">
        <v>840</v>
      </c>
      <c r="C44" s="710"/>
      <c r="D44" s="710"/>
      <c r="E44" s="251">
        <f t="shared" si="5"/>
        <v>0</v>
      </c>
      <c r="F44" s="254">
        <f>beleidsregelwaarden!B59</f>
        <v>0</v>
      </c>
      <c r="G44" s="254">
        <f>beleidsregelwaarden!C59</f>
        <v>22760.23</v>
      </c>
      <c r="H44" s="252">
        <f t="shared" si="2"/>
        <v>0</v>
      </c>
      <c r="I44" s="252">
        <f t="shared" si="3"/>
        <v>0</v>
      </c>
      <c r="J44" s="252">
        <f t="shared" si="6"/>
        <v>0</v>
      </c>
    </row>
    <row r="45" spans="1:12" ht="12.6" customHeight="1" x14ac:dyDescent="0.15">
      <c r="A45" s="256">
        <f t="shared" si="8"/>
        <v>533</v>
      </c>
      <c r="B45" s="254" t="s">
        <v>841</v>
      </c>
      <c r="C45" s="710"/>
      <c r="D45" s="710"/>
      <c r="E45" s="251">
        <f t="shared" si="5"/>
        <v>0</v>
      </c>
      <c r="F45" s="254">
        <f>beleidsregelwaarden!B60</f>
        <v>0</v>
      </c>
      <c r="G45" s="254">
        <f>beleidsregelwaarden!C60</f>
        <v>10902.64</v>
      </c>
      <c r="H45" s="252">
        <f t="shared" si="2"/>
        <v>0</v>
      </c>
      <c r="I45" s="252">
        <f t="shared" si="3"/>
        <v>0</v>
      </c>
      <c r="J45" s="252">
        <f t="shared" si="6"/>
        <v>0</v>
      </c>
      <c r="L45" s="55"/>
    </row>
    <row r="46" spans="1:12" ht="12.6" customHeight="1" x14ac:dyDescent="0.15">
      <c r="A46" s="256">
        <f t="shared" si="8"/>
        <v>534</v>
      </c>
      <c r="B46" s="254" t="s">
        <v>842</v>
      </c>
      <c r="C46" s="710"/>
      <c r="D46" s="710"/>
      <c r="E46" s="251">
        <f t="shared" si="5"/>
        <v>0</v>
      </c>
      <c r="F46" s="254">
        <f>beleidsregelwaarden!B61</f>
        <v>0</v>
      </c>
      <c r="G46" s="254">
        <f>beleidsregelwaarden!C61</f>
        <v>17171.759999999998</v>
      </c>
      <c r="H46" s="252">
        <f t="shared" si="2"/>
        <v>0</v>
      </c>
      <c r="I46" s="252">
        <f t="shared" si="3"/>
        <v>0</v>
      </c>
      <c r="J46" s="252">
        <f t="shared" si="6"/>
        <v>0</v>
      </c>
    </row>
    <row r="47" spans="1:12" ht="12.6" customHeight="1" x14ac:dyDescent="0.15">
      <c r="A47" s="256">
        <f t="shared" si="8"/>
        <v>535</v>
      </c>
      <c r="B47" s="254" t="s">
        <v>764</v>
      </c>
      <c r="C47" s="710"/>
      <c r="D47" s="710"/>
      <c r="E47" s="251">
        <f t="shared" si="5"/>
        <v>0</v>
      </c>
      <c r="F47" s="254">
        <f>beleidsregelwaarden!B63</f>
        <v>0</v>
      </c>
      <c r="G47" s="254">
        <f>beleidsregelwaarden!C63</f>
        <v>13307.51</v>
      </c>
      <c r="H47" s="252">
        <f t="shared" si="2"/>
        <v>0</v>
      </c>
      <c r="I47" s="252">
        <f t="shared" si="3"/>
        <v>0</v>
      </c>
      <c r="J47" s="252">
        <f t="shared" si="6"/>
        <v>0</v>
      </c>
    </row>
    <row r="48" spans="1:12" ht="12.6" customHeight="1" x14ac:dyDescent="0.15">
      <c r="A48" s="256">
        <f t="shared" si="8"/>
        <v>536</v>
      </c>
      <c r="B48" s="255" t="s">
        <v>828</v>
      </c>
      <c r="C48" s="255"/>
      <c r="D48" s="255"/>
      <c r="E48" s="255"/>
      <c r="F48" s="255"/>
      <c r="G48" s="256"/>
      <c r="H48" s="296">
        <f>SUM(H13:H47)</f>
        <v>0</v>
      </c>
      <c r="I48" s="296">
        <f>SUM(I13:I47)</f>
        <v>0</v>
      </c>
      <c r="J48" s="296">
        <f>SUM(J13:J47)</f>
        <v>0</v>
      </c>
    </row>
    <row r="49" spans="1:20" x14ac:dyDescent="0.15">
      <c r="A49" s="195" t="s">
        <v>310</v>
      </c>
    </row>
    <row r="50" spans="1:20" s="40" customFormat="1" ht="15.75" customHeight="1" x14ac:dyDescent="0.15">
      <c r="A50" s="704" t="str">
        <f>A2</f>
        <v>Vaststelling Transitiebedrag 2012</v>
      </c>
      <c r="E50" s="69" t="e">
        <f>Voorblad!#REF!</f>
        <v>#REF!</v>
      </c>
      <c r="J50" s="42">
        <f>J2+1</f>
        <v>6</v>
      </c>
      <c r="O50" s="608"/>
      <c r="P50" s="608"/>
      <c r="Q50" s="608"/>
      <c r="R50" s="608"/>
      <c r="S50" s="608"/>
      <c r="T50" s="608"/>
    </row>
    <row r="51" spans="1:20" ht="12.6" customHeight="1" x14ac:dyDescent="0.15">
      <c r="A51" s="174"/>
      <c r="B51" s="174"/>
      <c r="C51" s="174"/>
      <c r="D51" s="174"/>
      <c r="E51" s="204"/>
      <c r="F51" s="205"/>
      <c r="G51" s="205"/>
      <c r="H51" s="206"/>
      <c r="I51" s="206"/>
      <c r="J51" s="206"/>
    </row>
    <row r="52" spans="1:20" ht="12" customHeight="1" x14ac:dyDescent="0.15">
      <c r="A52" s="702" t="str">
        <f>"Vervolg productieaantallen en realisatie " &amp;Voorblad!K4</f>
        <v>Vervolg productieaantallen en realisatie 2012</v>
      </c>
      <c r="B52" s="59"/>
      <c r="C52" s="189" t="s">
        <v>575</v>
      </c>
      <c r="D52" s="189" t="s">
        <v>732</v>
      </c>
      <c r="E52" s="1303" t="s">
        <v>574</v>
      </c>
      <c r="F52" s="1306" t="s">
        <v>573</v>
      </c>
      <c r="G52" s="1307"/>
      <c r="H52" s="1308" t="s">
        <v>593</v>
      </c>
      <c r="I52" s="1309"/>
      <c r="J52" s="189" t="s">
        <v>768</v>
      </c>
      <c r="L52" s="46"/>
      <c r="M52" s="187"/>
      <c r="N52" s="187"/>
      <c r="O52" s="616"/>
      <c r="P52" s="616"/>
      <c r="Q52" s="616"/>
      <c r="R52" s="616"/>
      <c r="S52" s="616"/>
      <c r="T52" s="616"/>
    </row>
    <row r="53" spans="1:20" ht="12" customHeight="1" x14ac:dyDescent="0.15">
      <c r="A53" s="702"/>
      <c r="B53" s="59"/>
      <c r="C53" s="713"/>
      <c r="D53" s="714"/>
      <c r="E53" s="1304"/>
      <c r="F53" s="708"/>
      <c r="G53" s="707"/>
      <c r="H53" s="709"/>
      <c r="I53" s="288"/>
      <c r="J53" s="713"/>
      <c r="L53" s="46"/>
      <c r="M53" s="187"/>
      <c r="N53" s="187"/>
      <c r="O53" s="616"/>
      <c r="P53" s="616"/>
      <c r="Q53" s="616"/>
      <c r="R53" s="616"/>
      <c r="S53" s="616"/>
      <c r="T53" s="616"/>
    </row>
    <row r="54" spans="1:20" ht="12" customHeight="1" x14ac:dyDescent="0.15">
      <c r="C54" s="190">
        <f>Voorblad!K4</f>
        <v>2012</v>
      </c>
      <c r="D54" s="190">
        <f>C54</f>
        <v>2012</v>
      </c>
      <c r="E54" s="1305"/>
      <c r="F54" s="188" t="s">
        <v>889</v>
      </c>
      <c r="G54" s="188" t="s">
        <v>890</v>
      </c>
      <c r="H54" s="198" t="s">
        <v>889</v>
      </c>
      <c r="I54" s="198" t="s">
        <v>890</v>
      </c>
      <c r="J54" s="190" t="str">
        <f>CONCATENATE("FB ",Voorblad!K4)</f>
        <v>FB 2012</v>
      </c>
      <c r="L54" s="46"/>
      <c r="M54" s="187"/>
      <c r="N54" s="187"/>
      <c r="O54" s="616"/>
      <c r="P54" s="616"/>
      <c r="Q54" s="616"/>
      <c r="R54" s="616"/>
      <c r="S54" s="616"/>
      <c r="T54" s="616"/>
    </row>
    <row r="55" spans="1:20" ht="12" customHeight="1" x14ac:dyDescent="0.15">
      <c r="B55" s="207"/>
      <c r="C55" s="208"/>
      <c r="D55" s="208"/>
      <c r="E55" s="208"/>
      <c r="F55" s="208"/>
      <c r="G55" s="208"/>
      <c r="H55" s="203"/>
      <c r="I55" s="203"/>
      <c r="J55" s="203"/>
      <c r="L55" s="46"/>
      <c r="M55" s="187"/>
      <c r="N55" s="187"/>
      <c r="O55" s="616"/>
      <c r="P55" s="616"/>
      <c r="Q55" s="616"/>
      <c r="R55" s="616"/>
      <c r="S55" s="616"/>
      <c r="T55" s="616"/>
    </row>
    <row r="56" spans="1:20" ht="12" customHeight="1" x14ac:dyDescent="0.15">
      <c r="A56" s="256">
        <f>J50*100+1</f>
        <v>601</v>
      </c>
      <c r="B56" s="254" t="s">
        <v>837</v>
      </c>
      <c r="C56" s="251"/>
      <c r="D56" s="251"/>
      <c r="E56" s="251"/>
      <c r="F56" s="254"/>
      <c r="G56" s="254"/>
      <c r="H56" s="252">
        <f>H48</f>
        <v>0</v>
      </c>
      <c r="I56" s="252">
        <f>I48</f>
        <v>0</v>
      </c>
      <c r="J56" s="252">
        <f>J48</f>
        <v>0</v>
      </c>
      <c r="L56" s="46"/>
      <c r="M56" s="187"/>
      <c r="N56" s="187"/>
      <c r="O56" s="616"/>
      <c r="P56" s="616"/>
      <c r="Q56" s="616"/>
      <c r="R56" s="616"/>
      <c r="S56" s="616"/>
      <c r="T56" s="616"/>
    </row>
    <row r="57" spans="1:20" ht="12" customHeight="1" x14ac:dyDescent="0.15">
      <c r="A57" s="256">
        <f>A56+1</f>
        <v>602</v>
      </c>
      <c r="B57" s="254" t="s">
        <v>765</v>
      </c>
      <c r="C57" s="710"/>
      <c r="D57" s="710"/>
      <c r="E57" s="251">
        <f t="shared" ref="E57:E63" si="9">C57-D57</f>
        <v>0</v>
      </c>
      <c r="F57" s="254">
        <f>beleidsregelwaarden!B64</f>
        <v>0</v>
      </c>
      <c r="G57" s="254">
        <f>beleidsregelwaarden!C64</f>
        <v>10735.48</v>
      </c>
      <c r="H57" s="252">
        <f>ROUND($E57*(F57*$S$10),2)</f>
        <v>0</v>
      </c>
      <c r="I57" s="252">
        <f>ROUND($E57*(G57*$T$10),2)</f>
        <v>0</v>
      </c>
      <c r="J57" s="252">
        <f>ROUND(C57*ROUND(F57*S$10,2),0)+ROUND(C57*ROUND(G57*T$10,2),0)</f>
        <v>0</v>
      </c>
      <c r="L57" s="46"/>
      <c r="M57" s="187"/>
      <c r="N57" s="187"/>
      <c r="O57" s="616"/>
      <c r="P57" s="616"/>
      <c r="Q57" s="616"/>
      <c r="R57" s="616"/>
      <c r="S57" s="616"/>
      <c r="T57" s="616"/>
    </row>
    <row r="58" spans="1:20" ht="12" customHeight="1" x14ac:dyDescent="0.15">
      <c r="A58" s="256">
        <f t="shared" ref="A58:A92" si="10">A57+1</f>
        <v>603</v>
      </c>
      <c r="B58" s="254" t="s">
        <v>866</v>
      </c>
      <c r="C58" s="710"/>
      <c r="D58" s="710"/>
      <c r="E58" s="251">
        <f t="shared" si="9"/>
        <v>0</v>
      </c>
      <c r="F58" s="254">
        <f>beleidsregelwaarden!B65</f>
        <v>0</v>
      </c>
      <c r="G58" s="254">
        <f>beleidsregelwaarden!C65</f>
        <v>12202.22</v>
      </c>
      <c r="H58" s="252">
        <f t="shared" ref="H58:H91" si="11">ROUND($E58*(F58*$S$10),2)</f>
        <v>0</v>
      </c>
      <c r="I58" s="252">
        <f t="shared" ref="I58:I91" si="12">ROUND($E58*(G58*$T$10),2)</f>
        <v>0</v>
      </c>
      <c r="J58" s="252">
        <f t="shared" ref="J58:J91" si="13">ROUND(C58*ROUND(F58*S$10,2),0)+ROUND(C58*ROUND(G58*T$10,2),0)</f>
        <v>0</v>
      </c>
      <c r="L58" s="46"/>
      <c r="M58" s="187"/>
      <c r="N58" s="187"/>
      <c r="O58" s="616"/>
      <c r="P58" s="616"/>
      <c r="Q58" s="616"/>
      <c r="R58" s="616"/>
      <c r="S58" s="616"/>
      <c r="T58" s="616"/>
    </row>
    <row r="59" spans="1:20" ht="12" customHeight="1" x14ac:dyDescent="0.15">
      <c r="A59" s="256">
        <f t="shared" si="10"/>
        <v>604</v>
      </c>
      <c r="B59" s="254" t="s">
        <v>867</v>
      </c>
      <c r="C59" s="710"/>
      <c r="D59" s="710"/>
      <c r="E59" s="251">
        <f t="shared" si="9"/>
        <v>0</v>
      </c>
      <c r="F59" s="254">
        <f>beleidsregelwaarden!B66</f>
        <v>11896.21</v>
      </c>
      <c r="G59" s="254">
        <f>beleidsregelwaarden!C66</f>
        <v>13438.96</v>
      </c>
      <c r="H59" s="252">
        <f t="shared" si="11"/>
        <v>0</v>
      </c>
      <c r="I59" s="252">
        <f t="shared" si="12"/>
        <v>0</v>
      </c>
      <c r="J59" s="252">
        <f t="shared" si="13"/>
        <v>0</v>
      </c>
      <c r="L59" s="46"/>
      <c r="M59" s="187"/>
      <c r="N59" s="187"/>
      <c r="O59" s="616"/>
      <c r="P59" s="616"/>
      <c r="Q59" s="616"/>
      <c r="R59" s="616"/>
      <c r="S59" s="616"/>
      <c r="T59" s="616"/>
    </row>
    <row r="60" spans="1:20" ht="12" customHeight="1" x14ac:dyDescent="0.15">
      <c r="A60" s="256">
        <f t="shared" si="10"/>
        <v>605</v>
      </c>
      <c r="B60" s="254" t="s">
        <v>868</v>
      </c>
      <c r="C60" s="710"/>
      <c r="D60" s="710"/>
      <c r="E60" s="251">
        <f t="shared" si="9"/>
        <v>0</v>
      </c>
      <c r="F60" s="254">
        <f>beleidsregelwaarden!B67</f>
        <v>4226.17</v>
      </c>
      <c r="G60" s="254">
        <f>beleidsregelwaarden!C67</f>
        <v>7382.45</v>
      </c>
      <c r="H60" s="252">
        <f t="shared" si="11"/>
        <v>0</v>
      </c>
      <c r="I60" s="252">
        <f t="shared" si="12"/>
        <v>0</v>
      </c>
      <c r="J60" s="252">
        <f t="shared" si="13"/>
        <v>0</v>
      </c>
      <c r="L60" s="46"/>
      <c r="M60" s="187"/>
      <c r="N60" s="187"/>
      <c r="O60" s="616"/>
      <c r="P60" s="616"/>
      <c r="Q60" s="616"/>
      <c r="R60" s="616"/>
      <c r="S60" s="616"/>
      <c r="T60" s="616"/>
    </row>
    <row r="61" spans="1:20" ht="12" customHeight="1" x14ac:dyDescent="0.15">
      <c r="A61" s="256">
        <f t="shared" si="10"/>
        <v>606</v>
      </c>
      <c r="B61" s="254" t="s">
        <v>869</v>
      </c>
      <c r="C61" s="710"/>
      <c r="D61" s="710"/>
      <c r="E61" s="251">
        <f t="shared" si="9"/>
        <v>0</v>
      </c>
      <c r="F61" s="254">
        <f>beleidsregelwaarden!B68</f>
        <v>2396.8200000000002</v>
      </c>
      <c r="G61" s="254">
        <f>beleidsregelwaarden!C68</f>
        <v>5644.26</v>
      </c>
      <c r="H61" s="252">
        <f t="shared" si="11"/>
        <v>0</v>
      </c>
      <c r="I61" s="252">
        <f t="shared" si="12"/>
        <v>0</v>
      </c>
      <c r="J61" s="252">
        <f t="shared" si="13"/>
        <v>0</v>
      </c>
      <c r="L61" s="46"/>
      <c r="M61" s="187"/>
      <c r="N61" s="187"/>
      <c r="O61" s="616"/>
      <c r="P61" s="616"/>
      <c r="Q61" s="616"/>
      <c r="R61" s="616"/>
      <c r="S61" s="616"/>
      <c r="T61" s="616"/>
    </row>
    <row r="62" spans="1:20" ht="12" customHeight="1" x14ac:dyDescent="0.15">
      <c r="A62" s="256">
        <f t="shared" si="10"/>
        <v>607</v>
      </c>
      <c r="B62" s="254" t="s">
        <v>870</v>
      </c>
      <c r="C62" s="710"/>
      <c r="D62" s="710"/>
      <c r="E62" s="251">
        <f t="shared" si="9"/>
        <v>0</v>
      </c>
      <c r="F62" s="254">
        <f>beleidsregelwaarden!B69</f>
        <v>849.57</v>
      </c>
      <c r="G62" s="254">
        <f>beleidsregelwaarden!C69</f>
        <v>5349.95</v>
      </c>
      <c r="H62" s="252">
        <f t="shared" si="11"/>
        <v>0</v>
      </c>
      <c r="I62" s="252">
        <f t="shared" si="12"/>
        <v>0</v>
      </c>
      <c r="J62" s="252">
        <f t="shared" si="13"/>
        <v>0</v>
      </c>
      <c r="L62" s="46"/>
      <c r="M62" s="187"/>
      <c r="N62" s="187"/>
      <c r="O62" s="616"/>
      <c r="P62" s="616"/>
      <c r="Q62" s="616"/>
      <c r="R62" s="616"/>
      <c r="S62" s="616"/>
      <c r="T62" s="616"/>
    </row>
    <row r="63" spans="1:20" ht="12" customHeight="1" x14ac:dyDescent="0.15">
      <c r="A63" s="256">
        <f t="shared" si="10"/>
        <v>608</v>
      </c>
      <c r="B63" s="254" t="s">
        <v>751</v>
      </c>
      <c r="C63" s="710"/>
      <c r="D63" s="710"/>
      <c r="E63" s="251">
        <f t="shared" si="9"/>
        <v>0</v>
      </c>
      <c r="F63" s="254">
        <f>beleidsregelwaarden!B73</f>
        <v>9924.7199999999993</v>
      </c>
      <c r="G63" s="254">
        <f>beleidsregelwaarden!C73</f>
        <v>13826.59</v>
      </c>
      <c r="H63" s="252">
        <f t="shared" si="11"/>
        <v>0</v>
      </c>
      <c r="I63" s="252">
        <f t="shared" si="12"/>
        <v>0</v>
      </c>
      <c r="J63" s="252">
        <f t="shared" si="13"/>
        <v>0</v>
      </c>
      <c r="L63" s="46"/>
      <c r="M63" s="187"/>
      <c r="N63" s="187"/>
      <c r="O63" s="616"/>
      <c r="P63" s="616"/>
      <c r="Q63" s="616"/>
      <c r="R63" s="616"/>
      <c r="S63" s="616"/>
      <c r="T63" s="616"/>
    </row>
    <row r="64" spans="1:20" ht="12" customHeight="1" x14ac:dyDescent="0.15">
      <c r="A64" s="256">
        <f t="shared" si="10"/>
        <v>609</v>
      </c>
      <c r="B64" s="254" t="s">
        <v>215</v>
      </c>
      <c r="C64" s="710"/>
      <c r="D64" s="710"/>
      <c r="E64" s="251">
        <f>C64-D64</f>
        <v>0</v>
      </c>
      <c r="F64" s="254">
        <f>beleidsregelwaarden!B70</f>
        <v>11458.95</v>
      </c>
      <c r="G64" s="254">
        <f>beleidsregelwaarden!C70</f>
        <v>5989.93</v>
      </c>
      <c r="H64" s="252">
        <f t="shared" si="11"/>
        <v>0</v>
      </c>
      <c r="I64" s="252">
        <f t="shared" si="12"/>
        <v>0</v>
      </c>
      <c r="J64" s="252">
        <f t="shared" si="13"/>
        <v>0</v>
      </c>
      <c r="L64" s="46"/>
      <c r="M64" s="187"/>
      <c r="N64" s="187"/>
      <c r="O64" s="616"/>
      <c r="P64" s="616"/>
      <c r="Q64" s="616"/>
      <c r="R64" s="616"/>
      <c r="S64" s="616"/>
      <c r="T64" s="616"/>
    </row>
    <row r="65" spans="1:20" ht="12" customHeight="1" x14ac:dyDescent="0.15">
      <c r="A65" s="256">
        <f t="shared" si="10"/>
        <v>610</v>
      </c>
      <c r="B65" s="254" t="s">
        <v>105</v>
      </c>
      <c r="C65" s="710"/>
      <c r="D65" s="710"/>
      <c r="E65" s="251">
        <f>C65-D65</f>
        <v>0</v>
      </c>
      <c r="F65" s="254">
        <f>beleidsregelwaarden!B71</f>
        <v>3603.37</v>
      </c>
      <c r="G65" s="254">
        <f>beleidsregelwaarden!C71</f>
        <v>2070.4</v>
      </c>
      <c r="H65" s="252">
        <f>ROUND($E65*(F65*$S$10),2)</f>
        <v>0</v>
      </c>
      <c r="I65" s="252">
        <f>ROUND($E65*(G65*$T$10),2)</f>
        <v>0</v>
      </c>
      <c r="J65" s="252">
        <f>ROUND(C65*ROUND(F65*S$10,2),0)+ROUND(C65*ROUND(G65*T$10,2),0)</f>
        <v>0</v>
      </c>
      <c r="L65" s="46"/>
      <c r="M65" s="187"/>
      <c r="N65" s="187"/>
      <c r="O65" s="616"/>
      <c r="P65" s="616"/>
      <c r="Q65" s="616"/>
      <c r="R65" s="616"/>
      <c r="S65" s="616"/>
      <c r="T65" s="616"/>
    </row>
    <row r="66" spans="1:20" ht="12.6" customHeight="1" x14ac:dyDescent="0.15">
      <c r="A66" s="256">
        <f t="shared" si="10"/>
        <v>611</v>
      </c>
      <c r="B66" s="254" t="s">
        <v>285</v>
      </c>
      <c r="C66" s="710"/>
      <c r="D66" s="710"/>
      <c r="E66" s="251">
        <f>(IF(C66&lt;1000,0,C66-1000))-(IF(+D66&lt;1000,0,+D66-1000))</f>
        <v>0</v>
      </c>
      <c r="F66" s="254">
        <f>beleidsregelwaarden!B72</f>
        <v>1001.79</v>
      </c>
      <c r="G66" s="254">
        <f>beleidsregelwaarden!C72</f>
        <v>99.68</v>
      </c>
      <c r="H66" s="252">
        <f>ROUND($E66*(F66*$S$10),2)</f>
        <v>0</v>
      </c>
      <c r="I66" s="252">
        <f t="shared" si="12"/>
        <v>0</v>
      </c>
      <c r="J66" s="758">
        <f>IF(+C66&gt;1000,ROUND((+C66-1000)*ROUND(F66*$S$10,2),0)+ROUND((+C66-1000)*ROUND(G66*$T$10,2),0),0)</f>
        <v>0</v>
      </c>
    </row>
    <row r="67" spans="1:20" ht="12.6" customHeight="1" x14ac:dyDescent="0.15">
      <c r="A67" s="256">
        <f t="shared" si="10"/>
        <v>612</v>
      </c>
      <c r="B67" s="254" t="s">
        <v>99</v>
      </c>
      <c r="C67" s="710"/>
      <c r="D67" s="710"/>
      <c r="E67" s="251">
        <f>C67-D67</f>
        <v>0</v>
      </c>
      <c r="F67" s="254">
        <f>beleidsregelwaarden!F17</f>
        <v>481.05</v>
      </c>
      <c r="G67" s="254">
        <f>beleidsregelwaarden!G17</f>
        <v>294.16000000000003</v>
      </c>
      <c r="H67" s="252">
        <f t="shared" si="11"/>
        <v>0</v>
      </c>
      <c r="I67" s="252">
        <f t="shared" si="12"/>
        <v>0</v>
      </c>
      <c r="J67" s="252">
        <f t="shared" si="13"/>
        <v>0</v>
      </c>
      <c r="L67" s="46"/>
    </row>
    <row r="68" spans="1:20" s="55" customFormat="1" ht="12.6" customHeight="1" x14ac:dyDescent="0.15">
      <c r="A68" s="256">
        <f t="shared" si="10"/>
        <v>613</v>
      </c>
      <c r="B68" s="254" t="s">
        <v>936</v>
      </c>
      <c r="C68" s="710"/>
      <c r="D68" s="710"/>
      <c r="E68" s="251">
        <f>C68-D68</f>
        <v>0</v>
      </c>
      <c r="F68" s="254">
        <f>beleidsregelwaarden!F34</f>
        <v>75.02</v>
      </c>
      <c r="G68" s="254">
        <f>beleidsregelwaarden!G34</f>
        <v>11.03</v>
      </c>
      <c r="H68" s="252">
        <f t="shared" si="11"/>
        <v>0</v>
      </c>
      <c r="I68" s="252">
        <f t="shared" si="12"/>
        <v>0</v>
      </c>
      <c r="J68" s="252">
        <f t="shared" si="13"/>
        <v>0</v>
      </c>
      <c r="L68" s="210"/>
      <c r="M68" s="196"/>
      <c r="O68" s="609"/>
      <c r="P68" s="609"/>
      <c r="Q68" s="609"/>
      <c r="R68" s="609"/>
      <c r="S68" s="609"/>
      <c r="T68" s="609"/>
    </row>
    <row r="69" spans="1:20" ht="12.6" customHeight="1" x14ac:dyDescent="0.15">
      <c r="A69" s="256">
        <f t="shared" si="10"/>
        <v>614</v>
      </c>
      <c r="B69" s="254" t="s">
        <v>94</v>
      </c>
      <c r="C69" s="710"/>
      <c r="D69" s="710"/>
      <c r="E69" s="251">
        <f>C69-D69</f>
        <v>0</v>
      </c>
      <c r="F69" s="254">
        <f>beleidsregelwaarden!F36</f>
        <v>207.5</v>
      </c>
      <c r="G69" s="254">
        <f>beleidsregelwaarden!G36</f>
        <v>46.29</v>
      </c>
      <c r="H69" s="252">
        <f t="shared" si="11"/>
        <v>0</v>
      </c>
      <c r="I69" s="252">
        <f t="shared" si="12"/>
        <v>0</v>
      </c>
      <c r="J69" s="252">
        <f t="shared" si="13"/>
        <v>0</v>
      </c>
      <c r="L69" s="46"/>
      <c r="M69" s="187"/>
      <c r="N69" s="187"/>
      <c r="O69" s="616"/>
      <c r="P69" s="616"/>
      <c r="Q69" s="616"/>
      <c r="R69" s="616"/>
      <c r="S69" s="616"/>
      <c r="T69" s="616"/>
    </row>
    <row r="70" spans="1:20" ht="12" customHeight="1" x14ac:dyDescent="0.15">
      <c r="A70" s="256">
        <f t="shared" si="10"/>
        <v>615</v>
      </c>
      <c r="B70" s="254" t="s">
        <v>95</v>
      </c>
      <c r="C70" s="710"/>
      <c r="D70" s="710"/>
      <c r="E70" s="251">
        <f>C70-D70</f>
        <v>0</v>
      </c>
      <c r="F70" s="254">
        <f>beleidsregelwaarden!F37</f>
        <v>112.77</v>
      </c>
      <c r="G70" s="254">
        <f>beleidsregelwaarden!G37</f>
        <v>25.16</v>
      </c>
      <c r="H70" s="252">
        <f t="shared" si="11"/>
        <v>0</v>
      </c>
      <c r="I70" s="252">
        <f t="shared" si="12"/>
        <v>0</v>
      </c>
      <c r="J70" s="252">
        <f t="shared" si="13"/>
        <v>0</v>
      </c>
      <c r="L70" s="46"/>
      <c r="M70" s="187"/>
      <c r="N70" s="187"/>
      <c r="O70" s="616"/>
      <c r="P70" s="616"/>
      <c r="Q70" s="616"/>
      <c r="R70" s="616"/>
      <c r="S70" s="616"/>
      <c r="T70" s="616"/>
    </row>
    <row r="71" spans="1:20" ht="12" customHeight="1" x14ac:dyDescent="0.15">
      <c r="A71" s="256">
        <f t="shared" si="10"/>
        <v>616</v>
      </c>
      <c r="B71" s="254" t="s">
        <v>96</v>
      </c>
      <c r="C71" s="710"/>
      <c r="D71" s="710"/>
      <c r="E71" s="251">
        <f t="shared" ref="E71:E89" si="14">C71-D71</f>
        <v>0</v>
      </c>
      <c r="F71" s="254">
        <f>beleidsregelwaarden!F38</f>
        <v>260.12</v>
      </c>
      <c r="G71" s="254">
        <f>beleidsregelwaarden!G38</f>
        <v>58.04</v>
      </c>
      <c r="H71" s="252">
        <f t="shared" si="11"/>
        <v>0</v>
      </c>
      <c r="I71" s="252">
        <f t="shared" si="12"/>
        <v>0</v>
      </c>
      <c r="J71" s="252">
        <f t="shared" si="13"/>
        <v>0</v>
      </c>
      <c r="L71" s="46"/>
      <c r="M71" s="187"/>
      <c r="N71" s="187"/>
      <c r="O71" s="616"/>
      <c r="P71" s="616"/>
      <c r="Q71" s="616"/>
      <c r="R71" s="616"/>
      <c r="S71" s="616"/>
      <c r="T71" s="616"/>
    </row>
    <row r="72" spans="1:20" ht="12" customHeight="1" x14ac:dyDescent="0.15">
      <c r="A72" s="256">
        <f t="shared" si="10"/>
        <v>617</v>
      </c>
      <c r="B72" s="254" t="s">
        <v>97</v>
      </c>
      <c r="C72" s="710"/>
      <c r="D72" s="710"/>
      <c r="E72" s="251">
        <f t="shared" si="14"/>
        <v>0</v>
      </c>
      <c r="F72" s="254">
        <f>beleidsregelwaarden!F39</f>
        <v>518.45000000000005</v>
      </c>
      <c r="G72" s="254">
        <f>beleidsregelwaarden!G39</f>
        <v>115.67</v>
      </c>
      <c r="H72" s="252">
        <f t="shared" si="11"/>
        <v>0</v>
      </c>
      <c r="I72" s="252">
        <f t="shared" si="12"/>
        <v>0</v>
      </c>
      <c r="J72" s="252">
        <f t="shared" si="13"/>
        <v>0</v>
      </c>
      <c r="L72" s="46"/>
      <c r="M72" s="187"/>
      <c r="N72" s="187"/>
      <c r="O72" s="616"/>
      <c r="P72" s="616"/>
      <c r="Q72" s="616"/>
      <c r="R72" s="616"/>
      <c r="S72" s="616"/>
      <c r="T72" s="616"/>
    </row>
    <row r="73" spans="1:20" ht="12" customHeight="1" x14ac:dyDescent="0.15">
      <c r="A73" s="256">
        <f t="shared" si="10"/>
        <v>618</v>
      </c>
      <c r="B73" s="254" t="s">
        <v>98</v>
      </c>
      <c r="C73" s="710"/>
      <c r="D73" s="710"/>
      <c r="E73" s="251">
        <f t="shared" si="14"/>
        <v>0</v>
      </c>
      <c r="F73" s="254">
        <f>beleidsregelwaarden!F40</f>
        <v>938.89</v>
      </c>
      <c r="G73" s="254">
        <f>beleidsregelwaarden!G40</f>
        <v>209.47</v>
      </c>
      <c r="H73" s="252">
        <f t="shared" si="11"/>
        <v>0</v>
      </c>
      <c r="I73" s="252">
        <f t="shared" si="12"/>
        <v>0</v>
      </c>
      <c r="J73" s="252">
        <f t="shared" si="13"/>
        <v>0</v>
      </c>
      <c r="L73" s="46"/>
      <c r="M73" s="187"/>
      <c r="N73" s="187"/>
      <c r="O73" s="616"/>
      <c r="P73" s="616"/>
      <c r="Q73" s="616"/>
      <c r="R73" s="616"/>
      <c r="S73" s="616"/>
      <c r="T73" s="616"/>
    </row>
    <row r="74" spans="1:20" ht="12" customHeight="1" x14ac:dyDescent="0.15">
      <c r="A74" s="256">
        <f t="shared" si="10"/>
        <v>619</v>
      </c>
      <c r="B74" s="254" t="s">
        <v>913</v>
      </c>
      <c r="C74" s="710"/>
      <c r="D74" s="710"/>
      <c r="E74" s="251">
        <f t="shared" si="14"/>
        <v>0</v>
      </c>
      <c r="F74" s="254">
        <f>beleidsregelwaarden!B23</f>
        <v>1971.26</v>
      </c>
      <c r="G74" s="254">
        <f>beleidsregelwaarden!C23</f>
        <v>311.20999999999998</v>
      </c>
      <c r="H74" s="252">
        <f t="shared" si="11"/>
        <v>0</v>
      </c>
      <c r="I74" s="252">
        <f t="shared" si="12"/>
        <v>0</v>
      </c>
      <c r="J74" s="252">
        <f t="shared" si="13"/>
        <v>0</v>
      </c>
      <c r="L74" s="46"/>
      <c r="M74" s="187"/>
      <c r="N74" s="187"/>
      <c r="O74" s="616"/>
      <c r="P74" s="616"/>
      <c r="Q74" s="616"/>
      <c r="R74" s="616"/>
      <c r="S74" s="616"/>
      <c r="T74" s="616"/>
    </row>
    <row r="75" spans="1:20" ht="12" customHeight="1" x14ac:dyDescent="0.15">
      <c r="A75" s="256">
        <f t="shared" si="10"/>
        <v>620</v>
      </c>
      <c r="B75" s="254" t="s">
        <v>286</v>
      </c>
      <c r="C75" s="710"/>
      <c r="D75" s="710"/>
      <c r="E75" s="251">
        <f t="shared" si="14"/>
        <v>0</v>
      </c>
      <c r="F75" s="254">
        <f>beleidsregelwaarden!F18</f>
        <v>1232.04</v>
      </c>
      <c r="G75" s="254">
        <f>beleidsregelwaarden!G18</f>
        <v>74.44</v>
      </c>
      <c r="H75" s="252">
        <f t="shared" si="11"/>
        <v>0</v>
      </c>
      <c r="I75" s="252">
        <f t="shared" si="12"/>
        <v>0</v>
      </c>
      <c r="J75" s="252">
        <f t="shared" si="13"/>
        <v>0</v>
      </c>
      <c r="L75" s="46"/>
      <c r="M75" s="187"/>
      <c r="N75" s="187"/>
      <c r="O75" s="616"/>
      <c r="P75" s="616"/>
      <c r="Q75" s="616"/>
      <c r="R75" s="616"/>
      <c r="S75" s="616"/>
      <c r="T75" s="616"/>
    </row>
    <row r="76" spans="1:20" ht="12" customHeight="1" x14ac:dyDescent="0.15">
      <c r="A76" s="256">
        <f t="shared" si="10"/>
        <v>621</v>
      </c>
      <c r="B76" s="254" t="s">
        <v>287</v>
      </c>
      <c r="C76" s="710"/>
      <c r="D76" s="710"/>
      <c r="E76" s="251">
        <f t="shared" si="14"/>
        <v>0</v>
      </c>
      <c r="F76" s="254">
        <f>beleidsregelwaarden!F19</f>
        <v>41.76</v>
      </c>
      <c r="G76" s="254">
        <f>beleidsregelwaarden!G19</f>
        <v>21.55</v>
      </c>
      <c r="H76" s="252">
        <f t="shared" si="11"/>
        <v>0</v>
      </c>
      <c r="I76" s="252">
        <f t="shared" si="12"/>
        <v>0</v>
      </c>
      <c r="J76" s="252">
        <f t="shared" si="13"/>
        <v>0</v>
      </c>
      <c r="L76" s="46"/>
      <c r="M76" s="187"/>
      <c r="N76" s="187"/>
      <c r="O76" s="616"/>
      <c r="P76" s="616"/>
      <c r="Q76" s="616"/>
      <c r="R76" s="616"/>
      <c r="S76" s="616"/>
      <c r="T76" s="616"/>
    </row>
    <row r="77" spans="1:20" ht="12" customHeight="1" x14ac:dyDescent="0.15">
      <c r="A77" s="256">
        <f t="shared" si="10"/>
        <v>622</v>
      </c>
      <c r="B77" s="254" t="s">
        <v>291</v>
      </c>
      <c r="C77" s="710"/>
      <c r="D77" s="710"/>
      <c r="E77" s="251">
        <f t="shared" si="14"/>
        <v>0</v>
      </c>
      <c r="F77" s="254">
        <f>beleidsregelwaarden!F20</f>
        <v>2736.94</v>
      </c>
      <c r="G77" s="254">
        <f>beleidsregelwaarden!G20</f>
        <v>1202.0899999999999</v>
      </c>
      <c r="H77" s="252">
        <f t="shared" si="11"/>
        <v>0</v>
      </c>
      <c r="I77" s="252">
        <f t="shared" si="12"/>
        <v>0</v>
      </c>
      <c r="J77" s="252">
        <f t="shared" si="13"/>
        <v>0</v>
      </c>
      <c r="L77" s="46"/>
      <c r="M77" s="187"/>
      <c r="N77" s="187"/>
      <c r="O77" s="616"/>
      <c r="P77" s="616"/>
      <c r="Q77" s="616"/>
      <c r="R77" s="616"/>
      <c r="S77" s="616"/>
      <c r="T77" s="616"/>
    </row>
    <row r="78" spans="1:20" ht="12" customHeight="1" x14ac:dyDescent="0.15">
      <c r="A78" s="256">
        <f t="shared" si="10"/>
        <v>623</v>
      </c>
      <c r="B78" s="254" t="s">
        <v>292</v>
      </c>
      <c r="C78" s="710"/>
      <c r="D78" s="710"/>
      <c r="E78" s="251">
        <f t="shared" si="14"/>
        <v>0</v>
      </c>
      <c r="F78" s="254">
        <f>beleidsregelwaarden!F21</f>
        <v>690.81</v>
      </c>
      <c r="G78" s="254">
        <f>beleidsregelwaarden!G21</f>
        <v>118.8</v>
      </c>
      <c r="H78" s="252">
        <f t="shared" si="11"/>
        <v>0</v>
      </c>
      <c r="I78" s="252">
        <f t="shared" si="12"/>
        <v>0</v>
      </c>
      <c r="J78" s="252">
        <f t="shared" si="13"/>
        <v>0</v>
      </c>
      <c r="L78" s="46"/>
      <c r="M78" s="187"/>
      <c r="N78" s="187"/>
      <c r="O78" s="616"/>
      <c r="P78" s="616"/>
      <c r="Q78" s="616"/>
      <c r="R78" s="616"/>
      <c r="S78" s="616"/>
      <c r="T78" s="616"/>
    </row>
    <row r="79" spans="1:20" ht="12" customHeight="1" x14ac:dyDescent="0.15">
      <c r="A79" s="256">
        <f t="shared" si="10"/>
        <v>624</v>
      </c>
      <c r="B79" s="254" t="s">
        <v>872</v>
      </c>
      <c r="C79" s="710"/>
      <c r="D79" s="710"/>
      <c r="E79" s="251">
        <f>C79-D79</f>
        <v>0</v>
      </c>
      <c r="F79" s="254">
        <f>beleidsregelwaarden!F22</f>
        <v>5715.91</v>
      </c>
      <c r="G79" s="254">
        <f>beleidsregelwaarden!G22</f>
        <v>1151.6199999999999</v>
      </c>
      <c r="H79" s="252">
        <f t="shared" si="11"/>
        <v>0</v>
      </c>
      <c r="I79" s="252">
        <f t="shared" si="12"/>
        <v>0</v>
      </c>
      <c r="J79" s="252">
        <f t="shared" si="13"/>
        <v>0</v>
      </c>
      <c r="L79" s="46"/>
      <c r="M79" s="187"/>
      <c r="N79" s="187"/>
      <c r="O79" s="616"/>
      <c r="P79" s="616"/>
      <c r="Q79" s="616"/>
      <c r="R79" s="616"/>
      <c r="S79" s="616"/>
      <c r="T79" s="616"/>
    </row>
    <row r="80" spans="1:20" ht="12" customHeight="1" x14ac:dyDescent="0.15">
      <c r="A80" s="256">
        <f t="shared" si="10"/>
        <v>625</v>
      </c>
      <c r="B80" s="254" t="s">
        <v>871</v>
      </c>
      <c r="C80" s="710"/>
      <c r="D80" s="710"/>
      <c r="E80" s="251">
        <f>C80-D80</f>
        <v>0</v>
      </c>
      <c r="F80" s="254">
        <f>beleidsregelwaarden!F23</f>
        <v>6210.68</v>
      </c>
      <c r="G80" s="254">
        <f>beleidsregelwaarden!G23</f>
        <v>1444.91</v>
      </c>
      <c r="H80" s="252">
        <f t="shared" si="11"/>
        <v>0</v>
      </c>
      <c r="I80" s="252">
        <f t="shared" si="12"/>
        <v>0</v>
      </c>
      <c r="J80" s="252">
        <f t="shared" si="13"/>
        <v>0</v>
      </c>
      <c r="L80" s="46"/>
      <c r="M80" s="187"/>
      <c r="N80" s="187"/>
      <c r="O80" s="616"/>
      <c r="P80" s="616"/>
      <c r="Q80" s="616"/>
      <c r="R80" s="616"/>
      <c r="S80" s="616"/>
      <c r="T80" s="616"/>
    </row>
    <row r="81" spans="1:20" ht="12" customHeight="1" x14ac:dyDescent="0.15">
      <c r="A81" s="256">
        <f t="shared" si="10"/>
        <v>626</v>
      </c>
      <c r="B81" s="254" t="s">
        <v>874</v>
      </c>
      <c r="C81" s="710"/>
      <c r="D81" s="710"/>
      <c r="E81" s="251">
        <f t="shared" si="14"/>
        <v>0</v>
      </c>
      <c r="F81" s="254">
        <f>beleidsregelwaarden!B77</f>
        <v>381.29</v>
      </c>
      <c r="G81" s="254">
        <f>beleidsregelwaarden!C77</f>
        <v>59.84</v>
      </c>
      <c r="H81" s="252">
        <f t="shared" si="11"/>
        <v>0</v>
      </c>
      <c r="I81" s="252">
        <f t="shared" si="12"/>
        <v>0</v>
      </c>
      <c r="J81" s="252">
        <f t="shared" si="13"/>
        <v>0</v>
      </c>
      <c r="L81" s="46"/>
      <c r="M81" s="187"/>
      <c r="N81" s="187"/>
      <c r="O81" s="616"/>
      <c r="P81" s="616"/>
      <c r="Q81" s="616"/>
      <c r="R81" s="616"/>
      <c r="S81" s="616"/>
      <c r="T81" s="616"/>
    </row>
    <row r="82" spans="1:20" ht="12" customHeight="1" x14ac:dyDescent="0.15">
      <c r="A82" s="256">
        <f t="shared" si="10"/>
        <v>627</v>
      </c>
      <c r="B82" s="254" t="s">
        <v>875</v>
      </c>
      <c r="C82" s="710"/>
      <c r="D82" s="710"/>
      <c r="E82" s="251">
        <f t="shared" si="14"/>
        <v>0</v>
      </c>
      <c r="F82" s="254">
        <f>beleidsregelwaarden!B78</f>
        <v>1221.3499999999999</v>
      </c>
      <c r="G82" s="254">
        <f>beleidsregelwaarden!C78</f>
        <v>190.34</v>
      </c>
      <c r="H82" s="252">
        <f t="shared" si="11"/>
        <v>0</v>
      </c>
      <c r="I82" s="252">
        <f t="shared" si="12"/>
        <v>0</v>
      </c>
      <c r="J82" s="252">
        <f t="shared" si="13"/>
        <v>0</v>
      </c>
      <c r="L82" s="46"/>
      <c r="M82" s="187"/>
      <c r="N82" s="187"/>
      <c r="O82" s="616"/>
      <c r="P82" s="616"/>
      <c r="Q82" s="616"/>
      <c r="R82" s="616"/>
      <c r="S82" s="616"/>
      <c r="T82" s="616"/>
    </row>
    <row r="83" spans="1:20" ht="12" customHeight="1" x14ac:dyDescent="0.15">
      <c r="A83" s="256">
        <f t="shared" si="10"/>
        <v>628</v>
      </c>
      <c r="B83" s="254" t="s">
        <v>876</v>
      </c>
      <c r="C83" s="710"/>
      <c r="D83" s="710"/>
      <c r="E83" s="251">
        <f t="shared" si="14"/>
        <v>0</v>
      </c>
      <c r="F83" s="254">
        <f>beleidsregelwaarden!B79</f>
        <v>2092.5500000000002</v>
      </c>
      <c r="G83" s="254">
        <f>beleidsregelwaarden!C79</f>
        <v>325.98</v>
      </c>
      <c r="H83" s="252">
        <f t="shared" si="11"/>
        <v>0</v>
      </c>
      <c r="I83" s="252">
        <f t="shared" si="12"/>
        <v>0</v>
      </c>
      <c r="J83" s="252">
        <f t="shared" si="13"/>
        <v>0</v>
      </c>
      <c r="L83" s="46"/>
      <c r="M83" s="187"/>
      <c r="N83" s="187"/>
      <c r="O83" s="616"/>
      <c r="P83" s="616"/>
      <c r="Q83" s="616"/>
      <c r="R83" s="616"/>
      <c r="S83" s="616"/>
      <c r="T83" s="616"/>
    </row>
    <row r="84" spans="1:20" ht="12" customHeight="1" x14ac:dyDescent="0.15">
      <c r="A84" s="256">
        <f t="shared" si="10"/>
        <v>629</v>
      </c>
      <c r="B84" s="254" t="s">
        <v>877</v>
      </c>
      <c r="C84" s="710"/>
      <c r="D84" s="710"/>
      <c r="E84" s="251">
        <f t="shared" si="14"/>
        <v>0</v>
      </c>
      <c r="F84" s="254">
        <f>beleidsregelwaarden!B80</f>
        <v>3515.27</v>
      </c>
      <c r="G84" s="254">
        <f>beleidsregelwaarden!C80</f>
        <v>547.09</v>
      </c>
      <c r="H84" s="252">
        <f t="shared" si="11"/>
        <v>0</v>
      </c>
      <c r="I84" s="252">
        <f t="shared" si="12"/>
        <v>0</v>
      </c>
      <c r="J84" s="252">
        <f t="shared" si="13"/>
        <v>0</v>
      </c>
      <c r="L84" s="46"/>
      <c r="M84" s="187"/>
      <c r="N84" s="187"/>
      <c r="O84" s="616"/>
      <c r="P84" s="616"/>
      <c r="Q84" s="616"/>
      <c r="R84" s="616"/>
      <c r="S84" s="616"/>
      <c r="T84" s="616"/>
    </row>
    <row r="85" spans="1:20" ht="12" customHeight="1" x14ac:dyDescent="0.15">
      <c r="A85" s="256">
        <f t="shared" si="10"/>
        <v>630</v>
      </c>
      <c r="B85" s="254" t="s">
        <v>878</v>
      </c>
      <c r="C85" s="710"/>
      <c r="D85" s="710"/>
      <c r="E85" s="251">
        <f t="shared" si="14"/>
        <v>0</v>
      </c>
      <c r="F85" s="254">
        <f>beleidsregelwaarden!B81</f>
        <v>185.45</v>
      </c>
      <c r="G85" s="254">
        <f>beleidsregelwaarden!C81</f>
        <v>29.06</v>
      </c>
      <c r="H85" s="252">
        <f t="shared" si="11"/>
        <v>0</v>
      </c>
      <c r="I85" s="252">
        <f t="shared" si="12"/>
        <v>0</v>
      </c>
      <c r="J85" s="252">
        <f t="shared" si="13"/>
        <v>0</v>
      </c>
      <c r="L85" s="46"/>
      <c r="M85" s="187"/>
      <c r="N85" s="187"/>
      <c r="O85" s="616"/>
      <c r="P85" s="616"/>
      <c r="Q85" s="616"/>
      <c r="R85" s="616"/>
      <c r="S85" s="616"/>
      <c r="T85" s="616"/>
    </row>
    <row r="86" spans="1:20" ht="12" customHeight="1" x14ac:dyDescent="0.15">
      <c r="A86" s="256">
        <f t="shared" si="10"/>
        <v>631</v>
      </c>
      <c r="B86" s="254" t="s">
        <v>879</v>
      </c>
      <c r="C86" s="710"/>
      <c r="D86" s="710"/>
      <c r="E86" s="251">
        <f t="shared" si="14"/>
        <v>0</v>
      </c>
      <c r="F86" s="254">
        <f>beleidsregelwaarden!B82</f>
        <v>317.12</v>
      </c>
      <c r="G86" s="254">
        <f>beleidsregelwaarden!C82</f>
        <v>43.89</v>
      </c>
      <c r="H86" s="252">
        <f t="shared" si="11"/>
        <v>0</v>
      </c>
      <c r="I86" s="252">
        <f t="shared" si="12"/>
        <v>0</v>
      </c>
      <c r="J86" s="252">
        <f t="shared" si="13"/>
        <v>0</v>
      </c>
      <c r="L86" s="46"/>
      <c r="M86" s="187"/>
      <c r="N86" s="187"/>
      <c r="O86" s="616"/>
      <c r="P86" s="616"/>
      <c r="Q86" s="616"/>
      <c r="R86" s="616"/>
      <c r="S86" s="616"/>
      <c r="T86" s="616"/>
    </row>
    <row r="87" spans="1:20" ht="12" customHeight="1" x14ac:dyDescent="0.15">
      <c r="A87" s="256">
        <f t="shared" si="10"/>
        <v>632</v>
      </c>
      <c r="B87" s="254" t="s">
        <v>880</v>
      </c>
      <c r="C87" s="710"/>
      <c r="D87" s="710"/>
      <c r="E87" s="251">
        <f t="shared" si="14"/>
        <v>0</v>
      </c>
      <c r="F87" s="254">
        <f>beleidsregelwaarden!B83</f>
        <v>645.61</v>
      </c>
      <c r="G87" s="254">
        <f>beleidsregelwaarden!C83</f>
        <v>100.29</v>
      </c>
      <c r="H87" s="252">
        <f t="shared" si="11"/>
        <v>0</v>
      </c>
      <c r="I87" s="252">
        <f t="shared" si="12"/>
        <v>0</v>
      </c>
      <c r="J87" s="252">
        <f t="shared" si="13"/>
        <v>0</v>
      </c>
      <c r="L87" s="46"/>
      <c r="M87" s="187"/>
      <c r="N87" s="187"/>
      <c r="O87" s="616"/>
      <c r="P87" s="616"/>
      <c r="Q87" s="616"/>
      <c r="R87" s="616"/>
      <c r="S87" s="616"/>
      <c r="T87" s="616"/>
    </row>
    <row r="88" spans="1:20" ht="12" customHeight="1" x14ac:dyDescent="0.15">
      <c r="A88" s="256">
        <f t="shared" si="10"/>
        <v>633</v>
      </c>
      <c r="B88" s="254" t="s">
        <v>881</v>
      </c>
      <c r="C88" s="710"/>
      <c r="D88" s="710"/>
      <c r="E88" s="251">
        <f t="shared" si="14"/>
        <v>0</v>
      </c>
      <c r="F88" s="254">
        <f>beleidsregelwaarden!B84</f>
        <v>2284.92</v>
      </c>
      <c r="G88" s="254">
        <f>beleidsregelwaarden!C84</f>
        <v>356.19</v>
      </c>
      <c r="H88" s="252">
        <f t="shared" si="11"/>
        <v>0</v>
      </c>
      <c r="I88" s="252">
        <f t="shared" si="12"/>
        <v>0</v>
      </c>
      <c r="J88" s="252">
        <f t="shared" si="13"/>
        <v>0</v>
      </c>
      <c r="L88" s="46"/>
      <c r="M88" s="187"/>
      <c r="N88" s="187"/>
      <c r="O88" s="616"/>
      <c r="P88" s="617"/>
      <c r="Q88" s="617"/>
      <c r="R88" s="617"/>
      <c r="S88" s="617"/>
      <c r="T88" s="617"/>
    </row>
    <row r="89" spans="1:20" ht="12" customHeight="1" x14ac:dyDescent="0.15">
      <c r="A89" s="256">
        <f t="shared" si="10"/>
        <v>634</v>
      </c>
      <c r="B89" s="254" t="s">
        <v>882</v>
      </c>
      <c r="C89" s="710"/>
      <c r="D89" s="710"/>
      <c r="E89" s="251">
        <f t="shared" si="14"/>
        <v>0</v>
      </c>
      <c r="F89" s="254">
        <f>beleidsregelwaarden!B85</f>
        <v>2284.92</v>
      </c>
      <c r="G89" s="254">
        <f>beleidsregelwaarden!C85</f>
        <v>4923.24</v>
      </c>
      <c r="H89" s="252">
        <f t="shared" si="11"/>
        <v>0</v>
      </c>
      <c r="I89" s="252">
        <f t="shared" si="12"/>
        <v>0</v>
      </c>
      <c r="J89" s="252">
        <f t="shared" si="13"/>
        <v>0</v>
      </c>
      <c r="L89" s="46"/>
      <c r="M89" s="187"/>
      <c r="N89" s="187"/>
      <c r="O89" s="616"/>
      <c r="P89" s="617"/>
      <c r="Q89" s="617"/>
      <c r="R89" s="617"/>
      <c r="S89" s="617"/>
      <c r="T89" s="617"/>
    </row>
    <row r="90" spans="1:20" x14ac:dyDescent="0.15">
      <c r="A90" s="256">
        <f t="shared" si="10"/>
        <v>635</v>
      </c>
      <c r="B90" s="254" t="s">
        <v>883</v>
      </c>
      <c r="C90" s="710"/>
      <c r="D90" s="710"/>
      <c r="E90" s="251">
        <f>C90-D90</f>
        <v>0</v>
      </c>
      <c r="F90" s="254">
        <f>beleidsregelwaarden!F12</f>
        <v>0</v>
      </c>
      <c r="G90" s="254">
        <f>beleidsregelwaarden!G12</f>
        <v>3498.95</v>
      </c>
      <c r="H90" s="252">
        <f t="shared" si="11"/>
        <v>0</v>
      </c>
      <c r="I90" s="252">
        <f t="shared" si="12"/>
        <v>0</v>
      </c>
      <c r="J90" s="252">
        <f t="shared" si="13"/>
        <v>0</v>
      </c>
      <c r="L90" s="46"/>
      <c r="M90" s="187"/>
      <c r="N90" s="187"/>
      <c r="O90" s="616"/>
      <c r="P90" s="617"/>
      <c r="Q90" s="617"/>
      <c r="R90" s="617"/>
      <c r="S90" s="617"/>
      <c r="T90" s="617"/>
    </row>
    <row r="91" spans="1:20" ht="12" customHeight="1" x14ac:dyDescent="0.15">
      <c r="A91" s="256">
        <f t="shared" si="10"/>
        <v>636</v>
      </c>
      <c r="B91" s="254" t="s">
        <v>826</v>
      </c>
      <c r="C91" s="710"/>
      <c r="D91" s="710"/>
      <c r="E91" s="251">
        <f>C91-D91</f>
        <v>0</v>
      </c>
      <c r="F91" s="254">
        <f>'1.1  realisatie'!F16</f>
        <v>0</v>
      </c>
      <c r="G91" s="254">
        <f>'1.1  realisatie'!G16</f>
        <v>0</v>
      </c>
      <c r="H91" s="252">
        <f t="shared" si="11"/>
        <v>0</v>
      </c>
      <c r="I91" s="252">
        <f t="shared" si="12"/>
        <v>0</v>
      </c>
      <c r="J91" s="252">
        <f t="shared" si="13"/>
        <v>0</v>
      </c>
      <c r="M91" s="187"/>
      <c r="N91" s="187"/>
      <c r="O91" s="616"/>
      <c r="P91" s="616"/>
      <c r="Q91" s="616"/>
      <c r="R91" s="617"/>
      <c r="S91" s="617"/>
      <c r="T91" s="617"/>
    </row>
    <row r="92" spans="1:20" ht="12" customHeight="1" x14ac:dyDescent="0.15">
      <c r="A92" s="256">
        <f t="shared" si="10"/>
        <v>637</v>
      </c>
      <c r="B92" s="255" t="s">
        <v>828</v>
      </c>
      <c r="C92" s="255"/>
      <c r="D92" s="255"/>
      <c r="E92" s="255"/>
      <c r="F92" s="255"/>
      <c r="G92" s="256"/>
      <c r="H92" s="296">
        <f>SUM(H56:H91)</f>
        <v>0</v>
      </c>
      <c r="I92" s="296">
        <f>SUM(I56:I91)</f>
        <v>0</v>
      </c>
      <c r="J92" s="296">
        <f>SUM(J56:J91)</f>
        <v>0</v>
      </c>
      <c r="N92" s="187"/>
      <c r="O92" s="616"/>
      <c r="P92" s="616"/>
      <c r="Q92" s="616"/>
      <c r="R92" s="617"/>
      <c r="S92" s="617"/>
      <c r="T92" s="617"/>
    </row>
    <row r="93" spans="1:20" s="355" customFormat="1" ht="12" customHeight="1" x14ac:dyDescent="0.15">
      <c r="A93" s="679" t="s">
        <v>564</v>
      </c>
      <c r="B93" s="679"/>
      <c r="C93" s="679"/>
      <c r="D93" s="679"/>
      <c r="E93" s="680"/>
      <c r="F93" s="680"/>
      <c r="G93" s="680"/>
      <c r="H93" s="681"/>
      <c r="I93" s="681"/>
      <c r="J93" s="681"/>
      <c r="N93" s="555"/>
      <c r="O93" s="616"/>
      <c r="P93" s="616"/>
      <c r="Q93" s="616"/>
      <c r="R93" s="617"/>
      <c r="S93" s="617"/>
      <c r="T93" s="617"/>
    </row>
    <row r="94" spans="1:20" ht="32.25" customHeight="1" x14ac:dyDescent="0.15">
      <c r="A94" s="1316" t="str">
        <f>CONCATENATE("** U dient voor de kolommen realisatie ",Voorblad!$K$4," en rekenstaat ",Voorblad!$K$4," het totaal aantal 24-uurs beademingsdagen op te nemen inclusief de eerste 1000. Voor de berekeningen van de budgetmutatie ",Voorblad!$K$4," geldt alleen het aantal dagen boven 1.000, in de formules is hiermee rekening gehouden. Voor een verder toelichting verwijzen wij u naar onze circuliaire MA/mt/I/03/42c d.d. 17 juli 2003.")</f>
        <v>** U dient voor de kolommen realisatie 2012 en rekenstaat 2012 het totaal aantal 24-uurs beademingsdagen op te nemen inclusief de eerste 1000. Voor de berekeningen van de budgetmutatie 2012 geldt alleen het aantal dagen boven 1.000, in de formules is hiermee rekening gehouden. Voor een verder toelichting verwijzen wij u naar onze circuliaire MA/mt/I/03/42c d.d. 17 juli 2003.</v>
      </c>
      <c r="B94" s="1316"/>
      <c r="C94" s="1316"/>
      <c r="D94" s="1316"/>
      <c r="E94" s="1316"/>
      <c r="F94" s="1316"/>
      <c r="G94" s="1316"/>
      <c r="H94" s="1316"/>
      <c r="I94" s="1316"/>
      <c r="J94" s="1316"/>
      <c r="N94" s="187"/>
      <c r="O94" s="616"/>
      <c r="P94" s="616"/>
      <c r="Q94" s="616"/>
      <c r="R94" s="617"/>
      <c r="S94" s="617"/>
      <c r="T94" s="617"/>
    </row>
    <row r="95" spans="1:20" ht="24.75" customHeight="1" x14ac:dyDescent="0.15">
      <c r="A95" s="1310" t="s">
        <v>293</v>
      </c>
      <c r="B95" s="1310"/>
      <c r="C95" s="1310"/>
      <c r="D95" s="1310"/>
      <c r="E95" s="1310"/>
      <c r="F95" s="1310"/>
      <c r="G95" s="1310"/>
      <c r="H95" s="1310"/>
      <c r="I95" s="1310"/>
      <c r="J95" s="1310"/>
    </row>
    <row r="96" spans="1:20" s="40" customFormat="1" ht="15.75" customHeight="1" x14ac:dyDescent="0.15">
      <c r="A96" s="704" t="str">
        <f>A50</f>
        <v>Vaststelling Transitiebedrag 2012</v>
      </c>
      <c r="E96" s="69">
        <f>Voorblad!D76</f>
        <v>0</v>
      </c>
      <c r="J96" s="42">
        <f>J50+1</f>
        <v>7</v>
      </c>
      <c r="O96" s="608"/>
      <c r="P96" s="608"/>
      <c r="Q96" s="608"/>
      <c r="R96" s="608"/>
      <c r="S96" s="608"/>
      <c r="T96" s="608"/>
    </row>
    <row r="97" spans="1:10" x14ac:dyDescent="0.15">
      <c r="A97" s="174"/>
      <c r="B97" s="683"/>
      <c r="C97" s="683"/>
      <c r="D97" s="683"/>
      <c r="E97" s="683"/>
      <c r="F97" s="683"/>
      <c r="G97" s="683"/>
      <c r="H97" s="683"/>
      <c r="I97" s="683"/>
      <c r="J97" s="683"/>
    </row>
    <row r="98" spans="1:10" x14ac:dyDescent="0.15">
      <c r="A98" s="702" t="str">
        <f>"Vervolg productieaantallen en realisatie "&amp;Voorblad!K4</f>
        <v>Vervolg productieaantallen en realisatie 2012</v>
      </c>
      <c r="B98" s="59"/>
      <c r="C98" s="189" t="s">
        <v>575</v>
      </c>
      <c r="D98" s="189" t="s">
        <v>732</v>
      </c>
      <c r="E98" s="1303" t="s">
        <v>574</v>
      </c>
      <c r="F98" s="1306" t="s">
        <v>573</v>
      </c>
      <c r="G98" s="1307"/>
      <c r="H98" s="1308" t="s">
        <v>593</v>
      </c>
      <c r="I98" s="1309"/>
      <c r="J98" s="189" t="s">
        <v>768</v>
      </c>
    </row>
    <row r="99" spans="1:10" x14ac:dyDescent="0.15">
      <c r="A99" s="702"/>
      <c r="B99" s="59"/>
      <c r="C99" s="713"/>
      <c r="D99" s="714"/>
      <c r="E99" s="1304"/>
      <c r="F99" s="708"/>
      <c r="G99" s="707"/>
      <c r="H99" s="709"/>
      <c r="I99" s="288"/>
      <c r="J99" s="713"/>
    </row>
    <row r="100" spans="1:10" ht="11.25" customHeight="1" x14ac:dyDescent="0.15">
      <c r="C100" s="190">
        <f>Voorblad!K4</f>
        <v>2012</v>
      </c>
      <c r="D100" s="190">
        <f>C100</f>
        <v>2012</v>
      </c>
      <c r="E100" s="1305"/>
      <c r="F100" s="188" t="s">
        <v>889</v>
      </c>
      <c r="G100" s="188" t="s">
        <v>890</v>
      </c>
      <c r="H100" s="198" t="s">
        <v>889</v>
      </c>
      <c r="I100" s="198" t="s">
        <v>890</v>
      </c>
      <c r="J100" s="190" t="str">
        <f>CONCATENATE("FB ",Voorblad!D71)</f>
        <v xml:space="preserve">FB </v>
      </c>
    </row>
    <row r="101" spans="1:10" x14ac:dyDescent="0.15">
      <c r="B101" s="207"/>
      <c r="C101" s="208"/>
      <c r="D101" s="208"/>
      <c r="E101" s="208"/>
      <c r="F101" s="208"/>
      <c r="G101" s="208"/>
      <c r="H101" s="203"/>
      <c r="I101" s="203"/>
      <c r="J101" s="203"/>
    </row>
    <row r="102" spans="1:10" x14ac:dyDescent="0.15">
      <c r="A102" s="256">
        <f>J96*100+1</f>
        <v>701</v>
      </c>
      <c r="B102" s="254" t="s">
        <v>191</v>
      </c>
      <c r="C102" s="72"/>
      <c r="D102" s="72"/>
      <c r="E102" s="251"/>
      <c r="F102" s="254"/>
      <c r="G102" s="254"/>
      <c r="H102" s="252">
        <f>H92</f>
        <v>0</v>
      </c>
      <c r="I102" s="252">
        <f>I92</f>
        <v>0</v>
      </c>
      <c r="J102" s="252">
        <f>J92</f>
        <v>0</v>
      </c>
    </row>
    <row r="103" spans="1:10" x14ac:dyDescent="0.15">
      <c r="A103" s="256">
        <f>A102+1</f>
        <v>702</v>
      </c>
      <c r="B103" s="254" t="s">
        <v>724</v>
      </c>
      <c r="C103" s="710"/>
      <c r="D103" s="710"/>
      <c r="E103" s="251">
        <f>C103-D103</f>
        <v>0</v>
      </c>
      <c r="F103" s="254">
        <f>beleidsregelwaarden!F15</f>
        <v>22369.25</v>
      </c>
      <c r="G103" s="254">
        <f>beleidsregelwaarden!G15</f>
        <v>0</v>
      </c>
      <c r="H103" s="252">
        <f>ROUND($E103*(F103*$S$10),2)</f>
        <v>0</v>
      </c>
      <c r="I103" s="252">
        <f>ROUND($E103*(G103*$T$10),2)</f>
        <v>0</v>
      </c>
      <c r="J103" s="252">
        <f t="shared" ref="J103:J129" si="15">ROUND(C103*ROUND(F103*S$10,2),0)+ROUND(C103*ROUND(G103*T$10,2),0)</f>
        <v>0</v>
      </c>
    </row>
    <row r="104" spans="1:10" x14ac:dyDescent="0.15">
      <c r="A104" s="256">
        <f t="shared" ref="A104:A130" si="16">A103+1</f>
        <v>703</v>
      </c>
      <c r="B104" s="254" t="s">
        <v>725</v>
      </c>
      <c r="C104" s="710"/>
      <c r="D104" s="710"/>
      <c r="E104" s="251">
        <f t="shared" ref="E104:E129" si="17">C104-D104</f>
        <v>0</v>
      </c>
      <c r="F104" s="254">
        <f>beleidsregelwaarden!F16</f>
        <v>712.89</v>
      </c>
      <c r="G104" s="254">
        <f>beleidsregelwaarden!G16</f>
        <v>0</v>
      </c>
      <c r="H104" s="252">
        <f t="shared" ref="H104:H129" si="18">ROUND($E104*(F104*$S$10),2)</f>
        <v>0</v>
      </c>
      <c r="I104" s="252">
        <f t="shared" ref="I104:I129" si="19">ROUND($E104*(G104*$T$10),2)</f>
        <v>0</v>
      </c>
      <c r="J104" s="252">
        <f t="shared" si="15"/>
        <v>0</v>
      </c>
    </row>
    <row r="105" spans="1:10" x14ac:dyDescent="0.15">
      <c r="A105" s="256">
        <f t="shared" si="16"/>
        <v>704</v>
      </c>
      <c r="B105" s="254" t="s">
        <v>186</v>
      </c>
      <c r="C105" s="710"/>
      <c r="D105" s="710"/>
      <c r="E105" s="251">
        <f t="shared" si="17"/>
        <v>0</v>
      </c>
      <c r="F105" s="254">
        <f>beleidsregelwaarden!B35</f>
        <v>9620.92</v>
      </c>
      <c r="G105" s="254">
        <f>beleidsregelwaarden!C35</f>
        <v>5528.38</v>
      </c>
      <c r="H105" s="252">
        <f t="shared" si="18"/>
        <v>0</v>
      </c>
      <c r="I105" s="252">
        <f t="shared" si="19"/>
        <v>0</v>
      </c>
      <c r="J105" s="252">
        <f t="shared" si="15"/>
        <v>0</v>
      </c>
    </row>
    <row r="106" spans="1:10" x14ac:dyDescent="0.15">
      <c r="A106" s="256">
        <f t="shared" si="16"/>
        <v>705</v>
      </c>
      <c r="B106" s="254" t="s">
        <v>715</v>
      </c>
      <c r="C106" s="710"/>
      <c r="D106" s="710"/>
      <c r="E106" s="251">
        <f t="shared" si="17"/>
        <v>0</v>
      </c>
      <c r="F106" s="254">
        <f>beleidsregelwaarden!B54</f>
        <v>8957.19</v>
      </c>
      <c r="G106" s="254">
        <f>beleidsregelwaarden!C54</f>
        <v>45857.74</v>
      </c>
      <c r="H106" s="252">
        <f t="shared" si="18"/>
        <v>0</v>
      </c>
      <c r="I106" s="252">
        <f t="shared" si="19"/>
        <v>0</v>
      </c>
      <c r="J106" s="252">
        <f t="shared" si="15"/>
        <v>0</v>
      </c>
    </row>
    <row r="107" spans="1:10" x14ac:dyDescent="0.15">
      <c r="A107" s="256">
        <f t="shared" si="16"/>
        <v>706</v>
      </c>
      <c r="B107" s="254" t="s">
        <v>716</v>
      </c>
      <c r="C107" s="710"/>
      <c r="D107" s="710"/>
      <c r="E107" s="251">
        <f t="shared" si="17"/>
        <v>0</v>
      </c>
      <c r="F107" s="254">
        <f>beleidsregelwaarden!B55</f>
        <v>2037.77</v>
      </c>
      <c r="G107" s="254">
        <f>beleidsregelwaarden!C55</f>
        <v>1427.47</v>
      </c>
      <c r="H107" s="252">
        <f t="shared" si="18"/>
        <v>0</v>
      </c>
      <c r="I107" s="252">
        <f t="shared" si="19"/>
        <v>0</v>
      </c>
      <c r="J107" s="252">
        <f t="shared" si="15"/>
        <v>0</v>
      </c>
    </row>
    <row r="108" spans="1:10" x14ac:dyDescent="0.15">
      <c r="A108" s="256">
        <f t="shared" si="16"/>
        <v>707</v>
      </c>
      <c r="B108" s="254" t="s">
        <v>720</v>
      </c>
      <c r="C108" s="710"/>
      <c r="D108" s="710"/>
      <c r="E108" s="251">
        <f t="shared" si="17"/>
        <v>0</v>
      </c>
      <c r="F108" s="254">
        <f>beleidsregelwaarden!B56</f>
        <v>7354.84</v>
      </c>
      <c r="G108" s="254">
        <f>beleidsregelwaarden!C56</f>
        <v>37744.17</v>
      </c>
      <c r="H108" s="252">
        <f t="shared" si="18"/>
        <v>0</v>
      </c>
      <c r="I108" s="252">
        <f t="shared" si="19"/>
        <v>0</v>
      </c>
      <c r="J108" s="252">
        <f t="shared" si="15"/>
        <v>0</v>
      </c>
    </row>
    <row r="109" spans="1:10" x14ac:dyDescent="0.15">
      <c r="A109" s="256">
        <f t="shared" si="16"/>
        <v>708</v>
      </c>
      <c r="B109" s="254" t="s">
        <v>721</v>
      </c>
      <c r="C109" s="710"/>
      <c r="D109" s="710"/>
      <c r="E109" s="251">
        <f t="shared" si="17"/>
        <v>0</v>
      </c>
      <c r="F109" s="254">
        <f>beleidsregelwaarden!B57</f>
        <v>1339.62</v>
      </c>
      <c r="G109" s="254">
        <f>beleidsregelwaarden!C57</f>
        <v>1872.56</v>
      </c>
      <c r="H109" s="252">
        <f t="shared" si="18"/>
        <v>0</v>
      </c>
      <c r="I109" s="252">
        <f t="shared" si="19"/>
        <v>0</v>
      </c>
      <c r="J109" s="252">
        <f t="shared" si="15"/>
        <v>0</v>
      </c>
    </row>
    <row r="110" spans="1:10" x14ac:dyDescent="0.15">
      <c r="A110" s="256">
        <f t="shared" si="16"/>
        <v>709</v>
      </c>
      <c r="B110" s="254" t="s">
        <v>122</v>
      </c>
      <c r="C110" s="710"/>
      <c r="D110" s="710"/>
      <c r="E110" s="251">
        <f t="shared" si="17"/>
        <v>0</v>
      </c>
      <c r="F110" s="254">
        <f>beleidsregelwaarden!B38</f>
        <v>25724.29</v>
      </c>
      <c r="G110" s="254">
        <f>beleidsregelwaarden!C38</f>
        <v>31745.89</v>
      </c>
      <c r="H110" s="252">
        <f t="shared" si="18"/>
        <v>0</v>
      </c>
      <c r="I110" s="252">
        <f t="shared" si="19"/>
        <v>0</v>
      </c>
      <c r="J110" s="252">
        <f t="shared" si="15"/>
        <v>0</v>
      </c>
    </row>
    <row r="111" spans="1:10" x14ac:dyDescent="0.15">
      <c r="A111" s="256">
        <f t="shared" si="16"/>
        <v>710</v>
      </c>
      <c r="B111" s="254" t="s">
        <v>123</v>
      </c>
      <c r="C111" s="710"/>
      <c r="D111" s="710"/>
      <c r="E111" s="251">
        <f t="shared" si="17"/>
        <v>0</v>
      </c>
      <c r="F111" s="254">
        <f>beleidsregelwaarden!B39</f>
        <v>14842.66</v>
      </c>
      <c r="G111" s="254">
        <f>beleidsregelwaarden!C39</f>
        <v>29619.040000000001</v>
      </c>
      <c r="H111" s="252">
        <f t="shared" si="18"/>
        <v>0</v>
      </c>
      <c r="I111" s="252">
        <f t="shared" si="19"/>
        <v>0</v>
      </c>
      <c r="J111" s="252">
        <f t="shared" si="15"/>
        <v>0</v>
      </c>
    </row>
    <row r="112" spans="1:10" x14ac:dyDescent="0.15">
      <c r="A112" s="256">
        <f t="shared" si="16"/>
        <v>711</v>
      </c>
      <c r="B112" s="254" t="s">
        <v>124</v>
      </c>
      <c r="C112" s="710"/>
      <c r="D112" s="710"/>
      <c r="E112" s="251">
        <f t="shared" si="17"/>
        <v>0</v>
      </c>
      <c r="F112" s="254">
        <f>beleidsregelwaarden!B40</f>
        <v>74502.48</v>
      </c>
      <c r="G112" s="254">
        <f>beleidsregelwaarden!C40</f>
        <v>63506.13</v>
      </c>
      <c r="H112" s="252">
        <f t="shared" si="18"/>
        <v>0</v>
      </c>
      <c r="I112" s="252">
        <f t="shared" si="19"/>
        <v>0</v>
      </c>
      <c r="J112" s="252">
        <f t="shared" si="15"/>
        <v>0</v>
      </c>
    </row>
    <row r="113" spans="1:10" x14ac:dyDescent="0.15">
      <c r="A113" s="256">
        <f t="shared" si="16"/>
        <v>712</v>
      </c>
      <c r="B113" s="254" t="s">
        <v>125</v>
      </c>
      <c r="C113" s="710"/>
      <c r="D113" s="710"/>
      <c r="E113" s="251">
        <f t="shared" si="17"/>
        <v>0</v>
      </c>
      <c r="F113" s="254">
        <f>beleidsregelwaarden!B41</f>
        <v>7602.91</v>
      </c>
      <c r="G113" s="254">
        <f>beleidsregelwaarden!C41</f>
        <v>4220.8900000000003</v>
      </c>
      <c r="H113" s="252">
        <f t="shared" si="18"/>
        <v>0</v>
      </c>
      <c r="I113" s="252">
        <f t="shared" si="19"/>
        <v>0</v>
      </c>
      <c r="J113" s="252">
        <f t="shared" si="15"/>
        <v>0</v>
      </c>
    </row>
    <row r="114" spans="1:10" x14ac:dyDescent="0.15">
      <c r="A114" s="256">
        <f t="shared" si="16"/>
        <v>713</v>
      </c>
      <c r="B114" s="254" t="s">
        <v>703</v>
      </c>
      <c r="C114" s="710"/>
      <c r="D114" s="710"/>
      <c r="E114" s="251">
        <f t="shared" si="17"/>
        <v>0</v>
      </c>
      <c r="F114" s="254">
        <f>beleidsregelwaarden!B42</f>
        <v>22733.56</v>
      </c>
      <c r="G114" s="254">
        <f>beleidsregelwaarden!C42</f>
        <v>1940.69</v>
      </c>
      <c r="H114" s="252">
        <f t="shared" si="18"/>
        <v>0</v>
      </c>
      <c r="I114" s="252">
        <f t="shared" si="19"/>
        <v>0</v>
      </c>
      <c r="J114" s="252">
        <f t="shared" si="15"/>
        <v>0</v>
      </c>
    </row>
    <row r="115" spans="1:10" x14ac:dyDescent="0.15">
      <c r="A115" s="256">
        <f t="shared" si="16"/>
        <v>714</v>
      </c>
      <c r="B115" s="254" t="s">
        <v>704</v>
      </c>
      <c r="C115" s="710"/>
      <c r="D115" s="710"/>
      <c r="E115" s="251">
        <f t="shared" si="17"/>
        <v>0</v>
      </c>
      <c r="F115" s="254">
        <f>beleidsregelwaarden!B43</f>
        <v>48544.72</v>
      </c>
      <c r="G115" s="254">
        <f>beleidsregelwaarden!C43</f>
        <v>28460.41</v>
      </c>
      <c r="H115" s="252">
        <f t="shared" si="18"/>
        <v>0</v>
      </c>
      <c r="I115" s="252">
        <f t="shared" si="19"/>
        <v>0</v>
      </c>
      <c r="J115" s="252">
        <f t="shared" si="15"/>
        <v>0</v>
      </c>
    </row>
    <row r="116" spans="1:10" x14ac:dyDescent="0.15">
      <c r="A116" s="256">
        <f t="shared" si="16"/>
        <v>715</v>
      </c>
      <c r="B116" s="254" t="s">
        <v>705</v>
      </c>
      <c r="C116" s="710"/>
      <c r="D116" s="710"/>
      <c r="E116" s="251">
        <f t="shared" si="17"/>
        <v>0</v>
      </c>
      <c r="F116" s="254">
        <f>beleidsregelwaarden!B44</f>
        <v>17768.8</v>
      </c>
      <c r="G116" s="254">
        <f>beleidsregelwaarden!C44</f>
        <v>8173.02</v>
      </c>
      <c r="H116" s="252">
        <f t="shared" si="18"/>
        <v>0</v>
      </c>
      <c r="I116" s="252">
        <f t="shared" si="19"/>
        <v>0</v>
      </c>
      <c r="J116" s="252">
        <f t="shared" si="15"/>
        <v>0</v>
      </c>
    </row>
    <row r="117" spans="1:10" x14ac:dyDescent="0.15">
      <c r="A117" s="256">
        <f t="shared" si="16"/>
        <v>716</v>
      </c>
      <c r="B117" s="254" t="s">
        <v>706</v>
      </c>
      <c r="C117" s="710"/>
      <c r="D117" s="710"/>
      <c r="E117" s="251">
        <f t="shared" si="17"/>
        <v>0</v>
      </c>
      <c r="F117" s="254">
        <f>beleidsregelwaarden!B45</f>
        <v>635.20000000000005</v>
      </c>
      <c r="G117" s="254">
        <f>beleidsregelwaarden!C45</f>
        <v>2236.4299999999998</v>
      </c>
      <c r="H117" s="252">
        <f t="shared" si="18"/>
        <v>0</v>
      </c>
      <c r="I117" s="252">
        <f t="shared" si="19"/>
        <v>0</v>
      </c>
      <c r="J117" s="252">
        <f t="shared" si="15"/>
        <v>0</v>
      </c>
    </row>
    <row r="118" spans="1:10" x14ac:dyDescent="0.15">
      <c r="A118" s="256">
        <f t="shared" si="16"/>
        <v>717</v>
      </c>
      <c r="B118" s="254" t="s">
        <v>707</v>
      </c>
      <c r="C118" s="710"/>
      <c r="D118" s="710"/>
      <c r="E118" s="251">
        <f t="shared" si="17"/>
        <v>0</v>
      </c>
      <c r="F118" s="254">
        <f>beleidsregelwaarden!B46</f>
        <v>1231.95</v>
      </c>
      <c r="G118" s="254">
        <f>beleidsregelwaarden!C46</f>
        <v>4986.66</v>
      </c>
      <c r="H118" s="252">
        <f t="shared" si="18"/>
        <v>0</v>
      </c>
      <c r="I118" s="252">
        <f t="shared" si="19"/>
        <v>0</v>
      </c>
      <c r="J118" s="252">
        <f t="shared" si="15"/>
        <v>0</v>
      </c>
    </row>
    <row r="119" spans="1:10" x14ac:dyDescent="0.15">
      <c r="A119" s="256">
        <f t="shared" si="16"/>
        <v>718</v>
      </c>
      <c r="B119" s="254" t="s">
        <v>708</v>
      </c>
      <c r="C119" s="710"/>
      <c r="D119" s="710"/>
      <c r="E119" s="251">
        <f t="shared" si="17"/>
        <v>0</v>
      </c>
      <c r="F119" s="254">
        <f>beleidsregelwaarden!B47</f>
        <v>1536.48</v>
      </c>
      <c r="G119" s="254">
        <f>beleidsregelwaarden!C47</f>
        <v>7299.42</v>
      </c>
      <c r="H119" s="252">
        <f t="shared" si="18"/>
        <v>0</v>
      </c>
      <c r="I119" s="252">
        <f t="shared" si="19"/>
        <v>0</v>
      </c>
      <c r="J119" s="252">
        <f t="shared" si="15"/>
        <v>0</v>
      </c>
    </row>
    <row r="120" spans="1:10" x14ac:dyDescent="0.15">
      <c r="A120" s="256">
        <f t="shared" si="16"/>
        <v>719</v>
      </c>
      <c r="B120" s="254" t="s">
        <v>709</v>
      </c>
      <c r="C120" s="710"/>
      <c r="D120" s="710"/>
      <c r="E120" s="251">
        <f t="shared" si="17"/>
        <v>0</v>
      </c>
      <c r="F120" s="254">
        <f>beleidsregelwaarden!B48</f>
        <v>23936.29</v>
      </c>
      <c r="G120" s="254">
        <f>beleidsregelwaarden!C48</f>
        <v>2384.9899999999998</v>
      </c>
      <c r="H120" s="252">
        <f t="shared" si="18"/>
        <v>0</v>
      </c>
      <c r="I120" s="252">
        <f t="shared" si="19"/>
        <v>0</v>
      </c>
      <c r="J120" s="252">
        <f t="shared" si="15"/>
        <v>0</v>
      </c>
    </row>
    <row r="121" spans="1:10" x14ac:dyDescent="0.15">
      <c r="A121" s="256">
        <f t="shared" si="16"/>
        <v>720</v>
      </c>
      <c r="B121" s="254" t="s">
        <v>710</v>
      </c>
      <c r="C121" s="710"/>
      <c r="D121" s="710"/>
      <c r="E121" s="251">
        <f t="shared" si="17"/>
        <v>0</v>
      </c>
      <c r="F121" s="254">
        <f>beleidsregelwaarden!B49</f>
        <v>50434.96</v>
      </c>
      <c r="G121" s="254">
        <f>beleidsregelwaarden!C49</f>
        <v>29648.83</v>
      </c>
      <c r="H121" s="252">
        <f t="shared" si="18"/>
        <v>0</v>
      </c>
      <c r="I121" s="252">
        <f t="shared" si="19"/>
        <v>0</v>
      </c>
      <c r="J121" s="252">
        <f t="shared" si="15"/>
        <v>0</v>
      </c>
    </row>
    <row r="122" spans="1:10" x14ac:dyDescent="0.15">
      <c r="A122" s="256">
        <f t="shared" si="16"/>
        <v>721</v>
      </c>
      <c r="B122" s="254" t="s">
        <v>711</v>
      </c>
      <c r="C122" s="710"/>
      <c r="D122" s="710"/>
      <c r="E122" s="251">
        <f t="shared" si="17"/>
        <v>0</v>
      </c>
      <c r="F122" s="254">
        <f>beleidsregelwaarden!B50</f>
        <v>18756.23</v>
      </c>
      <c r="G122" s="254">
        <f>beleidsregelwaarden!C50</f>
        <v>8791.76</v>
      </c>
      <c r="H122" s="252">
        <f t="shared" si="18"/>
        <v>0</v>
      </c>
      <c r="I122" s="252">
        <f t="shared" si="19"/>
        <v>0</v>
      </c>
      <c r="J122" s="252">
        <f t="shared" si="15"/>
        <v>0</v>
      </c>
    </row>
    <row r="123" spans="1:10" x14ac:dyDescent="0.15">
      <c r="A123" s="256">
        <f t="shared" si="16"/>
        <v>722</v>
      </c>
      <c r="B123" s="254" t="s">
        <v>712</v>
      </c>
      <c r="C123" s="710"/>
      <c r="D123" s="710"/>
      <c r="E123" s="251">
        <f t="shared" si="17"/>
        <v>0</v>
      </c>
      <c r="F123" s="254">
        <f>beleidsregelwaarden!B51</f>
        <v>5538.43</v>
      </c>
      <c r="G123" s="254">
        <f>beleidsregelwaarden!C51</f>
        <v>1342.4</v>
      </c>
      <c r="H123" s="252">
        <f t="shared" si="18"/>
        <v>0</v>
      </c>
      <c r="I123" s="252">
        <f t="shared" si="19"/>
        <v>0</v>
      </c>
      <c r="J123" s="252">
        <f t="shared" si="15"/>
        <v>0</v>
      </c>
    </row>
    <row r="124" spans="1:10" x14ac:dyDescent="0.15">
      <c r="A124" s="256">
        <f t="shared" si="16"/>
        <v>723</v>
      </c>
      <c r="B124" s="254" t="s">
        <v>187</v>
      </c>
      <c r="C124" s="710"/>
      <c r="D124" s="710"/>
      <c r="E124" s="251">
        <f t="shared" si="17"/>
        <v>0</v>
      </c>
      <c r="F124" s="254">
        <f>beleidsregelwaarden!B52</f>
        <v>70192.44</v>
      </c>
      <c r="G124" s="254">
        <f>beleidsregelwaarden!C52</f>
        <v>17958.28</v>
      </c>
      <c r="H124" s="252">
        <f t="shared" si="18"/>
        <v>0</v>
      </c>
      <c r="I124" s="252">
        <f t="shared" si="19"/>
        <v>0</v>
      </c>
      <c r="J124" s="252">
        <f t="shared" si="15"/>
        <v>0</v>
      </c>
    </row>
    <row r="125" spans="1:10" x14ac:dyDescent="0.15">
      <c r="A125" s="256">
        <f t="shared" si="16"/>
        <v>724</v>
      </c>
      <c r="B125" s="254" t="s">
        <v>714</v>
      </c>
      <c r="C125" s="710"/>
      <c r="D125" s="710"/>
      <c r="E125" s="251">
        <f t="shared" si="17"/>
        <v>0</v>
      </c>
      <c r="F125" s="254">
        <f>beleidsregelwaarden!B53</f>
        <v>25797.32</v>
      </c>
      <c r="G125" s="254">
        <f>beleidsregelwaarden!C53</f>
        <v>6066.05</v>
      </c>
      <c r="H125" s="252">
        <f t="shared" si="18"/>
        <v>0</v>
      </c>
      <c r="I125" s="252">
        <f t="shared" si="19"/>
        <v>0</v>
      </c>
      <c r="J125" s="252">
        <f t="shared" si="15"/>
        <v>0</v>
      </c>
    </row>
    <row r="126" spans="1:10" x14ac:dyDescent="0.15">
      <c r="A126" s="256">
        <f t="shared" si="16"/>
        <v>725</v>
      </c>
      <c r="B126" s="254" t="s">
        <v>188</v>
      </c>
      <c r="C126" s="710"/>
      <c r="D126" s="710"/>
      <c r="E126" s="251">
        <f t="shared" si="17"/>
        <v>0</v>
      </c>
      <c r="F126" s="254">
        <f>beleidsregelwaarden!B33</f>
        <v>91136.67</v>
      </c>
      <c r="G126" s="254">
        <f>beleidsregelwaarden!C33</f>
        <v>118974.53</v>
      </c>
      <c r="H126" s="252">
        <f t="shared" si="18"/>
        <v>0</v>
      </c>
      <c r="I126" s="252">
        <f t="shared" si="19"/>
        <v>0</v>
      </c>
      <c r="J126" s="252">
        <f t="shared" si="15"/>
        <v>0</v>
      </c>
    </row>
    <row r="127" spans="1:10" x14ac:dyDescent="0.15">
      <c r="A127" s="256">
        <f t="shared" si="16"/>
        <v>726</v>
      </c>
      <c r="B127" s="254" t="s">
        <v>189</v>
      </c>
      <c r="C127" s="710"/>
      <c r="D127" s="710"/>
      <c r="E127" s="251">
        <f t="shared" si="17"/>
        <v>0</v>
      </c>
      <c r="F127" s="254">
        <f>beleidsregelwaarden!B34</f>
        <v>17925.939999999999</v>
      </c>
      <c r="G127" s="254">
        <f>beleidsregelwaarden!C34</f>
        <v>6163.08</v>
      </c>
      <c r="H127" s="252">
        <f t="shared" si="18"/>
        <v>0</v>
      </c>
      <c r="I127" s="252">
        <f t="shared" si="19"/>
        <v>0</v>
      </c>
      <c r="J127" s="252">
        <f t="shared" si="15"/>
        <v>0</v>
      </c>
    </row>
    <row r="128" spans="1:10" x14ac:dyDescent="0.15">
      <c r="A128" s="256">
        <f t="shared" si="16"/>
        <v>727</v>
      </c>
      <c r="B128" s="254" t="s">
        <v>190</v>
      </c>
      <c r="C128" s="710"/>
      <c r="D128" s="710"/>
      <c r="E128" s="251">
        <f t="shared" si="17"/>
        <v>0</v>
      </c>
      <c r="F128" s="254">
        <f>beleidsregelwaarden!B36</f>
        <v>948.96</v>
      </c>
      <c r="G128" s="254">
        <f>beleidsregelwaarden!C36</f>
        <v>463.37</v>
      </c>
      <c r="H128" s="252">
        <f t="shared" si="18"/>
        <v>0</v>
      </c>
      <c r="I128" s="252">
        <f t="shared" si="19"/>
        <v>0</v>
      </c>
      <c r="J128" s="252">
        <f t="shared" si="15"/>
        <v>0</v>
      </c>
    </row>
    <row r="129" spans="1:20" x14ac:dyDescent="0.15">
      <c r="A129" s="256">
        <f t="shared" si="16"/>
        <v>728</v>
      </c>
      <c r="B129" s="727" t="s">
        <v>767</v>
      </c>
      <c r="C129" s="710"/>
      <c r="D129" s="710"/>
      <c r="E129" s="251">
        <f t="shared" si="17"/>
        <v>0</v>
      </c>
      <c r="F129" s="254">
        <f>beleidsregelwaarden!F52</f>
        <v>6.39</v>
      </c>
      <c r="G129" s="254"/>
      <c r="H129" s="252">
        <f t="shared" si="18"/>
        <v>0</v>
      </c>
      <c r="I129" s="252">
        <f t="shared" si="19"/>
        <v>0</v>
      </c>
      <c r="J129" s="252">
        <f t="shared" si="15"/>
        <v>0</v>
      </c>
    </row>
    <row r="130" spans="1:20" ht="12" customHeight="1" x14ac:dyDescent="0.15">
      <c r="A130" s="256">
        <f t="shared" si="16"/>
        <v>729</v>
      </c>
      <c r="B130" s="255" t="s">
        <v>828</v>
      </c>
      <c r="C130" s="255"/>
      <c r="D130" s="255"/>
      <c r="E130" s="255"/>
      <c r="F130" s="255"/>
      <c r="G130" s="256"/>
      <c r="H130" s="296">
        <f>SUM(H102:H129)</f>
        <v>0</v>
      </c>
      <c r="I130" s="296">
        <f>SUM(I102:I129)</f>
        <v>0</v>
      </c>
      <c r="J130" s="296">
        <f>SUM(J102:J129)</f>
        <v>0</v>
      </c>
      <c r="N130" s="187"/>
      <c r="O130" s="616"/>
      <c r="P130" s="616"/>
      <c r="Q130" s="616"/>
      <c r="R130" s="617"/>
      <c r="S130" s="617"/>
      <c r="T130" s="617"/>
    </row>
    <row r="131" spans="1:20" ht="12" customHeight="1" x14ac:dyDescent="0.15">
      <c r="A131" s="544" t="s">
        <v>922</v>
      </c>
      <c r="C131" s="43"/>
      <c r="D131" s="43"/>
      <c r="E131" s="43"/>
      <c r="F131" s="43"/>
      <c r="G131" s="43"/>
      <c r="H131" s="43"/>
      <c r="I131" s="43"/>
      <c r="J131" s="43"/>
      <c r="N131" s="187"/>
      <c r="O131" s="616"/>
      <c r="P131" s="616"/>
      <c r="Q131" s="616"/>
      <c r="R131" s="617"/>
      <c r="S131" s="617"/>
      <c r="T131" s="617"/>
    </row>
    <row r="132" spans="1:20" x14ac:dyDescent="0.15">
      <c r="A132" s="1230" t="str">
        <f>A96</f>
        <v>Vaststelling Transitiebedrag 2012</v>
      </c>
      <c r="B132" s="40"/>
      <c r="C132" s="40"/>
      <c r="D132" s="40"/>
      <c r="E132" s="40"/>
      <c r="F132" s="40"/>
      <c r="G132" s="69" t="b">
        <f>Voorblad!D27</f>
        <v>1</v>
      </c>
      <c r="H132" s="40"/>
      <c r="I132" s="40"/>
      <c r="J132" s="42">
        <f>J96+1</f>
        <v>8</v>
      </c>
      <c r="K132" s="40"/>
      <c r="L132" s="40"/>
    </row>
    <row r="133" spans="1:20" x14ac:dyDescent="0.15">
      <c r="A133" s="66"/>
      <c r="B133" s="40"/>
      <c r="C133" s="40"/>
      <c r="D133" s="40"/>
      <c r="E133" s="40"/>
      <c r="F133" s="40"/>
      <c r="G133" s="69"/>
      <c r="H133" s="40"/>
      <c r="I133" s="40"/>
      <c r="J133" s="42"/>
      <c r="K133" s="40"/>
      <c r="L133" s="40"/>
    </row>
    <row r="134" spans="1:20" s="21" customFormat="1" ht="12" x14ac:dyDescent="0.2">
      <c r="A134" s="55"/>
      <c r="B134" s="55"/>
      <c r="C134" s="55"/>
      <c r="D134" s="55"/>
      <c r="E134" s="703"/>
      <c r="F134" s="703"/>
      <c r="G134" s="703"/>
      <c r="H134" s="43"/>
      <c r="I134" s="43"/>
      <c r="J134" s="43"/>
      <c r="K134" s="43"/>
      <c r="L134" s="43"/>
      <c r="M134" s="55"/>
      <c r="N134" s="55"/>
      <c r="O134" s="609"/>
      <c r="P134" s="609"/>
      <c r="Q134" s="609"/>
      <c r="R134" s="609"/>
      <c r="S134" s="618"/>
      <c r="T134" s="618"/>
    </row>
    <row r="135" spans="1:20" s="13" customFormat="1" ht="12.75" customHeight="1" x14ac:dyDescent="0.15">
      <c r="A135" s="702" t="s">
        <v>569</v>
      </c>
      <c r="B135" s="702" t="s">
        <v>100</v>
      </c>
      <c r="C135" s="189" t="s">
        <v>575</v>
      </c>
      <c r="D135" s="189" t="s">
        <v>732</v>
      </c>
      <c r="E135" s="1303" t="s">
        <v>574</v>
      </c>
      <c r="F135" s="1306" t="s">
        <v>573</v>
      </c>
      <c r="G135" s="1307"/>
      <c r="H135" s="1308" t="s">
        <v>611</v>
      </c>
      <c r="I135" s="1309"/>
      <c r="J135" s="189" t="s">
        <v>768</v>
      </c>
      <c r="K135" s="43"/>
      <c r="L135" s="43"/>
      <c r="M135" s="40"/>
      <c r="N135" s="40"/>
      <c r="O135" s="608"/>
      <c r="P135" s="608"/>
      <c r="Q135" s="608"/>
      <c r="R135" s="608"/>
      <c r="S135" s="619"/>
      <c r="T135" s="619"/>
    </row>
    <row r="136" spans="1:20" s="13" customFormat="1" ht="12.75" customHeight="1" x14ac:dyDescent="0.15">
      <c r="A136" s="197"/>
      <c r="B136" s="123"/>
      <c r="C136" s="713"/>
      <c r="D136" s="714"/>
      <c r="E136" s="1304"/>
      <c r="F136" s="708"/>
      <c r="G136" s="707"/>
      <c r="H136" s="709"/>
      <c r="I136" s="288"/>
      <c r="J136" s="713"/>
      <c r="K136" s="43"/>
      <c r="L136" s="43"/>
      <c r="M136" s="40"/>
      <c r="N136" s="40"/>
      <c r="O136" s="608"/>
      <c r="P136" s="608"/>
      <c r="Q136" s="608"/>
      <c r="R136" s="608"/>
      <c r="S136" s="619"/>
      <c r="T136" s="619"/>
    </row>
    <row r="137" spans="1:20" s="20" customFormat="1" ht="12.75" customHeight="1" x14ac:dyDescent="0.2">
      <c r="C137" s="190">
        <f>C54</f>
        <v>2012</v>
      </c>
      <c r="D137" s="190">
        <f>C137</f>
        <v>2012</v>
      </c>
      <c r="E137" s="1305"/>
      <c r="F137" s="188" t="s">
        <v>889</v>
      </c>
      <c r="G137" s="188" t="s">
        <v>890</v>
      </c>
      <c r="H137" s="198" t="s">
        <v>889</v>
      </c>
      <c r="I137" s="198" t="s">
        <v>890</v>
      </c>
      <c r="J137" s="190" t="str">
        <f>J54</f>
        <v>FB 2012</v>
      </c>
      <c r="K137" s="43"/>
      <c r="L137" s="43"/>
      <c r="M137" s="55"/>
      <c r="N137" s="55"/>
      <c r="O137" s="607"/>
      <c r="P137" s="607"/>
      <c r="Q137" s="607"/>
      <c r="R137" s="607"/>
      <c r="S137" s="620"/>
      <c r="T137" s="620"/>
    </row>
    <row r="138" spans="1:20" s="20" customFormat="1" ht="12.75" customHeight="1" x14ac:dyDescent="0.2">
      <c r="A138" s="186"/>
      <c r="B138" s="123"/>
      <c r="C138" s="199"/>
      <c r="D138" s="199"/>
      <c r="E138" s="199"/>
      <c r="F138" s="199"/>
      <c r="G138" s="199"/>
      <c r="H138" s="44"/>
      <c r="I138" s="44"/>
      <c r="J138" s="44"/>
      <c r="K138" s="43"/>
      <c r="L138" s="43"/>
      <c r="M138" s="43"/>
      <c r="N138" s="43"/>
      <c r="O138" s="607"/>
      <c r="P138" s="607"/>
      <c r="Q138" s="607"/>
      <c r="R138" s="607"/>
      <c r="S138" s="620"/>
      <c r="T138" s="620"/>
    </row>
    <row r="139" spans="1:20" s="20" customFormat="1" ht="12.75" customHeight="1" x14ac:dyDescent="0.2">
      <c r="A139" s="256">
        <f>J132*100+1</f>
        <v>801</v>
      </c>
      <c r="B139" s="254" t="s">
        <v>873</v>
      </c>
      <c r="C139" s="294"/>
      <c r="D139" s="294"/>
      <c r="E139" s="294"/>
      <c r="F139" s="294"/>
      <c r="G139" s="295"/>
      <c r="H139" s="209">
        <f>'1.1  realisatie'!H130</f>
        <v>0</v>
      </c>
      <c r="I139" s="209">
        <f>'1.1  realisatie'!I130</f>
        <v>0</v>
      </c>
      <c r="J139" s="209">
        <f>'1.1  realisatie'!J130</f>
        <v>0</v>
      </c>
      <c r="K139" s="603"/>
      <c r="L139" s="43"/>
      <c r="M139" s="43"/>
      <c r="N139" s="43"/>
      <c r="O139" s="607"/>
      <c r="P139" s="607"/>
      <c r="Q139" s="607"/>
      <c r="R139" s="607"/>
      <c r="S139" s="620"/>
      <c r="T139" s="620"/>
    </row>
    <row r="140" spans="1:20" s="20" customFormat="1" ht="12.75" customHeight="1" x14ac:dyDescent="0.2">
      <c r="A140" s="256">
        <f t="shared" ref="A140:A160" si="20">A139+1</f>
        <v>802</v>
      </c>
      <c r="B140" s="254" t="s">
        <v>216</v>
      </c>
      <c r="C140" s="45"/>
      <c r="D140" s="45"/>
      <c r="E140" s="293">
        <f>C140-D140</f>
        <v>0</v>
      </c>
      <c r="F140" s="200"/>
      <c r="G140" s="110"/>
      <c r="H140" s="47"/>
      <c r="I140" s="47"/>
      <c r="J140" s="47"/>
      <c r="K140" s="43"/>
      <c r="L140" s="43"/>
      <c r="M140" s="43"/>
      <c r="N140" s="43"/>
      <c r="O140" s="607"/>
      <c r="P140" s="607"/>
      <c r="Q140" s="607"/>
      <c r="R140" s="607"/>
      <c r="S140" s="620"/>
      <c r="T140" s="620"/>
    </row>
    <row r="141" spans="1:20" s="20" customFormat="1" ht="12.75" customHeight="1" x14ac:dyDescent="0.2">
      <c r="A141" s="256">
        <f t="shared" si="20"/>
        <v>803</v>
      </c>
      <c r="B141" s="254" t="s">
        <v>217</v>
      </c>
      <c r="C141" s="45"/>
      <c r="D141" s="45"/>
      <c r="E141" s="257">
        <f>C141-D141</f>
        <v>0</v>
      </c>
      <c r="F141" s="201"/>
      <c r="G141" s="110"/>
      <c r="H141" s="47"/>
      <c r="I141" s="47"/>
      <c r="J141" s="47"/>
      <c r="K141" s="43"/>
      <c r="L141" s="43"/>
      <c r="M141" s="43"/>
      <c r="N141" s="43"/>
      <c r="O141" s="607"/>
      <c r="P141" s="607"/>
      <c r="Q141" s="607"/>
      <c r="R141" s="607"/>
      <c r="S141" s="620"/>
      <c r="T141" s="620"/>
    </row>
    <row r="142" spans="1:20" s="20" customFormat="1" ht="12.75" customHeight="1" x14ac:dyDescent="0.2">
      <c r="A142" s="256">
        <f t="shared" si="20"/>
        <v>804</v>
      </c>
      <c r="B142" s="254" t="s">
        <v>763</v>
      </c>
      <c r="C142" s="710"/>
      <c r="D142" s="710"/>
      <c r="E142" s="257">
        <f>C142-D142</f>
        <v>0</v>
      </c>
      <c r="F142" s="254">
        <f>beleidsregelwaarden!F59</f>
        <v>7</v>
      </c>
      <c r="G142" s="254">
        <f>beleidsregelwaarden!G59</f>
        <v>2.41</v>
      </c>
      <c r="H142" s="252">
        <f>ROUND(E142*ROUND(F142*'1.1  realisatie'!$S$10,2),0)</f>
        <v>0</v>
      </c>
      <c r="I142" s="252">
        <f>ROUND('1.1  realisatie'!E142*ROUND(G142*'1.1  realisatie'!$T$10,2),0)</f>
        <v>0</v>
      </c>
      <c r="J142" s="728">
        <f>ROUND(C142*ROUND(F142*'1.1  realisatie'!S$10,2),0)+ROUND(C142*ROUND(G142*'1.1  realisatie'!T$10,2),0)</f>
        <v>0</v>
      </c>
      <c r="K142" s="43"/>
      <c r="L142" s="43"/>
      <c r="M142" s="43"/>
      <c r="N142" s="43"/>
      <c r="O142" s="607"/>
      <c r="P142" s="607"/>
      <c r="Q142" s="607"/>
      <c r="R142" s="607"/>
      <c r="S142" s="620"/>
      <c r="T142" s="620"/>
    </row>
    <row r="143" spans="1:20" s="20" customFormat="1" ht="12.75" customHeight="1" x14ac:dyDescent="0.2">
      <c r="A143" s="256">
        <f t="shared" si="20"/>
        <v>805</v>
      </c>
      <c r="B143" s="254" t="s">
        <v>608</v>
      </c>
      <c r="C143" s="257">
        <f>SUM(C140:C142)</f>
        <v>0</v>
      </c>
      <c r="D143" s="257">
        <f>SUM(D140:D142)</f>
        <v>0</v>
      </c>
      <c r="E143" s="264" t="s">
        <v>170</v>
      </c>
      <c r="F143" s="253">
        <f>ROUND(IF(C$145&lt;=15,beleidsregelwaarden!F60,IF(C$145&gt;=76,beleidsregelwaarden!F61,IF(AND(C$145&gt;15,C$145&lt;76),ROUND((C$145-15)*((beleidsregelwaarden!F61-beleidsregelwaarden!F60)/61),2)+beleidsregelwaarden!F60))),2)</f>
        <v>4.3899999999999997</v>
      </c>
      <c r="G143" s="253">
        <f>ROUND(IF(C$145&lt;=15,beleidsregelwaarden!G60,IF(C$145&gt;=76,beleidsregelwaarden!G61,IF(AND(C$145&gt;15,C$145&lt;76),ROUND((C$145-15)*((beleidsregelwaarden!G61-beleidsregelwaarden!G60)/61),2)+beleidsregelwaarden!G60))),2)</f>
        <v>1.52</v>
      </c>
      <c r="H143" s="252">
        <f>ROUND(C143*ROUND(F143*$S$10,2),0)-ROUND(D143*ROUND(F144*$S$10,2),0)</f>
        <v>0</v>
      </c>
      <c r="I143" s="252">
        <f>ROUND(C143*ROUND(G143*$S$10,2),0)-ROUND(D143*ROUND(G144*$S$10,2),0)</f>
        <v>0</v>
      </c>
      <c r="J143" s="252">
        <f>ROUND(C143*ROUND(F143*S$10,2),0)+ROUND(C143*ROUND(G143*T$10,2),0)</f>
        <v>0</v>
      </c>
      <c r="K143" s="43"/>
      <c r="L143" s="43"/>
      <c r="M143" s="43"/>
      <c r="N143" s="43"/>
      <c r="O143" s="607"/>
      <c r="P143" s="607"/>
      <c r="Q143" s="607"/>
      <c r="R143" s="607"/>
      <c r="S143" s="620"/>
      <c r="T143" s="620"/>
    </row>
    <row r="144" spans="1:20" s="20" customFormat="1" ht="12.75" customHeight="1" x14ac:dyDescent="0.2">
      <c r="A144" s="256">
        <f t="shared" si="20"/>
        <v>806</v>
      </c>
      <c r="B144" s="808"/>
      <c r="C144" s="810"/>
      <c r="D144" s="811"/>
      <c r="E144" s="264" t="s">
        <v>171</v>
      </c>
      <c r="F144" s="253">
        <f>ROUND(IF(D$145&lt;=15,beleidsregelwaarden!F60,IF(D$145&gt;=76,beleidsregelwaarden!F61,IF(AND(D$145&gt;15,D$145&lt;76),ROUND((D$145-15)*((beleidsregelwaarden!F61-beleidsregelwaarden!F60)/61),2)+beleidsregelwaarden!F60))),2)</f>
        <v>4.3899999999999997</v>
      </c>
      <c r="G144" s="253">
        <f>ROUND(IF(D$145&lt;=15,beleidsregelwaarden!G60,IF(D$145&gt;=76,beleidsregelwaarden!G61,IF(AND(D$145&gt;15,D$145&lt;76),ROUND((D$145-15)*((beleidsregelwaarden!G61-beleidsregelwaarden!G60)/61),2)+beleidsregelwaarden!G60))),2)</f>
        <v>1.52</v>
      </c>
      <c r="H144" s="809"/>
      <c r="I144" s="809"/>
      <c r="J144" s="809"/>
      <c r="K144" s="43"/>
      <c r="L144" s="43"/>
      <c r="M144" s="43"/>
      <c r="N144" s="43"/>
      <c r="O144" s="607"/>
      <c r="P144" s="607"/>
      <c r="Q144" s="607"/>
      <c r="R144" s="607"/>
      <c r="S144" s="620"/>
      <c r="T144" s="620"/>
    </row>
    <row r="145" spans="1:20" s="20" customFormat="1" ht="12.75" customHeight="1" x14ac:dyDescent="0.2">
      <c r="A145" s="256">
        <f t="shared" si="20"/>
        <v>807</v>
      </c>
      <c r="B145" s="254" t="s">
        <v>610</v>
      </c>
      <c r="C145" s="257">
        <f>IF(C140+C141&lt;&gt;0,ROUND((C141/(C140+C141))*100,0),IF(D145&gt;0,D145,0))</f>
        <v>0</v>
      </c>
      <c r="D145" s="257">
        <f>IF(D140+D141&lt;&gt;0,ROUND((D141/(D140+D141))*100,0),0)</f>
        <v>0</v>
      </c>
      <c r="H145" s="809"/>
      <c r="I145" s="809"/>
      <c r="J145" s="809"/>
      <c r="K145" s="43"/>
      <c r="L145" s="43"/>
      <c r="M145" s="43"/>
      <c r="N145" s="43"/>
      <c r="O145" s="607"/>
      <c r="P145" s="607"/>
      <c r="Q145" s="607"/>
      <c r="R145" s="607"/>
      <c r="S145" s="620"/>
      <c r="T145" s="620"/>
    </row>
    <row r="146" spans="1:20" s="20" customFormat="1" ht="12.75" customHeight="1" x14ac:dyDescent="0.2">
      <c r="A146" s="256">
        <f t="shared" si="20"/>
        <v>808</v>
      </c>
      <c r="B146" s="254" t="s">
        <v>609</v>
      </c>
      <c r="C146" s="45"/>
      <c r="D146" s="45"/>
      <c r="E146" s="257">
        <f>C146-D146</f>
        <v>0</v>
      </c>
      <c r="F146" s="705">
        <v>0.49</v>
      </c>
      <c r="G146" s="705">
        <v>0.51</v>
      </c>
      <c r="H146" s="252">
        <f>ROUND(E146*F146,0)</f>
        <v>0</v>
      </c>
      <c r="I146" s="252">
        <f>ROUND(E146*G146,0)</f>
        <v>0</v>
      </c>
      <c r="J146" s="252">
        <f>ROUND(C146*F146,0)+ROUND(C146*G146,0)</f>
        <v>0</v>
      </c>
      <c r="K146" s="43"/>
      <c r="L146" s="43"/>
      <c r="M146" s="43"/>
      <c r="N146" s="43"/>
      <c r="O146" s="607"/>
      <c r="P146" s="607"/>
      <c r="Q146" s="607"/>
      <c r="R146" s="607"/>
      <c r="S146" s="620"/>
      <c r="T146" s="620"/>
    </row>
    <row r="147" spans="1:20" s="20" customFormat="1" ht="12.75" customHeight="1" x14ac:dyDescent="0.2">
      <c r="A147" s="256">
        <f t="shared" si="20"/>
        <v>809</v>
      </c>
      <c r="B147" s="254" t="s">
        <v>604</v>
      </c>
      <c r="C147" s="45"/>
      <c r="D147" s="45"/>
      <c r="E147" s="258">
        <f>'1.1  realisatie'!C147-'1.1  realisatie'!D147</f>
        <v>0</v>
      </c>
      <c r="F147" s="705">
        <f>beleidsregelwaarden!F66</f>
        <v>0.41299999999999998</v>
      </c>
      <c r="G147" s="705">
        <f>beleidsregelwaarden!G66</f>
        <v>8.5000000000000006E-2</v>
      </c>
      <c r="H147" s="252">
        <f>ROUND(E147*F147,0)</f>
        <v>0</v>
      </c>
      <c r="I147" s="252">
        <f>ROUND(E147*G147,0)</f>
        <v>0</v>
      </c>
      <c r="J147" s="252">
        <f>ROUND(C147*F147,0)+ROUND(C147*G147,0)</f>
        <v>0</v>
      </c>
      <c r="K147" s="43"/>
      <c r="L147" s="43"/>
      <c r="M147" s="43"/>
      <c r="N147" s="43"/>
      <c r="O147" s="607"/>
      <c r="P147" s="607"/>
      <c r="Q147" s="607"/>
      <c r="R147" s="607"/>
      <c r="S147" s="620"/>
      <c r="T147" s="620"/>
    </row>
    <row r="148" spans="1:20" s="20" customFormat="1" ht="12.75" customHeight="1" x14ac:dyDescent="0.2">
      <c r="A148" s="256">
        <f t="shared" si="20"/>
        <v>810</v>
      </c>
      <c r="B148" s="254" t="s">
        <v>605</v>
      </c>
      <c r="C148" s="45"/>
      <c r="D148" s="45"/>
      <c r="E148" s="258">
        <f>'1.1  realisatie'!C148-'1.1  realisatie'!D148</f>
        <v>0</v>
      </c>
      <c r="F148" s="705">
        <f>beleidsregelwaarden!F67</f>
        <v>0.46300000000000002</v>
      </c>
      <c r="G148" s="705">
        <f>beleidsregelwaarden!G67</f>
        <v>0.108</v>
      </c>
      <c r="H148" s="252">
        <f>ROUND(E148*F148,0)</f>
        <v>0</v>
      </c>
      <c r="I148" s="252">
        <f>ROUND(E148*G148,0)</f>
        <v>0</v>
      </c>
      <c r="J148" s="252">
        <f>ROUND(C148*F148,0)+ROUND(C148*G148,0)</f>
        <v>0</v>
      </c>
      <c r="K148" s="43"/>
      <c r="L148" s="43"/>
      <c r="M148" s="43"/>
      <c r="N148" s="43"/>
      <c r="O148" s="607"/>
      <c r="P148" s="607"/>
      <c r="Q148" s="607"/>
      <c r="R148" s="607"/>
      <c r="S148" s="620"/>
      <c r="T148" s="620"/>
    </row>
    <row r="149" spans="1:20" s="20" customFormat="1" ht="12.75" customHeight="1" x14ac:dyDescent="0.2">
      <c r="A149" s="256">
        <f t="shared" si="20"/>
        <v>811</v>
      </c>
      <c r="B149" s="254" t="s">
        <v>319</v>
      </c>
      <c r="C149" s="45"/>
      <c r="D149" s="45"/>
      <c r="E149" s="258">
        <f>'1.1  realisatie'!C149-'1.1  realisatie'!D149</f>
        <v>0</v>
      </c>
      <c r="F149" s="705">
        <f>beleidsregelwaarden!F68</f>
        <v>0.84899999999999998</v>
      </c>
      <c r="G149" s="705">
        <f>beleidsregelwaarden!G68</f>
        <v>0.17</v>
      </c>
      <c r="H149" s="252">
        <f>ROUND(E149*F149,0)</f>
        <v>0</v>
      </c>
      <c r="I149" s="252">
        <f>ROUND(E149*G149,0)</f>
        <v>0</v>
      </c>
      <c r="J149" s="252">
        <f>ROUND(C149*F149,0)+ROUND(C149*G149,0)</f>
        <v>0</v>
      </c>
      <c r="K149" s="43"/>
      <c r="L149" s="43"/>
      <c r="M149" s="43"/>
      <c r="N149" s="43"/>
      <c r="O149" s="607"/>
      <c r="P149" s="607"/>
      <c r="Q149" s="607"/>
      <c r="R149" s="607"/>
      <c r="S149" s="620"/>
      <c r="T149" s="620"/>
    </row>
    <row r="150" spans="1:20" s="20" customFormat="1" ht="12.75" customHeight="1" x14ac:dyDescent="0.2">
      <c r="A150" s="256">
        <f t="shared" si="20"/>
        <v>812</v>
      </c>
      <c r="B150" s="254" t="s">
        <v>218</v>
      </c>
      <c r="C150" s="45"/>
      <c r="D150" s="45"/>
      <c r="E150" s="258">
        <f>'1.1  realisatie'!C150-'1.1  realisatie'!D150</f>
        <v>0</v>
      </c>
      <c r="F150" s="705">
        <f>beleidsregelwaarden!F69</f>
        <v>0.84899999999999998</v>
      </c>
      <c r="G150" s="705">
        <f>beleidsregelwaarden!G69</f>
        <v>0.17</v>
      </c>
      <c r="H150" s="252">
        <f>ROUND(E150*F150,0)</f>
        <v>0</v>
      </c>
      <c r="I150" s="252">
        <f>ROUND(E150*G150,0)</f>
        <v>0</v>
      </c>
      <c r="J150" s="252">
        <f>ROUND(C150*F150,0)+ROUND(C150*G150,0)</f>
        <v>0</v>
      </c>
      <c r="K150" s="43"/>
      <c r="L150" s="43"/>
      <c r="M150" s="43"/>
      <c r="N150" s="43"/>
      <c r="O150" s="607"/>
      <c r="P150" s="607"/>
      <c r="Q150" s="607"/>
      <c r="R150" s="607"/>
      <c r="S150" s="620"/>
      <c r="T150" s="620"/>
    </row>
    <row r="151" spans="1:20" s="20" customFormat="1" ht="12.75" customHeight="1" x14ac:dyDescent="0.2">
      <c r="A151" s="256">
        <f t="shared" si="20"/>
        <v>813</v>
      </c>
      <c r="B151" s="254" t="s">
        <v>219</v>
      </c>
      <c r="C151" s="45"/>
      <c r="D151" s="45"/>
      <c r="E151" s="258">
        <f>'1.1  realisatie'!C151-'1.1  realisatie'!D151</f>
        <v>0</v>
      </c>
      <c r="F151" s="254">
        <f>beleidsregelwaarden!F58</f>
        <v>11.43</v>
      </c>
      <c r="G151" s="254">
        <f>beleidsregelwaarden!G58</f>
        <v>5.9</v>
      </c>
      <c r="H151" s="252">
        <f>ROUND(E151*ROUND(F151*'1.1  realisatie'!$S$10,2),0)</f>
        <v>0</v>
      </c>
      <c r="I151" s="252">
        <f>ROUND('1.1  realisatie'!E151*ROUND(G151*'1.1  realisatie'!$T$10,2),0)</f>
        <v>0</v>
      </c>
      <c r="J151" s="252">
        <f>ROUND(C151*ROUND(F151*'1.1  realisatie'!S$10,2),0)+ROUND(C151*ROUND(G151*'1.1  realisatie'!T$10,2),0)</f>
        <v>0</v>
      </c>
      <c r="K151" s="43"/>
      <c r="L151" s="43"/>
      <c r="M151" s="43"/>
      <c r="N151" s="43"/>
      <c r="O151" s="607"/>
      <c r="P151" s="607"/>
      <c r="Q151" s="607"/>
      <c r="R151" s="607"/>
      <c r="S151" s="620"/>
      <c r="T151" s="620"/>
    </row>
    <row r="152" spans="1:20" s="20" customFormat="1" ht="12.75" customHeight="1" x14ac:dyDescent="0.2">
      <c r="A152" s="256">
        <f t="shared" si="20"/>
        <v>814</v>
      </c>
      <c r="B152" s="254" t="s">
        <v>606</v>
      </c>
      <c r="C152" s="45"/>
      <c r="D152" s="45"/>
      <c r="E152" s="258">
        <f>'1.1  realisatie'!C152-'1.1  realisatie'!D152</f>
        <v>0</v>
      </c>
      <c r="F152" s="254">
        <f>beleidsregelwaarden!F63</f>
        <v>8.27</v>
      </c>
      <c r="G152" s="254">
        <f>beleidsregelwaarden!G63</f>
        <v>2.19</v>
      </c>
      <c r="H152" s="252">
        <f>ROUND(E152*ROUND(F152*'1.1  realisatie'!$S$10,2),0)</f>
        <v>0</v>
      </c>
      <c r="I152" s="252">
        <f>ROUND('1.1  realisatie'!E152*ROUND(G152*'1.1  realisatie'!$T$10,2),0)</f>
        <v>0</v>
      </c>
      <c r="J152" s="252">
        <f>ROUND(C152*ROUND(F152*'1.1  realisatie'!S$10,2),0)+ROUND(C152*ROUND(G152*'1.1  realisatie'!T$10,2),0)</f>
        <v>0</v>
      </c>
      <c r="K152" s="43"/>
      <c r="L152" s="43"/>
      <c r="M152" s="43"/>
      <c r="N152" s="43"/>
      <c r="O152" s="607"/>
      <c r="P152" s="607"/>
      <c r="Q152" s="607"/>
      <c r="R152" s="607"/>
      <c r="S152" s="620"/>
      <c r="T152" s="620"/>
    </row>
    <row r="153" spans="1:20" s="20" customFormat="1" ht="12.75" customHeight="1" x14ac:dyDescent="0.2">
      <c r="A153" s="256">
        <f t="shared" si="20"/>
        <v>815</v>
      </c>
      <c r="B153" s="254" t="s">
        <v>851</v>
      </c>
      <c r="C153" s="45"/>
      <c r="D153" s="45"/>
      <c r="E153" s="258">
        <f>'1.1  realisatie'!C153-'1.1  realisatie'!D153</f>
        <v>0</v>
      </c>
      <c r="F153" s="254">
        <f>beleidsregelwaarden!F64</f>
        <v>280.26</v>
      </c>
      <c r="G153" s="254">
        <f>beleidsregelwaarden!G64</f>
        <v>222.65</v>
      </c>
      <c r="H153" s="252">
        <f>ROUND(E153*ROUND(F153*'1.1  realisatie'!$S$10,2),0)</f>
        <v>0</v>
      </c>
      <c r="I153" s="252">
        <f>ROUND('1.1  realisatie'!E153*ROUND(G153*'1.1  realisatie'!$T$10,2),0)</f>
        <v>0</v>
      </c>
      <c r="J153" s="252">
        <f>ROUND(C153*ROUND(F153*'1.1  realisatie'!S$10,2),0)+ROUND(C153*ROUND(G153*'1.1  realisatie'!T$10,2),0)</f>
        <v>0</v>
      </c>
      <c r="K153" s="43"/>
      <c r="L153" s="43"/>
      <c r="M153" s="43"/>
      <c r="N153" s="43"/>
      <c r="O153" s="607"/>
      <c r="P153" s="607"/>
      <c r="Q153" s="607"/>
      <c r="R153" s="607"/>
      <c r="S153" s="620"/>
      <c r="T153" s="620"/>
    </row>
    <row r="154" spans="1:20" s="20" customFormat="1" ht="12.75" customHeight="1" x14ac:dyDescent="0.2">
      <c r="A154" s="256">
        <f t="shared" si="20"/>
        <v>816</v>
      </c>
      <c r="B154" s="254" t="s">
        <v>852</v>
      </c>
      <c r="C154" s="45"/>
      <c r="D154" s="45"/>
      <c r="E154" s="258">
        <f>'1.1  realisatie'!C154-'1.1  realisatie'!D154</f>
        <v>0</v>
      </c>
      <c r="F154" s="254">
        <f>beleidsregelwaarden!F65</f>
        <v>238.3</v>
      </c>
      <c r="G154" s="254">
        <f>beleidsregelwaarden!G65</f>
        <v>702.18</v>
      </c>
      <c r="H154" s="252">
        <f>ROUND(E154*ROUND(F154*'1.1  realisatie'!$S$10,2),0)</f>
        <v>0</v>
      </c>
      <c r="I154" s="252">
        <f>ROUND('1.1  realisatie'!E154*ROUND(G154*'1.1  realisatie'!$T$10,2),0)</f>
        <v>0</v>
      </c>
      <c r="J154" s="252">
        <f>ROUND(C154*ROUND(F154*'1.1  realisatie'!S$10,2),0)+ROUND(C154*ROUND(G154*'1.1  realisatie'!T$10,2),0)</f>
        <v>0</v>
      </c>
      <c r="K154" s="43"/>
      <c r="L154" s="43"/>
      <c r="M154" s="43"/>
      <c r="N154" s="43"/>
      <c r="O154" s="607"/>
      <c r="P154" s="607"/>
      <c r="Q154" s="607"/>
      <c r="R154" s="607"/>
      <c r="S154" s="620"/>
      <c r="T154" s="620"/>
    </row>
    <row r="155" spans="1:20" s="20" customFormat="1" ht="12.75" customHeight="1" x14ac:dyDescent="0.2">
      <c r="A155" s="256">
        <f t="shared" si="20"/>
        <v>817</v>
      </c>
      <c r="B155" s="253" t="s">
        <v>75</v>
      </c>
      <c r="C155" s="45"/>
      <c r="D155" s="45"/>
      <c r="E155" s="258">
        <f>'1.1  realisatie'!C155-'1.1  realisatie'!D155</f>
        <v>0</v>
      </c>
      <c r="F155" s="254">
        <f>'1.1  realisatie'!F16</f>
        <v>0</v>
      </c>
      <c r="G155" s="254">
        <f>'1.1  realisatie'!G16</f>
        <v>0</v>
      </c>
      <c r="H155" s="252">
        <f>ROUND(E155*ROUND(F155*'1.1  realisatie'!$S$10,2),0)</f>
        <v>0</v>
      </c>
      <c r="I155" s="252">
        <f>ROUND('1.1  realisatie'!E155*ROUND(G155*'1.1  realisatie'!$T$10,2),0)</f>
        <v>0</v>
      </c>
      <c r="J155" s="252">
        <f>ROUND(C155*ROUND(F155*'1.1  realisatie'!S$10,2),0)+ROUND(C155*ROUND(G155*'1.1  realisatie'!T$10,2),0)</f>
        <v>0</v>
      </c>
      <c r="K155" s="43"/>
      <c r="L155" s="43"/>
      <c r="M155" s="43"/>
      <c r="N155" s="43"/>
      <c r="O155" s="607"/>
      <c r="P155" s="607"/>
      <c r="Q155" s="607"/>
      <c r="R155" s="607"/>
      <c r="S155" s="620"/>
      <c r="T155" s="620"/>
    </row>
    <row r="156" spans="1:20" s="20" customFormat="1" ht="12.75" customHeight="1" x14ac:dyDescent="0.2">
      <c r="A156" s="256">
        <f t="shared" si="20"/>
        <v>818</v>
      </c>
      <c r="B156" s="254" t="s">
        <v>220</v>
      </c>
      <c r="C156" s="45"/>
      <c r="D156" s="45"/>
      <c r="E156" s="258">
        <f>'1.1  realisatie'!C156-'1.1  realisatie'!D156</f>
        <v>0</v>
      </c>
      <c r="F156" s="259">
        <v>1</v>
      </c>
      <c r="G156" s="259"/>
      <c r="H156" s="252">
        <f>E156*F156*'1.1  realisatie'!S10</f>
        <v>0</v>
      </c>
      <c r="I156" s="252"/>
      <c r="J156" s="252">
        <f>C156*S10</f>
        <v>0</v>
      </c>
      <c r="K156" s="43"/>
      <c r="L156" s="43"/>
      <c r="M156" s="43"/>
      <c r="N156" s="43"/>
      <c r="O156" s="607"/>
      <c r="P156" s="607"/>
      <c r="Q156" s="607"/>
      <c r="R156" s="607"/>
      <c r="S156" s="620"/>
      <c r="T156" s="620"/>
    </row>
    <row r="157" spans="1:20" s="20" customFormat="1" ht="12.75" customHeight="1" x14ac:dyDescent="0.2">
      <c r="A157" s="256">
        <f t="shared" si="20"/>
        <v>819</v>
      </c>
      <c r="B157" s="254" t="s">
        <v>221</v>
      </c>
      <c r="C157" s="45"/>
      <c r="D157" s="45"/>
      <c r="E157" s="258">
        <f>'1.1  realisatie'!C157-'1.1  realisatie'!D157</f>
        <v>0</v>
      </c>
      <c r="F157" s="259"/>
      <c r="G157" s="259">
        <v>1</v>
      </c>
      <c r="H157" s="252"/>
      <c r="I157" s="252">
        <f>E157*G157*'1.1  realisatie'!T10</f>
        <v>0</v>
      </c>
      <c r="J157" s="252">
        <f>C157*T10</f>
        <v>0</v>
      </c>
      <c r="K157" s="43"/>
      <c r="L157" s="43"/>
      <c r="M157" s="43"/>
      <c r="N157" s="43"/>
      <c r="O157" s="607"/>
      <c r="P157" s="607"/>
      <c r="Q157" s="607"/>
      <c r="R157" s="607"/>
      <c r="S157" s="620"/>
      <c r="T157" s="620"/>
    </row>
    <row r="158" spans="1:20" s="20" customFormat="1" ht="12.75" customHeight="1" x14ac:dyDescent="0.2">
      <c r="A158" s="256">
        <f t="shared" si="20"/>
        <v>820</v>
      </c>
      <c r="B158" s="255" t="s">
        <v>749</v>
      </c>
      <c r="C158" s="255"/>
      <c r="D158" s="255"/>
      <c r="E158" s="255"/>
      <c r="F158" s="255"/>
      <c r="G158" s="256"/>
      <c r="H158" s="296">
        <f>SUM(H139:H157)</f>
        <v>0</v>
      </c>
      <c r="I158" s="296">
        <f>SUM(I139:I157)</f>
        <v>0</v>
      </c>
      <c r="J158" s="296">
        <f>SUM(J139:J157)</f>
        <v>0</v>
      </c>
      <c r="K158" s="43"/>
      <c r="L158" s="43"/>
      <c r="M158" s="43"/>
      <c r="N158" s="43"/>
      <c r="O158" s="607"/>
      <c r="P158" s="607"/>
      <c r="Q158" s="607"/>
      <c r="R158" s="607"/>
      <c r="S158" s="620"/>
      <c r="T158" s="620"/>
    </row>
    <row r="159" spans="1:20" s="20" customFormat="1" ht="12.75" customHeight="1" x14ac:dyDescent="0.2">
      <c r="A159" s="256">
        <f t="shared" si="20"/>
        <v>821</v>
      </c>
      <c r="B159" s="255" t="str">
        <f>"Verschil tussen gerealis. productie "&amp;Voorblad!K4&amp;" en de rekenstaat"</f>
        <v>Verschil tussen gerealis. productie 2012 en de rekenstaat</v>
      </c>
      <c r="C159" s="255"/>
      <c r="D159" s="255"/>
      <c r="E159" s="255"/>
      <c r="F159" s="255"/>
      <c r="G159" s="256"/>
      <c r="H159" s="296"/>
      <c r="I159" s="296"/>
      <c r="J159" s="296">
        <f>H158+I158</f>
        <v>0</v>
      </c>
      <c r="M159" s="43"/>
      <c r="N159" s="43"/>
      <c r="O159" s="607"/>
      <c r="P159" s="607"/>
      <c r="Q159" s="607"/>
      <c r="R159" s="607"/>
      <c r="S159" s="620"/>
      <c r="T159" s="620"/>
    </row>
    <row r="160" spans="1:20" s="20" customFormat="1" ht="12.75" customHeight="1" x14ac:dyDescent="0.2">
      <c r="A160" s="256">
        <f t="shared" si="20"/>
        <v>822</v>
      </c>
      <c r="B160" s="1311" t="str">
        <f>"Overeengekomen nog te verwerken nacalculatie productie "&amp;Voorblad!K4&amp;"**"</f>
        <v>Overeengekomen nog te verwerken nacalculatie productie 2012**</v>
      </c>
      <c r="C160" s="1312"/>
      <c r="D160" s="1312"/>
      <c r="E160" s="1312"/>
      <c r="F160" s="1312"/>
      <c r="G160" s="1312"/>
      <c r="H160" s="1312"/>
      <c r="I160" s="1313"/>
      <c r="J160" s="45"/>
      <c r="K160" s="43"/>
      <c r="L160" s="43"/>
      <c r="M160" s="43"/>
      <c r="N160" s="43"/>
      <c r="O160" s="607"/>
      <c r="P160" s="607"/>
      <c r="Q160" s="607"/>
      <c r="R160" s="607"/>
      <c r="S160" s="620"/>
      <c r="T160" s="620"/>
    </row>
    <row r="161" spans="1:20" s="20" customFormat="1" ht="12.75" customHeight="1" x14ac:dyDescent="0.2">
      <c r="A161" s="1314" t="s">
        <v>87</v>
      </c>
      <c r="B161" s="1314"/>
      <c r="C161" s="1314"/>
      <c r="D161" s="1314"/>
      <c r="E161" s="1314"/>
      <c r="F161" s="1314"/>
      <c r="G161" s="1314"/>
      <c r="H161" s="1314"/>
      <c r="I161" s="1314"/>
      <c r="J161" s="1314"/>
      <c r="O161" s="620"/>
      <c r="P161" s="620"/>
      <c r="Q161" s="620"/>
      <c r="R161" s="620"/>
      <c r="S161" s="620"/>
      <c r="T161" s="620"/>
    </row>
    <row r="162" spans="1:20" s="20" customFormat="1" ht="12.75" customHeight="1" x14ac:dyDescent="0.2">
      <c r="A162" s="1315"/>
      <c r="B162" s="1315"/>
      <c r="C162" s="1315"/>
      <c r="D162" s="1315"/>
      <c r="E162" s="1315"/>
      <c r="F162" s="1315"/>
      <c r="G162" s="1315"/>
      <c r="H162" s="1315"/>
      <c r="I162" s="1315"/>
      <c r="J162" s="1315"/>
      <c r="O162" s="620"/>
      <c r="P162" s="620"/>
      <c r="Q162" s="620"/>
      <c r="R162" s="620"/>
      <c r="S162" s="620"/>
      <c r="T162" s="620"/>
    </row>
    <row r="163" spans="1:20" s="20" customFormat="1" ht="12.75" customHeight="1" x14ac:dyDescent="0.2">
      <c r="A163" s="1315"/>
      <c r="B163" s="1315"/>
      <c r="C163" s="1315"/>
      <c r="D163" s="1315"/>
      <c r="E163" s="1315"/>
      <c r="F163" s="1315"/>
      <c r="G163" s="1315"/>
      <c r="H163" s="1315"/>
      <c r="I163" s="1315"/>
      <c r="J163" s="1315"/>
      <c r="O163" s="620"/>
      <c r="P163" s="620"/>
      <c r="Q163" s="620"/>
      <c r="R163" s="620"/>
      <c r="S163" s="620"/>
      <c r="T163" s="620"/>
    </row>
    <row r="164" spans="1:20" s="20" customFormat="1" ht="17.25" customHeight="1" x14ac:dyDescent="0.2">
      <c r="A164" s="1315"/>
      <c r="B164" s="1315"/>
      <c r="C164" s="1315"/>
      <c r="D164" s="1315"/>
      <c r="E164" s="1315"/>
      <c r="F164" s="1315"/>
      <c r="G164" s="1315"/>
      <c r="H164" s="1315"/>
      <c r="I164" s="1315"/>
      <c r="J164" s="1315"/>
      <c r="O164" s="620"/>
      <c r="P164" s="620"/>
      <c r="Q164" s="620"/>
      <c r="R164" s="620"/>
      <c r="S164" s="620"/>
      <c r="T164" s="620"/>
    </row>
    <row r="165" spans="1:20" s="20" customFormat="1" ht="12.75" customHeight="1" x14ac:dyDescent="0.2">
      <c r="A165" s="1310" t="s">
        <v>283</v>
      </c>
      <c r="B165" s="1310"/>
      <c r="C165" s="1310"/>
      <c r="D165" s="1310"/>
      <c r="E165" s="1310"/>
      <c r="F165" s="1310"/>
      <c r="G165" s="1310"/>
      <c r="H165" s="1310"/>
      <c r="I165" s="1310"/>
      <c r="J165" s="1310"/>
      <c r="O165" s="620"/>
      <c r="P165" s="620"/>
      <c r="Q165" s="620"/>
      <c r="R165" s="620"/>
      <c r="S165" s="620"/>
      <c r="T165" s="620"/>
    </row>
  </sheetData>
  <sheetProtection password="CA39" sheet="1" objects="1" scenarios="1"/>
  <customSheetViews>
    <customSheetView guid="{52EB1485-ECFC-4D16-B893-125E4D85986E}" scale="86" showPageBreaks="1" showGridLines="0" printArea="1" showRuler="0">
      <selection activeCell="G11" sqref="G11"/>
      <rowBreaks count="1" manualBreakCount="1">
        <brk id="48" max="10" man="1"/>
      </rowBreaks>
      <pageMargins left="0.39370078740157483" right="0.39370078740157483" top="0.19685039370078741" bottom="0.19685039370078741" header="3.937007874015748E-2" footer="0.11811023622047245"/>
      <pageSetup paperSize="9" scale="92" orientation="landscape" horizontalDpi="1200" verticalDpi="1200" r:id="rId1"/>
      <headerFooter alignWithMargins="0"/>
    </customSheetView>
  </customSheetViews>
  <mergeCells count="18">
    <mergeCell ref="A5:B5"/>
    <mergeCell ref="B160:I160"/>
    <mergeCell ref="A165:J165"/>
    <mergeCell ref="E135:E137"/>
    <mergeCell ref="A161:J164"/>
    <mergeCell ref="F135:G135"/>
    <mergeCell ref="H135:I135"/>
    <mergeCell ref="E98:E100"/>
    <mergeCell ref="F98:G98"/>
    <mergeCell ref="H98:I98"/>
    <mergeCell ref="H7:I7"/>
    <mergeCell ref="F7:G7"/>
    <mergeCell ref="E7:E9"/>
    <mergeCell ref="A95:J95"/>
    <mergeCell ref="A94:J94"/>
    <mergeCell ref="H52:I52"/>
    <mergeCell ref="F52:G52"/>
    <mergeCell ref="E52:E54"/>
  </mergeCells>
  <phoneticPr fontId="12" type="noConversion"/>
  <conditionalFormatting sqref="J160 C142:D142 D11 C14:D14 C103:D129 C18:D47 C57:D91 C146:D157">
    <cfRule type="expression" dxfId="124" priority="1" stopIfTrue="1">
      <formula>AND($E$2=TRUE)</formula>
    </cfRule>
  </conditionalFormatting>
  <conditionalFormatting sqref="A161:J164">
    <cfRule type="expression" dxfId="123" priority="2" stopIfTrue="1">
      <formula>#REF!="nee"</formula>
    </cfRule>
  </conditionalFormatting>
  <conditionalFormatting sqref="J142:J157">
    <cfRule type="expression" dxfId="122" priority="3" stopIfTrue="1">
      <formula>#REF!="nee"</formula>
    </cfRule>
  </conditionalFormatting>
  <conditionalFormatting sqref="A160:B160 A158:J159 C98:J100 E147:I157 A130:J130 A7:B8 A48:D48 A13:B47 A56:B91 C52:J54 A92:J92 C56:D56 E102:J129 C15:D17 E7:J51 A102:B129 A52:A53 A50 A98:A99 A96 C7:D9 J67:J91 C135:J137 A135:B136 C13:D13 E55:I91 J55:J65 E139:I142 C143:D145 E143:G144 H143:I146 E146:G146 A139:B157">
    <cfRule type="expression" dxfId="121" priority="4" stopIfTrue="1">
      <formula>#REF!="nee"</formula>
    </cfRule>
  </conditionalFormatting>
  <conditionalFormatting sqref="A5">
    <cfRule type="cellIs" dxfId="120" priority="5" stopIfTrue="1" operator="equal">
      <formula>"Vul het Nza-nummer in op het voorblad"</formula>
    </cfRule>
  </conditionalFormatting>
  <conditionalFormatting sqref="C102:D102">
    <cfRule type="expression" dxfId="119" priority="6" stopIfTrue="1">
      <formula>AND($E$2=TRUE,#REF!="ja")</formula>
    </cfRule>
    <cfRule type="expression" dxfId="118" priority="7" stopIfTrue="1">
      <formula>#REF!="nee"</formula>
    </cfRule>
  </conditionalFormatting>
  <conditionalFormatting sqref="A11">
    <cfRule type="expression" dxfId="117" priority="8" stopIfTrue="1">
      <formula>#REF!="nee"</formula>
    </cfRule>
    <cfRule type="expression" dxfId="116" priority="9" stopIfTrue="1">
      <formula>$D$11=0</formula>
    </cfRule>
    <cfRule type="expression" dxfId="115" priority="10" stopIfTrue="1">
      <formula>$D$11=""</formula>
    </cfRule>
  </conditionalFormatting>
  <conditionalFormatting sqref="A93:J95 A49">
    <cfRule type="expression" dxfId="114" priority="11" stopIfTrue="1">
      <formula>#REF!="nee"</formula>
    </cfRule>
  </conditionalFormatting>
  <conditionalFormatting sqref="C140:D141">
    <cfRule type="expression" dxfId="113" priority="12" stopIfTrue="1">
      <formula>$E$2=TRUE</formula>
    </cfRule>
  </conditionalFormatting>
  <pageMargins left="0.39370078740157483" right="0.39370078740157483" top="0.31496062992125984" bottom="0.39370078740157483" header="0.43307086614173229" footer="0.51181102362204722"/>
  <pageSetup paperSize="9" scale="91" orientation="landscape" cellComments="asDisplayed" horizontalDpi="1200" verticalDpi="1200" r:id="rId2"/>
  <headerFooter alignWithMargins="0"/>
  <rowBreaks count="3" manualBreakCount="3">
    <brk id="49" max="9" man="1"/>
    <brk id="95" max="9" man="1"/>
    <brk id="131" max="9" man="1"/>
  </rowBreaks>
  <drawing r:id="rId3"/>
  <legacyDrawing r:id="rId4"/>
  <oleObjects>
    <mc:AlternateContent xmlns:mc="http://schemas.openxmlformats.org/markup-compatibility/2006">
      <mc:Choice Requires="x14">
        <oleObject progId="MSPhotoEd.3" shapeId="66609" r:id="rId5">
          <objectPr defaultSize="0" autoPict="0" r:id="rId6">
            <anchor moveWithCells="1" sizeWithCells="1">
              <from>
                <xdr:col>7</xdr:col>
                <xdr:colOff>838200</xdr:colOff>
                <xdr:row>1</xdr:row>
                <xdr:rowOff>38100</xdr:rowOff>
              </from>
              <to>
                <xdr:col>9</xdr:col>
                <xdr:colOff>600075</xdr:colOff>
                <xdr:row>1</xdr:row>
                <xdr:rowOff>180975</xdr:rowOff>
              </to>
            </anchor>
          </objectPr>
        </oleObject>
      </mc:Choice>
      <mc:Fallback>
        <oleObject progId="MSPhotoEd.3" shapeId="66609" r:id="rId5"/>
      </mc:Fallback>
    </mc:AlternateContent>
    <mc:AlternateContent xmlns:mc="http://schemas.openxmlformats.org/markup-compatibility/2006">
      <mc:Choice Requires="x14">
        <oleObject progId="MSPhotoEd.3" shapeId="66610" r:id="rId7">
          <objectPr defaultSize="0" autoPict="0" r:id="rId6">
            <anchor moveWithCells="1" sizeWithCells="1">
              <from>
                <xdr:col>7</xdr:col>
                <xdr:colOff>819150</xdr:colOff>
                <xdr:row>49</xdr:row>
                <xdr:rowOff>28575</xdr:rowOff>
              </from>
              <to>
                <xdr:col>9</xdr:col>
                <xdr:colOff>581025</xdr:colOff>
                <xdr:row>49</xdr:row>
                <xdr:rowOff>171450</xdr:rowOff>
              </to>
            </anchor>
          </objectPr>
        </oleObject>
      </mc:Choice>
      <mc:Fallback>
        <oleObject progId="MSPhotoEd.3" shapeId="66610" r:id="rId7"/>
      </mc:Fallback>
    </mc:AlternateContent>
    <mc:AlternateContent xmlns:mc="http://schemas.openxmlformats.org/markup-compatibility/2006">
      <mc:Choice Requires="x14">
        <oleObject progId="MSPhotoEd.3" shapeId="66624" r:id="rId8">
          <objectPr defaultSize="0" autoPict="0" r:id="rId6">
            <anchor moveWithCells="1" sizeWithCells="1">
              <from>
                <xdr:col>7</xdr:col>
                <xdr:colOff>819150</xdr:colOff>
                <xdr:row>95</xdr:row>
                <xdr:rowOff>28575</xdr:rowOff>
              </from>
              <to>
                <xdr:col>9</xdr:col>
                <xdr:colOff>581025</xdr:colOff>
                <xdr:row>95</xdr:row>
                <xdr:rowOff>171450</xdr:rowOff>
              </to>
            </anchor>
          </objectPr>
        </oleObject>
      </mc:Choice>
      <mc:Fallback>
        <oleObject progId="MSPhotoEd.3" shapeId="66624" r:id="rId8"/>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3"/>
  <dimension ref="A1:N43"/>
  <sheetViews>
    <sheetView showGridLines="0" showZeros="0" zoomScaleNormal="100" workbookViewId="0">
      <selection activeCell="G21" sqref="G21"/>
    </sheetView>
  </sheetViews>
  <sheetFormatPr defaultRowHeight="12.75" x14ac:dyDescent="0.2"/>
  <cols>
    <col min="1" max="1" width="7.42578125" style="316" customWidth="1"/>
    <col min="2" max="2" width="73.5703125" style="328" customWidth="1"/>
    <col min="3" max="3" width="15.42578125" style="872" customWidth="1"/>
    <col min="4" max="4" width="19" style="872" customWidth="1"/>
    <col min="5" max="5" width="19.28515625" style="872" customWidth="1"/>
    <col min="6" max="7" width="15.42578125" style="872" customWidth="1"/>
    <col min="8" max="8" width="11.7109375" style="872" customWidth="1"/>
    <col min="9" max="10" width="14" style="872" customWidth="1"/>
    <col min="11" max="11" width="14.7109375" style="872" customWidth="1"/>
    <col min="12" max="16384" width="9.140625" style="836"/>
  </cols>
  <sheetData>
    <row r="1" spans="1:14" x14ac:dyDescent="0.2">
      <c r="A1" s="870"/>
      <c r="B1" s="315"/>
      <c r="C1" s="871"/>
      <c r="D1" s="871"/>
      <c r="E1" s="871"/>
      <c r="F1" s="315"/>
      <c r="G1" s="328"/>
      <c r="H1" s="798"/>
      <c r="I1" s="328"/>
      <c r="J1" s="798"/>
      <c r="K1" s="798"/>
    </row>
    <row r="2" spans="1:14" x14ac:dyDescent="0.2">
      <c r="A2" s="317" t="str">
        <f>inhoud!A2</f>
        <v>Vaststelling Transitiebedrag 2012</v>
      </c>
      <c r="B2" s="318"/>
      <c r="C2" s="318"/>
      <c r="D2" s="318"/>
      <c r="E2" s="318"/>
      <c r="F2" s="827" t="b">
        <f>Voorblad!D27</f>
        <v>1</v>
      </c>
      <c r="G2" s="321">
        <f>'1.1  realisatie'!J132+1</f>
        <v>9</v>
      </c>
      <c r="H2" s="318"/>
      <c r="I2" s="318"/>
      <c r="J2" s="318"/>
    </row>
    <row r="3" spans="1:14" x14ac:dyDescent="0.2">
      <c r="A3" s="317"/>
      <c r="B3" s="318"/>
      <c r="C3" s="318"/>
      <c r="D3" s="318"/>
      <c r="E3" s="318"/>
      <c r="F3" s="827"/>
      <c r="G3" s="321"/>
      <c r="H3" s="318"/>
      <c r="I3" s="318"/>
      <c r="J3" s="318"/>
    </row>
    <row r="4" spans="1:14" x14ac:dyDescent="0.2">
      <c r="A4" s="327" t="s">
        <v>921</v>
      </c>
      <c r="B4" s="327" t="s">
        <v>4</v>
      </c>
      <c r="C4" s="318"/>
      <c r="D4" s="318"/>
      <c r="H4" s="318"/>
      <c r="I4" s="318"/>
      <c r="J4" s="318"/>
      <c r="K4" s="321"/>
    </row>
    <row r="5" spans="1:14" x14ac:dyDescent="0.2">
      <c r="A5" s="1329" t="str">
        <f>IF(Voorblad!$F$10&lt;1,"Vul het NZa-nummer in op het voorblad","")</f>
        <v>Vul het NZa-nummer in op het voorblad</v>
      </c>
      <c r="B5" s="1330"/>
      <c r="C5" s="318"/>
      <c r="D5" s="875" t="s">
        <v>617</v>
      </c>
      <c r="E5" s="875" t="s">
        <v>732</v>
      </c>
      <c r="F5" s="1327" t="s">
        <v>1222</v>
      </c>
      <c r="H5" s="966"/>
      <c r="I5" s="966"/>
      <c r="J5" s="966"/>
      <c r="K5" s="1208"/>
      <c r="L5" s="837"/>
      <c r="M5" s="837"/>
      <c r="N5" s="837"/>
    </row>
    <row r="6" spans="1:14" s="328" customFormat="1" ht="12.75" customHeight="1" x14ac:dyDescent="0.15">
      <c r="C6" s="872"/>
      <c r="D6" s="876">
        <f>Voorblad!K4</f>
        <v>2012</v>
      </c>
      <c r="E6" s="876">
        <f>Voorblad!K4</f>
        <v>2012</v>
      </c>
      <c r="F6" s="1328"/>
      <c r="H6" s="946"/>
      <c r="I6" s="946"/>
      <c r="J6" s="946"/>
      <c r="K6" s="946"/>
      <c r="L6" s="946"/>
      <c r="M6" s="946"/>
      <c r="N6" s="946"/>
    </row>
    <row r="7" spans="1:14" s="328" customFormat="1" ht="12.75" customHeight="1" x14ac:dyDescent="0.15">
      <c r="A7" s="327" t="s">
        <v>5</v>
      </c>
      <c r="B7" s="327" t="s">
        <v>1</v>
      </c>
      <c r="C7" s="872"/>
      <c r="D7" s="877"/>
      <c r="E7" s="877"/>
      <c r="F7" s="878"/>
      <c r="H7" s="946"/>
      <c r="I7" s="946"/>
      <c r="J7" s="946"/>
      <c r="K7" s="946"/>
      <c r="L7" s="946"/>
      <c r="M7" s="946"/>
      <c r="N7" s="946"/>
    </row>
    <row r="8" spans="1:14" s="328" customFormat="1" ht="12.75" customHeight="1" x14ac:dyDescent="0.15">
      <c r="A8" s="796">
        <f>G2*100+1</f>
        <v>901</v>
      </c>
      <c r="B8" s="303" t="str">
        <f>CONCATENATE("Overeengekomen vergoeding afschrijvingskosten ", Voorblad!K4)</f>
        <v>Overeengekomen vergoeding afschrijvingskosten 2012</v>
      </c>
      <c r="C8" s="879"/>
      <c r="D8" s="795"/>
      <c r="E8" s="795"/>
      <c r="F8" s="801">
        <f>D8-E8</f>
        <v>0</v>
      </c>
      <c r="H8" s="946"/>
      <c r="I8" s="946"/>
      <c r="J8" s="946"/>
      <c r="K8" s="946"/>
      <c r="L8" s="946"/>
      <c r="M8" s="946"/>
      <c r="N8" s="946"/>
    </row>
    <row r="9" spans="1:14" s="328" customFormat="1" ht="12.75" customHeight="1" x14ac:dyDescent="0.15">
      <c r="A9" s="796">
        <f>A8+1</f>
        <v>902</v>
      </c>
      <c r="B9" s="303" t="s">
        <v>10</v>
      </c>
      <c r="C9" s="879"/>
      <c r="D9" s="795"/>
      <c r="E9" s="795"/>
      <c r="F9" s="801">
        <f>D9-E9</f>
        <v>0</v>
      </c>
      <c r="H9" s="946"/>
      <c r="I9" s="946"/>
      <c r="J9" s="946"/>
      <c r="K9" s="946"/>
      <c r="L9" s="946"/>
      <c r="M9" s="946"/>
      <c r="N9" s="946"/>
    </row>
    <row r="10" spans="1:14" s="328" customFormat="1" ht="12.75" customHeight="1" x14ac:dyDescent="0.15">
      <c r="A10" s="796">
        <f>A9+1</f>
        <v>903</v>
      </c>
      <c r="B10" s="348" t="str">
        <f>"Totaal overeengekomen vergoeding afschrijvingskosten "&amp;Voorblad!K4&amp;" ("&amp;A8&amp;" - "&amp;A9&amp;")"</f>
        <v>Totaal overeengekomen vergoeding afschrijvingskosten 2012 (901 - 902)</v>
      </c>
      <c r="C10" s="802"/>
      <c r="D10" s="803">
        <f>D8-D9</f>
        <v>0</v>
      </c>
      <c r="E10" s="803">
        <f>E8-E9</f>
        <v>0</v>
      </c>
      <c r="F10" s="804">
        <f>F8-F9</f>
        <v>0</v>
      </c>
      <c r="H10" s="946"/>
      <c r="I10" s="946"/>
      <c r="J10" s="946"/>
      <c r="K10" s="946"/>
      <c r="L10" s="946"/>
      <c r="M10" s="946"/>
      <c r="N10" s="946"/>
    </row>
    <row r="11" spans="1:14" s="328" customFormat="1" ht="12.75" customHeight="1" x14ac:dyDescent="0.15">
      <c r="A11" s="797"/>
      <c r="B11" s="798"/>
      <c r="C11" s="799"/>
      <c r="H11" s="946"/>
      <c r="I11" s="946"/>
      <c r="J11" s="946"/>
      <c r="K11" s="946"/>
      <c r="L11" s="946"/>
      <c r="M11" s="946"/>
      <c r="N11" s="946"/>
    </row>
    <row r="12" spans="1:14" s="328" customFormat="1" ht="12.75" customHeight="1" x14ac:dyDescent="0.15">
      <c r="A12" s="327" t="s">
        <v>6</v>
      </c>
      <c r="B12" s="667" t="str">
        <f>CONCATENATE("Adherentie (aantallen) ",Voorblad!K4-2," (volgens opgave Prismant)")</f>
        <v>Adherentie (aantallen) 2010 (volgens opgave Prismant)</v>
      </c>
      <c r="C12" s="799"/>
      <c r="H12" s="946"/>
      <c r="I12" s="946"/>
      <c r="J12" s="946"/>
      <c r="K12" s="946"/>
      <c r="L12" s="946"/>
      <c r="M12" s="946"/>
      <c r="N12" s="946"/>
    </row>
    <row r="13" spans="1:14" s="328" customFormat="1" ht="12.75" customHeight="1" x14ac:dyDescent="0.15">
      <c r="A13" s="796">
        <f>A10+1</f>
        <v>904</v>
      </c>
      <c r="B13" s="303" t="str">
        <f>CONCATENATE("Klinische en dagverpleging adherentie ",Voorblad!K4-2)</f>
        <v>Klinische en dagverpleging adherentie 2010</v>
      </c>
      <c r="C13" s="879"/>
      <c r="D13" s="795"/>
      <c r="E13" s="795"/>
      <c r="F13" s="801">
        <f>D13-E13</f>
        <v>0</v>
      </c>
      <c r="H13" s="946"/>
      <c r="I13" s="946"/>
      <c r="J13" s="946"/>
      <c r="K13" s="946"/>
      <c r="L13" s="946"/>
      <c r="M13" s="946"/>
      <c r="N13" s="946"/>
    </row>
    <row r="14" spans="1:14" s="328" customFormat="1" ht="12.75" customHeight="1" x14ac:dyDescent="0.15">
      <c r="A14" s="796">
        <f>+A13+1</f>
        <v>905</v>
      </c>
      <c r="B14" s="303" t="str">
        <f>CONCATENATE("Poliklinische adherentie ",Voorblad!K4-2)</f>
        <v>Poliklinische adherentie 2010</v>
      </c>
      <c r="C14" s="879"/>
      <c r="D14" s="795"/>
      <c r="E14" s="795"/>
      <c r="F14" s="801">
        <f>D14-E14</f>
        <v>0</v>
      </c>
      <c r="G14" s="798"/>
      <c r="H14" s="946"/>
      <c r="I14" s="946"/>
      <c r="J14" s="946"/>
      <c r="K14" s="946"/>
      <c r="L14" s="946"/>
      <c r="M14" s="946"/>
      <c r="N14" s="946"/>
    </row>
    <row r="15" spans="1:14" s="328" customFormat="1" ht="12.75" customHeight="1" x14ac:dyDescent="0.15">
      <c r="A15" s="1323" t="s">
        <v>1221</v>
      </c>
      <c r="B15" s="1323"/>
      <c r="C15" s="1323"/>
      <c r="D15" s="1323"/>
      <c r="E15" s="1323"/>
      <c r="F15" s="1323"/>
      <c r="G15" s="1324"/>
      <c r="H15" s="946"/>
      <c r="I15" s="946"/>
      <c r="J15" s="946"/>
      <c r="K15" s="946"/>
      <c r="L15" s="946"/>
      <c r="M15" s="946"/>
      <c r="N15" s="946"/>
    </row>
    <row r="16" spans="1:14" s="328" customFormat="1" ht="12.75" customHeight="1" x14ac:dyDescent="0.15">
      <c r="A16" s="1324"/>
      <c r="B16" s="1324"/>
      <c r="C16" s="1324"/>
      <c r="D16" s="1324"/>
      <c r="E16" s="1324"/>
      <c r="F16" s="1324"/>
      <c r="G16" s="1324"/>
      <c r="H16" s="946"/>
      <c r="I16" s="946"/>
      <c r="J16" s="946"/>
      <c r="K16" s="946"/>
      <c r="L16" s="946"/>
      <c r="M16" s="946"/>
      <c r="N16" s="946"/>
    </row>
    <row r="17" spans="1:14" s="328" customFormat="1" ht="12.75" customHeight="1" x14ac:dyDescent="0.15">
      <c r="A17" s="797"/>
      <c r="B17" s="798"/>
      <c r="C17" s="799"/>
      <c r="D17" s="799"/>
      <c r="H17" s="946"/>
      <c r="I17" s="946"/>
      <c r="J17" s="946"/>
      <c r="K17" s="946"/>
      <c r="L17" s="946"/>
      <c r="M17" s="946"/>
      <c r="N17" s="946"/>
    </row>
    <row r="18" spans="1:14" s="328" customFormat="1" ht="11.25" x14ac:dyDescent="0.15">
      <c r="A18" s="327" t="s">
        <v>7</v>
      </c>
      <c r="B18" s="667" t="s">
        <v>2</v>
      </c>
      <c r="C18" s="799"/>
      <c r="D18" s="1204" t="s">
        <v>617</v>
      </c>
      <c r="E18" s="875" t="s">
        <v>732</v>
      </c>
      <c r="F18" s="1206" t="s">
        <v>574</v>
      </c>
      <c r="G18" s="1206" t="s">
        <v>781</v>
      </c>
      <c r="H18" s="946"/>
      <c r="I18" s="1209"/>
      <c r="J18" s="1209"/>
      <c r="K18" s="946"/>
      <c r="L18" s="946"/>
      <c r="M18" s="946"/>
      <c r="N18" s="946"/>
    </row>
    <row r="19" spans="1:14" s="328" customFormat="1" ht="11.25" x14ac:dyDescent="0.15">
      <c r="A19" s="1201"/>
      <c r="B19" s="1200"/>
      <c r="C19" s="799"/>
      <c r="D19" s="1205">
        <f>D6</f>
        <v>2012</v>
      </c>
      <c r="E19" s="1205">
        <f>E6</f>
        <v>2012</v>
      </c>
      <c r="F19" s="1207"/>
      <c r="G19" s="1207" t="s">
        <v>172</v>
      </c>
      <c r="H19" s="946"/>
      <c r="I19" s="1209"/>
      <c r="J19" s="1209"/>
      <c r="K19" s="946"/>
      <c r="L19" s="946"/>
      <c r="M19" s="946"/>
      <c r="N19" s="946"/>
    </row>
    <row r="20" spans="1:14" s="328" customFormat="1" ht="12.75" customHeight="1" x14ac:dyDescent="0.15">
      <c r="A20" s="1201"/>
      <c r="B20" s="1200"/>
      <c r="C20" s="1200"/>
      <c r="D20" s="1200"/>
      <c r="E20" s="1200"/>
      <c r="F20" s="1200"/>
      <c r="G20" s="1200"/>
      <c r="H20" s="946"/>
      <c r="I20" s="1209"/>
      <c r="J20" s="1209"/>
      <c r="K20" s="946"/>
      <c r="L20" s="946"/>
      <c r="M20" s="946"/>
      <c r="N20" s="946"/>
    </row>
    <row r="21" spans="1:14" s="328" customFormat="1" ht="12.75" customHeight="1" x14ac:dyDescent="0.15">
      <c r="A21" s="796">
        <f>+A14+1</f>
        <v>906</v>
      </c>
      <c r="B21" s="340" t="str">
        <f>CONCATENATE("Aantal leerlingen per 1 oktober ",Voorblad!K4-1)</f>
        <v>Aantal leerlingen per 1 oktober 2011</v>
      </c>
      <c r="C21" s="879"/>
      <c r="D21" s="795"/>
      <c r="E21" s="795"/>
      <c r="F21" s="801">
        <f>D21-E21</f>
        <v>0</v>
      </c>
      <c r="G21" s="801">
        <f>F21*beleidsregelwaarden!F75*beleidsregelwaarden!B9</f>
        <v>0</v>
      </c>
      <c r="H21" s="946"/>
      <c r="I21" s="1209"/>
      <c r="J21" s="1209"/>
      <c r="K21" s="946"/>
      <c r="L21" s="946"/>
      <c r="M21" s="946"/>
      <c r="N21" s="946"/>
    </row>
    <row r="22" spans="1:14" s="328" customFormat="1" ht="12" customHeight="1" x14ac:dyDescent="0.15">
      <c r="A22" s="1325" t="s">
        <v>11</v>
      </c>
      <c r="B22" s="1325"/>
      <c r="C22" s="1325"/>
      <c r="D22" s="1325"/>
      <c r="E22" s="1325"/>
      <c r="F22" s="1325"/>
      <c r="G22" s="1325"/>
      <c r="H22" s="946"/>
      <c r="I22" s="946"/>
      <c r="J22" s="946"/>
      <c r="K22" s="946"/>
      <c r="L22" s="946"/>
      <c r="M22" s="946"/>
      <c r="N22" s="946"/>
    </row>
    <row r="23" spans="1:14" s="328" customFormat="1" ht="11.25" customHeight="1" x14ac:dyDescent="0.15">
      <c r="A23" s="1326"/>
      <c r="B23" s="1326"/>
      <c r="C23" s="1326"/>
      <c r="D23" s="1326"/>
      <c r="E23" s="1326"/>
      <c r="F23" s="1326"/>
      <c r="G23" s="1326"/>
      <c r="H23" s="946"/>
      <c r="I23" s="946"/>
      <c r="J23" s="946"/>
      <c r="K23" s="946"/>
      <c r="L23" s="946"/>
      <c r="M23" s="946"/>
      <c r="N23" s="946"/>
    </row>
    <row r="24" spans="1:14" s="328" customFormat="1" ht="12.75" customHeight="1" x14ac:dyDescent="0.15">
      <c r="A24" s="814"/>
      <c r="B24" s="814"/>
      <c r="C24" s="814"/>
      <c r="D24" s="1197"/>
      <c r="E24" s="814"/>
      <c r="F24" s="814"/>
      <c r="G24" s="814"/>
      <c r="H24" s="946"/>
      <c r="I24" s="946"/>
      <c r="J24" s="946"/>
      <c r="K24" s="946"/>
      <c r="L24" s="946"/>
      <c r="M24" s="946"/>
      <c r="N24" s="946"/>
    </row>
    <row r="25" spans="1:14" x14ac:dyDescent="0.2">
      <c r="A25" s="880"/>
      <c r="B25" s="318"/>
      <c r="C25" s="318"/>
      <c r="D25" s="318"/>
      <c r="E25" s="318"/>
      <c r="F25" s="827"/>
      <c r="G25" s="318"/>
      <c r="H25" s="966"/>
      <c r="I25" s="966"/>
      <c r="J25" s="966"/>
      <c r="K25" s="1208"/>
      <c r="L25" s="837"/>
      <c r="M25" s="837"/>
      <c r="N25" s="837"/>
    </row>
    <row r="26" spans="1:14" x14ac:dyDescent="0.2">
      <c r="A26" s="823"/>
      <c r="B26" s="823"/>
      <c r="C26" s="836"/>
      <c r="D26" s="836"/>
      <c r="E26" s="836"/>
      <c r="F26" s="836"/>
      <c r="G26" s="836"/>
      <c r="H26" s="837"/>
      <c r="I26" s="837"/>
      <c r="J26" s="837"/>
      <c r="K26" s="837"/>
      <c r="L26" s="837"/>
      <c r="M26" s="837"/>
      <c r="N26" s="837"/>
    </row>
    <row r="27" spans="1:14" ht="33.75" x14ac:dyDescent="0.2">
      <c r="A27" s="882" t="s">
        <v>8</v>
      </c>
      <c r="B27" s="883" t="s">
        <v>627</v>
      </c>
      <c r="C27" s="1202" t="s">
        <v>599</v>
      </c>
      <c r="D27" s="1203" t="s">
        <v>3</v>
      </c>
      <c r="E27" s="1203" t="str">
        <f>"In rekenstaat "&amp;Voorblad!K4</f>
        <v>In rekenstaat 2012</v>
      </c>
      <c r="F27" s="1203" t="s">
        <v>1222</v>
      </c>
      <c r="G27" s="836"/>
      <c r="H27" s="837"/>
      <c r="I27" s="837"/>
      <c r="J27" s="837"/>
      <c r="K27" s="837"/>
      <c r="L27" s="837"/>
      <c r="M27" s="837"/>
      <c r="N27" s="837"/>
    </row>
    <row r="28" spans="1:14" x14ac:dyDescent="0.2">
      <c r="A28" s="885"/>
      <c r="B28" s="823"/>
      <c r="C28" s="886"/>
      <c r="D28" s="886"/>
      <c r="E28" s="886"/>
      <c r="F28" s="823"/>
      <c r="G28" s="836"/>
      <c r="H28" s="837"/>
      <c r="I28" s="837"/>
      <c r="J28" s="837"/>
      <c r="K28" s="837"/>
      <c r="L28" s="837"/>
      <c r="M28" s="837"/>
      <c r="N28" s="837"/>
    </row>
    <row r="29" spans="1:14" x14ac:dyDescent="0.2">
      <c r="A29" s="796">
        <f>A21+1</f>
        <v>907</v>
      </c>
      <c r="B29" s="336" t="str">
        <f>"Overeengekomen bedrag "&amp;Voorblad!K4</f>
        <v>Overeengekomen bedrag 2012</v>
      </c>
      <c r="C29" s="800">
        <f>0.05*'1.1  realisatie'!J158</f>
        <v>0</v>
      </c>
      <c r="D29" s="1198"/>
      <c r="E29" s="1198"/>
      <c r="F29" s="804">
        <f>D29-E29</f>
        <v>0</v>
      </c>
      <c r="G29" s="887"/>
      <c r="H29" s="1210"/>
      <c r="I29" s="1210"/>
      <c r="J29" s="1210"/>
      <c r="K29" s="1210"/>
      <c r="L29" s="837"/>
      <c r="M29" s="837"/>
      <c r="N29" s="837"/>
    </row>
    <row r="30" spans="1:14" ht="12.75" customHeight="1" x14ac:dyDescent="0.2">
      <c r="A30" s="1321" t="str">
        <f>"Voor de LPT kon in "&amp;Voorblad!K4&amp;" maximaal 5% van het variabele FB-deel van "&amp;Voorblad!K4&amp;" (incl. 1e lijn) additioneel in het budget worden opgenomen. U kunt hier het definitief overeengekomen bedrag "&amp;Voorblad!K4&amp;" opgeven."</f>
        <v>Voor de LPT kon in 2012 maximaal 5% van het variabele FB-deel van 2012 (incl. 1e lijn) additioneel in het budget worden opgenomen. U kunt hier het definitief overeengekomen bedrag 2012 opgeven.</v>
      </c>
      <c r="B30" s="1321"/>
      <c r="C30" s="1321"/>
      <c r="D30" s="1321"/>
      <c r="E30" s="1321"/>
      <c r="F30" s="1321"/>
      <c r="G30" s="1322"/>
      <c r="H30" s="1211"/>
      <c r="I30" s="1211"/>
      <c r="J30" s="1211"/>
      <c r="K30" s="1211"/>
      <c r="L30" s="837"/>
      <c r="M30" s="837"/>
      <c r="N30" s="837"/>
    </row>
    <row r="31" spans="1:14" x14ac:dyDescent="0.2">
      <c r="A31" s="1322"/>
      <c r="B31" s="1322"/>
      <c r="C31" s="1322"/>
      <c r="D31" s="1322"/>
      <c r="E31" s="1322"/>
      <c r="F31" s="1322"/>
      <c r="G31" s="1322"/>
      <c r="H31" s="1212"/>
      <c r="I31" s="1212"/>
      <c r="J31" s="1212"/>
      <c r="K31" s="1212"/>
      <c r="L31" s="837"/>
      <c r="M31" s="837"/>
      <c r="N31" s="837"/>
    </row>
    <row r="32" spans="1:14" x14ac:dyDescent="0.2">
      <c r="H32" s="1213"/>
      <c r="I32" s="1213"/>
      <c r="J32" s="1213"/>
      <c r="K32" s="1213"/>
      <c r="L32" s="837"/>
      <c r="M32" s="837"/>
      <c r="N32" s="837"/>
    </row>
    <row r="33" spans="1:14" x14ac:dyDescent="0.2">
      <c r="A33" s="640">
        <f>A29+1</f>
        <v>908</v>
      </c>
      <c r="B33" s="1319" t="s">
        <v>9</v>
      </c>
      <c r="C33" s="1320"/>
      <c r="D33" s="655">
        <f>D29+D10+(D21*beleidsregelwaarden!F75*beleidsregelwaarden!B9)</f>
        <v>0</v>
      </c>
      <c r="E33" s="655">
        <f>E29+E10+(E21*beleidsregelwaarden!F75*beleidsregelwaarden!B9)</f>
        <v>0</v>
      </c>
      <c r="F33" s="655">
        <f>SUM(F10,F29)+G21</f>
        <v>0</v>
      </c>
      <c r="G33" s="836"/>
      <c r="H33" s="837"/>
      <c r="I33" s="1213"/>
      <c r="J33" s="1213"/>
      <c r="K33" s="1213"/>
      <c r="L33" s="837"/>
      <c r="M33" s="837"/>
      <c r="N33" s="837"/>
    </row>
    <row r="34" spans="1:14" x14ac:dyDescent="0.2">
      <c r="H34" s="1213"/>
      <c r="I34" s="1213"/>
      <c r="J34" s="1213"/>
      <c r="K34" s="1213"/>
      <c r="L34" s="837"/>
      <c r="M34" s="837"/>
      <c r="N34" s="837"/>
    </row>
    <row r="35" spans="1:14" x14ac:dyDescent="0.2">
      <c r="H35" s="1213"/>
      <c r="I35" s="1213"/>
      <c r="J35" s="1213"/>
      <c r="K35" s="1213"/>
      <c r="L35" s="837"/>
      <c r="M35" s="837"/>
      <c r="N35" s="837"/>
    </row>
    <row r="36" spans="1:14" x14ac:dyDescent="0.2">
      <c r="H36" s="1213"/>
      <c r="I36" s="1213"/>
      <c r="J36" s="1213"/>
      <c r="K36" s="1213"/>
      <c r="L36" s="837"/>
      <c r="M36" s="837"/>
      <c r="N36" s="837"/>
    </row>
    <row r="37" spans="1:14" x14ac:dyDescent="0.2">
      <c r="H37" s="1213"/>
      <c r="I37" s="1213"/>
      <c r="J37" s="1213"/>
      <c r="K37" s="1213"/>
      <c r="L37" s="837"/>
      <c r="M37" s="837"/>
      <c r="N37" s="837"/>
    </row>
    <row r="38" spans="1:14" x14ac:dyDescent="0.2">
      <c r="H38" s="1213"/>
      <c r="I38" s="1213"/>
      <c r="J38" s="1213"/>
      <c r="K38" s="1213"/>
      <c r="L38" s="837"/>
      <c r="M38" s="837"/>
      <c r="N38" s="837"/>
    </row>
    <row r="39" spans="1:14" x14ac:dyDescent="0.2">
      <c r="H39" s="1213"/>
      <c r="I39" s="1213"/>
      <c r="J39" s="1213"/>
      <c r="K39" s="1213"/>
      <c r="L39" s="837"/>
      <c r="M39" s="837"/>
      <c r="N39" s="837"/>
    </row>
    <row r="40" spans="1:14" x14ac:dyDescent="0.2">
      <c r="H40" s="1213"/>
      <c r="I40" s="1213"/>
      <c r="J40" s="1213"/>
      <c r="K40" s="1213"/>
      <c r="L40" s="837"/>
      <c r="M40" s="837"/>
      <c r="N40" s="837"/>
    </row>
    <row r="41" spans="1:14" x14ac:dyDescent="0.2">
      <c r="H41" s="1213"/>
      <c r="I41" s="1213"/>
      <c r="J41" s="1213"/>
      <c r="K41" s="1213"/>
      <c r="L41" s="837"/>
      <c r="M41" s="837"/>
      <c r="N41" s="837"/>
    </row>
    <row r="42" spans="1:14" x14ac:dyDescent="0.2">
      <c r="H42" s="1213"/>
      <c r="I42" s="1213"/>
      <c r="J42" s="1213"/>
      <c r="K42" s="1213"/>
      <c r="L42" s="837"/>
      <c r="M42" s="837"/>
      <c r="N42" s="837"/>
    </row>
    <row r="43" spans="1:14" x14ac:dyDescent="0.2">
      <c r="H43" s="1213"/>
      <c r="I43" s="1213"/>
      <c r="J43" s="1213"/>
      <c r="K43" s="1213"/>
      <c r="L43" s="837"/>
      <c r="M43" s="837"/>
      <c r="N43" s="837"/>
    </row>
  </sheetData>
  <sheetProtection password="CA39" sheet="1" objects="1" scenarios="1"/>
  <mergeCells count="6">
    <mergeCell ref="B33:C33"/>
    <mergeCell ref="A30:G31"/>
    <mergeCell ref="A15:G16"/>
    <mergeCell ref="A22:G23"/>
    <mergeCell ref="F5:F6"/>
    <mergeCell ref="A5:B5"/>
  </mergeCells>
  <phoneticPr fontId="12" type="noConversion"/>
  <conditionalFormatting sqref="C13:C14 C8:C9 C21">
    <cfRule type="expression" dxfId="112" priority="4" stopIfTrue="1">
      <formula>#REF!=TRUE</formula>
    </cfRule>
  </conditionalFormatting>
  <conditionalFormatting sqref="A4 A29:C29 B26:B27 A26 H30:K31 A30">
    <cfRule type="expression" dxfId="111" priority="5" stopIfTrue="1">
      <formula>#REF!="nee"</formula>
    </cfRule>
  </conditionalFormatting>
  <conditionalFormatting sqref="D29:E29 D8:E9 D13:E14 D21:E21">
    <cfRule type="expression" dxfId="110" priority="6" stopIfTrue="1">
      <formula>AND($F$2=TRUE)</formula>
    </cfRule>
  </conditionalFormatting>
  <conditionalFormatting sqref="C27:F27">
    <cfRule type="expression" dxfId="109" priority="7" stopIfTrue="1">
      <formula>#REF!="nee"</formula>
    </cfRule>
  </conditionalFormatting>
  <conditionalFormatting sqref="A33:C33">
    <cfRule type="expression" dxfId="108" priority="8" stopIfTrue="1">
      <formula>#REF!="nee"</formula>
    </cfRule>
  </conditionalFormatting>
  <conditionalFormatting sqref="D5:E7 F5">
    <cfRule type="expression" dxfId="107" priority="9" stopIfTrue="1">
      <formula>#REF!="nee"</formula>
    </cfRule>
  </conditionalFormatting>
  <conditionalFormatting sqref="A5">
    <cfRule type="cellIs" dxfId="106" priority="10" stopIfTrue="1" operator="equal">
      <formula>"Vul het Nza-nummer in op het voorblad"</formula>
    </cfRule>
  </conditionalFormatting>
  <conditionalFormatting sqref="D18:F18 D19:E19">
    <cfRule type="expression" dxfId="105" priority="2" stopIfTrue="1">
      <formula>#REF!="nee"</formula>
    </cfRule>
  </conditionalFormatting>
  <conditionalFormatting sqref="G18">
    <cfRule type="expression" dxfId="104" priority="1" stopIfTrue="1">
      <formula>#REF!="nee"</formula>
    </cfRule>
  </conditionalFormatting>
  <dataValidations count="1">
    <dataValidation type="whole" operator="lessThan" allowBlank="1" showInputMessage="1" showErrorMessage="1" errorTitle="Maximum overschreden!" error="U kunt hier maximaal het bedrag invullen dat in de eerste kolom maximaal aanvaardbaar is berekend." sqref="D29">
      <formula1>C29+1</formula1>
    </dataValidation>
  </dataValidations>
  <pageMargins left="0.75" right="0.75" top="1" bottom="1" header="0.5" footer="0.5"/>
  <pageSetup paperSize="9" scale="53" orientation="portrait" r:id="rId1"/>
  <headerFooter alignWithMargins="0"/>
  <colBreaks count="2" manualBreakCount="2">
    <brk id="7" max="32" man="1"/>
    <brk id="8" max="30" man="1"/>
  </colBreaks>
  <drawing r:id="rId2"/>
  <legacyDrawing r:id="rId3"/>
  <oleObjects>
    <mc:AlternateContent xmlns:mc="http://schemas.openxmlformats.org/markup-compatibility/2006">
      <mc:Choice Requires="x14">
        <oleObject progId="MSPhotoEd.3" shapeId="100355" r:id="rId4">
          <objectPr defaultSize="0" autoPict="0" r:id="rId5">
            <anchor moveWithCells="1" sizeWithCells="1">
              <from>
                <xdr:col>6</xdr:col>
                <xdr:colOff>0</xdr:colOff>
                <xdr:row>25</xdr:row>
                <xdr:rowOff>0</xdr:rowOff>
              </from>
              <to>
                <xdr:col>7</xdr:col>
                <xdr:colOff>0</xdr:colOff>
                <xdr:row>25</xdr:row>
                <xdr:rowOff>0</xdr:rowOff>
              </to>
            </anchor>
          </objectPr>
        </oleObject>
      </mc:Choice>
      <mc:Fallback>
        <oleObject progId="MSPhotoEd.3" shapeId="100355" r:id="rId4"/>
      </mc:Fallback>
    </mc:AlternateContent>
    <mc:AlternateContent xmlns:mc="http://schemas.openxmlformats.org/markup-compatibility/2006">
      <mc:Choice Requires="x14">
        <oleObject progId="MSPhotoEd.3" shapeId="100358" r:id="rId6">
          <objectPr defaultSize="0" autoPict="0" r:id="rId5">
            <anchor moveWithCells="1" sizeWithCells="1">
              <from>
                <xdr:col>6</xdr:col>
                <xdr:colOff>0</xdr:colOff>
                <xdr:row>25</xdr:row>
                <xdr:rowOff>0</xdr:rowOff>
              </from>
              <to>
                <xdr:col>7</xdr:col>
                <xdr:colOff>0</xdr:colOff>
                <xdr:row>25</xdr:row>
                <xdr:rowOff>0</xdr:rowOff>
              </to>
            </anchor>
          </objectPr>
        </oleObject>
      </mc:Choice>
      <mc:Fallback>
        <oleObject progId="MSPhotoEd.3" shapeId="100358" r:id="rId6"/>
      </mc:Fallback>
    </mc:AlternateContent>
    <mc:AlternateContent xmlns:mc="http://schemas.openxmlformats.org/markup-compatibility/2006">
      <mc:Choice Requires="x14">
        <oleObject progId="MSPhotoEd.3" shapeId="100359" r:id="rId7">
          <objectPr defaultSize="0" autoPict="0" r:id="rId5">
            <anchor moveWithCells="1" sizeWithCells="1">
              <from>
                <xdr:col>5</xdr:col>
                <xdr:colOff>0</xdr:colOff>
                <xdr:row>1</xdr:row>
                <xdr:rowOff>28575</xdr:rowOff>
              </from>
              <to>
                <xdr:col>6</xdr:col>
                <xdr:colOff>600075</xdr:colOff>
                <xdr:row>2</xdr:row>
                <xdr:rowOff>9525</xdr:rowOff>
              </to>
            </anchor>
          </objectPr>
        </oleObject>
      </mc:Choice>
      <mc:Fallback>
        <oleObject progId="MSPhotoEd.3" shapeId="100359" r:id="rId7"/>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pageSetUpPr autoPageBreaks="0" fitToPage="1"/>
  </sheetPr>
  <dimension ref="A1:H151"/>
  <sheetViews>
    <sheetView showGridLines="0" showZeros="0" showOutlineSymbols="0" zoomScaleNormal="100" zoomScaleSheetLayoutView="100" workbookViewId="0">
      <selection activeCell="D12" sqref="D12"/>
    </sheetView>
  </sheetViews>
  <sheetFormatPr defaultRowHeight="11.25" x14ac:dyDescent="0.15"/>
  <cols>
    <col min="1" max="1" width="6.140625" style="633" customWidth="1"/>
    <col min="2" max="2" width="18.5703125" style="633" customWidth="1"/>
    <col min="3" max="3" width="58.140625" style="633" customWidth="1"/>
    <col min="4" max="4" width="14.85546875" style="633" customWidth="1"/>
    <col min="5" max="5" width="15" style="633" bestFit="1" customWidth="1"/>
    <col min="6" max="6" width="14.140625" style="633" bestFit="1" customWidth="1"/>
    <col min="7" max="7" width="13.5703125" style="633" bestFit="1" customWidth="1"/>
    <col min="8" max="9" width="13.7109375" style="633" customWidth="1"/>
    <col min="10" max="10" width="6.7109375" style="633" customWidth="1"/>
    <col min="11" max="16384" width="9.140625" style="633"/>
  </cols>
  <sheetData>
    <row r="1" spans="1:7" x14ac:dyDescent="0.15">
      <c r="A1" s="632"/>
      <c r="B1" s="637" t="b">
        <f>Voorblad!D27</f>
        <v>1</v>
      </c>
      <c r="C1" s="871"/>
    </row>
    <row r="2" spans="1:7" s="635" customFormat="1" ht="12.75" customHeight="1" x14ac:dyDescent="0.15">
      <c r="A2" s="634" t="str">
        <f>inhoud!A2</f>
        <v>Vaststelling Transitiebedrag 2012</v>
      </c>
      <c r="B2" s="634"/>
      <c r="F2" s="636"/>
      <c r="G2" s="635">
        <f>'1.3 Diverse aanvaardbare kosten'!G2+1</f>
        <v>10</v>
      </c>
    </row>
    <row r="3" spans="1:7" ht="12.75" customHeight="1" x14ac:dyDescent="0.2">
      <c r="A3" s="1329" t="str">
        <f>IF(Voorblad!$F$10&lt;1,"Vul het NZa-nummer in op het voorblad","")</f>
        <v>Vul het NZa-nummer in op het voorblad</v>
      </c>
      <c r="B3" s="1330"/>
      <c r="C3" s="1330"/>
    </row>
    <row r="4" spans="1:7" ht="12.75" customHeight="1" x14ac:dyDescent="0.2">
      <c r="A4" s="873"/>
      <c r="B4" s="874"/>
      <c r="C4" s="874"/>
    </row>
    <row r="5" spans="1:7" ht="12.75" customHeight="1" x14ac:dyDescent="0.2">
      <c r="A5" s="873" t="s">
        <v>1174</v>
      </c>
      <c r="B5" s="874"/>
      <c r="C5" s="874"/>
    </row>
    <row r="6" spans="1:7" ht="36" customHeight="1" x14ac:dyDescent="0.2">
      <c r="A6" s="1337" t="s">
        <v>1177</v>
      </c>
      <c r="B6" s="1336"/>
      <c r="C6" s="1336"/>
      <c r="D6" s="1336"/>
      <c r="E6" s="1336"/>
      <c r="F6" s="1336"/>
      <c r="G6" s="1336"/>
    </row>
    <row r="7" spans="1:7" ht="12.75" customHeight="1" x14ac:dyDescent="0.2">
      <c r="A7" s="873"/>
      <c r="B7" s="874"/>
      <c r="C7" s="874"/>
    </row>
    <row r="8" spans="1:7" ht="11.25" customHeight="1" x14ac:dyDescent="0.2">
      <c r="A8" s="638" t="s">
        <v>814</v>
      </c>
      <c r="B8" s="638" t="s">
        <v>1086</v>
      </c>
    </row>
    <row r="9" spans="1:7" ht="11.25" customHeight="1" x14ac:dyDescent="0.15">
      <c r="D9" s="980" t="s">
        <v>1073</v>
      </c>
      <c r="E9" s="981" t="s">
        <v>143</v>
      </c>
      <c r="F9" s="981" t="s">
        <v>835</v>
      </c>
      <c r="G9" s="981" t="s">
        <v>628</v>
      </c>
    </row>
    <row r="10" spans="1:7" ht="11.25" customHeight="1" x14ac:dyDescent="0.15">
      <c r="A10" s="982" t="s">
        <v>621</v>
      </c>
      <c r="B10" s="982"/>
      <c r="C10" s="639"/>
      <c r="D10" s="983" t="s">
        <v>1074</v>
      </c>
      <c r="E10" s="984">
        <v>0.8</v>
      </c>
      <c r="F10" s="985">
        <f>D11</f>
        <v>2012</v>
      </c>
      <c r="G10" s="985">
        <f>D11</f>
        <v>2012</v>
      </c>
    </row>
    <row r="11" spans="1:7" ht="10.5" customHeight="1" x14ac:dyDescent="0.15">
      <c r="A11" s="635"/>
      <c r="B11" s="635"/>
      <c r="C11" s="635"/>
      <c r="D11" s="986">
        <f>Voorblad!K4</f>
        <v>2012</v>
      </c>
      <c r="E11" s="986"/>
      <c r="F11" s="986"/>
      <c r="G11" s="986"/>
    </row>
    <row r="12" spans="1:7" ht="12.75" customHeight="1" x14ac:dyDescent="0.2">
      <c r="A12" s="640">
        <f>G2*100+1</f>
        <v>1001</v>
      </c>
      <c r="B12" s="856" t="s">
        <v>1079</v>
      </c>
      <c r="C12" s="641" t="s">
        <v>126</v>
      </c>
      <c r="D12" s="642"/>
      <c r="E12" s="261">
        <f>ROUND(D12*80%,0)</f>
        <v>0</v>
      </c>
      <c r="F12" s="643"/>
      <c r="G12" s="987">
        <f>E12-F12</f>
        <v>0</v>
      </c>
    </row>
    <row r="13" spans="1:7" ht="12.75" customHeight="1" x14ac:dyDescent="0.2">
      <c r="A13" s="640">
        <f t="shared" ref="A13:A46" si="0">A12+1</f>
        <v>1002</v>
      </c>
      <c r="B13" s="856">
        <v>193303</v>
      </c>
      <c r="C13" s="641" t="s">
        <v>127</v>
      </c>
      <c r="D13" s="642"/>
      <c r="E13" s="261">
        <f t="shared" ref="E13:E61" si="1">ROUND(D13*80%,0)</f>
        <v>0</v>
      </c>
      <c r="F13" s="643"/>
      <c r="G13" s="987">
        <f t="shared" ref="G13:G61" si="2">E13-F13</f>
        <v>0</v>
      </c>
    </row>
    <row r="14" spans="1:7" ht="12.75" customHeight="1" x14ac:dyDescent="0.2">
      <c r="A14" s="640">
        <f t="shared" si="0"/>
        <v>1003</v>
      </c>
      <c r="B14" s="856" t="s">
        <v>1080</v>
      </c>
      <c r="C14" s="641" t="s">
        <v>128</v>
      </c>
      <c r="D14" s="642"/>
      <c r="E14" s="261">
        <f t="shared" si="1"/>
        <v>0</v>
      </c>
      <c r="F14" s="643"/>
      <c r="G14" s="987">
        <f t="shared" si="2"/>
        <v>0</v>
      </c>
    </row>
    <row r="15" spans="1:7" ht="12.75" customHeight="1" x14ac:dyDescent="0.2">
      <c r="A15" s="640">
        <f t="shared" si="0"/>
        <v>1004</v>
      </c>
      <c r="B15" s="856" t="s">
        <v>1081</v>
      </c>
      <c r="C15" s="641" t="s">
        <v>129</v>
      </c>
      <c r="D15" s="642"/>
      <c r="E15" s="261">
        <f t="shared" si="1"/>
        <v>0</v>
      </c>
      <c r="F15" s="643"/>
      <c r="G15" s="987">
        <f t="shared" si="2"/>
        <v>0</v>
      </c>
    </row>
    <row r="16" spans="1:7" ht="12.75" customHeight="1" x14ac:dyDescent="0.2">
      <c r="A16" s="640">
        <f t="shared" si="0"/>
        <v>1005</v>
      </c>
      <c r="B16" s="856">
        <v>193308</v>
      </c>
      <c r="C16" s="641" t="s">
        <v>130</v>
      </c>
      <c r="D16" s="642"/>
      <c r="E16" s="261">
        <f t="shared" si="1"/>
        <v>0</v>
      </c>
      <c r="F16" s="643"/>
      <c r="G16" s="987">
        <f t="shared" si="2"/>
        <v>0</v>
      </c>
    </row>
    <row r="17" spans="1:8" ht="12.75" customHeight="1" x14ac:dyDescent="0.2">
      <c r="A17" s="644">
        <f t="shared" ref="A17:A30" si="3">A16+1</f>
        <v>1006</v>
      </c>
      <c r="B17" s="856">
        <v>193309</v>
      </c>
      <c r="C17" s="641" t="s">
        <v>1088</v>
      </c>
      <c r="D17" s="642"/>
      <c r="E17" s="261">
        <f t="shared" si="1"/>
        <v>0</v>
      </c>
      <c r="F17" s="643"/>
      <c r="G17" s="987">
        <f t="shared" si="2"/>
        <v>0</v>
      </c>
    </row>
    <row r="18" spans="1:8" ht="12.75" customHeight="1" x14ac:dyDescent="0.2">
      <c r="A18" s="640">
        <f t="shared" si="3"/>
        <v>1007</v>
      </c>
      <c r="B18" s="856" t="s">
        <v>1152</v>
      </c>
      <c r="C18" s="641" t="s">
        <v>131</v>
      </c>
      <c r="D18" s="642"/>
      <c r="E18" s="261">
        <f t="shared" si="1"/>
        <v>0</v>
      </c>
      <c r="F18" s="643"/>
      <c r="G18" s="987">
        <f t="shared" si="2"/>
        <v>0</v>
      </c>
    </row>
    <row r="19" spans="1:8" ht="12.75" customHeight="1" x14ac:dyDescent="0.2">
      <c r="A19" s="644">
        <f t="shared" si="3"/>
        <v>1008</v>
      </c>
      <c r="B19" s="856">
        <v>193313</v>
      </c>
      <c r="C19" s="759" t="s">
        <v>37</v>
      </c>
      <c r="D19" s="642"/>
      <c r="E19" s="261">
        <f t="shared" si="1"/>
        <v>0</v>
      </c>
      <c r="F19" s="643"/>
      <c r="G19" s="987">
        <f t="shared" si="2"/>
        <v>0</v>
      </c>
    </row>
    <row r="20" spans="1:8" s="857" customFormat="1" ht="12.75" customHeight="1" x14ac:dyDescent="0.2">
      <c r="A20" s="640">
        <f t="shared" si="3"/>
        <v>1009</v>
      </c>
      <c r="B20" s="856" t="s">
        <v>1151</v>
      </c>
      <c r="C20" s="859" t="s">
        <v>132</v>
      </c>
      <c r="D20" s="642"/>
      <c r="E20" s="261">
        <f t="shared" si="1"/>
        <v>0</v>
      </c>
      <c r="F20" s="643"/>
      <c r="G20" s="987">
        <f t="shared" si="2"/>
        <v>0</v>
      </c>
      <c r="H20" s="858"/>
    </row>
    <row r="21" spans="1:8" ht="12.75" customHeight="1" x14ac:dyDescent="0.2">
      <c r="A21" s="640">
        <f t="shared" si="3"/>
        <v>1010</v>
      </c>
      <c r="B21" s="856">
        <v>193318</v>
      </c>
      <c r="C21" s="641" t="s">
        <v>1075</v>
      </c>
      <c r="D21" s="642"/>
      <c r="E21" s="261">
        <f t="shared" si="1"/>
        <v>0</v>
      </c>
      <c r="F21" s="643"/>
      <c r="G21" s="987">
        <f t="shared" si="2"/>
        <v>0</v>
      </c>
    </row>
    <row r="22" spans="1:8" ht="12.75" customHeight="1" x14ac:dyDescent="0.2">
      <c r="A22" s="640">
        <f t="shared" si="3"/>
        <v>1011</v>
      </c>
      <c r="B22" s="856">
        <v>193319</v>
      </c>
      <c r="C22" s="641" t="s">
        <v>1171</v>
      </c>
      <c r="D22" s="642"/>
      <c r="E22" s="261">
        <f t="shared" si="1"/>
        <v>0</v>
      </c>
      <c r="F22" s="643"/>
      <c r="G22" s="987">
        <f t="shared" si="2"/>
        <v>0</v>
      </c>
    </row>
    <row r="23" spans="1:8" ht="12.75" customHeight="1" x14ac:dyDescent="0.2">
      <c r="A23" s="644">
        <f t="shared" si="3"/>
        <v>1012</v>
      </c>
      <c r="B23" s="856">
        <v>193320</v>
      </c>
      <c r="C23" s="646" t="s">
        <v>135</v>
      </c>
      <c r="D23" s="642"/>
      <c r="E23" s="261">
        <f t="shared" si="1"/>
        <v>0</v>
      </c>
      <c r="F23" s="643"/>
      <c r="G23" s="987">
        <f t="shared" si="2"/>
        <v>0</v>
      </c>
    </row>
    <row r="24" spans="1:8" ht="12.75" customHeight="1" x14ac:dyDescent="0.2">
      <c r="A24" s="640">
        <f t="shared" si="3"/>
        <v>1013</v>
      </c>
      <c r="B24" s="856">
        <v>193321</v>
      </c>
      <c r="C24" s="641" t="s">
        <v>1089</v>
      </c>
      <c r="D24" s="642"/>
      <c r="E24" s="261">
        <f t="shared" si="1"/>
        <v>0</v>
      </c>
      <c r="F24" s="643"/>
      <c r="G24" s="987">
        <f t="shared" si="2"/>
        <v>0</v>
      </c>
    </row>
    <row r="25" spans="1:8" ht="12.75" customHeight="1" x14ac:dyDescent="0.2">
      <c r="A25" s="640">
        <f t="shared" si="3"/>
        <v>1014</v>
      </c>
      <c r="B25" s="856">
        <v>193322</v>
      </c>
      <c r="C25" s="641" t="s">
        <v>791</v>
      </c>
      <c r="D25" s="642"/>
      <c r="E25" s="261">
        <f t="shared" si="1"/>
        <v>0</v>
      </c>
      <c r="F25" s="643"/>
      <c r="G25" s="987">
        <f t="shared" si="2"/>
        <v>0</v>
      </c>
    </row>
    <row r="26" spans="1:8" ht="12.75" customHeight="1" x14ac:dyDescent="0.2">
      <c r="A26" s="640">
        <f t="shared" si="3"/>
        <v>1015</v>
      </c>
      <c r="B26" s="856">
        <v>193323</v>
      </c>
      <c r="C26" s="641" t="s">
        <v>700</v>
      </c>
      <c r="D26" s="642"/>
      <c r="E26" s="261">
        <f t="shared" si="1"/>
        <v>0</v>
      </c>
      <c r="F26" s="643"/>
      <c r="G26" s="987">
        <f t="shared" si="2"/>
        <v>0</v>
      </c>
    </row>
    <row r="27" spans="1:8" ht="12.75" customHeight="1" x14ac:dyDescent="0.2">
      <c r="A27" s="640">
        <f t="shared" si="3"/>
        <v>1016</v>
      </c>
      <c r="B27" s="856" t="s">
        <v>1082</v>
      </c>
      <c r="C27" s="641" t="s">
        <v>701</v>
      </c>
      <c r="D27" s="642"/>
      <c r="E27" s="261">
        <f t="shared" si="1"/>
        <v>0</v>
      </c>
      <c r="F27" s="643"/>
      <c r="G27" s="987">
        <f t="shared" si="2"/>
        <v>0</v>
      </c>
    </row>
    <row r="28" spans="1:8" ht="12.75" customHeight="1" x14ac:dyDescent="0.2">
      <c r="A28" s="640">
        <f t="shared" si="3"/>
        <v>1017</v>
      </c>
      <c r="B28" s="856">
        <v>193328</v>
      </c>
      <c r="C28" s="859" t="s">
        <v>1091</v>
      </c>
      <c r="D28" s="642"/>
      <c r="E28" s="261">
        <f t="shared" si="1"/>
        <v>0</v>
      </c>
      <c r="F28" s="643"/>
      <c r="G28" s="987">
        <f t="shared" si="2"/>
        <v>0</v>
      </c>
    </row>
    <row r="29" spans="1:8" ht="12.75" customHeight="1" x14ac:dyDescent="0.2">
      <c r="A29" s="640">
        <f t="shared" si="3"/>
        <v>1018</v>
      </c>
      <c r="B29" s="856">
        <v>193330</v>
      </c>
      <c r="C29" s="645" t="s">
        <v>789</v>
      </c>
      <c r="D29" s="642"/>
      <c r="E29" s="261">
        <f t="shared" si="1"/>
        <v>0</v>
      </c>
      <c r="F29" s="643"/>
      <c r="G29" s="987">
        <f t="shared" si="2"/>
        <v>0</v>
      </c>
    </row>
    <row r="30" spans="1:8" s="857" customFormat="1" ht="12.75" customHeight="1" x14ac:dyDescent="0.2">
      <c r="A30" s="640">
        <f t="shared" si="3"/>
        <v>1019</v>
      </c>
      <c r="B30" s="856">
        <v>193332</v>
      </c>
      <c r="C30" s="641" t="s">
        <v>858</v>
      </c>
      <c r="D30" s="642"/>
      <c r="E30" s="261">
        <f t="shared" si="1"/>
        <v>0</v>
      </c>
      <c r="F30" s="643"/>
      <c r="G30" s="987">
        <f t="shared" si="2"/>
        <v>0</v>
      </c>
    </row>
    <row r="31" spans="1:8" ht="12.75" customHeight="1" x14ac:dyDescent="0.2">
      <c r="A31" s="640">
        <f t="shared" si="0"/>
        <v>1020</v>
      </c>
      <c r="B31" s="856">
        <v>193333</v>
      </c>
      <c r="C31" s="860" t="s">
        <v>1093</v>
      </c>
      <c r="D31" s="642"/>
      <c r="E31" s="261">
        <f t="shared" si="1"/>
        <v>0</v>
      </c>
      <c r="F31" s="643"/>
      <c r="G31" s="987">
        <f t="shared" si="2"/>
        <v>0</v>
      </c>
    </row>
    <row r="32" spans="1:8" s="857" customFormat="1" ht="12.75" customHeight="1" x14ac:dyDescent="0.2">
      <c r="A32" s="640">
        <f t="shared" si="0"/>
        <v>1021</v>
      </c>
      <c r="B32" s="856">
        <v>193334</v>
      </c>
      <c r="C32" s="641" t="s">
        <v>833</v>
      </c>
      <c r="D32" s="642"/>
      <c r="E32" s="261">
        <f t="shared" si="1"/>
        <v>0</v>
      </c>
      <c r="F32" s="643"/>
      <c r="G32" s="987">
        <f t="shared" si="2"/>
        <v>0</v>
      </c>
      <c r="H32" s="858"/>
    </row>
    <row r="33" spans="1:8" s="857" customFormat="1" ht="12.75" customHeight="1" x14ac:dyDescent="0.2">
      <c r="A33" s="640">
        <f t="shared" si="0"/>
        <v>1022</v>
      </c>
      <c r="B33" s="856">
        <v>193335</v>
      </c>
      <c r="C33" s="859" t="s">
        <v>1097</v>
      </c>
      <c r="D33" s="642"/>
      <c r="E33" s="261">
        <f t="shared" si="1"/>
        <v>0</v>
      </c>
      <c r="F33" s="643"/>
      <c r="G33" s="987">
        <f t="shared" si="2"/>
        <v>0</v>
      </c>
      <c r="H33" s="858"/>
    </row>
    <row r="34" spans="1:8" s="857" customFormat="1" ht="12.75" customHeight="1" x14ac:dyDescent="0.2">
      <c r="A34" s="640">
        <f t="shared" si="0"/>
        <v>1023</v>
      </c>
      <c r="B34" s="856" t="s">
        <v>1153</v>
      </c>
      <c r="C34" s="859" t="s">
        <v>141</v>
      </c>
      <c r="D34" s="642"/>
      <c r="E34" s="261">
        <f t="shared" si="1"/>
        <v>0</v>
      </c>
      <c r="F34" s="643"/>
      <c r="G34" s="987">
        <f t="shared" si="2"/>
        <v>0</v>
      </c>
      <c r="H34" s="858"/>
    </row>
    <row r="35" spans="1:8" ht="12.75" customHeight="1" x14ac:dyDescent="0.2">
      <c r="A35" s="644">
        <f t="shared" si="0"/>
        <v>1024</v>
      </c>
      <c r="B35" s="856">
        <v>193339</v>
      </c>
      <c r="C35" s="988" t="s">
        <v>1076</v>
      </c>
      <c r="D35" s="642"/>
      <c r="E35" s="261">
        <f t="shared" si="1"/>
        <v>0</v>
      </c>
      <c r="F35" s="643"/>
      <c r="G35" s="987">
        <f t="shared" si="2"/>
        <v>0</v>
      </c>
    </row>
    <row r="36" spans="1:8" ht="12.75" customHeight="1" x14ac:dyDescent="0.2">
      <c r="A36" s="640">
        <f>A35+1</f>
        <v>1025</v>
      </c>
      <c r="B36" s="856">
        <v>193340</v>
      </c>
      <c r="C36" s="988" t="s">
        <v>793</v>
      </c>
      <c r="D36" s="642"/>
      <c r="E36" s="261">
        <f t="shared" si="1"/>
        <v>0</v>
      </c>
      <c r="F36" s="643"/>
      <c r="G36" s="987">
        <f t="shared" si="2"/>
        <v>0</v>
      </c>
    </row>
    <row r="37" spans="1:8" ht="12.75" customHeight="1" x14ac:dyDescent="0.2">
      <c r="A37" s="640">
        <f t="shared" si="0"/>
        <v>1026</v>
      </c>
      <c r="B37" s="856">
        <v>193341</v>
      </c>
      <c r="C37" s="988" t="s">
        <v>794</v>
      </c>
      <c r="D37" s="642"/>
      <c r="E37" s="261">
        <f t="shared" si="1"/>
        <v>0</v>
      </c>
      <c r="F37" s="643"/>
      <c r="G37" s="987">
        <f t="shared" si="2"/>
        <v>0</v>
      </c>
    </row>
    <row r="38" spans="1:8" ht="12.75" customHeight="1" x14ac:dyDescent="0.2">
      <c r="A38" s="640">
        <f t="shared" si="0"/>
        <v>1027</v>
      </c>
      <c r="B38" s="856">
        <v>193342</v>
      </c>
      <c r="C38" s="629" t="s">
        <v>797</v>
      </c>
      <c r="D38" s="642"/>
      <c r="E38" s="261">
        <f t="shared" si="1"/>
        <v>0</v>
      </c>
      <c r="F38" s="643"/>
      <c r="G38" s="987">
        <f t="shared" si="2"/>
        <v>0</v>
      </c>
    </row>
    <row r="39" spans="1:8" ht="12.75" customHeight="1" x14ac:dyDescent="0.2">
      <c r="A39" s="640">
        <f t="shared" si="0"/>
        <v>1028</v>
      </c>
      <c r="B39" s="856">
        <v>193343</v>
      </c>
      <c r="C39" s="629" t="s">
        <v>796</v>
      </c>
      <c r="D39" s="642"/>
      <c r="E39" s="261">
        <f t="shared" si="1"/>
        <v>0</v>
      </c>
      <c r="F39" s="643"/>
      <c r="G39" s="987">
        <f t="shared" si="2"/>
        <v>0</v>
      </c>
    </row>
    <row r="40" spans="1:8" ht="12.75" customHeight="1" x14ac:dyDescent="0.2">
      <c r="A40" s="640">
        <f t="shared" si="0"/>
        <v>1029</v>
      </c>
      <c r="B40" s="856">
        <v>193344</v>
      </c>
      <c r="C40" s="629" t="s">
        <v>1077</v>
      </c>
      <c r="D40" s="642"/>
      <c r="E40" s="261">
        <f t="shared" si="1"/>
        <v>0</v>
      </c>
      <c r="F40" s="643"/>
      <c r="G40" s="987">
        <f t="shared" si="2"/>
        <v>0</v>
      </c>
    </row>
    <row r="41" spans="1:8" ht="12.75" customHeight="1" x14ac:dyDescent="0.2">
      <c r="A41" s="640">
        <f t="shared" si="0"/>
        <v>1030</v>
      </c>
      <c r="B41" s="856">
        <v>193345</v>
      </c>
      <c r="C41" s="629" t="s">
        <v>1170</v>
      </c>
      <c r="D41" s="642"/>
      <c r="E41" s="261">
        <f t="shared" si="1"/>
        <v>0</v>
      </c>
      <c r="F41" s="643"/>
      <c r="G41" s="987">
        <f t="shared" si="2"/>
        <v>0</v>
      </c>
    </row>
    <row r="42" spans="1:8" ht="12.75" customHeight="1" x14ac:dyDescent="0.2">
      <c r="A42" s="640">
        <f t="shared" si="0"/>
        <v>1031</v>
      </c>
      <c r="B42" s="856">
        <v>193346</v>
      </c>
      <c r="C42" s="629" t="s">
        <v>63</v>
      </c>
      <c r="D42" s="642"/>
      <c r="E42" s="261">
        <f t="shared" si="1"/>
        <v>0</v>
      </c>
      <c r="F42" s="643"/>
      <c r="G42" s="987">
        <f t="shared" si="2"/>
        <v>0</v>
      </c>
    </row>
    <row r="43" spans="1:8" ht="12.75" customHeight="1" x14ac:dyDescent="0.2">
      <c r="A43" s="640">
        <f t="shared" si="0"/>
        <v>1032</v>
      </c>
      <c r="B43" s="856" t="s">
        <v>1083</v>
      </c>
      <c r="C43" s="756" t="s">
        <v>1087</v>
      </c>
      <c r="D43" s="642"/>
      <c r="E43" s="261">
        <f t="shared" si="1"/>
        <v>0</v>
      </c>
      <c r="F43" s="643"/>
      <c r="G43" s="987">
        <f t="shared" si="2"/>
        <v>0</v>
      </c>
    </row>
    <row r="44" spans="1:8" ht="12.75" customHeight="1" x14ac:dyDescent="0.2">
      <c r="A44" s="640">
        <f t="shared" si="0"/>
        <v>1033</v>
      </c>
      <c r="B44" s="856">
        <v>193356</v>
      </c>
      <c r="C44" s="855" t="s">
        <v>1072</v>
      </c>
      <c r="D44" s="642"/>
      <c r="E44" s="261">
        <f t="shared" si="1"/>
        <v>0</v>
      </c>
      <c r="F44" s="643"/>
      <c r="G44" s="987">
        <f t="shared" si="2"/>
        <v>0</v>
      </c>
    </row>
    <row r="45" spans="1:8" ht="12.75" customHeight="1" x14ac:dyDescent="0.2">
      <c r="A45" s="640">
        <f t="shared" si="0"/>
        <v>1034</v>
      </c>
      <c r="B45" s="856">
        <v>193357</v>
      </c>
      <c r="C45" s="859" t="s">
        <v>1163</v>
      </c>
      <c r="D45" s="642"/>
      <c r="E45" s="261">
        <f t="shared" si="1"/>
        <v>0</v>
      </c>
      <c r="F45" s="643"/>
      <c r="G45" s="987">
        <f t="shared" si="2"/>
        <v>0</v>
      </c>
    </row>
    <row r="46" spans="1:8" ht="12.75" customHeight="1" x14ac:dyDescent="0.2">
      <c r="A46" s="640">
        <f t="shared" si="0"/>
        <v>1035</v>
      </c>
      <c r="B46" s="856">
        <v>193360</v>
      </c>
      <c r="C46" s="856" t="s">
        <v>1068</v>
      </c>
      <c r="D46" s="642"/>
      <c r="E46" s="261">
        <f t="shared" si="1"/>
        <v>0</v>
      </c>
      <c r="F46" s="643"/>
      <c r="G46" s="987">
        <f t="shared" si="2"/>
        <v>0</v>
      </c>
    </row>
    <row r="47" spans="1:8" ht="12.75" customHeight="1" x14ac:dyDescent="0.2">
      <c r="A47" s="640">
        <f t="shared" ref="A47:A58" si="4">A46+1</f>
        <v>1036</v>
      </c>
      <c r="B47" s="856">
        <v>193361</v>
      </c>
      <c r="C47" s="856" t="s">
        <v>1084</v>
      </c>
      <c r="D47" s="642"/>
      <c r="E47" s="261">
        <f t="shared" si="1"/>
        <v>0</v>
      </c>
      <c r="F47" s="643"/>
      <c r="G47" s="987">
        <f t="shared" si="2"/>
        <v>0</v>
      </c>
    </row>
    <row r="48" spans="1:8" ht="12.75" customHeight="1" x14ac:dyDescent="0.2">
      <c r="A48" s="640">
        <f t="shared" si="4"/>
        <v>1037</v>
      </c>
      <c r="B48" s="856">
        <v>193362</v>
      </c>
      <c r="C48" s="856" t="s">
        <v>612</v>
      </c>
      <c r="D48" s="642"/>
      <c r="E48" s="261">
        <f t="shared" si="1"/>
        <v>0</v>
      </c>
      <c r="F48" s="643"/>
      <c r="G48" s="987">
        <f t="shared" si="2"/>
        <v>0</v>
      </c>
    </row>
    <row r="49" spans="1:7" ht="12.75" customHeight="1" x14ac:dyDescent="0.2">
      <c r="A49" s="640">
        <f t="shared" si="4"/>
        <v>1038</v>
      </c>
      <c r="B49" s="856">
        <v>193363</v>
      </c>
      <c r="C49" s="856" t="s">
        <v>613</v>
      </c>
      <c r="D49" s="642"/>
      <c r="E49" s="261">
        <f t="shared" si="1"/>
        <v>0</v>
      </c>
      <c r="F49" s="643"/>
      <c r="G49" s="987">
        <f t="shared" si="2"/>
        <v>0</v>
      </c>
    </row>
    <row r="50" spans="1:7" ht="12.75" customHeight="1" x14ac:dyDescent="0.2">
      <c r="A50" s="640">
        <f t="shared" si="4"/>
        <v>1039</v>
      </c>
      <c r="B50" s="856">
        <v>193364</v>
      </c>
      <c r="C50" s="856" t="s">
        <v>1078</v>
      </c>
      <c r="D50" s="642"/>
      <c r="E50" s="261">
        <f t="shared" si="1"/>
        <v>0</v>
      </c>
      <c r="F50" s="643"/>
      <c r="G50" s="987">
        <f t="shared" si="2"/>
        <v>0</v>
      </c>
    </row>
    <row r="51" spans="1:7" ht="12.75" customHeight="1" x14ac:dyDescent="0.2">
      <c r="A51" s="640">
        <f t="shared" si="4"/>
        <v>1040</v>
      </c>
      <c r="B51" s="856">
        <v>193365</v>
      </c>
      <c r="C51" s="856" t="s">
        <v>614</v>
      </c>
      <c r="D51" s="642"/>
      <c r="E51" s="261">
        <f t="shared" si="1"/>
        <v>0</v>
      </c>
      <c r="F51" s="643"/>
      <c r="G51" s="987">
        <f t="shared" si="2"/>
        <v>0</v>
      </c>
    </row>
    <row r="52" spans="1:7" ht="12.75" customHeight="1" x14ac:dyDescent="0.2">
      <c r="A52" s="640">
        <f t="shared" si="4"/>
        <v>1041</v>
      </c>
      <c r="B52" s="856">
        <v>193366</v>
      </c>
      <c r="C52" s="855" t="s">
        <v>1069</v>
      </c>
      <c r="D52" s="642"/>
      <c r="E52" s="261">
        <f t="shared" si="1"/>
        <v>0</v>
      </c>
      <c r="F52" s="643"/>
      <c r="G52" s="987">
        <f t="shared" si="2"/>
        <v>0</v>
      </c>
    </row>
    <row r="53" spans="1:7" ht="12.75" customHeight="1" x14ac:dyDescent="0.2">
      <c r="A53" s="640">
        <f t="shared" si="4"/>
        <v>1042</v>
      </c>
      <c r="B53" s="856">
        <v>193367</v>
      </c>
      <c r="C53" s="855" t="s">
        <v>1070</v>
      </c>
      <c r="D53" s="642"/>
      <c r="E53" s="261">
        <f t="shared" si="1"/>
        <v>0</v>
      </c>
      <c r="F53" s="643"/>
      <c r="G53" s="987">
        <f t="shared" si="2"/>
        <v>0</v>
      </c>
    </row>
    <row r="54" spans="1:7" ht="12.75" customHeight="1" x14ac:dyDescent="0.2">
      <c r="A54" s="640">
        <f t="shared" si="4"/>
        <v>1043</v>
      </c>
      <c r="B54" s="856">
        <v>193368</v>
      </c>
      <c r="C54" s="855" t="s">
        <v>1071</v>
      </c>
      <c r="D54" s="642"/>
      <c r="E54" s="261">
        <f t="shared" si="1"/>
        <v>0</v>
      </c>
      <c r="F54" s="643"/>
      <c r="G54" s="987">
        <f t="shared" si="2"/>
        <v>0</v>
      </c>
    </row>
    <row r="55" spans="1:7" ht="12.75" customHeight="1" x14ac:dyDescent="0.2">
      <c r="A55" s="640">
        <f t="shared" si="4"/>
        <v>1044</v>
      </c>
      <c r="B55" s="856">
        <v>193369</v>
      </c>
      <c r="C55" s="855" t="s">
        <v>1085</v>
      </c>
      <c r="D55" s="642"/>
      <c r="E55" s="261">
        <f t="shared" si="1"/>
        <v>0</v>
      </c>
      <c r="F55" s="643"/>
      <c r="G55" s="987">
        <f t="shared" si="2"/>
        <v>0</v>
      </c>
    </row>
    <row r="56" spans="1:7" ht="12.75" customHeight="1" x14ac:dyDescent="0.2">
      <c r="A56" s="640">
        <f t="shared" si="4"/>
        <v>1045</v>
      </c>
      <c r="B56" s="864">
        <v>193388</v>
      </c>
      <c r="C56" s="855" t="s">
        <v>1172</v>
      </c>
      <c r="D56" s="642"/>
      <c r="E56" s="261">
        <f t="shared" si="1"/>
        <v>0</v>
      </c>
      <c r="F56" s="643"/>
      <c r="G56" s="987">
        <f t="shared" si="2"/>
        <v>0</v>
      </c>
    </row>
    <row r="57" spans="1:7" ht="12.75" customHeight="1" x14ac:dyDescent="0.2">
      <c r="A57" s="640">
        <f t="shared" si="4"/>
        <v>1046</v>
      </c>
      <c r="B57" s="642"/>
      <c r="C57" s="642"/>
      <c r="D57" s="642"/>
      <c r="E57" s="261">
        <f t="shared" si="1"/>
        <v>0</v>
      </c>
      <c r="F57" s="643"/>
      <c r="G57" s="987">
        <f t="shared" si="2"/>
        <v>0</v>
      </c>
    </row>
    <row r="58" spans="1:7" ht="12.75" customHeight="1" x14ac:dyDescent="0.2">
      <c r="A58" s="640">
        <f t="shared" si="4"/>
        <v>1047</v>
      </c>
      <c r="B58" s="642"/>
      <c r="C58" s="862"/>
      <c r="D58" s="642"/>
      <c r="E58" s="261">
        <f t="shared" si="1"/>
        <v>0</v>
      </c>
      <c r="F58" s="643"/>
      <c r="G58" s="987">
        <f t="shared" si="2"/>
        <v>0</v>
      </c>
    </row>
    <row r="59" spans="1:7" ht="12.75" customHeight="1" x14ac:dyDescent="0.2">
      <c r="A59" s="640">
        <f>A58+1</f>
        <v>1048</v>
      </c>
      <c r="B59" s="642"/>
      <c r="C59" s="642"/>
      <c r="D59" s="642"/>
      <c r="E59" s="261">
        <f t="shared" si="1"/>
        <v>0</v>
      </c>
      <c r="F59" s="643"/>
      <c r="G59" s="987">
        <f t="shared" si="2"/>
        <v>0</v>
      </c>
    </row>
    <row r="60" spans="1:7" ht="12.75" customHeight="1" x14ac:dyDescent="0.2">
      <c r="A60" s="640">
        <f>A59+1</f>
        <v>1049</v>
      </c>
      <c r="B60" s="642"/>
      <c r="C60" s="642"/>
      <c r="D60" s="642"/>
      <c r="E60" s="261">
        <f t="shared" si="1"/>
        <v>0</v>
      </c>
      <c r="F60" s="643"/>
      <c r="G60" s="987">
        <f t="shared" si="2"/>
        <v>0</v>
      </c>
    </row>
    <row r="61" spans="1:7" ht="12.75" customHeight="1" x14ac:dyDescent="0.2">
      <c r="A61" s="640">
        <f>A60+1</f>
        <v>1050</v>
      </c>
      <c r="B61" s="642"/>
      <c r="C61" s="642"/>
      <c r="D61" s="642"/>
      <c r="E61" s="261">
        <f t="shared" si="1"/>
        <v>0</v>
      </c>
      <c r="F61" s="643"/>
      <c r="G61" s="987">
        <f t="shared" si="2"/>
        <v>0</v>
      </c>
    </row>
    <row r="62" spans="1:7" ht="12.75" customHeight="1" x14ac:dyDescent="0.15">
      <c r="A62" s="640">
        <f>A61+1</f>
        <v>1051</v>
      </c>
      <c r="B62" s="1319" t="s">
        <v>798</v>
      </c>
      <c r="C62" s="1320"/>
      <c r="D62" s="657">
        <f>SUM(D12:D61)</f>
        <v>0</v>
      </c>
      <c r="E62" s="657">
        <f>SUM(E12:E61)</f>
        <v>0</v>
      </c>
      <c r="F62" s="657">
        <f>SUM(F12:F61)</f>
        <v>0</v>
      </c>
      <c r="G62" s="657">
        <f>SUM(G12:G61)</f>
        <v>0</v>
      </c>
    </row>
    <row r="63" spans="1:7" x14ac:dyDescent="0.15">
      <c r="A63" s="1335" t="s">
        <v>1135</v>
      </c>
      <c r="B63" s="1335"/>
      <c r="C63" s="1335"/>
      <c r="D63" s="1335"/>
      <c r="E63" s="1335"/>
      <c r="F63" s="1335"/>
      <c r="G63" s="1335"/>
    </row>
    <row r="64" spans="1:7" ht="51.75" customHeight="1" x14ac:dyDescent="0.15">
      <c r="A64" s="1334" t="s">
        <v>1098</v>
      </c>
      <c r="B64" s="1334"/>
      <c r="C64" s="1334"/>
      <c r="D64" s="1334"/>
      <c r="E64" s="1334"/>
      <c r="F64" s="1334"/>
      <c r="G64" s="1334"/>
    </row>
    <row r="65" spans="1:7" ht="21" customHeight="1" x14ac:dyDescent="0.15">
      <c r="A65" s="1331" t="s">
        <v>1090</v>
      </c>
      <c r="B65" s="1331"/>
      <c r="C65" s="1331"/>
      <c r="D65" s="1331"/>
      <c r="E65" s="1331"/>
      <c r="F65" s="1331"/>
      <c r="G65" s="1331"/>
    </row>
    <row r="66" spans="1:7" ht="21" customHeight="1" x14ac:dyDescent="0.2">
      <c r="A66" s="1331" t="s">
        <v>1092</v>
      </c>
      <c r="B66" s="1336"/>
      <c r="C66" s="1336"/>
      <c r="D66" s="1336"/>
      <c r="E66" s="1336"/>
      <c r="F66" s="1336"/>
      <c r="G66" s="1336"/>
    </row>
    <row r="67" spans="1:7" ht="21" customHeight="1" x14ac:dyDescent="0.2">
      <c r="A67" s="1331" t="s">
        <v>1096</v>
      </c>
      <c r="B67" s="1336"/>
      <c r="C67" s="1336"/>
      <c r="D67" s="1336"/>
      <c r="E67" s="1336"/>
      <c r="F67" s="1336"/>
      <c r="G67" s="1336"/>
    </row>
    <row r="68" spans="1:7" ht="42.75" customHeight="1" x14ac:dyDescent="0.2">
      <c r="A68" s="1331" t="s">
        <v>1094</v>
      </c>
      <c r="B68" s="1336"/>
      <c r="C68" s="1336"/>
      <c r="D68" s="1336"/>
      <c r="E68" s="1336"/>
      <c r="F68" s="1336"/>
      <c r="G68" s="1336"/>
    </row>
    <row r="69" spans="1:7" ht="21" customHeight="1" x14ac:dyDescent="0.2">
      <c r="A69" s="1331" t="s">
        <v>1095</v>
      </c>
      <c r="B69" s="1336"/>
      <c r="C69" s="1336"/>
      <c r="D69" s="1336"/>
      <c r="E69" s="1336"/>
      <c r="F69" s="1336"/>
      <c r="G69" s="1336"/>
    </row>
    <row r="70" spans="1:7" ht="11.25" customHeight="1" x14ac:dyDescent="0.2">
      <c r="A70" s="1331" t="s">
        <v>1173</v>
      </c>
      <c r="B70" s="1336"/>
      <c r="C70" s="1336"/>
      <c r="D70" s="1336"/>
      <c r="E70" s="1336"/>
      <c r="F70" s="1336"/>
      <c r="G70" s="1336"/>
    </row>
    <row r="71" spans="1:7" ht="12.75" customHeight="1" x14ac:dyDescent="0.15">
      <c r="A71" s="648"/>
      <c r="B71" s="649"/>
      <c r="C71" s="649"/>
      <c r="D71" s="649"/>
      <c r="E71" s="649"/>
      <c r="F71" s="649"/>
      <c r="G71" s="654">
        <v>11</v>
      </c>
    </row>
    <row r="72" spans="1:7" ht="13.5" customHeight="1" x14ac:dyDescent="0.15">
      <c r="A72" s="650"/>
      <c r="B72" s="650"/>
      <c r="C72" s="651"/>
      <c r="D72" s="651"/>
      <c r="E72" s="651"/>
      <c r="F72" s="652"/>
      <c r="G72" s="652"/>
    </row>
    <row r="73" spans="1:7" ht="11.25" customHeight="1" x14ac:dyDescent="0.15">
      <c r="A73" s="982" t="s">
        <v>1154</v>
      </c>
      <c r="B73" s="982"/>
      <c r="D73" s="980" t="s">
        <v>1073</v>
      </c>
      <c r="E73" s="981" t="s">
        <v>143</v>
      </c>
      <c r="F73" s="981" t="s">
        <v>835</v>
      </c>
      <c r="G73" s="981" t="s">
        <v>628</v>
      </c>
    </row>
    <row r="74" spans="1:7" ht="11.25" customHeight="1" x14ac:dyDescent="0.15">
      <c r="D74" s="983" t="s">
        <v>1074</v>
      </c>
      <c r="E74" s="984">
        <v>1</v>
      </c>
      <c r="F74" s="985">
        <f>F10</f>
        <v>2012</v>
      </c>
      <c r="G74" s="985">
        <f>G10</f>
        <v>2012</v>
      </c>
    </row>
    <row r="75" spans="1:7" ht="11.25" customHeight="1" x14ac:dyDescent="0.15">
      <c r="C75" s="635"/>
      <c r="D75" s="986">
        <v>2012</v>
      </c>
      <c r="E75" s="986"/>
      <c r="F75" s="986"/>
      <c r="G75" s="986"/>
    </row>
    <row r="76" spans="1:7" ht="12.75" customHeight="1" x14ac:dyDescent="0.15">
      <c r="A76" s="640"/>
      <c r="B76" s="1338" t="s">
        <v>1176</v>
      </c>
      <c r="C76" s="1339"/>
      <c r="D76" s="989"/>
      <c r="E76" s="989">
        <f>D76</f>
        <v>0</v>
      </c>
      <c r="F76" s="989"/>
      <c r="G76" s="989">
        <f>E76-F76</f>
        <v>0</v>
      </c>
    </row>
    <row r="77" spans="1:7" ht="12.75" customHeight="1" x14ac:dyDescent="0.2">
      <c r="A77" s="640">
        <f>G71*100+1</f>
        <v>1101</v>
      </c>
      <c r="B77" s="856">
        <v>193309</v>
      </c>
      <c r="C77" s="859" t="s">
        <v>1099</v>
      </c>
      <c r="D77" s="642"/>
      <c r="E77" s="261">
        <f>D77</f>
        <v>0</v>
      </c>
      <c r="F77" s="643"/>
      <c r="G77" s="987">
        <f>E77-F77</f>
        <v>0</v>
      </c>
    </row>
    <row r="78" spans="1:7" ht="11.25" customHeight="1" x14ac:dyDescent="0.15">
      <c r="A78" s="990"/>
      <c r="B78" s="1338" t="s">
        <v>1175</v>
      </c>
      <c r="C78" s="1339"/>
      <c r="D78" s="989"/>
      <c r="E78" s="989"/>
      <c r="F78" s="989"/>
      <c r="G78" s="989"/>
    </row>
    <row r="79" spans="1:7" ht="12.75" customHeight="1" x14ac:dyDescent="0.2">
      <c r="A79" s="640">
        <f>A77+1</f>
        <v>1102</v>
      </c>
      <c r="B79" s="863" t="s">
        <v>1100</v>
      </c>
      <c r="C79" s="859" t="s">
        <v>1101</v>
      </c>
      <c r="D79" s="642"/>
      <c r="E79" s="261">
        <f>D79</f>
        <v>0</v>
      </c>
      <c r="F79" s="643"/>
      <c r="G79" s="987">
        <f>E79-F79</f>
        <v>0</v>
      </c>
    </row>
    <row r="80" spans="1:7" ht="12.75" customHeight="1" x14ac:dyDescent="0.2">
      <c r="A80" s="640">
        <f>A79+1</f>
        <v>1103</v>
      </c>
      <c r="B80" s="863" t="s">
        <v>1102</v>
      </c>
      <c r="C80" s="859" t="s">
        <v>1103</v>
      </c>
      <c r="D80" s="642"/>
      <c r="E80" s="261">
        <f t="shared" ref="E80:E109" si="5">D80</f>
        <v>0</v>
      </c>
      <c r="F80" s="643"/>
      <c r="G80" s="987">
        <f t="shared" ref="G80:G109" si="6">E80-F80</f>
        <v>0</v>
      </c>
    </row>
    <row r="81" spans="1:7" ht="12.75" customHeight="1" x14ac:dyDescent="0.2">
      <c r="A81" s="640">
        <f t="shared" ref="A81:A110" si="7">A80+1</f>
        <v>1104</v>
      </c>
      <c r="B81" s="863" t="s">
        <v>1104</v>
      </c>
      <c r="C81" s="859" t="s">
        <v>1105</v>
      </c>
      <c r="D81" s="642"/>
      <c r="E81" s="261">
        <f t="shared" si="5"/>
        <v>0</v>
      </c>
      <c r="F81" s="643"/>
      <c r="G81" s="987">
        <f t="shared" si="6"/>
        <v>0</v>
      </c>
    </row>
    <row r="82" spans="1:7" ht="12.75" customHeight="1" x14ac:dyDescent="0.2">
      <c r="A82" s="640">
        <f t="shared" si="7"/>
        <v>1105</v>
      </c>
      <c r="B82" s="863" t="s">
        <v>1136</v>
      </c>
      <c r="C82" s="859" t="s">
        <v>1106</v>
      </c>
      <c r="D82" s="642"/>
      <c r="E82" s="261">
        <f t="shared" si="5"/>
        <v>0</v>
      </c>
      <c r="F82" s="643"/>
      <c r="G82" s="987">
        <f t="shared" si="6"/>
        <v>0</v>
      </c>
    </row>
    <row r="83" spans="1:7" ht="12.75" customHeight="1" x14ac:dyDescent="0.2">
      <c r="A83" s="640">
        <f t="shared" si="7"/>
        <v>1106</v>
      </c>
      <c r="B83" s="863" t="s">
        <v>1137</v>
      </c>
      <c r="C83" s="859" t="s">
        <v>1169</v>
      </c>
      <c r="D83" s="642"/>
      <c r="E83" s="261">
        <f t="shared" si="5"/>
        <v>0</v>
      </c>
      <c r="F83" s="643"/>
      <c r="G83" s="987">
        <f t="shared" si="6"/>
        <v>0</v>
      </c>
    </row>
    <row r="84" spans="1:7" ht="12.75" customHeight="1" x14ac:dyDescent="0.2">
      <c r="A84" s="640">
        <f t="shared" si="7"/>
        <v>1107</v>
      </c>
      <c r="B84" s="863">
        <v>191819</v>
      </c>
      <c r="C84" s="859" t="s">
        <v>1107</v>
      </c>
      <c r="D84" s="642"/>
      <c r="E84" s="261">
        <f t="shared" si="5"/>
        <v>0</v>
      </c>
      <c r="F84" s="643"/>
      <c r="G84" s="987">
        <f t="shared" si="6"/>
        <v>0</v>
      </c>
    </row>
    <row r="85" spans="1:7" ht="12.75" customHeight="1" x14ac:dyDescent="0.2">
      <c r="A85" s="640">
        <f t="shared" si="7"/>
        <v>1108</v>
      </c>
      <c r="B85" s="863" t="s">
        <v>1138</v>
      </c>
      <c r="C85" s="859" t="s">
        <v>1108</v>
      </c>
      <c r="D85" s="642"/>
      <c r="E85" s="261">
        <f t="shared" si="5"/>
        <v>0</v>
      </c>
      <c r="F85" s="643"/>
      <c r="G85" s="987">
        <f t="shared" si="6"/>
        <v>0</v>
      </c>
    </row>
    <row r="86" spans="1:7" ht="12.75" customHeight="1" x14ac:dyDescent="0.2">
      <c r="A86" s="640">
        <f t="shared" si="7"/>
        <v>1109</v>
      </c>
      <c r="B86" s="863" t="s">
        <v>1139</v>
      </c>
      <c r="C86" s="859" t="s">
        <v>1109</v>
      </c>
      <c r="D86" s="642"/>
      <c r="E86" s="261">
        <f t="shared" si="5"/>
        <v>0</v>
      </c>
      <c r="F86" s="643"/>
      <c r="G86" s="987">
        <f t="shared" si="6"/>
        <v>0</v>
      </c>
    </row>
    <row r="87" spans="1:7" ht="12.75" customHeight="1" x14ac:dyDescent="0.2">
      <c r="A87" s="640">
        <f t="shared" si="7"/>
        <v>1110</v>
      </c>
      <c r="B87" s="863" t="s">
        <v>1110</v>
      </c>
      <c r="C87" s="859" t="s">
        <v>1111</v>
      </c>
      <c r="D87" s="642"/>
      <c r="E87" s="261">
        <f t="shared" si="5"/>
        <v>0</v>
      </c>
      <c r="F87" s="643"/>
      <c r="G87" s="987">
        <f t="shared" si="6"/>
        <v>0</v>
      </c>
    </row>
    <row r="88" spans="1:7" ht="12.75" customHeight="1" x14ac:dyDescent="0.2">
      <c r="A88" s="640">
        <f t="shared" si="7"/>
        <v>1111</v>
      </c>
      <c r="B88" s="863">
        <v>191830</v>
      </c>
      <c r="C88" s="859" t="s">
        <v>1112</v>
      </c>
      <c r="D88" s="642"/>
      <c r="E88" s="261">
        <f t="shared" si="5"/>
        <v>0</v>
      </c>
      <c r="F88" s="643"/>
      <c r="G88" s="987">
        <f t="shared" si="6"/>
        <v>0</v>
      </c>
    </row>
    <row r="89" spans="1:7" ht="12.75" customHeight="1" x14ac:dyDescent="0.2">
      <c r="A89" s="640">
        <f t="shared" si="7"/>
        <v>1112</v>
      </c>
      <c r="B89" s="863" t="s">
        <v>1113</v>
      </c>
      <c r="C89" s="859" t="s">
        <v>1114</v>
      </c>
      <c r="D89" s="642"/>
      <c r="E89" s="261">
        <f t="shared" si="5"/>
        <v>0</v>
      </c>
      <c r="F89" s="643"/>
      <c r="G89" s="987">
        <f t="shared" si="6"/>
        <v>0</v>
      </c>
    </row>
    <row r="90" spans="1:7" ht="12.75" customHeight="1" x14ac:dyDescent="0.2">
      <c r="A90" s="640">
        <f t="shared" si="7"/>
        <v>1113</v>
      </c>
      <c r="B90" s="863" t="s">
        <v>1140</v>
      </c>
      <c r="C90" s="859" t="s">
        <v>1115</v>
      </c>
      <c r="D90" s="642"/>
      <c r="E90" s="261">
        <f t="shared" si="5"/>
        <v>0</v>
      </c>
      <c r="F90" s="643"/>
      <c r="G90" s="987">
        <f t="shared" si="6"/>
        <v>0</v>
      </c>
    </row>
    <row r="91" spans="1:7" ht="12.75" customHeight="1" x14ac:dyDescent="0.2">
      <c r="A91" s="640">
        <f t="shared" si="7"/>
        <v>1114</v>
      </c>
      <c r="B91" s="863" t="s">
        <v>1116</v>
      </c>
      <c r="C91" s="859" t="s">
        <v>1117</v>
      </c>
      <c r="D91" s="642"/>
      <c r="E91" s="261">
        <f t="shared" si="5"/>
        <v>0</v>
      </c>
      <c r="F91" s="643"/>
      <c r="G91" s="987">
        <f t="shared" si="6"/>
        <v>0</v>
      </c>
    </row>
    <row r="92" spans="1:7" ht="12.75" customHeight="1" x14ac:dyDescent="0.2">
      <c r="A92" s="640">
        <f t="shared" si="7"/>
        <v>1115</v>
      </c>
      <c r="B92" s="863" t="s">
        <v>1141</v>
      </c>
      <c r="C92" s="859" t="s">
        <v>1118</v>
      </c>
      <c r="D92" s="642"/>
      <c r="E92" s="261">
        <f t="shared" si="5"/>
        <v>0</v>
      </c>
      <c r="F92" s="643"/>
      <c r="G92" s="987">
        <f t="shared" si="6"/>
        <v>0</v>
      </c>
    </row>
    <row r="93" spans="1:7" ht="12.75" customHeight="1" x14ac:dyDescent="0.2">
      <c r="A93" s="640">
        <f t="shared" si="7"/>
        <v>1116</v>
      </c>
      <c r="B93" s="863" t="s">
        <v>1142</v>
      </c>
      <c r="C93" s="859" t="s">
        <v>1119</v>
      </c>
      <c r="D93" s="642"/>
      <c r="E93" s="261">
        <f t="shared" si="5"/>
        <v>0</v>
      </c>
      <c r="F93" s="643"/>
      <c r="G93" s="987">
        <f t="shared" si="6"/>
        <v>0</v>
      </c>
    </row>
    <row r="94" spans="1:7" ht="12.75" customHeight="1" x14ac:dyDescent="0.2">
      <c r="A94" s="640">
        <f t="shared" si="7"/>
        <v>1117</v>
      </c>
      <c r="B94" s="863" t="s">
        <v>1120</v>
      </c>
      <c r="C94" s="859" t="s">
        <v>1121</v>
      </c>
      <c r="D94" s="642"/>
      <c r="E94" s="261">
        <f t="shared" si="5"/>
        <v>0</v>
      </c>
      <c r="F94" s="643"/>
      <c r="G94" s="987">
        <f t="shared" si="6"/>
        <v>0</v>
      </c>
    </row>
    <row r="95" spans="1:7" ht="12.75" customHeight="1" x14ac:dyDescent="0.2">
      <c r="A95" s="640">
        <f t="shared" si="7"/>
        <v>1118</v>
      </c>
      <c r="B95" s="863" t="s">
        <v>1122</v>
      </c>
      <c r="C95" s="859" t="s">
        <v>1123</v>
      </c>
      <c r="D95" s="642"/>
      <c r="E95" s="261">
        <f t="shared" si="5"/>
        <v>0</v>
      </c>
      <c r="F95" s="643"/>
      <c r="G95" s="987">
        <f t="shared" si="6"/>
        <v>0</v>
      </c>
    </row>
    <row r="96" spans="1:7" ht="12.75" customHeight="1" x14ac:dyDescent="0.2">
      <c r="A96" s="640">
        <f t="shared" si="7"/>
        <v>1119</v>
      </c>
      <c r="B96" s="863" t="s">
        <v>1143</v>
      </c>
      <c r="C96" s="859" t="s">
        <v>1124</v>
      </c>
      <c r="D96" s="642"/>
      <c r="E96" s="261">
        <f t="shared" si="5"/>
        <v>0</v>
      </c>
      <c r="F96" s="643"/>
      <c r="G96" s="987">
        <f t="shared" si="6"/>
        <v>0</v>
      </c>
    </row>
    <row r="97" spans="1:7" ht="12.75" customHeight="1" x14ac:dyDescent="0.2">
      <c r="A97" s="640">
        <f t="shared" si="7"/>
        <v>1120</v>
      </c>
      <c r="B97" s="863">
        <v>191868</v>
      </c>
      <c r="C97" s="859" t="s">
        <v>1125</v>
      </c>
      <c r="D97" s="642"/>
      <c r="E97" s="261">
        <f t="shared" si="5"/>
        <v>0</v>
      </c>
      <c r="F97" s="643"/>
      <c r="G97" s="987">
        <f t="shared" si="6"/>
        <v>0</v>
      </c>
    </row>
    <row r="98" spans="1:7" ht="12.75" customHeight="1" x14ac:dyDescent="0.2">
      <c r="A98" s="640">
        <f t="shared" si="7"/>
        <v>1121</v>
      </c>
      <c r="B98" s="863" t="s">
        <v>1144</v>
      </c>
      <c r="C98" s="859" t="s">
        <v>1126</v>
      </c>
      <c r="D98" s="642"/>
      <c r="E98" s="261">
        <f t="shared" si="5"/>
        <v>0</v>
      </c>
      <c r="F98" s="643"/>
      <c r="G98" s="987">
        <f t="shared" si="6"/>
        <v>0</v>
      </c>
    </row>
    <row r="99" spans="1:7" ht="12.75" customHeight="1" x14ac:dyDescent="0.2">
      <c r="A99" s="640">
        <f t="shared" si="7"/>
        <v>1122</v>
      </c>
      <c r="B99" s="863" t="s">
        <v>1127</v>
      </c>
      <c r="C99" s="859" t="s">
        <v>1128</v>
      </c>
      <c r="D99" s="642"/>
      <c r="E99" s="261">
        <f t="shared" si="5"/>
        <v>0</v>
      </c>
      <c r="F99" s="643"/>
      <c r="G99" s="987">
        <f t="shared" si="6"/>
        <v>0</v>
      </c>
    </row>
    <row r="100" spans="1:7" ht="12.75" customHeight="1" x14ac:dyDescent="0.2">
      <c r="A100" s="640">
        <f t="shared" si="7"/>
        <v>1123</v>
      </c>
      <c r="B100" s="863" t="s">
        <v>1145</v>
      </c>
      <c r="C100" s="859" t="s">
        <v>1129</v>
      </c>
      <c r="D100" s="642"/>
      <c r="E100" s="261">
        <f t="shared" si="5"/>
        <v>0</v>
      </c>
      <c r="F100" s="643"/>
      <c r="G100" s="987">
        <f t="shared" si="6"/>
        <v>0</v>
      </c>
    </row>
    <row r="101" spans="1:7" ht="12.75" customHeight="1" x14ac:dyDescent="0.2">
      <c r="A101" s="640">
        <f t="shared" si="7"/>
        <v>1124</v>
      </c>
      <c r="B101" s="863" t="s">
        <v>1146</v>
      </c>
      <c r="C101" s="859" t="s">
        <v>1130</v>
      </c>
      <c r="D101" s="642"/>
      <c r="E101" s="261">
        <f t="shared" si="5"/>
        <v>0</v>
      </c>
      <c r="F101" s="643"/>
      <c r="G101" s="987">
        <f t="shared" si="6"/>
        <v>0</v>
      </c>
    </row>
    <row r="102" spans="1:7" ht="12.75" customHeight="1" x14ac:dyDescent="0.2">
      <c r="A102" s="640">
        <f t="shared" si="7"/>
        <v>1125</v>
      </c>
      <c r="B102" s="863">
        <v>191878</v>
      </c>
      <c r="C102" s="859" t="s">
        <v>1131</v>
      </c>
      <c r="D102" s="642"/>
      <c r="E102" s="261">
        <f t="shared" si="5"/>
        <v>0</v>
      </c>
      <c r="F102" s="643"/>
      <c r="G102" s="987">
        <f t="shared" si="6"/>
        <v>0</v>
      </c>
    </row>
    <row r="103" spans="1:7" ht="12.75" customHeight="1" x14ac:dyDescent="0.2">
      <c r="A103" s="640">
        <f t="shared" si="7"/>
        <v>1126</v>
      </c>
      <c r="B103" s="863" t="s">
        <v>1147</v>
      </c>
      <c r="C103" s="859" t="s">
        <v>1132</v>
      </c>
      <c r="D103" s="642"/>
      <c r="E103" s="261">
        <f t="shared" si="5"/>
        <v>0</v>
      </c>
      <c r="F103" s="643"/>
      <c r="G103" s="987">
        <f t="shared" si="6"/>
        <v>0</v>
      </c>
    </row>
    <row r="104" spans="1:7" ht="12.75" customHeight="1" x14ac:dyDescent="0.2">
      <c r="A104" s="640">
        <f t="shared" si="7"/>
        <v>1127</v>
      </c>
      <c r="B104" s="863" t="s">
        <v>1133</v>
      </c>
      <c r="C104" s="859" t="s">
        <v>1134</v>
      </c>
      <c r="D104" s="642"/>
      <c r="E104" s="261">
        <f t="shared" si="5"/>
        <v>0</v>
      </c>
      <c r="F104" s="643"/>
      <c r="G104" s="987">
        <f t="shared" si="6"/>
        <v>0</v>
      </c>
    </row>
    <row r="105" spans="1:7" ht="12.75" customHeight="1" x14ac:dyDescent="0.2">
      <c r="A105" s="640">
        <f t="shared" si="7"/>
        <v>1128</v>
      </c>
      <c r="B105" s="863" t="s">
        <v>1148</v>
      </c>
      <c r="C105" s="859" t="s">
        <v>1168</v>
      </c>
      <c r="D105" s="642"/>
      <c r="E105" s="261">
        <f t="shared" si="5"/>
        <v>0</v>
      </c>
      <c r="F105" s="643"/>
      <c r="G105" s="987">
        <f t="shared" si="6"/>
        <v>0</v>
      </c>
    </row>
    <row r="106" spans="1:7" ht="12.75" customHeight="1" x14ac:dyDescent="0.2">
      <c r="A106" s="640">
        <f t="shared" si="7"/>
        <v>1129</v>
      </c>
      <c r="B106" s="863" t="s">
        <v>1149</v>
      </c>
      <c r="C106" s="859" t="s">
        <v>1124</v>
      </c>
      <c r="D106" s="642"/>
      <c r="E106" s="261">
        <f t="shared" si="5"/>
        <v>0</v>
      </c>
      <c r="F106" s="643"/>
      <c r="G106" s="987">
        <f t="shared" si="6"/>
        <v>0</v>
      </c>
    </row>
    <row r="107" spans="1:7" ht="12.75" customHeight="1" x14ac:dyDescent="0.2">
      <c r="A107" s="640">
        <f t="shared" si="7"/>
        <v>1130</v>
      </c>
      <c r="B107" s="642"/>
      <c r="C107" s="642"/>
      <c r="D107" s="642"/>
      <c r="E107" s="261">
        <f t="shared" si="5"/>
        <v>0</v>
      </c>
      <c r="F107" s="643"/>
      <c r="G107" s="987">
        <f t="shared" si="6"/>
        <v>0</v>
      </c>
    </row>
    <row r="108" spans="1:7" ht="12.75" customHeight="1" x14ac:dyDescent="0.2">
      <c r="A108" s="640">
        <f t="shared" si="7"/>
        <v>1131</v>
      </c>
      <c r="B108" s="642"/>
      <c r="C108" s="862"/>
      <c r="D108" s="642"/>
      <c r="E108" s="261">
        <f t="shared" si="5"/>
        <v>0</v>
      </c>
      <c r="F108" s="643"/>
      <c r="G108" s="987">
        <f t="shared" si="6"/>
        <v>0</v>
      </c>
    </row>
    <row r="109" spans="1:7" ht="12.75" customHeight="1" x14ac:dyDescent="0.2">
      <c r="A109" s="640">
        <f t="shared" si="7"/>
        <v>1132</v>
      </c>
      <c r="B109" s="642"/>
      <c r="C109" s="642"/>
      <c r="D109" s="642"/>
      <c r="E109" s="261">
        <f t="shared" si="5"/>
        <v>0</v>
      </c>
      <c r="F109" s="643"/>
      <c r="G109" s="987">
        <f t="shared" si="6"/>
        <v>0</v>
      </c>
    </row>
    <row r="110" spans="1:7" ht="12.75" customHeight="1" x14ac:dyDescent="0.15">
      <c r="A110" s="640">
        <f t="shared" si="7"/>
        <v>1133</v>
      </c>
      <c r="B110" s="1319" t="s">
        <v>1159</v>
      </c>
      <c r="C110" s="1320"/>
      <c r="D110" s="657">
        <f>SUM(D77:D109)</f>
        <v>0</v>
      </c>
      <c r="E110" s="657">
        <f>SUM(E77:E109)</f>
        <v>0</v>
      </c>
      <c r="F110" s="657">
        <f>SUM(F77:F109)</f>
        <v>0</v>
      </c>
      <c r="G110" s="657">
        <f>SUM(G77:G109)</f>
        <v>0</v>
      </c>
    </row>
    <row r="111" spans="1:7" ht="13.5" customHeight="1" x14ac:dyDescent="0.15">
      <c r="A111" s="1334"/>
      <c r="B111" s="1334"/>
      <c r="C111" s="1334"/>
      <c r="D111" s="1334"/>
      <c r="E111" s="1334"/>
      <c r="F111" s="1334"/>
      <c r="G111" s="1334"/>
    </row>
    <row r="112" spans="1:7" ht="18" customHeight="1" x14ac:dyDescent="0.15">
      <c r="A112" s="1334"/>
      <c r="B112" s="1334"/>
      <c r="C112" s="1334"/>
      <c r="D112" s="1334"/>
      <c r="E112" s="1334"/>
      <c r="F112" s="1334"/>
      <c r="G112" s="1334"/>
    </row>
    <row r="113" spans="1:7" ht="12" customHeight="1" x14ac:dyDescent="0.15">
      <c r="A113" s="861"/>
      <c r="B113" s="861"/>
      <c r="C113" s="861"/>
      <c r="D113" s="861"/>
      <c r="E113" s="861"/>
      <c r="F113" s="861"/>
      <c r="G113" s="861"/>
    </row>
    <row r="114" spans="1:7" x14ac:dyDescent="0.15">
      <c r="A114" s="982" t="s">
        <v>1155</v>
      </c>
      <c r="B114" s="982"/>
      <c r="D114" s="980" t="s">
        <v>1156</v>
      </c>
      <c r="E114" s="981" t="s">
        <v>143</v>
      </c>
      <c r="F114" s="981" t="s">
        <v>835</v>
      </c>
      <c r="G114" s="981" t="s">
        <v>628</v>
      </c>
    </row>
    <row r="115" spans="1:7" x14ac:dyDescent="0.15">
      <c r="A115" s="982"/>
      <c r="B115" s="982"/>
      <c r="D115" s="983" t="s">
        <v>1157</v>
      </c>
      <c r="E115" s="984">
        <v>1</v>
      </c>
      <c r="F115" s="985">
        <v>2012</v>
      </c>
      <c r="G115" s="985">
        <v>2012</v>
      </c>
    </row>
    <row r="116" spans="1:7" x14ac:dyDescent="0.15">
      <c r="D116" s="986">
        <v>2012</v>
      </c>
      <c r="E116" s="986"/>
      <c r="F116" s="986"/>
      <c r="G116" s="986"/>
    </row>
    <row r="117" spans="1:7" ht="12.75" customHeight="1" x14ac:dyDescent="0.2">
      <c r="A117" s="640">
        <f>A110+1</f>
        <v>1134</v>
      </c>
      <c r="B117" s="856">
        <v>193309</v>
      </c>
      <c r="C117" s="859" t="s">
        <v>1099</v>
      </c>
      <c r="D117" s="642"/>
      <c r="E117" s="261">
        <f>D117</f>
        <v>0</v>
      </c>
      <c r="F117" s="643"/>
      <c r="G117" s="987">
        <f t="shared" ref="G117:G124" si="8">E117-F117</f>
        <v>0</v>
      </c>
    </row>
    <row r="118" spans="1:7" ht="13.5" customHeight="1" x14ac:dyDescent="0.2">
      <c r="A118" s="640">
        <f>A117+1</f>
        <v>1135</v>
      </c>
      <c r="B118" s="856">
        <v>193335</v>
      </c>
      <c r="C118" s="859" t="s">
        <v>1097</v>
      </c>
      <c r="D118" s="642"/>
      <c r="E118" s="261">
        <f t="shared" ref="E118:E124" si="9">D118</f>
        <v>0</v>
      </c>
      <c r="F118" s="643"/>
      <c r="G118" s="987">
        <f t="shared" si="8"/>
        <v>0</v>
      </c>
    </row>
    <row r="119" spans="1:7" ht="12.75" customHeight="1" x14ac:dyDescent="0.2">
      <c r="A119" s="640">
        <f t="shared" ref="A119:A125" si="10">A118+1</f>
        <v>1136</v>
      </c>
      <c r="B119" s="856">
        <v>193347</v>
      </c>
      <c r="C119" s="859" t="s">
        <v>320</v>
      </c>
      <c r="D119" s="642"/>
      <c r="E119" s="261">
        <f t="shared" si="9"/>
        <v>0</v>
      </c>
      <c r="F119" s="643"/>
      <c r="G119" s="987">
        <f t="shared" si="8"/>
        <v>0</v>
      </c>
    </row>
    <row r="120" spans="1:7" ht="12.75" customHeight="1" x14ac:dyDescent="0.2">
      <c r="A120" s="640">
        <f t="shared" si="10"/>
        <v>1137</v>
      </c>
      <c r="B120" s="856">
        <v>193348</v>
      </c>
      <c r="C120" s="859" t="s">
        <v>322</v>
      </c>
      <c r="D120" s="642"/>
      <c r="E120" s="261">
        <f t="shared" si="9"/>
        <v>0</v>
      </c>
      <c r="F120" s="643"/>
      <c r="G120" s="987">
        <f t="shared" si="8"/>
        <v>0</v>
      </c>
    </row>
    <row r="121" spans="1:7" ht="12.75" customHeight="1" x14ac:dyDescent="0.2">
      <c r="A121" s="640">
        <f t="shared" si="10"/>
        <v>1138</v>
      </c>
      <c r="B121" s="856" t="s">
        <v>1150</v>
      </c>
      <c r="C121" s="859" t="s">
        <v>323</v>
      </c>
      <c r="D121" s="642"/>
      <c r="E121" s="261">
        <f t="shared" si="9"/>
        <v>0</v>
      </c>
      <c r="F121" s="643"/>
      <c r="G121" s="987">
        <f t="shared" si="8"/>
        <v>0</v>
      </c>
    </row>
    <row r="122" spans="1:7" ht="12.75" customHeight="1" x14ac:dyDescent="0.2">
      <c r="A122" s="640">
        <f t="shared" si="10"/>
        <v>1139</v>
      </c>
      <c r="B122" s="856">
        <v>193351</v>
      </c>
      <c r="C122" s="859" t="s">
        <v>324</v>
      </c>
      <c r="D122" s="642"/>
      <c r="E122" s="261">
        <f t="shared" si="9"/>
        <v>0</v>
      </c>
      <c r="F122" s="643"/>
      <c r="G122" s="987">
        <f t="shared" si="8"/>
        <v>0</v>
      </c>
    </row>
    <row r="123" spans="1:7" ht="12.75" customHeight="1" x14ac:dyDescent="0.2">
      <c r="A123" s="640">
        <f t="shared" si="10"/>
        <v>1140</v>
      </c>
      <c r="B123" s="856">
        <v>193354</v>
      </c>
      <c r="C123" s="859" t="s">
        <v>321</v>
      </c>
      <c r="D123" s="642"/>
      <c r="E123" s="261">
        <f t="shared" si="9"/>
        <v>0</v>
      </c>
      <c r="F123" s="643"/>
      <c r="G123" s="987">
        <f t="shared" si="8"/>
        <v>0</v>
      </c>
    </row>
    <row r="124" spans="1:7" ht="12.75" customHeight="1" x14ac:dyDescent="0.2">
      <c r="A124" s="640">
        <f t="shared" si="10"/>
        <v>1141</v>
      </c>
      <c r="B124" s="856">
        <v>193355</v>
      </c>
      <c r="C124" s="859" t="s">
        <v>325</v>
      </c>
      <c r="D124" s="642"/>
      <c r="E124" s="261">
        <f t="shared" si="9"/>
        <v>0</v>
      </c>
      <c r="F124" s="643"/>
      <c r="G124" s="987">
        <f t="shared" si="8"/>
        <v>0</v>
      </c>
    </row>
    <row r="125" spans="1:7" ht="12.75" customHeight="1" x14ac:dyDescent="0.15">
      <c r="A125" s="640">
        <f t="shared" si="10"/>
        <v>1142</v>
      </c>
      <c r="B125" s="1319" t="s">
        <v>1158</v>
      </c>
      <c r="C125" s="1320"/>
      <c r="D125" s="656">
        <f>SUM(D117:D124)</f>
        <v>0</v>
      </c>
      <c r="E125" s="656">
        <f>SUM(E117:E124)</f>
        <v>0</v>
      </c>
      <c r="F125" s="656">
        <f>SUM(F117:F124)</f>
        <v>0</v>
      </c>
      <c r="G125" s="656">
        <f>SUM(G117:G124)</f>
        <v>0</v>
      </c>
    </row>
    <row r="126" spans="1:7" ht="12.75" customHeight="1" x14ac:dyDescent="0.15">
      <c r="A126" s="1334"/>
      <c r="B126" s="1334"/>
      <c r="C126" s="1334"/>
      <c r="D126" s="1334"/>
      <c r="E126" s="1334"/>
      <c r="F126" s="1334"/>
      <c r="G126" s="1334"/>
    </row>
    <row r="127" spans="1:7" ht="12.75" customHeight="1" x14ac:dyDescent="0.15"/>
    <row r="128" spans="1:7" x14ac:dyDescent="0.15">
      <c r="A128" s="638" t="s">
        <v>1161</v>
      </c>
      <c r="B128" s="982" t="s">
        <v>1164</v>
      </c>
      <c r="D128" s="980" t="s">
        <v>1073</v>
      </c>
      <c r="E128" s="981" t="s">
        <v>143</v>
      </c>
      <c r="F128" s="981" t="s">
        <v>835</v>
      </c>
      <c r="G128" s="981" t="s">
        <v>628</v>
      </c>
    </row>
    <row r="129" spans="1:8" x14ac:dyDescent="0.15">
      <c r="A129" s="638"/>
      <c r="B129" s="982"/>
      <c r="D129" s="983" t="s">
        <v>1074</v>
      </c>
      <c r="E129" s="984" t="s">
        <v>799</v>
      </c>
      <c r="F129" s="985">
        <v>2012</v>
      </c>
      <c r="G129" s="985">
        <v>2012</v>
      </c>
    </row>
    <row r="130" spans="1:8" x14ac:dyDescent="0.15">
      <c r="A130" s="638"/>
      <c r="B130" s="982"/>
      <c r="D130" s="986">
        <v>2012</v>
      </c>
      <c r="E130" s="986"/>
      <c r="F130" s="986"/>
      <c r="G130" s="986"/>
    </row>
    <row r="131" spans="1:8" ht="12.75" customHeight="1" x14ac:dyDescent="0.2">
      <c r="A131" s="640">
        <f>A125+1</f>
        <v>1143</v>
      </c>
      <c r="B131" s="856">
        <v>193333</v>
      </c>
      <c r="C131" s="641" t="s">
        <v>1093</v>
      </c>
      <c r="D131" s="642"/>
      <c r="E131" s="261">
        <f>ROUND(D131*80%*0.92,0)</f>
        <v>0</v>
      </c>
      <c r="F131" s="643"/>
      <c r="G131" s="987">
        <f>E131-F131</f>
        <v>0</v>
      </c>
    </row>
    <row r="132" spans="1:8" ht="12.75" customHeight="1" x14ac:dyDescent="0.15">
      <c r="A132" s="640">
        <f>A131+1</f>
        <v>1144</v>
      </c>
      <c r="B132" s="1319" t="s">
        <v>1165</v>
      </c>
      <c r="C132" s="1320"/>
      <c r="D132" s="656">
        <f>D131</f>
        <v>0</v>
      </c>
      <c r="E132" s="656">
        <f>E131</f>
        <v>0</v>
      </c>
      <c r="F132" s="656">
        <f>F131</f>
        <v>0</v>
      </c>
      <c r="G132" s="656">
        <f>G131</f>
        <v>0</v>
      </c>
    </row>
    <row r="133" spans="1:8" ht="12.75" customHeight="1" x14ac:dyDescent="0.15">
      <c r="A133" s="1334"/>
      <c r="B133" s="1334"/>
      <c r="C133" s="1334"/>
      <c r="D133" s="1334"/>
      <c r="E133" s="1334"/>
      <c r="F133" s="1334"/>
      <c r="G133" s="1334"/>
    </row>
    <row r="134" spans="1:8" x14ac:dyDescent="0.15">
      <c r="F134" s="653"/>
      <c r="G134" s="653"/>
    </row>
    <row r="135" spans="1:8" x14ac:dyDescent="0.15">
      <c r="A135" s="638" t="s">
        <v>1160</v>
      </c>
      <c r="B135" s="982" t="s">
        <v>1166</v>
      </c>
      <c r="D135" s="980" t="s">
        <v>1073</v>
      </c>
      <c r="E135" s="981" t="s">
        <v>143</v>
      </c>
      <c r="F135" s="981" t="s">
        <v>835</v>
      </c>
      <c r="G135" s="981" t="s">
        <v>628</v>
      </c>
    </row>
    <row r="136" spans="1:8" x14ac:dyDescent="0.15">
      <c r="A136" s="638"/>
      <c r="B136" s="982"/>
      <c r="D136" s="983" t="s">
        <v>1074</v>
      </c>
      <c r="E136" s="984">
        <v>0.95</v>
      </c>
      <c r="F136" s="985">
        <v>2012</v>
      </c>
      <c r="G136" s="985">
        <v>2012</v>
      </c>
    </row>
    <row r="137" spans="1:8" x14ac:dyDescent="0.15">
      <c r="A137" s="638"/>
      <c r="B137" s="982"/>
      <c r="D137" s="986">
        <v>2012</v>
      </c>
      <c r="E137" s="986"/>
      <c r="F137" s="986"/>
      <c r="G137" s="986"/>
    </row>
    <row r="138" spans="1:8" ht="12.75" customHeight="1" x14ac:dyDescent="0.2">
      <c r="A138" s="640">
        <f>A132+1</f>
        <v>1145</v>
      </c>
      <c r="B138" s="856">
        <v>193357</v>
      </c>
      <c r="C138" s="641" t="s">
        <v>1163</v>
      </c>
      <c r="D138" s="642"/>
      <c r="E138" s="261">
        <f>ROUND(D138*95%,0)</f>
        <v>0</v>
      </c>
      <c r="F138" s="643"/>
      <c r="G138" s="987">
        <f>E138-F138</f>
        <v>0</v>
      </c>
    </row>
    <row r="139" spans="1:8" ht="12.75" customHeight="1" x14ac:dyDescent="0.2">
      <c r="A139" s="640">
        <f>A138+1</f>
        <v>1146</v>
      </c>
      <c r="B139" s="856">
        <v>193370</v>
      </c>
      <c r="C139" s="641" t="s">
        <v>1162</v>
      </c>
      <c r="D139" s="642"/>
      <c r="E139" s="261">
        <f>ROUND(D139*95%,0)</f>
        <v>0</v>
      </c>
      <c r="F139" s="643"/>
      <c r="G139" s="987">
        <f>E139-F139</f>
        <v>0</v>
      </c>
    </row>
    <row r="140" spans="1:8" ht="12.75" customHeight="1" x14ac:dyDescent="0.15">
      <c r="A140" s="640">
        <f>A139+1</f>
        <v>1147</v>
      </c>
      <c r="B140" s="1319" t="s">
        <v>1167</v>
      </c>
      <c r="C140" s="1320"/>
      <c r="D140" s="656">
        <f>SUM(D138:D139)</f>
        <v>0</v>
      </c>
      <c r="E140" s="656">
        <f>SUM(E138:E139)</f>
        <v>0</v>
      </c>
      <c r="F140" s="656">
        <f>SUM(F138:F139)</f>
        <v>0</v>
      </c>
      <c r="G140" s="656">
        <f>SUM(G138:G139)</f>
        <v>0</v>
      </c>
    </row>
    <row r="141" spans="1:8" ht="12.75" customHeight="1" x14ac:dyDescent="0.15">
      <c r="A141" s="1334"/>
      <c r="B141" s="1334"/>
      <c r="C141" s="1334"/>
      <c r="D141" s="1334"/>
      <c r="E141" s="1334"/>
      <c r="F141" s="1334"/>
      <c r="G141" s="1334"/>
    </row>
    <row r="142" spans="1:8" ht="12.75" customHeight="1" x14ac:dyDescent="0.15"/>
    <row r="143" spans="1:8" ht="12.75" customHeight="1" x14ac:dyDescent="0.15">
      <c r="A143" s="640">
        <f>A140+1</f>
        <v>1148</v>
      </c>
      <c r="B143" s="1319" t="s">
        <v>800</v>
      </c>
      <c r="C143" s="1320"/>
      <c r="D143" s="655">
        <f>D132+D110+D62+D125+D140</f>
        <v>0</v>
      </c>
      <c r="E143" s="655">
        <f>E132+E110+E62+E125+E140</f>
        <v>0</v>
      </c>
      <c r="F143" s="655">
        <f>F132+F110+F62+F125+F140</f>
        <v>0</v>
      </c>
      <c r="G143" s="655">
        <f>G132+G110+G62+G125+G140</f>
        <v>0</v>
      </c>
    </row>
    <row r="144" spans="1:8" ht="22.5" customHeight="1" x14ac:dyDescent="0.15">
      <c r="A144" s="1331"/>
      <c r="B144" s="1332"/>
      <c r="C144" s="1332"/>
      <c r="D144" s="1332"/>
      <c r="E144" s="1332"/>
      <c r="F144" s="1332"/>
      <c r="G144" s="1332"/>
      <c r="H144" s="635"/>
    </row>
    <row r="145" spans="1:8" x14ac:dyDescent="0.15">
      <c r="A145" s="1333"/>
      <c r="B145" s="1333"/>
      <c r="C145" s="1333"/>
      <c r="D145" s="1333"/>
      <c r="E145" s="1333"/>
      <c r="F145" s="1333"/>
      <c r="G145" s="1333"/>
      <c r="H145" s="635"/>
    </row>
    <row r="146" spans="1:8" x14ac:dyDescent="0.15">
      <c r="G146" s="635"/>
      <c r="H146" s="635"/>
    </row>
    <row r="147" spans="1:8" x14ac:dyDescent="0.15">
      <c r="G147" s="635"/>
    </row>
    <row r="148" spans="1:8" x14ac:dyDescent="0.15">
      <c r="F148" s="636"/>
      <c r="G148" s="635"/>
    </row>
    <row r="149" spans="1:8" x14ac:dyDescent="0.15">
      <c r="F149" s="636"/>
      <c r="G149" s="635"/>
    </row>
    <row r="150" spans="1:8" x14ac:dyDescent="0.15">
      <c r="C150" s="647"/>
      <c r="F150" s="635"/>
      <c r="G150" s="635"/>
    </row>
    <row r="151" spans="1:8" x14ac:dyDescent="0.15">
      <c r="F151" s="635"/>
      <c r="G151" s="635"/>
    </row>
  </sheetData>
  <sheetProtection password="CA39" sheet="1" objects="1" scenarios="1"/>
  <mergeCells count="25">
    <mergeCell ref="A3:C3"/>
    <mergeCell ref="B62:C62"/>
    <mergeCell ref="B132:C132"/>
    <mergeCell ref="B110:C110"/>
    <mergeCell ref="A63:G63"/>
    <mergeCell ref="A64:G64"/>
    <mergeCell ref="A66:G66"/>
    <mergeCell ref="A70:G70"/>
    <mergeCell ref="A67:G67"/>
    <mergeCell ref="A68:G68"/>
    <mergeCell ref="A6:G6"/>
    <mergeCell ref="B78:C78"/>
    <mergeCell ref="B76:C76"/>
    <mergeCell ref="A126:G126"/>
    <mergeCell ref="A69:G69"/>
    <mergeCell ref="A144:G144"/>
    <mergeCell ref="A145:G145"/>
    <mergeCell ref="A65:G65"/>
    <mergeCell ref="B143:C143"/>
    <mergeCell ref="A111:G111"/>
    <mergeCell ref="A112:G112"/>
    <mergeCell ref="B125:C125"/>
    <mergeCell ref="A141:G141"/>
    <mergeCell ref="A133:G133"/>
    <mergeCell ref="B140:C140"/>
  </mergeCells>
  <phoneticPr fontId="12" type="noConversion"/>
  <conditionalFormatting sqref="A3:A7">
    <cfRule type="cellIs" dxfId="103" priority="92" stopIfTrue="1" operator="equal">
      <formula>"Vul het Nza-nummer in op het voorblad"</formula>
    </cfRule>
  </conditionalFormatting>
  <conditionalFormatting sqref="D9:G11 A63:G65 D73:G75 A66:A69 D125:G125 D78:G78 D118:D124">
    <cfRule type="expression" dxfId="102" priority="93" stopIfTrue="1">
      <formula>#REF!="nee"</formula>
    </cfRule>
  </conditionalFormatting>
  <conditionalFormatting sqref="A143:C143 A144:G145 A73 A132:C132 B52:C54 B62:C62 A8:C19 B35:C44 A21:C33 A131 C131 B110:C110 B118:C124 A35:A62 B83:B106 A77:B77 A76 A79:A110">
    <cfRule type="expression" dxfId="101" priority="94" stopIfTrue="1">
      <formula>#REF!="nee"</formula>
    </cfRule>
  </conditionalFormatting>
  <conditionalFormatting sqref="F131 D131 F79:F109 F77 D77 D79:D109">
    <cfRule type="expression" dxfId="100" priority="95" stopIfTrue="1">
      <formula>$B$1=TRUE</formula>
    </cfRule>
  </conditionalFormatting>
  <conditionalFormatting sqref="D12:D19 F12:F19 F35:F55 D35:D55 F21:F33 D21:D33 B57:D61 F57:F61">
    <cfRule type="expression" dxfId="99" priority="97" stopIfTrue="1">
      <formula>($B$1=TRUE)</formula>
    </cfRule>
  </conditionalFormatting>
  <conditionalFormatting sqref="A111:A113">
    <cfRule type="expression" dxfId="98" priority="91" stopIfTrue="1">
      <formula>#REF!="nee"</formula>
    </cfRule>
  </conditionalFormatting>
  <conditionalFormatting sqref="C77">
    <cfRule type="expression" dxfId="97" priority="89" stopIfTrue="1">
      <formula>#REF!="nee"</formula>
    </cfRule>
  </conditionalFormatting>
  <conditionalFormatting sqref="C45">
    <cfRule type="expression" dxfId="96" priority="88" stopIfTrue="1">
      <formula>#REF!="nee"</formula>
    </cfRule>
  </conditionalFormatting>
  <conditionalFormatting sqref="B45:B47">
    <cfRule type="expression" dxfId="95" priority="87" stopIfTrue="1">
      <formula>#REF!="nee"</formula>
    </cfRule>
  </conditionalFormatting>
  <conditionalFormatting sqref="C46:C47">
    <cfRule type="expression" dxfId="94" priority="86" stopIfTrue="1">
      <formula>#REF!="nee"</formula>
    </cfRule>
  </conditionalFormatting>
  <conditionalFormatting sqref="C48:C51">
    <cfRule type="expression" dxfId="93" priority="83" stopIfTrue="1">
      <formula>#REF!="nee"</formula>
    </cfRule>
  </conditionalFormatting>
  <conditionalFormatting sqref="B48:B51">
    <cfRule type="expression" dxfId="92" priority="84" stopIfTrue="1">
      <formula>#REF!="nee"</formula>
    </cfRule>
  </conditionalFormatting>
  <conditionalFormatting sqref="B55:C55">
    <cfRule type="expression" dxfId="91" priority="82" stopIfTrue="1">
      <formula>#REF!="nee"</formula>
    </cfRule>
  </conditionalFormatting>
  <conditionalFormatting sqref="C79:C106">
    <cfRule type="expression" dxfId="90" priority="50" stopIfTrue="1">
      <formula>#REF!="nee"</formula>
    </cfRule>
  </conditionalFormatting>
  <conditionalFormatting sqref="A34:C34">
    <cfRule type="expression" dxfId="89" priority="48" stopIfTrue="1">
      <formula>#REF!="nee"</formula>
    </cfRule>
  </conditionalFormatting>
  <conditionalFormatting sqref="D34 F34">
    <cfRule type="expression" dxfId="88" priority="49" stopIfTrue="1">
      <formula>($B$1=TRUE)</formula>
    </cfRule>
  </conditionalFormatting>
  <conditionalFormatting sqref="A20:C20">
    <cfRule type="expression" dxfId="87" priority="46" stopIfTrue="1">
      <formula>#REF!="nee"</formula>
    </cfRule>
  </conditionalFormatting>
  <conditionalFormatting sqref="D20 F20">
    <cfRule type="expression" dxfId="86" priority="47" stopIfTrue="1">
      <formula>($B$1=TRUE)</formula>
    </cfRule>
  </conditionalFormatting>
  <conditionalFormatting sqref="B82">
    <cfRule type="expression" dxfId="85" priority="45" stopIfTrue="1">
      <formula>#REF!="nee"</formula>
    </cfRule>
  </conditionalFormatting>
  <conditionalFormatting sqref="B131">
    <cfRule type="expression" dxfId="84" priority="43" stopIfTrue="1">
      <formula>#REF!="nee"</formula>
    </cfRule>
  </conditionalFormatting>
  <conditionalFormatting sqref="A114:A116">
    <cfRule type="expression" dxfId="83" priority="42" stopIfTrue="1">
      <formula>#REF!="nee"</formula>
    </cfRule>
  </conditionalFormatting>
  <conditionalFormatting sqref="D114:G116">
    <cfRule type="expression" dxfId="82" priority="39" stopIfTrue="1">
      <formula>#REF!="nee"</formula>
    </cfRule>
  </conditionalFormatting>
  <conditionalFormatting sqref="A115 B125:C125">
    <cfRule type="expression" dxfId="81" priority="40" stopIfTrue="1">
      <formula>#REF!="nee"</formula>
    </cfRule>
  </conditionalFormatting>
  <conditionalFormatting sqref="D118:D124">
    <cfRule type="expression" dxfId="80" priority="41" stopIfTrue="1">
      <formula>$B$1=TRUE</formula>
    </cfRule>
  </conditionalFormatting>
  <conditionalFormatting sqref="A117:B117 A118:A125">
    <cfRule type="expression" dxfId="79" priority="34" stopIfTrue="1">
      <formula>#REF!="nee"</formula>
    </cfRule>
  </conditionalFormatting>
  <conditionalFormatting sqref="D117 F117:F124">
    <cfRule type="expression" dxfId="78" priority="35" stopIfTrue="1">
      <formula>$B$1=TRUE</formula>
    </cfRule>
  </conditionalFormatting>
  <conditionalFormatting sqref="C117">
    <cfRule type="expression" dxfId="77" priority="33" stopIfTrue="1">
      <formula>#REF!="nee"</formula>
    </cfRule>
  </conditionalFormatting>
  <conditionalFormatting sqref="B128:B130">
    <cfRule type="expression" dxfId="76" priority="32" stopIfTrue="1">
      <formula>#REF!="nee"</formula>
    </cfRule>
  </conditionalFormatting>
  <conditionalFormatting sqref="E128:G130">
    <cfRule type="expression" dxfId="75" priority="31" stopIfTrue="1">
      <formula>#REF!="nee"</formula>
    </cfRule>
  </conditionalFormatting>
  <conditionalFormatting sqref="D128:D130">
    <cfRule type="expression" dxfId="74" priority="30" stopIfTrue="1">
      <formula>#REF!="nee"</formula>
    </cfRule>
  </conditionalFormatting>
  <conditionalFormatting sqref="B140:C140 A138 C138">
    <cfRule type="expression" dxfId="73" priority="28" stopIfTrue="1">
      <formula>#REF!="nee"</formula>
    </cfRule>
  </conditionalFormatting>
  <conditionalFormatting sqref="F138 D138">
    <cfRule type="expression" dxfId="72" priority="29" stopIfTrue="1">
      <formula>$B$1=TRUE</formula>
    </cfRule>
  </conditionalFormatting>
  <conditionalFormatting sqref="B138">
    <cfRule type="expression" dxfId="71" priority="27" stopIfTrue="1">
      <formula>#REF!="nee"</formula>
    </cfRule>
  </conditionalFormatting>
  <conditionalFormatting sqref="B135:B137">
    <cfRule type="expression" dxfId="70" priority="26" stopIfTrue="1">
      <formula>#REF!="nee"</formula>
    </cfRule>
  </conditionalFormatting>
  <conditionalFormatting sqref="E135:G137">
    <cfRule type="expression" dxfId="69" priority="25" stopIfTrue="1">
      <formula>#REF!="nee"</formula>
    </cfRule>
  </conditionalFormatting>
  <conditionalFormatting sqref="D135:D137">
    <cfRule type="expression" dxfId="68" priority="24" stopIfTrue="1">
      <formula>#REF!="nee"</formula>
    </cfRule>
  </conditionalFormatting>
  <conditionalFormatting sqref="A126">
    <cfRule type="expression" dxfId="67" priority="23" stopIfTrue="1">
      <formula>#REF!="nee"</formula>
    </cfRule>
  </conditionalFormatting>
  <conditionalFormatting sqref="A133">
    <cfRule type="expression" dxfId="66" priority="22" stopIfTrue="1">
      <formula>#REF!="nee"</formula>
    </cfRule>
  </conditionalFormatting>
  <conditionalFormatting sqref="A141">
    <cfRule type="expression" dxfId="65" priority="18" stopIfTrue="1">
      <formula>#REF!="nee"</formula>
    </cfRule>
  </conditionalFormatting>
  <conditionalFormatting sqref="B107:C109">
    <cfRule type="expression" dxfId="64" priority="20" stopIfTrue="1">
      <formula>($B$1=TRUE)</formula>
    </cfRule>
  </conditionalFormatting>
  <conditionalFormatting sqref="B139">
    <cfRule type="expression" dxfId="63" priority="15" stopIfTrue="1">
      <formula>#REF!="nee"</formula>
    </cfRule>
  </conditionalFormatting>
  <conditionalFormatting sqref="C139 A139:A140">
    <cfRule type="expression" dxfId="62" priority="16" stopIfTrue="1">
      <formula>#REF!="nee"</formula>
    </cfRule>
  </conditionalFormatting>
  <conditionalFormatting sqref="F139 D139">
    <cfRule type="expression" dxfId="61" priority="17" stopIfTrue="1">
      <formula>$B$1=TRUE</formula>
    </cfRule>
  </conditionalFormatting>
  <conditionalFormatting sqref="B79:B81">
    <cfRule type="expression" dxfId="60" priority="14" stopIfTrue="1">
      <formula>#REF!="nee"</formula>
    </cfRule>
  </conditionalFormatting>
  <conditionalFormatting sqref="C56">
    <cfRule type="expression" dxfId="59" priority="11" stopIfTrue="1">
      <formula>#REF!="nee"</formula>
    </cfRule>
  </conditionalFormatting>
  <conditionalFormatting sqref="B56">
    <cfRule type="expression" dxfId="58" priority="10" stopIfTrue="1">
      <formula>#REF!="nee"</formula>
    </cfRule>
  </conditionalFormatting>
  <conditionalFormatting sqref="A70">
    <cfRule type="expression" dxfId="57" priority="9" stopIfTrue="1">
      <formula>#REF!="nee"</formula>
    </cfRule>
  </conditionalFormatting>
  <conditionalFormatting sqref="D56">
    <cfRule type="expression" dxfId="56" priority="8" stopIfTrue="1">
      <formula>($B$1=TRUE)</formula>
    </cfRule>
  </conditionalFormatting>
  <conditionalFormatting sqref="F56">
    <cfRule type="expression" dxfId="55" priority="7" stopIfTrue="1">
      <formula>($B$1=TRUE)</formula>
    </cfRule>
  </conditionalFormatting>
  <conditionalFormatting sqref="A78">
    <cfRule type="expression" dxfId="54" priority="6" stopIfTrue="1">
      <formula>#REF!="nee"</formula>
    </cfRule>
  </conditionalFormatting>
  <conditionalFormatting sqref="D76:G76">
    <cfRule type="expression" dxfId="53" priority="3" stopIfTrue="1">
      <formula>#REF!="nee"</formula>
    </cfRule>
  </conditionalFormatting>
  <conditionalFormatting sqref="B76">
    <cfRule type="expression" dxfId="52" priority="2" stopIfTrue="1">
      <formula>#REF!="nee"</formula>
    </cfRule>
  </conditionalFormatting>
  <conditionalFormatting sqref="B78">
    <cfRule type="expression" dxfId="51" priority="1" stopIfTrue="1">
      <formula>#REF!="nee"</formula>
    </cfRule>
  </conditionalFormatting>
  <pageMargins left="0.25" right="0.25" top="0.75" bottom="0.75" header="0.3" footer="0.3"/>
  <pageSetup paperSize="9" scale="71" fitToHeight="0" orientation="portrait" cellComments="asDisplayed" r:id="rId1"/>
  <headerFooter alignWithMargins="0"/>
  <rowBreaks count="1" manualBreakCount="1">
    <brk id="70" max="6" man="1"/>
  </rowBreaks>
  <ignoredErrors>
    <ignoredError sqref="D125 D140" formulaRange="1"/>
  </ignoredErrors>
  <drawing r:id="rId2"/>
  <legacyDrawing r:id="rId3"/>
  <oleObjects>
    <mc:AlternateContent xmlns:mc="http://schemas.openxmlformats.org/markup-compatibility/2006">
      <mc:Choice Requires="x14">
        <oleObject progId="MSPhotoEd.3" shapeId="86017" r:id="rId4">
          <objectPr defaultSize="0" autoPict="0" r:id="rId5">
            <anchor moveWithCells="1" sizeWithCells="1">
              <from>
                <xdr:col>7</xdr:col>
                <xdr:colOff>0</xdr:colOff>
                <xdr:row>1</xdr:row>
                <xdr:rowOff>47625</xdr:rowOff>
              </from>
              <to>
                <xdr:col>7</xdr:col>
                <xdr:colOff>0</xdr:colOff>
                <xdr:row>2</xdr:row>
                <xdr:rowOff>0</xdr:rowOff>
              </to>
            </anchor>
          </objectPr>
        </oleObject>
      </mc:Choice>
      <mc:Fallback>
        <oleObject progId="MSPhotoEd.3" shapeId="86017" r:id="rId4"/>
      </mc:Fallback>
    </mc:AlternateContent>
    <mc:AlternateContent xmlns:mc="http://schemas.openxmlformats.org/markup-compatibility/2006">
      <mc:Choice Requires="x14">
        <oleObject progId="MSPhotoEd.3" shapeId="86021" r:id="rId6">
          <objectPr defaultSize="0" autoPict="0" r:id="rId5">
            <anchor moveWithCells="1" sizeWithCells="1">
              <from>
                <xdr:col>9</xdr:col>
                <xdr:colOff>0</xdr:colOff>
                <xdr:row>2</xdr:row>
                <xdr:rowOff>47625</xdr:rowOff>
              </from>
              <to>
                <xdr:col>9</xdr:col>
                <xdr:colOff>0</xdr:colOff>
                <xdr:row>3</xdr:row>
                <xdr:rowOff>0</xdr:rowOff>
              </to>
            </anchor>
          </objectPr>
        </oleObject>
      </mc:Choice>
      <mc:Fallback>
        <oleObject progId="MSPhotoEd.3" shapeId="86021" r:id="rId6"/>
      </mc:Fallback>
    </mc:AlternateContent>
    <mc:AlternateContent xmlns:mc="http://schemas.openxmlformats.org/markup-compatibility/2006">
      <mc:Choice Requires="x14">
        <oleObject progId="MSPhotoEd.3" shapeId="86022" r:id="rId7">
          <objectPr defaultSize="0" autoPict="0" r:id="rId5">
            <anchor moveWithCells="1" sizeWithCells="1">
              <from>
                <xdr:col>9</xdr:col>
                <xdr:colOff>0</xdr:colOff>
                <xdr:row>64</xdr:row>
                <xdr:rowOff>47625</xdr:rowOff>
              </from>
              <to>
                <xdr:col>9</xdr:col>
                <xdr:colOff>0</xdr:colOff>
                <xdr:row>65</xdr:row>
                <xdr:rowOff>0</xdr:rowOff>
              </to>
            </anchor>
          </objectPr>
        </oleObject>
      </mc:Choice>
      <mc:Fallback>
        <oleObject progId="MSPhotoEd.3" shapeId="86022" r:id="rId7"/>
      </mc:Fallback>
    </mc:AlternateContent>
    <mc:AlternateContent xmlns:mc="http://schemas.openxmlformats.org/markup-compatibility/2006">
      <mc:Choice Requires="x14">
        <oleObject progId="MSPhotoEd.3" shapeId="86026" r:id="rId8">
          <objectPr defaultSize="0" autoPict="0" r:id="rId5">
            <anchor moveWithCells="1" sizeWithCells="1">
              <from>
                <xdr:col>5</xdr:col>
                <xdr:colOff>295275</xdr:colOff>
                <xdr:row>1</xdr:row>
                <xdr:rowOff>9525</xdr:rowOff>
              </from>
              <to>
                <xdr:col>7</xdr:col>
                <xdr:colOff>9525</xdr:colOff>
                <xdr:row>2</xdr:row>
                <xdr:rowOff>9525</xdr:rowOff>
              </to>
            </anchor>
          </objectPr>
        </oleObject>
      </mc:Choice>
      <mc:Fallback>
        <oleObject progId="MSPhotoEd.3" shapeId="86026" r:id="rId8"/>
      </mc:Fallback>
    </mc:AlternateContent>
    <mc:AlternateContent xmlns:mc="http://schemas.openxmlformats.org/markup-compatibility/2006">
      <mc:Choice Requires="x14">
        <oleObject progId="MSPhotoEd.3" shapeId="86027" r:id="rId9">
          <objectPr defaultSize="0" autoPict="0" r:id="rId5">
            <anchor moveWithCells="1" sizeWithCells="1">
              <from>
                <xdr:col>5</xdr:col>
                <xdr:colOff>342900</xdr:colOff>
                <xdr:row>70</xdr:row>
                <xdr:rowOff>19050</xdr:rowOff>
              </from>
              <to>
                <xdr:col>7</xdr:col>
                <xdr:colOff>57150</xdr:colOff>
                <xdr:row>71</xdr:row>
                <xdr:rowOff>19050</xdr:rowOff>
              </to>
            </anchor>
          </objectPr>
        </oleObject>
      </mc:Choice>
      <mc:Fallback>
        <oleObject progId="MSPhotoEd.3" shapeId="86027" r:id="rId9"/>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pageSetUpPr autoPageBreaks="0"/>
  </sheetPr>
  <dimension ref="A1:U86"/>
  <sheetViews>
    <sheetView showGridLines="0" showZeros="0" showOutlineSymbols="0" zoomScaleNormal="100" zoomScaleSheetLayoutView="100" workbookViewId="0">
      <selection activeCell="Q34" sqref="Q34"/>
    </sheetView>
  </sheetViews>
  <sheetFormatPr defaultRowHeight="12.75" x14ac:dyDescent="0.2"/>
  <cols>
    <col min="1" max="1" width="6.85546875" style="184" customWidth="1"/>
    <col min="2" max="2" width="33.5703125" style="26" customWidth="1"/>
    <col min="3" max="3" width="8.42578125" style="185" customWidth="1"/>
    <col min="4" max="5" width="10.7109375" style="185" customWidth="1"/>
    <col min="6" max="6" width="11.85546875" style="26" customWidth="1"/>
    <col min="7" max="8" width="10.7109375" style="185" customWidth="1"/>
    <col min="9" max="11" width="10.7109375" style="26" customWidth="1"/>
    <col min="12" max="12" width="11" style="26" customWidth="1"/>
    <col min="13" max="13" width="9.28515625" style="26" customWidth="1"/>
    <col min="14" max="16384" width="9.140625" style="26"/>
  </cols>
  <sheetData>
    <row r="1" spans="1:20" s="28" customFormat="1" x14ac:dyDescent="0.2">
      <c r="A1" s="182"/>
      <c r="B1" s="51"/>
      <c r="C1" s="772"/>
      <c r="D1" s="31"/>
      <c r="E1" s="31"/>
      <c r="F1" s="31"/>
      <c r="G1" s="31"/>
      <c r="H1" s="55"/>
      <c r="I1" s="55"/>
      <c r="K1" s="183"/>
      <c r="L1" s="183"/>
      <c r="M1" s="183"/>
      <c r="O1" s="183"/>
      <c r="P1" s="183"/>
      <c r="Q1" s="183"/>
      <c r="S1" s="183"/>
      <c r="T1" s="183"/>
    </row>
    <row r="2" spans="1:20" s="28" customFormat="1" ht="18.75" customHeight="1" x14ac:dyDescent="0.2">
      <c r="A2" s="71" t="str">
        <f>inhoud!A2</f>
        <v>Vaststelling Transitiebedrag 2012</v>
      </c>
      <c r="B2" s="706"/>
      <c r="G2" s="69" t="b">
        <f>Voorblad!D27</f>
        <v>1</v>
      </c>
      <c r="H2" s="40"/>
      <c r="I2" s="40"/>
      <c r="K2" s="42">
        <f>'1.4 dure geneesmiddelen'!G71+1</f>
        <v>12</v>
      </c>
      <c r="L2" s="183"/>
      <c r="M2" s="183"/>
      <c r="O2" s="183"/>
      <c r="P2" s="183"/>
      <c r="Q2" s="183"/>
      <c r="S2" s="183"/>
      <c r="T2" s="183"/>
    </row>
    <row r="3" spans="1:20" s="28" customFormat="1" x14ac:dyDescent="0.2">
      <c r="A3" s="1317" t="str">
        <f>IF(Voorblad!$F$10&lt;1,"Vul het NZa-nummer in op het voorblad","")</f>
        <v>Vul het NZa-nummer in op het voorblad</v>
      </c>
      <c r="B3" s="1318"/>
      <c r="C3" s="1318"/>
      <c r="D3" s="1318"/>
      <c r="E3" s="40"/>
      <c r="F3" s="40"/>
      <c r="G3" s="40"/>
      <c r="I3" s="40"/>
      <c r="K3" s="42"/>
      <c r="L3" s="183"/>
      <c r="M3" s="183"/>
      <c r="O3" s="183"/>
      <c r="P3" s="183"/>
      <c r="Q3" s="183"/>
      <c r="S3" s="183"/>
      <c r="T3" s="183"/>
    </row>
    <row r="4" spans="1:20" x14ac:dyDescent="0.2">
      <c r="B4" s="71"/>
      <c r="C4" s="40"/>
      <c r="D4" s="40"/>
      <c r="E4" s="40"/>
      <c r="F4" s="40"/>
      <c r="G4" s="69"/>
      <c r="H4" s="40"/>
      <c r="I4" s="40"/>
      <c r="K4" s="185"/>
      <c r="L4" s="185"/>
      <c r="M4" s="185"/>
      <c r="O4" s="185"/>
      <c r="P4" s="185"/>
      <c r="Q4" s="185"/>
      <c r="S4" s="185"/>
      <c r="T4" s="185"/>
    </row>
    <row r="5" spans="1:20" x14ac:dyDescent="0.2">
      <c r="A5" s="186" t="s">
        <v>747</v>
      </c>
      <c r="B5" s="59" t="str">
        <f>CONCATENATE("Berekening (gewogen) opnamen en eerste polikliniekbezoeken ",Voorblad!K4)</f>
        <v>Berekening (gewogen) opnamen en eerste polikliniekbezoeken 2012</v>
      </c>
      <c r="C5" s="187"/>
      <c r="D5" s="187"/>
      <c r="E5" s="187"/>
      <c r="F5" s="43"/>
      <c r="G5" s="187"/>
      <c r="H5" s="187"/>
      <c r="I5" s="43"/>
    </row>
    <row r="6" spans="1:20" x14ac:dyDescent="0.2">
      <c r="A6" s="186"/>
      <c r="B6" s="59"/>
      <c r="C6" s="187"/>
      <c r="D6" s="187"/>
      <c r="E6" s="187"/>
      <c r="F6" s="43"/>
      <c r="G6" s="187"/>
      <c r="H6" s="187"/>
      <c r="I6" s="43"/>
    </row>
    <row r="7" spans="1:20" x14ac:dyDescent="0.2">
      <c r="A7" s="186"/>
      <c r="B7" s="43"/>
      <c r="C7" s="178" t="s">
        <v>853</v>
      </c>
      <c r="D7" s="1340" t="s">
        <v>596</v>
      </c>
      <c r="E7" s="1341"/>
      <c r="F7" s="1341"/>
      <c r="G7" s="1342"/>
      <c r="H7" s="1308" t="s">
        <v>845</v>
      </c>
      <c r="I7" s="1341"/>
      <c r="J7" s="1341"/>
      <c r="K7" s="1342"/>
    </row>
    <row r="8" spans="1:20" x14ac:dyDescent="0.2">
      <c r="A8" s="186"/>
      <c r="B8" s="43"/>
      <c r="C8" s="289" t="s">
        <v>937</v>
      </c>
      <c r="D8" s="1344" t="s">
        <v>629</v>
      </c>
      <c r="E8" s="1309"/>
      <c r="F8" s="1343" t="s">
        <v>630</v>
      </c>
      <c r="G8" s="1343"/>
      <c r="H8" s="1308" t="s">
        <v>629</v>
      </c>
      <c r="I8" s="1309"/>
      <c r="J8" s="1343" t="s">
        <v>630</v>
      </c>
      <c r="K8" s="1343"/>
    </row>
    <row r="9" spans="1:20" x14ac:dyDescent="0.2">
      <c r="A9" s="186"/>
      <c r="B9" s="43"/>
      <c r="C9" s="290"/>
      <c r="D9" s="288" t="s">
        <v>598</v>
      </c>
      <c r="E9" s="188" t="s">
        <v>597</v>
      </c>
      <c r="F9" s="188" t="s">
        <v>598</v>
      </c>
      <c r="G9" s="188" t="s">
        <v>597</v>
      </c>
      <c r="H9" s="188" t="s">
        <v>598</v>
      </c>
      <c r="I9" s="188" t="s">
        <v>597</v>
      </c>
      <c r="J9" s="188" t="s">
        <v>598</v>
      </c>
      <c r="K9" s="188" t="s">
        <v>597</v>
      </c>
    </row>
    <row r="10" spans="1:20" x14ac:dyDescent="0.2">
      <c r="A10" s="186"/>
      <c r="B10" s="43"/>
      <c r="C10" s="43"/>
      <c r="D10" s="187"/>
      <c r="E10" s="187"/>
      <c r="F10" s="187"/>
      <c r="G10" s="187"/>
      <c r="H10" s="187"/>
      <c r="I10" s="187"/>
      <c r="J10" s="187"/>
      <c r="K10" s="187"/>
    </row>
    <row r="11" spans="1:20" x14ac:dyDescent="0.2">
      <c r="A11" s="191">
        <f>(K2*100)+1</f>
        <v>1201</v>
      </c>
      <c r="B11" s="107" t="s">
        <v>631</v>
      </c>
      <c r="C11" s="291">
        <v>1.26</v>
      </c>
      <c r="D11" s="717"/>
      <c r="E11" s="717"/>
      <c r="F11" s="262">
        <f>ROUND(D11*C11,0)</f>
        <v>0</v>
      </c>
      <c r="G11" s="262">
        <f>ROUND(E11*C11,0)</f>
        <v>0</v>
      </c>
      <c r="H11" s="717"/>
      <c r="I11" s="717"/>
      <c r="J11" s="262">
        <f>ROUND(H11*C11,0)</f>
        <v>0</v>
      </c>
      <c r="K11" s="262">
        <f>ROUND(I11*C11,0)</f>
        <v>0</v>
      </c>
    </row>
    <row r="12" spans="1:20" x14ac:dyDescent="0.2">
      <c r="A12" s="191">
        <f>A11+1</f>
        <v>1202</v>
      </c>
      <c r="B12" s="107" t="s">
        <v>632</v>
      </c>
      <c r="C12" s="291">
        <v>1.75</v>
      </c>
      <c r="D12" s="717"/>
      <c r="E12" s="717"/>
      <c r="F12" s="262">
        <f t="shared" ref="F12:F36" si="0">ROUND(D12*C12,0)</f>
        <v>0</v>
      </c>
      <c r="G12" s="262">
        <f t="shared" ref="G12:G36" si="1">ROUND(E12*C12,0)</f>
        <v>0</v>
      </c>
      <c r="H12" s="717"/>
      <c r="I12" s="717"/>
      <c r="J12" s="262">
        <f t="shared" ref="J12:J36" si="2">ROUND(H12*C12,0)</f>
        <v>0</v>
      </c>
      <c r="K12" s="262">
        <f t="shared" ref="K12:K36" si="3">ROUND(I12*C12,0)</f>
        <v>0</v>
      </c>
    </row>
    <row r="13" spans="1:20" x14ac:dyDescent="0.2">
      <c r="A13" s="191">
        <f>A12+1</f>
        <v>1203</v>
      </c>
      <c r="B13" s="107" t="s">
        <v>633</v>
      </c>
      <c r="C13" s="291">
        <v>1.52</v>
      </c>
      <c r="D13" s="717"/>
      <c r="E13" s="717"/>
      <c r="F13" s="262">
        <f t="shared" si="0"/>
        <v>0</v>
      </c>
      <c r="G13" s="262">
        <f t="shared" si="1"/>
        <v>0</v>
      </c>
      <c r="H13" s="717"/>
      <c r="I13" s="717"/>
      <c r="J13" s="262">
        <f t="shared" si="2"/>
        <v>0</v>
      </c>
      <c r="K13" s="262">
        <f t="shared" si="3"/>
        <v>0</v>
      </c>
    </row>
    <row r="14" spans="1:20" x14ac:dyDescent="0.2">
      <c r="A14" s="191">
        <f t="shared" ref="A14:A36" si="4">A13+1</f>
        <v>1204</v>
      </c>
      <c r="B14" s="107" t="s">
        <v>634</v>
      </c>
      <c r="C14" s="291">
        <v>1.23</v>
      </c>
      <c r="D14" s="717"/>
      <c r="E14" s="717"/>
      <c r="F14" s="262">
        <f t="shared" si="0"/>
        <v>0</v>
      </c>
      <c r="G14" s="262">
        <f t="shared" si="1"/>
        <v>0</v>
      </c>
      <c r="H14" s="717"/>
      <c r="I14" s="717"/>
      <c r="J14" s="262">
        <f t="shared" si="2"/>
        <v>0</v>
      </c>
      <c r="K14" s="262">
        <f t="shared" si="3"/>
        <v>0</v>
      </c>
    </row>
    <row r="15" spans="1:20" x14ac:dyDescent="0.2">
      <c r="A15" s="191">
        <f t="shared" si="4"/>
        <v>1205</v>
      </c>
      <c r="B15" s="107" t="s">
        <v>635</v>
      </c>
      <c r="C15" s="291">
        <v>0.88</v>
      </c>
      <c r="D15" s="717"/>
      <c r="E15" s="717"/>
      <c r="F15" s="262">
        <f t="shared" si="0"/>
        <v>0</v>
      </c>
      <c r="G15" s="262">
        <f t="shared" si="1"/>
        <v>0</v>
      </c>
      <c r="H15" s="717"/>
      <c r="I15" s="717"/>
      <c r="J15" s="262">
        <f t="shared" si="2"/>
        <v>0</v>
      </c>
      <c r="K15" s="262">
        <f t="shared" si="3"/>
        <v>0</v>
      </c>
    </row>
    <row r="16" spans="1:20" x14ac:dyDescent="0.2">
      <c r="A16" s="191">
        <f t="shared" si="4"/>
        <v>1206</v>
      </c>
      <c r="B16" s="107" t="s">
        <v>636</v>
      </c>
      <c r="C16" s="291">
        <v>1.26</v>
      </c>
      <c r="D16" s="717"/>
      <c r="E16" s="717"/>
      <c r="F16" s="262">
        <f t="shared" si="0"/>
        <v>0</v>
      </c>
      <c r="G16" s="262">
        <f t="shared" si="1"/>
        <v>0</v>
      </c>
      <c r="H16" s="717"/>
      <c r="I16" s="717"/>
      <c r="J16" s="262">
        <f t="shared" si="2"/>
        <v>0</v>
      </c>
      <c r="K16" s="262">
        <f t="shared" si="3"/>
        <v>0</v>
      </c>
    </row>
    <row r="17" spans="1:11" x14ac:dyDescent="0.2">
      <c r="A17" s="191">
        <f t="shared" si="4"/>
        <v>1207</v>
      </c>
      <c r="B17" s="107" t="s">
        <v>637</v>
      </c>
      <c r="C17" s="598">
        <v>0.2</v>
      </c>
      <c r="D17" s="717"/>
      <c r="E17" s="717"/>
      <c r="F17" s="262">
        <f t="shared" si="0"/>
        <v>0</v>
      </c>
      <c r="G17" s="262">
        <f t="shared" si="1"/>
        <v>0</v>
      </c>
      <c r="H17" s="717"/>
      <c r="I17" s="717"/>
      <c r="J17" s="262">
        <f t="shared" si="2"/>
        <v>0</v>
      </c>
      <c r="K17" s="262">
        <f t="shared" si="3"/>
        <v>0</v>
      </c>
    </row>
    <row r="18" spans="1:11" x14ac:dyDescent="0.2">
      <c r="A18" s="191">
        <f t="shared" si="4"/>
        <v>1208</v>
      </c>
      <c r="B18" s="107" t="s">
        <v>638</v>
      </c>
      <c r="C18" s="291">
        <v>0.73</v>
      </c>
      <c r="D18" s="717"/>
      <c r="E18" s="717"/>
      <c r="F18" s="262">
        <f t="shared" si="0"/>
        <v>0</v>
      </c>
      <c r="G18" s="262">
        <f t="shared" si="1"/>
        <v>0</v>
      </c>
      <c r="H18" s="717"/>
      <c r="I18" s="717"/>
      <c r="J18" s="262">
        <f t="shared" si="2"/>
        <v>0</v>
      </c>
      <c r="K18" s="262">
        <f t="shared" si="3"/>
        <v>0</v>
      </c>
    </row>
    <row r="19" spans="1:11" x14ac:dyDescent="0.2">
      <c r="A19" s="191">
        <f t="shared" si="4"/>
        <v>1209</v>
      </c>
      <c r="B19" s="107" t="s">
        <v>639</v>
      </c>
      <c r="C19" s="291">
        <v>1.47</v>
      </c>
      <c r="D19" s="717"/>
      <c r="E19" s="717"/>
      <c r="F19" s="262">
        <f t="shared" si="0"/>
        <v>0</v>
      </c>
      <c r="G19" s="262">
        <f t="shared" si="1"/>
        <v>0</v>
      </c>
      <c r="H19" s="717"/>
      <c r="I19" s="717"/>
      <c r="J19" s="262">
        <f t="shared" si="2"/>
        <v>0</v>
      </c>
      <c r="K19" s="262">
        <f t="shared" si="3"/>
        <v>0</v>
      </c>
    </row>
    <row r="20" spans="1:11" x14ac:dyDescent="0.2">
      <c r="A20" s="191">
        <f t="shared" si="4"/>
        <v>1210</v>
      </c>
      <c r="B20" s="107" t="s">
        <v>640</v>
      </c>
      <c r="C20" s="291">
        <v>1.45</v>
      </c>
      <c r="D20" s="717"/>
      <c r="E20" s="717"/>
      <c r="F20" s="262">
        <f t="shared" si="0"/>
        <v>0</v>
      </c>
      <c r="G20" s="262">
        <f t="shared" si="1"/>
        <v>0</v>
      </c>
      <c r="H20" s="717"/>
      <c r="I20" s="717"/>
      <c r="J20" s="262">
        <f t="shared" si="2"/>
        <v>0</v>
      </c>
      <c r="K20" s="262">
        <f t="shared" si="3"/>
        <v>0</v>
      </c>
    </row>
    <row r="21" spans="1:11" x14ac:dyDescent="0.2">
      <c r="A21" s="191">
        <f t="shared" si="4"/>
        <v>1211</v>
      </c>
      <c r="B21" s="107" t="s">
        <v>641</v>
      </c>
      <c r="C21" s="291">
        <v>0.93</v>
      </c>
      <c r="D21" s="717"/>
      <c r="E21" s="717"/>
      <c r="F21" s="262">
        <f t="shared" si="0"/>
        <v>0</v>
      </c>
      <c r="G21" s="262">
        <f t="shared" si="1"/>
        <v>0</v>
      </c>
      <c r="H21" s="717"/>
      <c r="I21" s="717"/>
      <c r="J21" s="262">
        <f t="shared" si="2"/>
        <v>0</v>
      </c>
      <c r="K21" s="262">
        <f t="shared" si="3"/>
        <v>0</v>
      </c>
    </row>
    <row r="22" spans="1:11" x14ac:dyDescent="0.2">
      <c r="A22" s="191">
        <f t="shared" si="4"/>
        <v>1212</v>
      </c>
      <c r="B22" s="107" t="s">
        <v>642</v>
      </c>
      <c r="C22" s="291">
        <v>0.66</v>
      </c>
      <c r="D22" s="717"/>
      <c r="E22" s="717"/>
      <c r="F22" s="262">
        <f t="shared" si="0"/>
        <v>0</v>
      </c>
      <c r="G22" s="262">
        <f t="shared" si="1"/>
        <v>0</v>
      </c>
      <c r="H22" s="717"/>
      <c r="I22" s="717"/>
      <c r="J22" s="262">
        <f t="shared" si="2"/>
        <v>0</v>
      </c>
      <c r="K22" s="262">
        <f t="shared" si="3"/>
        <v>0</v>
      </c>
    </row>
    <row r="23" spans="1:11" x14ac:dyDescent="0.2">
      <c r="A23" s="191">
        <f t="shared" si="4"/>
        <v>1213</v>
      </c>
      <c r="B23" s="107" t="s">
        <v>643</v>
      </c>
      <c r="C23" s="291">
        <v>1.0900000000000001</v>
      </c>
      <c r="D23" s="717"/>
      <c r="E23" s="717"/>
      <c r="F23" s="262">
        <f t="shared" si="0"/>
        <v>0</v>
      </c>
      <c r="G23" s="262">
        <f t="shared" si="1"/>
        <v>0</v>
      </c>
      <c r="H23" s="717"/>
      <c r="I23" s="717"/>
      <c r="J23" s="262">
        <f t="shared" si="2"/>
        <v>0</v>
      </c>
      <c r="K23" s="262">
        <f t="shared" si="3"/>
        <v>0</v>
      </c>
    </row>
    <row r="24" spans="1:11" x14ac:dyDescent="0.2">
      <c r="A24" s="191">
        <f t="shared" si="4"/>
        <v>1214</v>
      </c>
      <c r="B24" s="107" t="s">
        <v>644</v>
      </c>
      <c r="C24" s="291">
        <v>2.14</v>
      </c>
      <c r="D24" s="717"/>
      <c r="E24" s="717"/>
      <c r="F24" s="262">
        <f t="shared" si="0"/>
        <v>0</v>
      </c>
      <c r="G24" s="262">
        <f t="shared" si="1"/>
        <v>0</v>
      </c>
      <c r="H24" s="717"/>
      <c r="I24" s="717"/>
      <c r="J24" s="262">
        <f t="shared" si="2"/>
        <v>0</v>
      </c>
      <c r="K24" s="262">
        <f t="shared" si="3"/>
        <v>0</v>
      </c>
    </row>
    <row r="25" spans="1:11" x14ac:dyDescent="0.2">
      <c r="A25" s="191">
        <f t="shared" si="4"/>
        <v>1215</v>
      </c>
      <c r="B25" s="107" t="s">
        <v>645</v>
      </c>
      <c r="C25" s="291">
        <v>0.73</v>
      </c>
      <c r="D25" s="717"/>
      <c r="E25" s="717"/>
      <c r="F25" s="262">
        <f t="shared" si="0"/>
        <v>0</v>
      </c>
      <c r="G25" s="262">
        <f t="shared" si="1"/>
        <v>0</v>
      </c>
      <c r="H25" s="717"/>
      <c r="I25" s="717"/>
      <c r="J25" s="262">
        <f t="shared" si="2"/>
        <v>0</v>
      </c>
      <c r="K25" s="262">
        <f t="shared" si="3"/>
        <v>0</v>
      </c>
    </row>
    <row r="26" spans="1:11" x14ac:dyDescent="0.2">
      <c r="A26" s="191">
        <f t="shared" si="4"/>
        <v>1216</v>
      </c>
      <c r="B26" s="107" t="s">
        <v>646</v>
      </c>
      <c r="C26" s="291">
        <v>0.18</v>
      </c>
      <c r="D26" s="717"/>
      <c r="E26" s="717"/>
      <c r="F26" s="262">
        <f t="shared" si="0"/>
        <v>0</v>
      </c>
      <c r="G26" s="262">
        <f t="shared" si="1"/>
        <v>0</v>
      </c>
      <c r="H26" s="717"/>
      <c r="I26" s="717"/>
      <c r="J26" s="262">
        <f t="shared" si="2"/>
        <v>0</v>
      </c>
      <c r="K26" s="262">
        <f t="shared" si="3"/>
        <v>0</v>
      </c>
    </row>
    <row r="27" spans="1:11" x14ac:dyDescent="0.2">
      <c r="A27" s="191">
        <f t="shared" si="4"/>
        <v>1217</v>
      </c>
      <c r="B27" s="107" t="s">
        <v>938</v>
      </c>
      <c r="C27" s="291">
        <v>0.25</v>
      </c>
      <c r="D27" s="717"/>
      <c r="E27" s="717"/>
      <c r="F27" s="262">
        <f t="shared" si="0"/>
        <v>0</v>
      </c>
      <c r="G27" s="262">
        <f t="shared" si="1"/>
        <v>0</v>
      </c>
      <c r="H27" s="717"/>
      <c r="I27" s="717"/>
      <c r="J27" s="262">
        <f t="shared" si="2"/>
        <v>0</v>
      </c>
      <c r="K27" s="262">
        <f t="shared" si="3"/>
        <v>0</v>
      </c>
    </row>
    <row r="28" spans="1:11" x14ac:dyDescent="0.2">
      <c r="A28" s="191">
        <f t="shared" si="4"/>
        <v>1218</v>
      </c>
      <c r="B28" s="107" t="s">
        <v>647</v>
      </c>
      <c r="C28" s="291">
        <v>0.37</v>
      </c>
      <c r="D28" s="717"/>
      <c r="E28" s="717"/>
      <c r="F28" s="262">
        <f t="shared" si="0"/>
        <v>0</v>
      </c>
      <c r="G28" s="262">
        <f t="shared" si="1"/>
        <v>0</v>
      </c>
      <c r="H28" s="717"/>
      <c r="I28" s="717"/>
      <c r="J28" s="262">
        <f t="shared" si="2"/>
        <v>0</v>
      </c>
      <c r="K28" s="262">
        <f t="shared" si="3"/>
        <v>0</v>
      </c>
    </row>
    <row r="29" spans="1:11" x14ac:dyDescent="0.2">
      <c r="A29" s="191">
        <f t="shared" si="4"/>
        <v>1219</v>
      </c>
      <c r="B29" s="107" t="s">
        <v>648</v>
      </c>
      <c r="C29" s="291">
        <v>1.24</v>
      </c>
      <c r="D29" s="717"/>
      <c r="E29" s="717"/>
      <c r="F29" s="262">
        <f t="shared" si="0"/>
        <v>0</v>
      </c>
      <c r="G29" s="262">
        <f t="shared" si="1"/>
        <v>0</v>
      </c>
      <c r="H29" s="717"/>
      <c r="I29" s="717"/>
      <c r="J29" s="262">
        <f t="shared" si="2"/>
        <v>0</v>
      </c>
      <c r="K29" s="262">
        <f t="shared" si="3"/>
        <v>0</v>
      </c>
    </row>
    <row r="30" spans="1:11" x14ac:dyDescent="0.2">
      <c r="A30" s="191">
        <f t="shared" si="4"/>
        <v>1220</v>
      </c>
      <c r="B30" s="107" t="s">
        <v>650</v>
      </c>
      <c r="C30" s="598">
        <v>0.9</v>
      </c>
      <c r="D30" s="717"/>
      <c r="E30" s="717"/>
      <c r="F30" s="262">
        <f t="shared" si="0"/>
        <v>0</v>
      </c>
      <c r="G30" s="262">
        <f t="shared" si="1"/>
        <v>0</v>
      </c>
      <c r="H30" s="717"/>
      <c r="I30" s="717"/>
      <c r="J30" s="262">
        <f t="shared" si="2"/>
        <v>0</v>
      </c>
      <c r="K30" s="262">
        <f t="shared" si="3"/>
        <v>0</v>
      </c>
    </row>
    <row r="31" spans="1:11" x14ac:dyDescent="0.2">
      <c r="A31" s="191">
        <f t="shared" si="4"/>
        <v>1221</v>
      </c>
      <c r="B31" s="107" t="s">
        <v>602</v>
      </c>
      <c r="C31" s="291">
        <v>1.07</v>
      </c>
      <c r="D31" s="717"/>
      <c r="E31" s="717"/>
      <c r="F31" s="262">
        <f t="shared" si="0"/>
        <v>0</v>
      </c>
      <c r="G31" s="262">
        <f t="shared" si="1"/>
        <v>0</v>
      </c>
      <c r="H31" s="717"/>
      <c r="I31" s="717"/>
      <c r="J31" s="262">
        <f t="shared" si="2"/>
        <v>0</v>
      </c>
      <c r="K31" s="262">
        <f t="shared" si="3"/>
        <v>0</v>
      </c>
    </row>
    <row r="32" spans="1:11" x14ac:dyDescent="0.2">
      <c r="A32" s="191">
        <f t="shared" si="4"/>
        <v>1222</v>
      </c>
      <c r="B32" s="107" t="s">
        <v>651</v>
      </c>
      <c r="C32" s="291">
        <v>0.66</v>
      </c>
      <c r="D32" s="717"/>
      <c r="E32" s="717"/>
      <c r="F32" s="262">
        <f t="shared" si="0"/>
        <v>0</v>
      </c>
      <c r="G32" s="262">
        <f t="shared" si="1"/>
        <v>0</v>
      </c>
      <c r="H32" s="717"/>
      <c r="I32" s="717"/>
      <c r="J32" s="262">
        <f>ROUND(H32*C32,0)</f>
        <v>0</v>
      </c>
      <c r="K32" s="262">
        <f t="shared" si="3"/>
        <v>0</v>
      </c>
    </row>
    <row r="33" spans="1:21" x14ac:dyDescent="0.2">
      <c r="A33" s="191">
        <f t="shared" si="4"/>
        <v>1223</v>
      </c>
      <c r="B33" s="107" t="s">
        <v>652</v>
      </c>
      <c r="C33" s="291">
        <v>0.93</v>
      </c>
      <c r="D33" s="717"/>
      <c r="E33" s="717"/>
      <c r="F33" s="262">
        <f t="shared" si="0"/>
        <v>0</v>
      </c>
      <c r="G33" s="262">
        <f t="shared" si="1"/>
        <v>0</v>
      </c>
      <c r="H33" s="718"/>
      <c r="I33" s="719"/>
      <c r="J33" s="262">
        <f t="shared" si="2"/>
        <v>0</v>
      </c>
      <c r="K33" s="262">
        <f t="shared" si="3"/>
        <v>0</v>
      </c>
    </row>
    <row r="34" spans="1:21" x14ac:dyDescent="0.2">
      <c r="A34" s="191">
        <f t="shared" si="4"/>
        <v>1224</v>
      </c>
      <c r="B34" s="107" t="s">
        <v>600</v>
      </c>
      <c r="C34" s="291">
        <v>0.53</v>
      </c>
      <c r="D34" s="717"/>
      <c r="E34" s="717"/>
      <c r="F34" s="262">
        <f t="shared" si="0"/>
        <v>0</v>
      </c>
      <c r="G34" s="262">
        <f t="shared" si="1"/>
        <v>0</v>
      </c>
      <c r="H34" s="717"/>
      <c r="I34" s="717"/>
      <c r="J34" s="262">
        <f t="shared" si="2"/>
        <v>0</v>
      </c>
      <c r="K34" s="262">
        <f t="shared" si="3"/>
        <v>0</v>
      </c>
    </row>
    <row r="35" spans="1:21" x14ac:dyDescent="0.2">
      <c r="A35" s="191">
        <f t="shared" si="4"/>
        <v>1225</v>
      </c>
      <c r="B35" s="109" t="s">
        <v>601</v>
      </c>
      <c r="C35" s="291">
        <v>0.37</v>
      </c>
      <c r="D35" s="717"/>
      <c r="E35" s="717"/>
      <c r="F35" s="262">
        <f t="shared" si="0"/>
        <v>0</v>
      </c>
      <c r="G35" s="262">
        <f t="shared" si="1"/>
        <v>0</v>
      </c>
      <c r="H35" s="717"/>
      <c r="I35" s="717"/>
      <c r="J35" s="262">
        <f t="shared" si="2"/>
        <v>0</v>
      </c>
      <c r="K35" s="262">
        <f t="shared" si="3"/>
        <v>0</v>
      </c>
    </row>
    <row r="36" spans="1:21" x14ac:dyDescent="0.2">
      <c r="A36" s="191">
        <f t="shared" si="4"/>
        <v>1226</v>
      </c>
      <c r="B36" s="107" t="s">
        <v>846</v>
      </c>
      <c r="C36" s="291">
        <v>1.64</v>
      </c>
      <c r="D36" s="717"/>
      <c r="E36" s="717"/>
      <c r="F36" s="262">
        <f t="shared" si="0"/>
        <v>0</v>
      </c>
      <c r="G36" s="262">
        <f t="shared" si="1"/>
        <v>0</v>
      </c>
      <c r="H36" s="717"/>
      <c r="I36" s="717"/>
      <c r="J36" s="262">
        <f t="shared" si="2"/>
        <v>0</v>
      </c>
      <c r="K36" s="262">
        <f t="shared" si="3"/>
        <v>0</v>
      </c>
    </row>
    <row r="37" spans="1:21" s="192" customFormat="1" x14ac:dyDescent="0.2">
      <c r="A37" s="191">
        <f>A36+1</f>
        <v>1227</v>
      </c>
      <c r="B37" s="62" t="s">
        <v>749</v>
      </c>
      <c r="C37" s="167"/>
      <c r="D37" s="720">
        <f>SUM(D11:D36)</f>
        <v>0</v>
      </c>
      <c r="E37" s="720">
        <f t="shared" ref="E37:K37" si="5">SUM(E11:E36)</f>
        <v>0</v>
      </c>
      <c r="F37" s="720">
        <f t="shared" si="5"/>
        <v>0</v>
      </c>
      <c r="G37" s="720">
        <f t="shared" si="5"/>
        <v>0</v>
      </c>
      <c r="H37" s="720">
        <f t="shared" si="5"/>
        <v>0</v>
      </c>
      <c r="I37" s="720">
        <f t="shared" si="5"/>
        <v>0</v>
      </c>
      <c r="J37" s="720">
        <f t="shared" si="5"/>
        <v>0</v>
      </c>
      <c r="K37" s="720">
        <f t="shared" si="5"/>
        <v>0</v>
      </c>
      <c r="L37" s="26"/>
      <c r="M37" s="26"/>
      <c r="N37" s="26"/>
      <c r="O37" s="26"/>
      <c r="P37" s="26"/>
      <c r="Q37" s="26"/>
      <c r="R37" s="26"/>
      <c r="S37" s="26"/>
      <c r="T37" s="26"/>
      <c r="U37" s="26"/>
    </row>
    <row r="38" spans="1:21" ht="25.5" customHeight="1" x14ac:dyDescent="0.2">
      <c r="A38" s="1347" t="s">
        <v>615</v>
      </c>
      <c r="B38" s="1347"/>
      <c r="C38" s="1347"/>
      <c r="D38" s="1347"/>
      <c r="E38" s="1347"/>
      <c r="F38" s="1347"/>
      <c r="G38" s="1347"/>
      <c r="H38" s="1347"/>
      <c r="I38" s="1347"/>
      <c r="J38" s="1347"/>
      <c r="K38" s="1347"/>
    </row>
    <row r="39" spans="1:21" x14ac:dyDescent="0.2">
      <c r="B39" s="43"/>
      <c r="C39" s="43"/>
      <c r="D39" s="187"/>
      <c r="E39" s="187"/>
      <c r="F39" s="187"/>
      <c r="G39" s="187"/>
      <c r="H39" s="187"/>
      <c r="I39" s="187"/>
    </row>
    <row r="40" spans="1:21" x14ac:dyDescent="0.2">
      <c r="B40" s="43"/>
      <c r="C40" s="43"/>
      <c r="D40" s="187"/>
      <c r="E40" s="187"/>
      <c r="F40" s="187"/>
      <c r="G40" s="187"/>
      <c r="H40" s="187"/>
      <c r="I40" s="187"/>
    </row>
    <row r="41" spans="1:21" x14ac:dyDescent="0.2">
      <c r="A41" s="195"/>
      <c r="B41" s="43"/>
      <c r="C41" s="43"/>
      <c r="D41" s="187"/>
      <c r="E41" s="187"/>
      <c r="F41" s="187"/>
      <c r="G41" s="187"/>
      <c r="H41" s="187"/>
      <c r="I41" s="187"/>
      <c r="K41" s="590">
        <f>K2+1</f>
        <v>13</v>
      </c>
    </row>
    <row r="42" spans="1:21" x14ac:dyDescent="0.2">
      <c r="A42" s="195"/>
      <c r="B42" s="43"/>
      <c r="C42" s="43"/>
      <c r="D42" s="187"/>
      <c r="E42" s="187"/>
      <c r="F42" s="187"/>
      <c r="G42" s="187"/>
      <c r="H42" s="187"/>
      <c r="I42" s="187"/>
      <c r="K42" s="292"/>
    </row>
    <row r="43" spans="1:21" x14ac:dyDescent="0.2">
      <c r="A43" s="59" t="s">
        <v>570</v>
      </c>
      <c r="B43" s="59" t="str">
        <f>CONCATENATE("Berekening dagverpleging ",Voorblad!K4)</f>
        <v>Berekening dagverpleging 2012</v>
      </c>
      <c r="C43" s="187"/>
      <c r="D43" s="1352" t="s">
        <v>281</v>
      </c>
      <c r="E43" s="1341"/>
      <c r="F43" s="1341"/>
      <c r="G43" s="1342"/>
      <c r="H43" s="1340" t="s">
        <v>282</v>
      </c>
      <c r="I43" s="1341"/>
      <c r="J43" s="1341"/>
      <c r="K43" s="1342"/>
    </row>
    <row r="44" spans="1:21" x14ac:dyDescent="0.2">
      <c r="A44" s="186"/>
      <c r="B44" s="43"/>
      <c r="D44" s="1308" t="s">
        <v>598</v>
      </c>
      <c r="E44" s="1309"/>
      <c r="F44" s="1308" t="s">
        <v>597</v>
      </c>
      <c r="G44" s="1309"/>
      <c r="H44" s="1308" t="s">
        <v>598</v>
      </c>
      <c r="I44" s="1309"/>
      <c r="J44" s="1308" t="s">
        <v>597</v>
      </c>
      <c r="K44" s="1309"/>
    </row>
    <row r="45" spans="1:21" x14ac:dyDescent="0.2">
      <c r="A45" s="186"/>
      <c r="B45" s="43"/>
      <c r="D45" s="187"/>
      <c r="E45" s="187"/>
      <c r="F45" s="43"/>
      <c r="G45" s="43"/>
      <c r="J45" s="187"/>
      <c r="K45" s="187"/>
    </row>
    <row r="46" spans="1:21" x14ac:dyDescent="0.2">
      <c r="A46" s="191">
        <f>K41*100+1</f>
        <v>1301</v>
      </c>
      <c r="B46" s="1348" t="s">
        <v>631</v>
      </c>
      <c r="C46" s="1349"/>
      <c r="D46" s="1345"/>
      <c r="E46" s="1346"/>
      <c r="F46" s="1345"/>
      <c r="G46" s="1346"/>
      <c r="H46" s="1345"/>
      <c r="I46" s="1346"/>
      <c r="J46" s="1345"/>
      <c r="K46" s="1346"/>
    </row>
    <row r="47" spans="1:21" x14ac:dyDescent="0.2">
      <c r="A47" s="191">
        <f>A46+1</f>
        <v>1302</v>
      </c>
      <c r="B47" s="1350" t="s">
        <v>632</v>
      </c>
      <c r="C47" s="1351"/>
      <c r="D47" s="1345"/>
      <c r="E47" s="1346"/>
      <c r="F47" s="1345"/>
      <c r="G47" s="1346"/>
      <c r="H47" s="1345"/>
      <c r="I47" s="1346"/>
      <c r="J47" s="1345"/>
      <c r="K47" s="1346"/>
    </row>
    <row r="48" spans="1:21" x14ac:dyDescent="0.2">
      <c r="A48" s="191">
        <f>A47+1</f>
        <v>1303</v>
      </c>
      <c r="B48" s="1350" t="s">
        <v>633</v>
      </c>
      <c r="C48" s="1351"/>
      <c r="D48" s="1345"/>
      <c r="E48" s="1346"/>
      <c r="F48" s="1345"/>
      <c r="G48" s="1346"/>
      <c r="H48" s="1345"/>
      <c r="I48" s="1346"/>
      <c r="J48" s="1345"/>
      <c r="K48" s="1346"/>
    </row>
    <row r="49" spans="1:11" x14ac:dyDescent="0.2">
      <c r="A49" s="191">
        <f t="shared" ref="A49:A71" si="6">A48+1</f>
        <v>1304</v>
      </c>
      <c r="B49" s="1350" t="s">
        <v>634</v>
      </c>
      <c r="C49" s="1351"/>
      <c r="D49" s="1345"/>
      <c r="E49" s="1346"/>
      <c r="F49" s="1345"/>
      <c r="G49" s="1346"/>
      <c r="H49" s="1345"/>
      <c r="I49" s="1346"/>
      <c r="J49" s="1345"/>
      <c r="K49" s="1346"/>
    </row>
    <row r="50" spans="1:11" x14ac:dyDescent="0.2">
      <c r="A50" s="191">
        <f t="shared" si="6"/>
        <v>1305</v>
      </c>
      <c r="B50" s="1350" t="s">
        <v>635</v>
      </c>
      <c r="C50" s="1351"/>
      <c r="D50" s="1345"/>
      <c r="E50" s="1346"/>
      <c r="F50" s="1345"/>
      <c r="G50" s="1346"/>
      <c r="H50" s="1345"/>
      <c r="I50" s="1346"/>
      <c r="J50" s="1345"/>
      <c r="K50" s="1346"/>
    </row>
    <row r="51" spans="1:11" x14ac:dyDescent="0.2">
      <c r="A51" s="191">
        <f t="shared" si="6"/>
        <v>1306</v>
      </c>
      <c r="B51" s="1350" t="s">
        <v>636</v>
      </c>
      <c r="C51" s="1351"/>
      <c r="D51" s="1345"/>
      <c r="E51" s="1346"/>
      <c r="F51" s="1345"/>
      <c r="G51" s="1346"/>
      <c r="H51" s="1345"/>
      <c r="I51" s="1346"/>
      <c r="J51" s="1345"/>
      <c r="K51" s="1346"/>
    </row>
    <row r="52" spans="1:11" x14ac:dyDescent="0.2">
      <c r="A52" s="191">
        <f t="shared" si="6"/>
        <v>1307</v>
      </c>
      <c r="B52" s="1350" t="s">
        <v>637</v>
      </c>
      <c r="C52" s="1351"/>
      <c r="D52" s="1345"/>
      <c r="E52" s="1346"/>
      <c r="F52" s="1345"/>
      <c r="G52" s="1346"/>
      <c r="H52" s="1345"/>
      <c r="I52" s="1346"/>
      <c r="J52" s="1345"/>
      <c r="K52" s="1346"/>
    </row>
    <row r="53" spans="1:11" x14ac:dyDescent="0.2">
      <c r="A53" s="191">
        <f t="shared" si="6"/>
        <v>1308</v>
      </c>
      <c r="B53" s="1350" t="s">
        <v>638</v>
      </c>
      <c r="C53" s="1351"/>
      <c r="D53" s="1345"/>
      <c r="E53" s="1346"/>
      <c r="F53" s="1345"/>
      <c r="G53" s="1346"/>
      <c r="H53" s="1345"/>
      <c r="I53" s="1346"/>
      <c r="J53" s="1345"/>
      <c r="K53" s="1346"/>
    </row>
    <row r="54" spans="1:11" x14ac:dyDescent="0.2">
      <c r="A54" s="191">
        <f t="shared" si="6"/>
        <v>1309</v>
      </c>
      <c r="B54" s="1350" t="s">
        <v>639</v>
      </c>
      <c r="C54" s="1351"/>
      <c r="D54" s="1345"/>
      <c r="E54" s="1346"/>
      <c r="F54" s="1345"/>
      <c r="G54" s="1346"/>
      <c r="H54" s="1345"/>
      <c r="I54" s="1346"/>
      <c r="J54" s="1345"/>
      <c r="K54" s="1346"/>
    </row>
    <row r="55" spans="1:11" x14ac:dyDescent="0.2">
      <c r="A55" s="191">
        <f t="shared" si="6"/>
        <v>1310</v>
      </c>
      <c r="B55" s="1350" t="s">
        <v>640</v>
      </c>
      <c r="C55" s="1351"/>
      <c r="D55" s="1345"/>
      <c r="E55" s="1346"/>
      <c r="F55" s="1345"/>
      <c r="G55" s="1346"/>
      <c r="H55" s="1345"/>
      <c r="I55" s="1346"/>
      <c r="J55" s="1345"/>
      <c r="K55" s="1346"/>
    </row>
    <row r="56" spans="1:11" x14ac:dyDescent="0.2">
      <c r="A56" s="191">
        <f t="shared" si="6"/>
        <v>1311</v>
      </c>
      <c r="B56" s="1350" t="s">
        <v>641</v>
      </c>
      <c r="C56" s="1351"/>
      <c r="D56" s="1345"/>
      <c r="E56" s="1346"/>
      <c r="F56" s="1345"/>
      <c r="G56" s="1346"/>
      <c r="H56" s="1345"/>
      <c r="I56" s="1346"/>
      <c r="J56" s="1345"/>
      <c r="K56" s="1346"/>
    </row>
    <row r="57" spans="1:11" x14ac:dyDescent="0.2">
      <c r="A57" s="191">
        <f t="shared" si="6"/>
        <v>1312</v>
      </c>
      <c r="B57" s="1350" t="s">
        <v>642</v>
      </c>
      <c r="C57" s="1351"/>
      <c r="D57" s="1345"/>
      <c r="E57" s="1346"/>
      <c r="F57" s="1345"/>
      <c r="G57" s="1346"/>
      <c r="H57" s="1345"/>
      <c r="I57" s="1346"/>
      <c r="J57" s="1345"/>
      <c r="K57" s="1346"/>
    </row>
    <row r="58" spans="1:11" x14ac:dyDescent="0.2">
      <c r="A58" s="191">
        <f t="shared" si="6"/>
        <v>1313</v>
      </c>
      <c r="B58" s="1350" t="s">
        <v>643</v>
      </c>
      <c r="C58" s="1351"/>
      <c r="D58" s="1345"/>
      <c r="E58" s="1346"/>
      <c r="F58" s="1345"/>
      <c r="G58" s="1346"/>
      <c r="H58" s="1345"/>
      <c r="I58" s="1346"/>
      <c r="J58" s="1345"/>
      <c r="K58" s="1346"/>
    </row>
    <row r="59" spans="1:11" x14ac:dyDescent="0.2">
      <c r="A59" s="191">
        <f t="shared" si="6"/>
        <v>1314</v>
      </c>
      <c r="B59" s="1350" t="s">
        <v>644</v>
      </c>
      <c r="C59" s="1351"/>
      <c r="D59" s="1345"/>
      <c r="E59" s="1346"/>
      <c r="F59" s="1345"/>
      <c r="G59" s="1346"/>
      <c r="H59" s="1345"/>
      <c r="I59" s="1346"/>
      <c r="J59" s="1345"/>
      <c r="K59" s="1346"/>
    </row>
    <row r="60" spans="1:11" x14ac:dyDescent="0.2">
      <c r="A60" s="191">
        <f t="shared" si="6"/>
        <v>1315</v>
      </c>
      <c r="B60" s="1350" t="s">
        <v>645</v>
      </c>
      <c r="C60" s="1351"/>
      <c r="D60" s="1345"/>
      <c r="E60" s="1346"/>
      <c r="F60" s="1345"/>
      <c r="G60" s="1346"/>
      <c r="H60" s="1345"/>
      <c r="I60" s="1346"/>
      <c r="J60" s="1345"/>
      <c r="K60" s="1346"/>
    </row>
    <row r="61" spans="1:11" x14ac:dyDescent="0.2">
      <c r="A61" s="191">
        <f t="shared" si="6"/>
        <v>1316</v>
      </c>
      <c r="B61" s="1350" t="s">
        <v>646</v>
      </c>
      <c r="C61" s="1351"/>
      <c r="D61" s="1345"/>
      <c r="E61" s="1346"/>
      <c r="F61" s="1345"/>
      <c r="G61" s="1346"/>
      <c r="H61" s="1345"/>
      <c r="I61" s="1346"/>
      <c r="J61" s="1345"/>
      <c r="K61" s="1346"/>
    </row>
    <row r="62" spans="1:11" x14ac:dyDescent="0.2">
      <c r="A62" s="191">
        <f t="shared" si="6"/>
        <v>1317</v>
      </c>
      <c r="B62" s="1350" t="s">
        <v>938</v>
      </c>
      <c r="C62" s="1351"/>
      <c r="D62" s="1345"/>
      <c r="E62" s="1346"/>
      <c r="F62" s="1345"/>
      <c r="G62" s="1346"/>
      <c r="H62" s="1345"/>
      <c r="I62" s="1346"/>
      <c r="J62" s="1345"/>
      <c r="K62" s="1346"/>
    </row>
    <row r="63" spans="1:11" x14ac:dyDescent="0.2">
      <c r="A63" s="191">
        <f t="shared" si="6"/>
        <v>1318</v>
      </c>
      <c r="B63" s="1350" t="s">
        <v>647</v>
      </c>
      <c r="C63" s="1351"/>
      <c r="D63" s="1345"/>
      <c r="E63" s="1346"/>
      <c r="F63" s="1345"/>
      <c r="G63" s="1346"/>
      <c r="H63" s="1345"/>
      <c r="I63" s="1346"/>
      <c r="J63" s="1345"/>
      <c r="K63" s="1346"/>
    </row>
    <row r="64" spans="1:11" x14ac:dyDescent="0.2">
      <c r="A64" s="191">
        <f t="shared" si="6"/>
        <v>1319</v>
      </c>
      <c r="B64" s="1350" t="s">
        <v>648</v>
      </c>
      <c r="C64" s="1351"/>
      <c r="D64" s="1345"/>
      <c r="E64" s="1346"/>
      <c r="F64" s="1345"/>
      <c r="G64" s="1346"/>
      <c r="H64" s="1345"/>
      <c r="I64" s="1346"/>
      <c r="J64" s="1345"/>
      <c r="K64" s="1346"/>
    </row>
    <row r="65" spans="1:11" x14ac:dyDescent="0.2">
      <c r="A65" s="191">
        <f t="shared" si="6"/>
        <v>1320</v>
      </c>
      <c r="B65" s="1350" t="s">
        <v>650</v>
      </c>
      <c r="C65" s="1351"/>
      <c r="D65" s="1345"/>
      <c r="E65" s="1346"/>
      <c r="F65" s="1345"/>
      <c r="G65" s="1346"/>
      <c r="H65" s="1345"/>
      <c r="I65" s="1346"/>
      <c r="J65" s="1345"/>
      <c r="K65" s="1346"/>
    </row>
    <row r="66" spans="1:11" x14ac:dyDescent="0.2">
      <c r="A66" s="191">
        <f t="shared" si="6"/>
        <v>1321</v>
      </c>
      <c r="B66" s="1350" t="s">
        <v>602</v>
      </c>
      <c r="C66" s="1351"/>
      <c r="D66" s="1345"/>
      <c r="E66" s="1346"/>
      <c r="F66" s="1345"/>
      <c r="G66" s="1346"/>
      <c r="H66" s="1345"/>
      <c r="I66" s="1346"/>
      <c r="J66" s="1345"/>
      <c r="K66" s="1346"/>
    </row>
    <row r="67" spans="1:11" x14ac:dyDescent="0.2">
      <c r="A67" s="191">
        <f t="shared" si="6"/>
        <v>1322</v>
      </c>
      <c r="B67" s="1350" t="s">
        <v>651</v>
      </c>
      <c r="C67" s="1351"/>
      <c r="D67" s="1345"/>
      <c r="E67" s="1346"/>
      <c r="F67" s="1345"/>
      <c r="G67" s="1346"/>
      <c r="H67" s="1345"/>
      <c r="I67" s="1346"/>
      <c r="J67" s="1345"/>
      <c r="K67" s="1346"/>
    </row>
    <row r="68" spans="1:11" x14ac:dyDescent="0.2">
      <c r="A68" s="191">
        <f t="shared" si="6"/>
        <v>1323</v>
      </c>
      <c r="B68" s="1350" t="s">
        <v>652</v>
      </c>
      <c r="C68" s="1351"/>
      <c r="D68" s="1345"/>
      <c r="E68" s="1346"/>
      <c r="F68" s="1345"/>
      <c r="G68" s="1346"/>
      <c r="H68" s="1345"/>
      <c r="I68" s="1346"/>
      <c r="J68" s="1345"/>
      <c r="K68" s="1346"/>
    </row>
    <row r="69" spans="1:11" x14ac:dyDescent="0.2">
      <c r="A69" s="191">
        <f t="shared" si="6"/>
        <v>1324</v>
      </c>
      <c r="B69" s="1350" t="s">
        <v>600</v>
      </c>
      <c r="C69" s="1351"/>
      <c r="D69" s="1345"/>
      <c r="E69" s="1346"/>
      <c r="F69" s="1345"/>
      <c r="G69" s="1346"/>
      <c r="H69" s="1345"/>
      <c r="I69" s="1346"/>
      <c r="J69" s="1345"/>
      <c r="K69" s="1346"/>
    </row>
    <row r="70" spans="1:11" x14ac:dyDescent="0.2">
      <c r="A70" s="191">
        <f t="shared" si="6"/>
        <v>1325</v>
      </c>
      <c r="B70" s="1350" t="s">
        <v>601</v>
      </c>
      <c r="C70" s="1351"/>
      <c r="D70" s="1345"/>
      <c r="E70" s="1346"/>
      <c r="F70" s="1345"/>
      <c r="G70" s="1346"/>
      <c r="H70" s="1345"/>
      <c r="I70" s="1346"/>
      <c r="J70" s="1345"/>
      <c r="K70" s="1346"/>
    </row>
    <row r="71" spans="1:11" x14ac:dyDescent="0.2">
      <c r="A71" s="191">
        <f t="shared" si="6"/>
        <v>1326</v>
      </c>
      <c r="B71" s="1350" t="s">
        <v>846</v>
      </c>
      <c r="C71" s="1351"/>
      <c r="D71" s="1345"/>
      <c r="E71" s="1346"/>
      <c r="F71" s="1345"/>
      <c r="G71" s="1346"/>
      <c r="H71" s="1345"/>
      <c r="I71" s="1346"/>
      <c r="J71" s="1345"/>
      <c r="K71" s="1346"/>
    </row>
    <row r="72" spans="1:11" x14ac:dyDescent="0.2">
      <c r="A72" s="191">
        <f>A71+1</f>
        <v>1327</v>
      </c>
      <c r="B72" s="1355" t="s">
        <v>749</v>
      </c>
      <c r="C72" s="1356"/>
      <c r="D72" s="1353">
        <f>SUM(D46:E71)</f>
        <v>0</v>
      </c>
      <c r="E72" s="1357"/>
      <c r="F72" s="1353">
        <f>SUM(F46:G71)</f>
        <v>0</v>
      </c>
      <c r="G72" s="1354"/>
      <c r="H72" s="1353">
        <f>SUM(H46:I71)</f>
        <v>0</v>
      </c>
      <c r="I72" s="1354"/>
      <c r="J72" s="1353">
        <f>SUM(J46:K71)</f>
        <v>0</v>
      </c>
      <c r="K72" s="1354"/>
    </row>
    <row r="73" spans="1:11" x14ac:dyDescent="0.2">
      <c r="A73" s="195"/>
      <c r="B73" s="106"/>
      <c r="C73" s="167"/>
      <c r="D73" s="193"/>
      <c r="E73" s="193"/>
      <c r="F73" s="194"/>
      <c r="G73" s="194"/>
      <c r="H73" s="194"/>
      <c r="I73" s="194"/>
      <c r="J73" s="192"/>
      <c r="K73" s="192"/>
    </row>
    <row r="74" spans="1:11" ht="9" customHeight="1" x14ac:dyDescent="0.2">
      <c r="B74" s="43"/>
      <c r="C74" s="43"/>
      <c r="D74" s="187"/>
      <c r="E74" s="187"/>
      <c r="F74" s="187"/>
      <c r="G74" s="187"/>
      <c r="H74" s="187"/>
      <c r="I74" s="187"/>
    </row>
    <row r="75" spans="1:11" ht="12.75" customHeight="1" x14ac:dyDescent="0.2">
      <c r="A75" s="26"/>
      <c r="C75" s="26"/>
      <c r="D75" s="26"/>
      <c r="E75" s="26"/>
      <c r="G75" s="26"/>
      <c r="H75" s="26"/>
    </row>
    <row r="76" spans="1:11" x14ac:dyDescent="0.2">
      <c r="A76" s="26"/>
      <c r="C76" s="26"/>
      <c r="D76" s="26"/>
      <c r="E76" s="26"/>
      <c r="G76" s="26"/>
      <c r="H76" s="26"/>
    </row>
    <row r="77" spans="1:11" x14ac:dyDescent="0.2">
      <c r="A77" s="26"/>
      <c r="C77" s="26"/>
      <c r="D77" s="26"/>
      <c r="E77" s="26"/>
      <c r="G77" s="26"/>
      <c r="H77" s="26"/>
    </row>
    <row r="78" spans="1:11" x14ac:dyDescent="0.2">
      <c r="A78" s="26"/>
      <c r="C78" s="26"/>
      <c r="D78" s="26"/>
      <c r="E78" s="26"/>
      <c r="G78" s="26"/>
      <c r="H78" s="26"/>
    </row>
    <row r="79" spans="1:11" x14ac:dyDescent="0.2">
      <c r="A79" s="26"/>
      <c r="C79" s="26"/>
      <c r="D79" s="26"/>
      <c r="E79" s="26"/>
      <c r="G79" s="26"/>
      <c r="H79" s="26"/>
    </row>
    <row r="80" spans="1:11" x14ac:dyDescent="0.2">
      <c r="A80" s="26"/>
      <c r="C80" s="26"/>
      <c r="D80" s="26"/>
      <c r="E80" s="26"/>
      <c r="G80" s="26"/>
      <c r="H80" s="26"/>
    </row>
    <row r="81" spans="1:8" x14ac:dyDescent="0.2">
      <c r="A81" s="26"/>
      <c r="C81" s="26"/>
      <c r="D81" s="26"/>
      <c r="E81" s="26"/>
      <c r="G81" s="26"/>
      <c r="H81" s="26"/>
    </row>
    <row r="82" spans="1:8" x14ac:dyDescent="0.2">
      <c r="A82" s="26"/>
      <c r="C82" s="26"/>
      <c r="D82" s="26"/>
      <c r="E82" s="26"/>
      <c r="G82" s="26"/>
      <c r="H82" s="26"/>
    </row>
    <row r="83" spans="1:8" x14ac:dyDescent="0.2">
      <c r="A83" s="26"/>
      <c r="C83" s="26"/>
      <c r="D83" s="26"/>
      <c r="E83" s="26"/>
      <c r="G83" s="26"/>
      <c r="H83" s="26"/>
    </row>
    <row r="84" spans="1:8" x14ac:dyDescent="0.2">
      <c r="A84" s="26"/>
      <c r="C84" s="26"/>
      <c r="D84" s="26"/>
      <c r="E84" s="26"/>
      <c r="G84" s="26"/>
      <c r="H84" s="26"/>
    </row>
    <row r="85" spans="1:8" x14ac:dyDescent="0.2">
      <c r="A85" s="26"/>
      <c r="C85" s="26"/>
      <c r="D85" s="26"/>
      <c r="E85" s="26"/>
      <c r="G85" s="26"/>
      <c r="H85" s="26"/>
    </row>
    <row r="86" spans="1:8" x14ac:dyDescent="0.2">
      <c r="A86" s="26"/>
      <c r="C86" s="26"/>
      <c r="D86" s="26"/>
      <c r="E86" s="26"/>
      <c r="G86" s="26"/>
      <c r="H86" s="26"/>
    </row>
  </sheetData>
  <sheetProtection password="CA39" sheet="1" objects="1" scenarios="1"/>
  <customSheetViews>
    <customSheetView guid="{52EB1485-ECFC-4D16-B893-125E4D85986E}" scale="86" showPageBreaks="1" showGridLines="0" printArea="1" showRuler="0" topLeftCell="A52">
      <selection activeCell="D33" sqref="D33:D35"/>
      <pageMargins left="0.39370078740157483" right="0.39370078740157483" top="0.19685039370078741" bottom="0.19685039370078741" header="3.937007874015748E-2" footer="0.11811023622047245"/>
      <pageSetup paperSize="9" orientation="landscape" horizontalDpi="1200" verticalDpi="1200" r:id="rId1"/>
      <headerFooter alignWithMargins="0"/>
    </customSheetView>
  </customSheetViews>
  <mergeCells count="149">
    <mergeCell ref="H71:I71"/>
    <mergeCell ref="J71:K71"/>
    <mergeCell ref="B70:C70"/>
    <mergeCell ref="B71:C71"/>
    <mergeCell ref="B72:C72"/>
    <mergeCell ref="D72:E72"/>
    <mergeCell ref="D70:E70"/>
    <mergeCell ref="F70:G70"/>
    <mergeCell ref="H70:I70"/>
    <mergeCell ref="J70:K70"/>
    <mergeCell ref="A3:D3"/>
    <mergeCell ref="F72:G72"/>
    <mergeCell ref="H72:I72"/>
    <mergeCell ref="J72:K72"/>
    <mergeCell ref="D71:E71"/>
    <mergeCell ref="B64:C64"/>
    <mergeCell ref="B65:C65"/>
    <mergeCell ref="B66:C66"/>
    <mergeCell ref="B67:C67"/>
    <mergeCell ref="B68:C68"/>
    <mergeCell ref="B69:C69"/>
    <mergeCell ref="B58:C58"/>
    <mergeCell ref="B59:C59"/>
    <mergeCell ref="B60:C60"/>
    <mergeCell ref="B61:C61"/>
    <mergeCell ref="B62:C62"/>
    <mergeCell ref="B63:C63"/>
    <mergeCell ref="B52:C52"/>
    <mergeCell ref="B53:C53"/>
    <mergeCell ref="B54:C54"/>
    <mergeCell ref="B55:C55"/>
    <mergeCell ref="B56:C56"/>
    <mergeCell ref="B57:C57"/>
    <mergeCell ref="F71:G71"/>
    <mergeCell ref="B50:C50"/>
    <mergeCell ref="B51:C51"/>
    <mergeCell ref="D44:E44"/>
    <mergeCell ref="F44:G44"/>
    <mergeCell ref="H43:K43"/>
    <mergeCell ref="H44:I44"/>
    <mergeCell ref="J44:K44"/>
    <mergeCell ref="D43:G43"/>
    <mergeCell ref="D50:E50"/>
    <mergeCell ref="F50:G50"/>
    <mergeCell ref="H50:I50"/>
    <mergeCell ref="J50:K50"/>
    <mergeCell ref="D51:E51"/>
    <mergeCell ref="F51:G51"/>
    <mergeCell ref="H51:I51"/>
    <mergeCell ref="J51:K51"/>
    <mergeCell ref="D48:E48"/>
    <mergeCell ref="F48:G48"/>
    <mergeCell ref="H48:I48"/>
    <mergeCell ref="J48:K48"/>
    <mergeCell ref="D69:E69"/>
    <mergeCell ref="F69:G69"/>
    <mergeCell ref="H69:I69"/>
    <mergeCell ref="J69:K69"/>
    <mergeCell ref="F68:G68"/>
    <mergeCell ref="H68:I68"/>
    <mergeCell ref="J68:K68"/>
    <mergeCell ref="D67:E67"/>
    <mergeCell ref="F67:G67"/>
    <mergeCell ref="H67:I67"/>
    <mergeCell ref="J67:K67"/>
    <mergeCell ref="D68:E68"/>
    <mergeCell ref="F66:G66"/>
    <mergeCell ref="H66:I66"/>
    <mergeCell ref="J66:K66"/>
    <mergeCell ref="D65:E65"/>
    <mergeCell ref="F65:G65"/>
    <mergeCell ref="H65:I65"/>
    <mergeCell ref="J65:K65"/>
    <mergeCell ref="D66:E66"/>
    <mergeCell ref="J61:K61"/>
    <mergeCell ref="D62:E62"/>
    <mergeCell ref="F64:G64"/>
    <mergeCell ref="H64:I64"/>
    <mergeCell ref="J64:K64"/>
    <mergeCell ref="D63:E63"/>
    <mergeCell ref="F63:G63"/>
    <mergeCell ref="H63:I63"/>
    <mergeCell ref="J63:K63"/>
    <mergeCell ref="D64:E64"/>
    <mergeCell ref="D60:E60"/>
    <mergeCell ref="F60:G60"/>
    <mergeCell ref="H60:I60"/>
    <mergeCell ref="J60:K60"/>
    <mergeCell ref="F62:G62"/>
    <mergeCell ref="H62:I62"/>
    <mergeCell ref="J62:K62"/>
    <mergeCell ref="D61:E61"/>
    <mergeCell ref="F61:G61"/>
    <mergeCell ref="H61:I61"/>
    <mergeCell ref="D58:E58"/>
    <mergeCell ref="F58:G58"/>
    <mergeCell ref="H58:I58"/>
    <mergeCell ref="J58:K58"/>
    <mergeCell ref="D59:E59"/>
    <mergeCell ref="F59:G59"/>
    <mergeCell ref="H59:I59"/>
    <mergeCell ref="J59:K59"/>
    <mergeCell ref="D56:E56"/>
    <mergeCell ref="F56:G56"/>
    <mergeCell ref="H56:I56"/>
    <mergeCell ref="J56:K56"/>
    <mergeCell ref="D57:E57"/>
    <mergeCell ref="F57:G57"/>
    <mergeCell ref="H57:I57"/>
    <mergeCell ref="J57:K57"/>
    <mergeCell ref="D54:E54"/>
    <mergeCell ref="F54:G54"/>
    <mergeCell ref="H54:I54"/>
    <mergeCell ref="J54:K54"/>
    <mergeCell ref="D55:E55"/>
    <mergeCell ref="F55:G55"/>
    <mergeCell ref="H55:I55"/>
    <mergeCell ref="J55:K55"/>
    <mergeCell ref="D52:E52"/>
    <mergeCell ref="F52:G52"/>
    <mergeCell ref="H52:I52"/>
    <mergeCell ref="J52:K52"/>
    <mergeCell ref="D53:E53"/>
    <mergeCell ref="F53:G53"/>
    <mergeCell ref="H53:I53"/>
    <mergeCell ref="J53:K53"/>
    <mergeCell ref="D7:G7"/>
    <mergeCell ref="H8:I8"/>
    <mergeCell ref="J8:K8"/>
    <mergeCell ref="H7:K7"/>
    <mergeCell ref="D8:E8"/>
    <mergeCell ref="F8:G8"/>
    <mergeCell ref="D49:E49"/>
    <mergeCell ref="F49:G49"/>
    <mergeCell ref="H49:I49"/>
    <mergeCell ref="J49:K49"/>
    <mergeCell ref="D46:E46"/>
    <mergeCell ref="F46:G46"/>
    <mergeCell ref="H46:I46"/>
    <mergeCell ref="J46:K46"/>
    <mergeCell ref="D47:E47"/>
    <mergeCell ref="F47:G47"/>
    <mergeCell ref="H47:I47"/>
    <mergeCell ref="J47:K47"/>
    <mergeCell ref="A38:K38"/>
    <mergeCell ref="B46:C46"/>
    <mergeCell ref="B47:C47"/>
    <mergeCell ref="B48:C48"/>
    <mergeCell ref="B49:C49"/>
  </mergeCells>
  <phoneticPr fontId="12" type="noConversion"/>
  <conditionalFormatting sqref="A43:B43 A46:C46 A73 D39:K39 C10:K10 A5:B10 C5:K6 A11:A38 B11:C37">
    <cfRule type="expression" dxfId="50" priority="1" stopIfTrue="1">
      <formula>#REF!="nee"</formula>
    </cfRule>
  </conditionalFormatting>
  <conditionalFormatting sqref="D43:K44 C7:K9">
    <cfRule type="expression" dxfId="49" priority="2" stopIfTrue="1">
      <formula>#REF!="nee"</formula>
    </cfRule>
  </conditionalFormatting>
  <conditionalFormatting sqref="E46 F46:G71 J46:K71 H46:I46 H34:I36 D11:E36 H11:I32 D46:D71 H47:H71">
    <cfRule type="expression" dxfId="48" priority="3" stopIfTrue="1">
      <formula>$G$2=TRUE</formula>
    </cfRule>
  </conditionalFormatting>
  <conditionalFormatting sqref="A3">
    <cfRule type="cellIs" dxfId="47" priority="4" stopIfTrue="1" operator="equal">
      <formula>"Vul het Nza-nummer in op het voorblad"</formula>
    </cfRule>
  </conditionalFormatting>
  <pageMargins left="0.39370078740157483" right="0.39370078740157483" top="0.39370078740157483" bottom="0.39370078740157483" header="0.51181102362204722" footer="0.51181102362204722"/>
  <pageSetup paperSize="9" scale="95" orientation="landscape" cellComments="asDisplayed" horizontalDpi="1200" verticalDpi="1200" r:id="rId2"/>
  <headerFooter alignWithMargins="0"/>
  <rowBreaks count="1" manualBreakCount="1">
    <brk id="39" max="10" man="1"/>
  </rowBreaks>
  <drawing r:id="rId3"/>
  <legacyDrawing r:id="rId4"/>
  <oleObjects>
    <mc:AlternateContent xmlns:mc="http://schemas.openxmlformats.org/markup-compatibility/2006">
      <mc:Choice Requires="x14">
        <oleObject progId="MSPhotoEd.3" shapeId="72717" r:id="rId5">
          <objectPr defaultSize="0" autoPict="0" r:id="rId6">
            <anchor moveWithCells="1" sizeWithCells="1">
              <from>
                <xdr:col>8</xdr:col>
                <xdr:colOff>409575</xdr:colOff>
                <xdr:row>38</xdr:row>
                <xdr:rowOff>0</xdr:rowOff>
              </from>
              <to>
                <xdr:col>9</xdr:col>
                <xdr:colOff>381000</xdr:colOff>
                <xdr:row>38</xdr:row>
                <xdr:rowOff>0</xdr:rowOff>
              </to>
            </anchor>
          </objectPr>
        </oleObject>
      </mc:Choice>
      <mc:Fallback>
        <oleObject progId="MSPhotoEd.3" shapeId="72717" r:id="rId5"/>
      </mc:Fallback>
    </mc:AlternateContent>
    <mc:AlternateContent xmlns:mc="http://schemas.openxmlformats.org/markup-compatibility/2006">
      <mc:Choice Requires="x14">
        <oleObject progId="MSPhotoEd.3" shapeId="72720" r:id="rId7">
          <objectPr defaultSize="0" autoPict="0" r:id="rId6">
            <anchor moveWithCells="1" sizeWithCells="1">
              <from>
                <xdr:col>0</xdr:col>
                <xdr:colOff>0</xdr:colOff>
                <xdr:row>74</xdr:row>
                <xdr:rowOff>0</xdr:rowOff>
              </from>
              <to>
                <xdr:col>0</xdr:col>
                <xdr:colOff>0</xdr:colOff>
                <xdr:row>74</xdr:row>
                <xdr:rowOff>0</xdr:rowOff>
              </to>
            </anchor>
          </objectPr>
        </oleObject>
      </mc:Choice>
      <mc:Fallback>
        <oleObject progId="MSPhotoEd.3" shapeId="72720" r:id="rId7"/>
      </mc:Fallback>
    </mc:AlternateContent>
    <mc:AlternateContent xmlns:mc="http://schemas.openxmlformats.org/markup-compatibility/2006">
      <mc:Choice Requires="x14">
        <oleObject progId="MSPhotoEd.3" shapeId="72721" r:id="rId8">
          <objectPr defaultSize="0" autoPict="0" r:id="rId6">
            <anchor moveWithCells="1" sizeWithCells="1">
              <from>
                <xdr:col>8</xdr:col>
                <xdr:colOff>66675</xdr:colOff>
                <xdr:row>1</xdr:row>
                <xdr:rowOff>57150</xdr:rowOff>
              </from>
              <to>
                <xdr:col>10</xdr:col>
                <xdr:colOff>171450</xdr:colOff>
                <xdr:row>2</xdr:row>
                <xdr:rowOff>0</xdr:rowOff>
              </to>
            </anchor>
          </objectPr>
        </oleObject>
      </mc:Choice>
      <mc:Fallback>
        <oleObject progId="MSPhotoEd.3" shapeId="72721" r:id="rId8"/>
      </mc:Fallback>
    </mc:AlternateContent>
    <mc:AlternateContent xmlns:mc="http://schemas.openxmlformats.org/markup-compatibility/2006">
      <mc:Choice Requires="x14">
        <oleObject progId="MSPhotoEd.3" shapeId="72722" r:id="rId9">
          <objectPr defaultSize="0" autoPict="0" r:id="rId6">
            <anchor moveWithCells="1" sizeWithCells="1">
              <from>
                <xdr:col>7</xdr:col>
                <xdr:colOff>704850</xdr:colOff>
                <xdr:row>40</xdr:row>
                <xdr:rowOff>0</xdr:rowOff>
              </from>
              <to>
                <xdr:col>10</xdr:col>
                <xdr:colOff>95250</xdr:colOff>
                <xdr:row>40</xdr:row>
                <xdr:rowOff>142875</xdr:rowOff>
              </to>
            </anchor>
          </objectPr>
        </oleObject>
      </mc:Choice>
      <mc:Fallback>
        <oleObject progId="MSPhotoEd.3" shapeId="72722" r:id="rId9"/>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pageSetUpPr fitToPage="1"/>
  </sheetPr>
  <dimension ref="A1:P74"/>
  <sheetViews>
    <sheetView showGridLines="0" showZeros="0" showOutlineSymbols="0" zoomScaleNormal="100" zoomScaleSheetLayoutView="100" workbookViewId="0">
      <selection activeCell="F31" sqref="F31"/>
    </sheetView>
  </sheetViews>
  <sheetFormatPr defaultRowHeight="12.75" x14ac:dyDescent="0.2"/>
  <cols>
    <col min="1" max="1" width="6.140625" style="135" customWidth="1"/>
    <col min="2" max="2" width="36.7109375" style="135" customWidth="1"/>
    <col min="3" max="3" width="23.7109375" style="135" bestFit="1" customWidth="1"/>
    <col min="4" max="4" width="17.85546875" style="135" bestFit="1" customWidth="1"/>
    <col min="5" max="6" width="19.7109375" style="135" customWidth="1"/>
    <col min="7" max="7" width="17.28515625" style="135" customWidth="1"/>
    <col min="8" max="8" width="14.28515625" style="135" customWidth="1"/>
    <col min="9" max="12" width="9.140625" style="135"/>
    <col min="13" max="13" width="10.140625" style="135" bestFit="1" customWidth="1"/>
    <col min="14" max="16384" width="9.140625" style="135"/>
  </cols>
  <sheetData>
    <row r="1" spans="1:16" s="134" customFormat="1" ht="12" customHeight="1" x14ac:dyDescent="0.2">
      <c r="A1" s="541"/>
      <c r="B1" s="542" t="b">
        <v>1</v>
      </c>
      <c r="C1" s="772"/>
      <c r="D1" s="31"/>
      <c r="E1" s="181"/>
      <c r="F1" s="31"/>
      <c r="G1" s="55"/>
      <c r="H1" s="55"/>
      <c r="I1" s="55"/>
      <c r="J1" s="55"/>
      <c r="K1" s="28"/>
      <c r="L1" s="28"/>
      <c r="M1" s="28"/>
      <c r="N1" s="28"/>
      <c r="O1" s="28"/>
      <c r="P1" s="28"/>
    </row>
    <row r="2" spans="1:16" s="134" customFormat="1" ht="15.75" customHeight="1" x14ac:dyDescent="0.2">
      <c r="A2" s="66" t="str">
        <f>inhoud!A2</f>
        <v>Vaststelling Transitiebedrag 2012</v>
      </c>
      <c r="B2" s="28"/>
      <c r="E2" s="69">
        <v>0</v>
      </c>
      <c r="H2" s="42">
        <f>'1.5 opnamen, epb, extra opl.'!K41+1</f>
        <v>14</v>
      </c>
      <c r="I2" s="28"/>
      <c r="J2" s="28"/>
      <c r="K2" s="28"/>
      <c r="L2" s="28"/>
      <c r="M2" s="28"/>
      <c r="N2" s="28"/>
      <c r="O2" s="28"/>
      <c r="P2" s="28"/>
    </row>
    <row r="3" spans="1:16" ht="12" customHeight="1" x14ac:dyDescent="0.2">
      <c r="A3" s="1317" t="str">
        <f>IF(Voorblad!$F$10&lt;1,"Vul het NZa-nummer in op het voorblad","")</f>
        <v>Vul het NZa-nummer in op het voorblad</v>
      </c>
      <c r="B3" s="1361"/>
      <c r="C3" s="55"/>
      <c r="D3" s="28"/>
      <c r="E3" s="675" t="str">
        <f>"1-1-"&amp;Voorblad!K4+1</f>
        <v>1-1-2013</v>
      </c>
      <c r="F3" s="40"/>
      <c r="G3" s="69"/>
      <c r="H3" s="40"/>
      <c r="I3" s="26"/>
      <c r="J3" s="26"/>
      <c r="K3" s="26"/>
      <c r="L3" s="26"/>
      <c r="M3" s="26"/>
      <c r="N3" s="26"/>
      <c r="O3" s="26"/>
      <c r="P3" s="26"/>
    </row>
    <row r="4" spans="1:16" ht="12" customHeight="1" x14ac:dyDescent="0.2">
      <c r="A4" s="542"/>
      <c r="B4" s="28"/>
      <c r="C4" s="55"/>
      <c r="D4" s="28"/>
      <c r="E4" s="675"/>
      <c r="F4" s="40"/>
      <c r="G4" s="69"/>
      <c r="H4" s="40"/>
      <c r="I4" s="26"/>
      <c r="J4" s="26"/>
      <c r="K4" s="26"/>
      <c r="L4" s="26"/>
      <c r="M4" s="26"/>
      <c r="N4" s="26"/>
      <c r="O4" s="26"/>
      <c r="P4" s="26"/>
    </row>
    <row r="5" spans="1:16" ht="33.75" x14ac:dyDescent="0.2">
      <c r="A5" s="59" t="s">
        <v>780</v>
      </c>
      <c r="B5" s="59" t="str">
        <f>CONCATENATE("Mutaties specialisteneenheden ",Voorblad!K4,"*")</f>
        <v>Mutaties specialisteneenheden 2012*</v>
      </c>
      <c r="C5" s="543" t="str">
        <f>CONCATENATE("Definitief 
overeengekomen ",Voorblad!K4,"
(ongewogen)")</f>
        <v>Definitief 
overeengekomen 2012
(ongewogen)</v>
      </c>
      <c r="D5" s="543" t="str">
        <f>CONCATENATE("Rekenstaat ",Voorblad!K4,"
(ongewogen)")</f>
        <v>Rekenstaat 2012
(ongewogen)</v>
      </c>
      <c r="E5" s="543" t="s">
        <v>288</v>
      </c>
      <c r="F5" s="543" t="s">
        <v>941</v>
      </c>
      <c r="G5" s="672" t="s">
        <v>942</v>
      </c>
      <c r="H5" s="672" t="s">
        <v>943</v>
      </c>
      <c r="I5" s="40"/>
      <c r="J5" s="815">
        <v>190079</v>
      </c>
      <c r="K5" s="816">
        <f>J5*beleidsregelwaarden!B9</f>
        <v>195686.33050000001</v>
      </c>
      <c r="L5" s="26"/>
      <c r="M5" s="26"/>
      <c r="N5" s="26"/>
      <c r="O5" s="26"/>
      <c r="P5" s="26"/>
    </row>
    <row r="6" spans="1:16" ht="12" customHeight="1" x14ac:dyDescent="0.2">
      <c r="A6" s="26"/>
      <c r="B6" s="26"/>
      <c r="C6" s="544"/>
      <c r="D6" s="544"/>
      <c r="E6" s="544"/>
      <c r="F6" s="544"/>
      <c r="G6" s="544"/>
      <c r="H6" s="544"/>
      <c r="I6" s="26"/>
      <c r="J6" s="26"/>
      <c r="K6" s="26"/>
      <c r="L6" s="26"/>
      <c r="M6" s="26"/>
      <c r="N6" s="26"/>
    </row>
    <row r="7" spans="1:16" ht="12" customHeight="1" x14ac:dyDescent="0.2">
      <c r="A7" s="545">
        <f>H2*100+1</f>
        <v>1401</v>
      </c>
      <c r="B7" s="109" t="s">
        <v>631</v>
      </c>
      <c r="C7" s="546"/>
      <c r="D7" s="546"/>
      <c r="E7" s="547">
        <f>C7-D7</f>
        <v>0</v>
      </c>
      <c r="F7" s="673"/>
      <c r="G7" s="674"/>
      <c r="H7" s="711">
        <f>IF(AND(G7="ja",F7&gt;0),ROUND(E7*($K$5/365*($E$3-F7)),0),0)</f>
        <v>0</v>
      </c>
      <c r="I7" s="817">
        <f>H7/beleidsregelwaarden!$B$9</f>
        <v>0</v>
      </c>
      <c r="J7" s="26"/>
      <c r="K7" s="26"/>
      <c r="L7" s="26"/>
      <c r="M7" s="764"/>
      <c r="N7" s="26"/>
    </row>
    <row r="8" spans="1:16" ht="12" customHeight="1" x14ac:dyDescent="0.2">
      <c r="A8" s="545">
        <f>A7+1</f>
        <v>1402</v>
      </c>
      <c r="B8" s="109" t="s">
        <v>632</v>
      </c>
      <c r="C8" s="546"/>
      <c r="D8" s="546"/>
      <c r="E8" s="547">
        <f t="shared" ref="E8:E35" si="0">C8-D8</f>
        <v>0</v>
      </c>
      <c r="F8" s="673"/>
      <c r="G8" s="674"/>
      <c r="H8" s="711">
        <f t="shared" ref="H8:H35" si="1">IF(AND(G8="ja",F8&gt;0),ROUND(E8*($K$5/365*($E$3-F8)),0),0)</f>
        <v>0</v>
      </c>
      <c r="I8" s="817">
        <f>H8/beleidsregelwaarden!$B$9</f>
        <v>0</v>
      </c>
      <c r="J8" s="26"/>
      <c r="K8" s="26"/>
      <c r="L8" s="26"/>
      <c r="M8" s="764"/>
      <c r="N8" s="26"/>
    </row>
    <row r="9" spans="1:16" ht="12" customHeight="1" x14ac:dyDescent="0.2">
      <c r="A9" s="545">
        <f t="shared" ref="A9:A36" si="2">A8+1</f>
        <v>1403</v>
      </c>
      <c r="B9" s="109" t="s">
        <v>633</v>
      </c>
      <c r="C9" s="546"/>
      <c r="D9" s="546"/>
      <c r="E9" s="547">
        <f t="shared" si="0"/>
        <v>0</v>
      </c>
      <c r="F9" s="673"/>
      <c r="G9" s="674"/>
      <c r="H9" s="711">
        <f t="shared" si="1"/>
        <v>0</v>
      </c>
      <c r="I9" s="817">
        <f>H9/beleidsregelwaarden!$B$9</f>
        <v>0</v>
      </c>
      <c r="J9" s="26"/>
      <c r="K9" s="26"/>
      <c r="L9" s="26"/>
      <c r="M9" s="26"/>
      <c r="N9" s="26"/>
    </row>
    <row r="10" spans="1:16" ht="12" customHeight="1" x14ac:dyDescent="0.2">
      <c r="A10" s="545">
        <f t="shared" si="2"/>
        <v>1404</v>
      </c>
      <c r="B10" s="109" t="s">
        <v>634</v>
      </c>
      <c r="C10" s="546"/>
      <c r="D10" s="546"/>
      <c r="E10" s="547">
        <f t="shared" si="0"/>
        <v>0</v>
      </c>
      <c r="F10" s="673"/>
      <c r="G10" s="674"/>
      <c r="H10" s="711">
        <f t="shared" si="1"/>
        <v>0</v>
      </c>
      <c r="I10" s="817">
        <f>H10/beleidsregelwaarden!$B$9</f>
        <v>0</v>
      </c>
      <c r="J10" s="26"/>
      <c r="K10" s="26"/>
      <c r="L10" s="26"/>
      <c r="M10" s="26"/>
      <c r="N10" s="26"/>
    </row>
    <row r="11" spans="1:16" ht="12" customHeight="1" x14ac:dyDescent="0.2">
      <c r="A11" s="545">
        <f t="shared" si="2"/>
        <v>1405</v>
      </c>
      <c r="B11" s="109" t="s">
        <v>635</v>
      </c>
      <c r="C11" s="546"/>
      <c r="D11" s="546"/>
      <c r="E11" s="547">
        <f t="shared" si="0"/>
        <v>0</v>
      </c>
      <c r="F11" s="673"/>
      <c r="G11" s="674"/>
      <c r="H11" s="711">
        <f t="shared" si="1"/>
        <v>0</v>
      </c>
      <c r="I11" s="817">
        <f>H11/beleidsregelwaarden!$B$9</f>
        <v>0</v>
      </c>
      <c r="J11" s="26"/>
      <c r="K11" s="26"/>
      <c r="L11" s="26"/>
      <c r="M11" s="26"/>
      <c r="N11" s="26"/>
    </row>
    <row r="12" spans="1:16" ht="12" customHeight="1" x14ac:dyDescent="0.2">
      <c r="A12" s="545">
        <f t="shared" si="2"/>
        <v>1406</v>
      </c>
      <c r="B12" s="109" t="s">
        <v>533</v>
      </c>
      <c r="C12" s="546"/>
      <c r="D12" s="546"/>
      <c r="E12" s="547">
        <f t="shared" si="0"/>
        <v>0</v>
      </c>
      <c r="F12" s="673"/>
      <c r="G12" s="674"/>
      <c r="H12" s="711">
        <f>IF(AND(G12="ja",F12&gt;0),ROUND(E12*($K$5/365*($E$3-F12)),0),0)</f>
        <v>0</v>
      </c>
      <c r="I12" s="817">
        <f>H12/beleidsregelwaarden!$B$9</f>
        <v>0</v>
      </c>
      <c r="J12" s="26"/>
      <c r="K12" s="26"/>
      <c r="L12" s="26"/>
      <c r="M12" s="26"/>
      <c r="N12" s="26"/>
    </row>
    <row r="13" spans="1:16" ht="12" customHeight="1" x14ac:dyDescent="0.2">
      <c r="A13" s="545">
        <f t="shared" si="2"/>
        <v>1407</v>
      </c>
      <c r="B13" s="109" t="s">
        <v>637</v>
      </c>
      <c r="C13" s="546"/>
      <c r="D13" s="546"/>
      <c r="E13" s="547">
        <f t="shared" si="0"/>
        <v>0</v>
      </c>
      <c r="F13" s="673"/>
      <c r="G13" s="674"/>
      <c r="H13" s="711">
        <f>IF(AND(G13="ja",F13&gt;0),ROUND(E13*($K$5/365*($E$3-F13)),0),0)</f>
        <v>0</v>
      </c>
      <c r="I13" s="817">
        <f>H13/beleidsregelwaarden!$B$9</f>
        <v>0</v>
      </c>
      <c r="J13" s="26"/>
      <c r="K13" s="26"/>
      <c r="L13" s="26"/>
      <c r="M13" s="26"/>
      <c r="N13" s="26"/>
    </row>
    <row r="14" spans="1:16" ht="12" customHeight="1" x14ac:dyDescent="0.2">
      <c r="A14" s="545">
        <f t="shared" si="2"/>
        <v>1408</v>
      </c>
      <c r="B14" s="109" t="s">
        <v>638</v>
      </c>
      <c r="C14" s="546"/>
      <c r="D14" s="546"/>
      <c r="E14" s="547">
        <f t="shared" si="0"/>
        <v>0</v>
      </c>
      <c r="F14" s="673"/>
      <c r="G14" s="674"/>
      <c r="H14" s="711">
        <f t="shared" si="1"/>
        <v>0</v>
      </c>
      <c r="I14" s="817">
        <f>H14/beleidsregelwaarden!$B$9</f>
        <v>0</v>
      </c>
      <c r="J14" s="26"/>
      <c r="K14" s="26"/>
      <c r="L14" s="26"/>
      <c r="M14" s="26"/>
      <c r="N14" s="26"/>
    </row>
    <row r="15" spans="1:16" ht="12" customHeight="1" x14ac:dyDescent="0.2">
      <c r="A15" s="545">
        <f t="shared" si="2"/>
        <v>1409</v>
      </c>
      <c r="B15" s="109" t="s">
        <v>639</v>
      </c>
      <c r="C15" s="546"/>
      <c r="D15" s="546"/>
      <c r="E15" s="547">
        <f t="shared" si="0"/>
        <v>0</v>
      </c>
      <c r="F15" s="673"/>
      <c r="G15" s="674"/>
      <c r="H15" s="711">
        <f t="shared" si="1"/>
        <v>0</v>
      </c>
      <c r="I15" s="817">
        <f>H15/beleidsregelwaarden!$B$9</f>
        <v>0</v>
      </c>
      <c r="J15" s="26"/>
      <c r="K15" s="26"/>
      <c r="L15" s="26"/>
      <c r="M15" s="26"/>
      <c r="N15" s="26"/>
    </row>
    <row r="16" spans="1:16" ht="12" customHeight="1" x14ac:dyDescent="0.2">
      <c r="A16" s="545">
        <f t="shared" si="2"/>
        <v>1410</v>
      </c>
      <c r="B16" s="109" t="s">
        <v>640</v>
      </c>
      <c r="C16" s="546"/>
      <c r="D16" s="546"/>
      <c r="E16" s="547">
        <f t="shared" si="0"/>
        <v>0</v>
      </c>
      <c r="F16" s="673"/>
      <c r="G16" s="674"/>
      <c r="H16" s="711">
        <f t="shared" si="1"/>
        <v>0</v>
      </c>
      <c r="I16" s="817">
        <f>H16/beleidsregelwaarden!$B$9</f>
        <v>0</v>
      </c>
      <c r="J16" s="26"/>
      <c r="K16" s="26"/>
      <c r="L16" s="26"/>
      <c r="M16" s="26"/>
      <c r="N16" s="26"/>
    </row>
    <row r="17" spans="1:14" ht="12" customHeight="1" x14ac:dyDescent="0.2">
      <c r="A17" s="545">
        <f t="shared" si="2"/>
        <v>1411</v>
      </c>
      <c r="B17" s="109" t="s">
        <v>641</v>
      </c>
      <c r="C17" s="546"/>
      <c r="D17" s="546"/>
      <c r="E17" s="547">
        <f t="shared" si="0"/>
        <v>0</v>
      </c>
      <c r="F17" s="673"/>
      <c r="G17" s="674"/>
      <c r="H17" s="711">
        <f t="shared" si="1"/>
        <v>0</v>
      </c>
      <c r="I17" s="817">
        <f>H17/beleidsregelwaarden!$B$9</f>
        <v>0</v>
      </c>
      <c r="J17" s="26"/>
      <c r="K17" s="26"/>
      <c r="L17" s="26"/>
      <c r="M17" s="26"/>
      <c r="N17" s="26"/>
    </row>
    <row r="18" spans="1:14" ht="12" customHeight="1" x14ac:dyDescent="0.2">
      <c r="A18" s="545">
        <f t="shared" si="2"/>
        <v>1412</v>
      </c>
      <c r="B18" s="109" t="s">
        <v>642</v>
      </c>
      <c r="C18" s="546"/>
      <c r="D18" s="546"/>
      <c r="E18" s="547">
        <f t="shared" si="0"/>
        <v>0</v>
      </c>
      <c r="F18" s="673"/>
      <c r="G18" s="674"/>
      <c r="H18" s="711">
        <f t="shared" si="1"/>
        <v>0</v>
      </c>
      <c r="I18" s="817">
        <f>H18/beleidsregelwaarden!$B$9</f>
        <v>0</v>
      </c>
      <c r="J18" s="26"/>
      <c r="K18" s="26"/>
      <c r="L18" s="26"/>
      <c r="M18" s="26"/>
      <c r="N18" s="26"/>
    </row>
    <row r="19" spans="1:14" ht="12" customHeight="1" x14ac:dyDescent="0.2">
      <c r="A19" s="545">
        <f t="shared" si="2"/>
        <v>1413</v>
      </c>
      <c r="B19" s="109" t="s">
        <v>643</v>
      </c>
      <c r="C19" s="546"/>
      <c r="D19" s="546"/>
      <c r="E19" s="547">
        <f t="shared" si="0"/>
        <v>0</v>
      </c>
      <c r="F19" s="673"/>
      <c r="G19" s="674"/>
      <c r="H19" s="711">
        <f t="shared" si="1"/>
        <v>0</v>
      </c>
      <c r="I19" s="817">
        <f>H19/beleidsregelwaarden!$B$9</f>
        <v>0</v>
      </c>
      <c r="J19" s="26"/>
      <c r="K19" s="26"/>
      <c r="L19" s="26"/>
      <c r="M19" s="26"/>
      <c r="N19" s="26"/>
    </row>
    <row r="20" spans="1:14" ht="12" customHeight="1" x14ac:dyDescent="0.2">
      <c r="A20" s="545">
        <f t="shared" si="2"/>
        <v>1414</v>
      </c>
      <c r="B20" s="109" t="s">
        <v>534</v>
      </c>
      <c r="C20" s="546"/>
      <c r="D20" s="546"/>
      <c r="E20" s="547">
        <f t="shared" si="0"/>
        <v>0</v>
      </c>
      <c r="F20" s="673"/>
      <c r="G20" s="674"/>
      <c r="H20" s="711">
        <f t="shared" si="1"/>
        <v>0</v>
      </c>
      <c r="I20" s="817">
        <f>H20/beleidsregelwaarden!$B$9</f>
        <v>0</v>
      </c>
      <c r="J20" s="26"/>
      <c r="K20" s="26"/>
      <c r="L20" s="26"/>
      <c r="M20" s="26"/>
      <c r="N20" s="26"/>
    </row>
    <row r="21" spans="1:14" ht="12" customHeight="1" x14ac:dyDescent="0.2">
      <c r="A21" s="545">
        <f t="shared" si="2"/>
        <v>1415</v>
      </c>
      <c r="B21" s="109" t="s">
        <v>645</v>
      </c>
      <c r="C21" s="546"/>
      <c r="D21" s="546"/>
      <c r="E21" s="547">
        <f t="shared" si="0"/>
        <v>0</v>
      </c>
      <c r="F21" s="673"/>
      <c r="G21" s="674"/>
      <c r="H21" s="711">
        <f t="shared" si="1"/>
        <v>0</v>
      </c>
      <c r="I21" s="817">
        <f>H21/beleidsregelwaarden!$B$9</f>
        <v>0</v>
      </c>
      <c r="J21" s="26"/>
      <c r="K21" s="26"/>
      <c r="L21" s="26"/>
      <c r="M21" s="26"/>
      <c r="N21" s="26"/>
    </row>
    <row r="22" spans="1:14" ht="12" customHeight="1" x14ac:dyDescent="0.2">
      <c r="A22" s="545">
        <f t="shared" si="2"/>
        <v>1416</v>
      </c>
      <c r="B22" s="109" t="s">
        <v>646</v>
      </c>
      <c r="C22" s="546"/>
      <c r="D22" s="546"/>
      <c r="E22" s="547">
        <f t="shared" si="0"/>
        <v>0</v>
      </c>
      <c r="F22" s="673"/>
      <c r="G22" s="674"/>
      <c r="H22" s="711">
        <f t="shared" si="1"/>
        <v>0</v>
      </c>
      <c r="I22" s="817">
        <f>H22/beleidsregelwaarden!$B$9</f>
        <v>0</v>
      </c>
      <c r="J22" s="26"/>
      <c r="K22" s="26"/>
      <c r="L22" s="26"/>
      <c r="M22" s="26"/>
      <c r="N22" s="26"/>
    </row>
    <row r="23" spans="1:14" ht="12" customHeight="1" x14ac:dyDescent="0.2">
      <c r="A23" s="545">
        <f t="shared" si="2"/>
        <v>1417</v>
      </c>
      <c r="B23" s="109" t="s">
        <v>938</v>
      </c>
      <c r="C23" s="546"/>
      <c r="D23" s="546"/>
      <c r="E23" s="547">
        <f t="shared" si="0"/>
        <v>0</v>
      </c>
      <c r="F23" s="673"/>
      <c r="G23" s="674"/>
      <c r="H23" s="711">
        <f t="shared" si="1"/>
        <v>0</v>
      </c>
      <c r="I23" s="817">
        <f>H23/beleidsregelwaarden!$B$9</f>
        <v>0</v>
      </c>
      <c r="J23" s="26"/>
      <c r="K23" s="26"/>
      <c r="L23" s="26"/>
      <c r="M23" s="26"/>
      <c r="N23" s="26"/>
    </row>
    <row r="24" spans="1:14" ht="12" customHeight="1" x14ac:dyDescent="0.2">
      <c r="A24" s="545">
        <f t="shared" si="2"/>
        <v>1418</v>
      </c>
      <c r="B24" s="109" t="s">
        <v>647</v>
      </c>
      <c r="C24" s="546"/>
      <c r="D24" s="546"/>
      <c r="E24" s="547">
        <f t="shared" si="0"/>
        <v>0</v>
      </c>
      <c r="F24" s="673"/>
      <c r="G24" s="674"/>
      <c r="H24" s="711">
        <f t="shared" si="1"/>
        <v>0</v>
      </c>
      <c r="I24" s="817">
        <f>H24/beleidsregelwaarden!$B$9</f>
        <v>0</v>
      </c>
      <c r="J24" s="26"/>
      <c r="K24" s="26"/>
      <c r="L24" s="26"/>
      <c r="M24" s="26"/>
      <c r="N24" s="26"/>
    </row>
    <row r="25" spans="1:14" ht="12" customHeight="1" x14ac:dyDescent="0.2">
      <c r="A25" s="545">
        <f t="shared" si="2"/>
        <v>1419</v>
      </c>
      <c r="B25" s="109" t="s">
        <v>648</v>
      </c>
      <c r="C25" s="546"/>
      <c r="D25" s="546"/>
      <c r="E25" s="547">
        <f t="shared" si="0"/>
        <v>0</v>
      </c>
      <c r="F25" s="673"/>
      <c r="G25" s="674"/>
      <c r="H25" s="711">
        <f t="shared" si="1"/>
        <v>0</v>
      </c>
      <c r="I25" s="817">
        <f>H25/beleidsregelwaarden!$B$9</f>
        <v>0</v>
      </c>
      <c r="J25" s="26"/>
      <c r="K25" s="26"/>
      <c r="L25" s="26"/>
      <c r="M25" s="26"/>
      <c r="N25" s="26"/>
    </row>
    <row r="26" spans="1:14" ht="12" customHeight="1" x14ac:dyDescent="0.2">
      <c r="A26" s="545">
        <f t="shared" si="2"/>
        <v>1420</v>
      </c>
      <c r="B26" s="109" t="s">
        <v>535</v>
      </c>
      <c r="C26" s="546"/>
      <c r="D26" s="546"/>
      <c r="E26" s="547">
        <f t="shared" si="0"/>
        <v>0</v>
      </c>
      <c r="F26" s="673"/>
      <c r="G26" s="674"/>
      <c r="H26" s="711">
        <f t="shared" si="1"/>
        <v>0</v>
      </c>
      <c r="I26" s="817">
        <f>H26/beleidsregelwaarden!$B$9</f>
        <v>0</v>
      </c>
      <c r="J26" s="26"/>
      <c r="K26" s="26"/>
      <c r="L26" s="26"/>
      <c r="M26" s="26"/>
      <c r="N26" s="26"/>
    </row>
    <row r="27" spans="1:14" ht="12" customHeight="1" x14ac:dyDescent="0.2">
      <c r="A27" s="545">
        <f t="shared" si="2"/>
        <v>1421</v>
      </c>
      <c r="B27" s="109" t="s">
        <v>651</v>
      </c>
      <c r="C27" s="546"/>
      <c r="D27" s="546"/>
      <c r="E27" s="547">
        <f t="shared" si="0"/>
        <v>0</v>
      </c>
      <c r="F27" s="673"/>
      <c r="G27" s="674"/>
      <c r="H27" s="711">
        <f t="shared" si="1"/>
        <v>0</v>
      </c>
      <c r="I27" s="817">
        <f>H27/beleidsregelwaarden!$B$9</f>
        <v>0</v>
      </c>
      <c r="J27" s="26"/>
      <c r="K27" s="26"/>
      <c r="L27" s="26"/>
      <c r="M27" s="26"/>
      <c r="N27" s="26"/>
    </row>
    <row r="28" spans="1:14" ht="12" customHeight="1" x14ac:dyDescent="0.2">
      <c r="A28" s="545">
        <f t="shared" si="2"/>
        <v>1422</v>
      </c>
      <c r="B28" s="109" t="s">
        <v>600</v>
      </c>
      <c r="C28" s="546"/>
      <c r="D28" s="546"/>
      <c r="E28" s="547">
        <f t="shared" si="0"/>
        <v>0</v>
      </c>
      <c r="F28" s="673"/>
      <c r="G28" s="674"/>
      <c r="H28" s="711">
        <f t="shared" si="1"/>
        <v>0</v>
      </c>
      <c r="I28" s="817">
        <f>H28/beleidsregelwaarden!$B$9</f>
        <v>0</v>
      </c>
      <c r="J28" s="26"/>
      <c r="K28" s="26"/>
      <c r="L28" s="26"/>
      <c r="M28" s="26"/>
      <c r="N28" s="26"/>
    </row>
    <row r="29" spans="1:14" ht="12" customHeight="1" x14ac:dyDescent="0.2">
      <c r="A29" s="545">
        <f t="shared" si="2"/>
        <v>1423</v>
      </c>
      <c r="B29" s="109" t="s">
        <v>601</v>
      </c>
      <c r="C29" s="546"/>
      <c r="D29" s="546"/>
      <c r="E29" s="547">
        <f t="shared" si="0"/>
        <v>0</v>
      </c>
      <c r="F29" s="673"/>
      <c r="G29" s="674"/>
      <c r="H29" s="711">
        <f t="shared" si="1"/>
        <v>0</v>
      </c>
      <c r="I29" s="817">
        <f>H29/beleidsregelwaarden!$B$9</f>
        <v>0</v>
      </c>
      <c r="J29" s="26"/>
      <c r="K29" s="26"/>
      <c r="L29" s="26"/>
      <c r="M29" s="26"/>
      <c r="N29" s="26"/>
    </row>
    <row r="30" spans="1:14" ht="12" customHeight="1" x14ac:dyDescent="0.2">
      <c r="A30" s="545">
        <f t="shared" si="2"/>
        <v>1424</v>
      </c>
      <c r="B30" s="109" t="s">
        <v>536</v>
      </c>
      <c r="C30" s="546"/>
      <c r="D30" s="546"/>
      <c r="E30" s="547">
        <f t="shared" si="0"/>
        <v>0</v>
      </c>
      <c r="F30" s="673"/>
      <c r="G30" s="674"/>
      <c r="H30" s="711">
        <f t="shared" si="1"/>
        <v>0</v>
      </c>
      <c r="I30" s="817">
        <f>H30/beleidsregelwaarden!$B$9</f>
        <v>0</v>
      </c>
      <c r="J30" s="26"/>
      <c r="K30" s="26"/>
      <c r="L30" s="26"/>
      <c r="M30" s="26"/>
      <c r="N30" s="26"/>
    </row>
    <row r="31" spans="1:14" ht="12" customHeight="1" x14ac:dyDescent="0.2">
      <c r="A31" s="545">
        <f t="shared" si="2"/>
        <v>1425</v>
      </c>
      <c r="B31" s="109" t="s">
        <v>537</v>
      </c>
      <c r="C31" s="546"/>
      <c r="D31" s="546"/>
      <c r="E31" s="547">
        <f t="shared" si="0"/>
        <v>0</v>
      </c>
      <c r="F31" s="673"/>
      <c r="G31" s="674"/>
      <c r="H31" s="711">
        <f t="shared" si="1"/>
        <v>0</v>
      </c>
      <c r="I31" s="817">
        <f>H31/beleidsregelwaarden!$B$9</f>
        <v>0</v>
      </c>
      <c r="J31" s="26"/>
      <c r="K31" s="26"/>
      <c r="L31" s="26"/>
      <c r="M31" s="26"/>
      <c r="N31" s="26"/>
    </row>
    <row r="32" spans="1:14" ht="12" customHeight="1" x14ac:dyDescent="0.2">
      <c r="A32" s="545">
        <f t="shared" si="2"/>
        <v>1426</v>
      </c>
      <c r="B32" s="109" t="s">
        <v>538</v>
      </c>
      <c r="C32" s="546"/>
      <c r="D32" s="546"/>
      <c r="E32" s="547">
        <f t="shared" si="0"/>
        <v>0</v>
      </c>
      <c r="F32" s="673"/>
      <c r="G32" s="674"/>
      <c r="H32" s="711">
        <f t="shared" si="1"/>
        <v>0</v>
      </c>
      <c r="I32" s="817">
        <f>H32/beleidsregelwaarden!$B$9</f>
        <v>0</v>
      </c>
      <c r="J32" s="26"/>
      <c r="K32" s="26"/>
      <c r="L32" s="26"/>
      <c r="M32" s="26"/>
      <c r="N32" s="26"/>
    </row>
    <row r="33" spans="1:16" ht="12" customHeight="1" x14ac:dyDescent="0.2">
      <c r="A33" s="545">
        <f t="shared" si="2"/>
        <v>1427</v>
      </c>
      <c r="B33" s="109" t="s">
        <v>652</v>
      </c>
      <c r="C33" s="546"/>
      <c r="D33" s="546"/>
      <c r="E33" s="547">
        <f t="shared" si="0"/>
        <v>0</v>
      </c>
      <c r="F33" s="673"/>
      <c r="G33" s="674"/>
      <c r="H33" s="711">
        <f t="shared" si="1"/>
        <v>0</v>
      </c>
      <c r="I33" s="817">
        <f>H33/beleidsregelwaarden!$B$9</f>
        <v>0</v>
      </c>
      <c r="J33" s="26"/>
      <c r="K33" s="26"/>
      <c r="L33" s="26"/>
      <c r="M33" s="26"/>
      <c r="N33" s="26"/>
    </row>
    <row r="34" spans="1:16" ht="12" customHeight="1" x14ac:dyDescent="0.2">
      <c r="A34" s="545">
        <f t="shared" si="2"/>
        <v>1428</v>
      </c>
      <c r="B34" s="109" t="s">
        <v>539</v>
      </c>
      <c r="C34" s="546"/>
      <c r="D34" s="546"/>
      <c r="E34" s="547">
        <f t="shared" si="0"/>
        <v>0</v>
      </c>
      <c r="F34" s="673"/>
      <c r="G34" s="674"/>
      <c r="H34" s="711">
        <f t="shared" si="1"/>
        <v>0</v>
      </c>
      <c r="I34" s="817">
        <f>H34/beleidsregelwaarden!$B$9</f>
        <v>0</v>
      </c>
      <c r="J34" s="26"/>
      <c r="K34" s="26"/>
      <c r="L34" s="26"/>
      <c r="M34" s="26"/>
      <c r="N34" s="26"/>
    </row>
    <row r="35" spans="1:16" ht="12" customHeight="1" x14ac:dyDescent="0.2">
      <c r="A35" s="545">
        <f t="shared" si="2"/>
        <v>1429</v>
      </c>
      <c r="B35" s="109" t="s">
        <v>540</v>
      </c>
      <c r="C35" s="546"/>
      <c r="D35" s="546"/>
      <c r="E35" s="547">
        <f t="shared" si="0"/>
        <v>0</v>
      </c>
      <c r="F35" s="673"/>
      <c r="G35" s="674"/>
      <c r="H35" s="711">
        <f t="shared" si="1"/>
        <v>0</v>
      </c>
      <c r="I35" s="817">
        <f>H35/beleidsregelwaarden!$B$9</f>
        <v>0</v>
      </c>
      <c r="J35" s="26"/>
      <c r="K35" s="26"/>
      <c r="L35" s="26"/>
      <c r="M35" s="26"/>
      <c r="N35" s="26"/>
    </row>
    <row r="36" spans="1:16" ht="12" customHeight="1" x14ac:dyDescent="0.2">
      <c r="A36" s="545">
        <f t="shared" si="2"/>
        <v>1430</v>
      </c>
      <c r="B36" s="400" t="s">
        <v>749</v>
      </c>
      <c r="C36" s="548">
        <f>SUM(C7:C35)-C35-C34-C32</f>
        <v>0</v>
      </c>
      <c r="D36" s="548">
        <f t="shared" ref="D36:E36" si="3">SUM(D7:D35)-D35-D34-D32</f>
        <v>0</v>
      </c>
      <c r="E36" s="548">
        <f t="shared" si="3"/>
        <v>0</v>
      </c>
      <c r="F36" s="548"/>
      <c r="G36" s="548"/>
      <c r="H36" s="712">
        <f>SUM(H7:H35)</f>
        <v>0</v>
      </c>
      <c r="I36" s="26"/>
      <c r="J36" s="26"/>
      <c r="K36" s="26"/>
      <c r="L36" s="26"/>
      <c r="M36" s="26"/>
      <c r="N36" s="26"/>
    </row>
    <row r="37" spans="1:16" ht="12" customHeight="1" x14ac:dyDescent="0.2">
      <c r="B37" s="26"/>
      <c r="C37" s="26"/>
      <c r="D37" s="26"/>
      <c r="E37" s="26"/>
      <c r="F37" s="26"/>
      <c r="G37" s="26"/>
      <c r="H37" s="26"/>
      <c r="I37" s="26"/>
      <c r="J37" s="26"/>
      <c r="K37" s="26"/>
      <c r="L37" s="26"/>
      <c r="M37" s="26"/>
      <c r="N37" s="26"/>
    </row>
    <row r="38" spans="1:16" ht="12" customHeight="1" x14ac:dyDescent="0.2">
      <c r="A38" s="177">
        <f>A36+1</f>
        <v>1431</v>
      </c>
      <c r="B38" s="357" t="s">
        <v>542</v>
      </c>
      <c r="C38" s="491"/>
      <c r="D38" s="491"/>
      <c r="E38" s="491"/>
      <c r="F38" s="491"/>
      <c r="G38" s="491"/>
      <c r="H38" s="676"/>
      <c r="I38" s="26"/>
      <c r="J38" s="26"/>
      <c r="K38" s="26"/>
      <c r="L38" s="26"/>
      <c r="M38" s="26"/>
      <c r="N38" s="26"/>
    </row>
    <row r="39" spans="1:16" ht="12" customHeight="1" x14ac:dyDescent="0.2">
      <c r="A39" s="177">
        <f>A38+1</f>
        <v>1432</v>
      </c>
      <c r="B39" s="677" t="s">
        <v>541</v>
      </c>
      <c r="C39" s="451"/>
      <c r="D39" s="451"/>
      <c r="E39" s="451"/>
      <c r="F39" s="451"/>
      <c r="G39" s="451"/>
      <c r="H39" s="676"/>
      <c r="I39" s="26"/>
      <c r="N39" s="26"/>
    </row>
    <row r="40" spans="1:16" s="550" customFormat="1" ht="12" customHeight="1" x14ac:dyDescent="0.2">
      <c r="A40" s="545">
        <f>A39+1</f>
        <v>1433</v>
      </c>
      <c r="B40" s="1358" t="s">
        <v>749</v>
      </c>
      <c r="C40" s="1359"/>
      <c r="D40" s="1359"/>
      <c r="E40" s="1359"/>
      <c r="F40" s="1359"/>
      <c r="G40" s="1360"/>
      <c r="H40" s="678">
        <f>H39+H38+H36</f>
        <v>0</v>
      </c>
      <c r="I40" s="26"/>
      <c r="N40" s="159"/>
    </row>
    <row r="41" spans="1:16" ht="12" customHeight="1" x14ac:dyDescent="0.2">
      <c r="A41" s="1363" t="s">
        <v>655</v>
      </c>
      <c r="B41" s="1363"/>
      <c r="C41" s="1363"/>
      <c r="D41" s="1363"/>
      <c r="E41" s="1363"/>
      <c r="F41" s="1363"/>
      <c r="G41" s="1363"/>
      <c r="H41" s="1363"/>
      <c r="I41" s="26"/>
      <c r="N41" s="26"/>
    </row>
    <row r="42" spans="1:16" ht="12" customHeight="1" x14ac:dyDescent="0.2">
      <c r="A42" s="1364"/>
      <c r="B42" s="1364"/>
      <c r="C42" s="1364"/>
      <c r="D42" s="1364"/>
      <c r="E42" s="1364"/>
      <c r="F42" s="1364"/>
      <c r="G42" s="1364"/>
      <c r="H42" s="1364"/>
      <c r="I42" s="26"/>
      <c r="N42" s="26"/>
    </row>
    <row r="43" spans="1:16" ht="12" customHeight="1" x14ac:dyDescent="0.2">
      <c r="A43" s="1362" t="s">
        <v>697</v>
      </c>
      <c r="B43" s="1362"/>
      <c r="C43" s="1362"/>
      <c r="D43" s="1362"/>
      <c r="E43" s="1362"/>
      <c r="F43" s="1362"/>
      <c r="G43" s="1362"/>
      <c r="H43" s="1362"/>
      <c r="I43" s="26"/>
      <c r="N43" s="26"/>
    </row>
    <row r="44" spans="1:16" ht="12" customHeight="1" x14ac:dyDescent="0.2">
      <c r="A44" s="1362"/>
      <c r="B44" s="1362"/>
      <c r="C44" s="1362"/>
      <c r="D44" s="1362"/>
      <c r="E44" s="1362"/>
      <c r="F44" s="1362"/>
      <c r="G44" s="1362"/>
      <c r="H44" s="1362"/>
      <c r="P44" s="26"/>
    </row>
    <row r="45" spans="1:16" ht="12" customHeight="1" x14ac:dyDescent="0.2">
      <c r="A45" s="43"/>
      <c r="B45" s="551"/>
      <c r="C45" s="43"/>
      <c r="D45" s="43"/>
      <c r="E45" s="43"/>
      <c r="F45" s="43"/>
      <c r="G45" s="43"/>
      <c r="H45" s="43"/>
      <c r="P45" s="26"/>
    </row>
    <row r="46" spans="1:16" ht="12" customHeight="1" x14ac:dyDescent="0.2">
      <c r="D46" s="764"/>
      <c r="H46" s="43"/>
      <c r="P46" s="26"/>
    </row>
    <row r="47" spans="1:16" s="134" customFormat="1" ht="12" customHeight="1" x14ac:dyDescent="0.2">
      <c r="D47" s="765"/>
      <c r="H47" s="31"/>
      <c r="I47" s="544"/>
      <c r="J47" s="544"/>
      <c r="K47" s="26"/>
      <c r="L47" s="26"/>
      <c r="M47" s="26"/>
      <c r="N47" s="26"/>
      <c r="O47" s="26"/>
      <c r="P47" s="28"/>
    </row>
    <row r="48" spans="1:16" s="105" customFormat="1" ht="12" customHeight="1" x14ac:dyDescent="0.2">
      <c r="H48" s="370"/>
      <c r="I48" s="552"/>
      <c r="J48" s="552"/>
      <c r="K48" s="166"/>
      <c r="L48" s="166"/>
      <c r="M48" s="166"/>
      <c r="N48" s="166"/>
      <c r="O48" s="166"/>
      <c r="P48" s="166"/>
    </row>
    <row r="49" spans="8:16" s="105" customFormat="1" ht="20.25" customHeight="1" x14ac:dyDescent="0.2">
      <c r="H49" s="370"/>
      <c r="I49" s="552"/>
      <c r="J49" s="552"/>
      <c r="K49" s="166"/>
      <c r="L49" s="166"/>
      <c r="M49" s="166"/>
      <c r="N49" s="166"/>
      <c r="O49" s="166"/>
      <c r="P49" s="166"/>
    </row>
    <row r="50" spans="8:16" s="105" customFormat="1" ht="12" customHeight="1" x14ac:dyDescent="0.2">
      <c r="H50" s="370"/>
      <c r="I50" s="552"/>
      <c r="J50" s="552"/>
      <c r="K50" s="166"/>
      <c r="L50" s="166"/>
      <c r="M50" s="166"/>
      <c r="N50" s="166"/>
      <c r="O50" s="166"/>
      <c r="P50" s="166"/>
    </row>
    <row r="51" spans="8:16" s="105" customFormat="1" ht="12" customHeight="1" x14ac:dyDescent="0.2">
      <c r="H51" s="166"/>
      <c r="I51" s="552"/>
      <c r="J51" s="552"/>
      <c r="K51" s="166"/>
      <c r="L51" s="166"/>
      <c r="M51" s="166"/>
      <c r="N51" s="166"/>
      <c r="O51" s="166"/>
      <c r="P51" s="166"/>
    </row>
    <row r="52" spans="8:16" s="105" customFormat="1" ht="18.75" customHeight="1" x14ac:dyDescent="0.2">
      <c r="H52" s="174"/>
      <c r="I52" s="552"/>
      <c r="J52" s="552"/>
      <c r="K52" s="166"/>
      <c r="L52" s="166"/>
      <c r="M52" s="166"/>
      <c r="N52" s="166"/>
      <c r="O52" s="166"/>
      <c r="P52" s="166"/>
    </row>
    <row r="53" spans="8:16" s="105" customFormat="1" ht="18.75" customHeight="1" x14ac:dyDescent="0.2">
      <c r="H53" s="174"/>
      <c r="I53" s="552"/>
      <c r="J53" s="552"/>
      <c r="K53" s="166"/>
      <c r="L53" s="166"/>
      <c r="M53" s="166"/>
      <c r="N53" s="166"/>
      <c r="O53" s="166"/>
      <c r="P53" s="166"/>
    </row>
    <row r="54" spans="8:16" s="105" customFormat="1" x14ac:dyDescent="0.2">
      <c r="H54" s="553"/>
      <c r="I54" s="552"/>
      <c r="J54" s="552"/>
      <c r="K54" s="166"/>
      <c r="L54" s="166"/>
      <c r="M54" s="166"/>
      <c r="N54" s="166"/>
      <c r="O54" s="166"/>
      <c r="P54" s="166"/>
    </row>
    <row r="55" spans="8:16" s="105" customFormat="1" ht="12" customHeight="1" x14ac:dyDescent="0.2">
      <c r="H55" s="174"/>
      <c r="I55" s="552"/>
      <c r="J55" s="552"/>
      <c r="K55" s="166"/>
      <c r="L55" s="166"/>
      <c r="M55" s="166"/>
      <c r="N55" s="166"/>
      <c r="O55" s="166"/>
      <c r="P55" s="166"/>
    </row>
    <row r="56" spans="8:16" s="105" customFormat="1" ht="12" customHeight="1" x14ac:dyDescent="0.2">
      <c r="H56" s="174"/>
      <c r="I56" s="552"/>
      <c r="J56" s="552"/>
      <c r="K56" s="166"/>
      <c r="L56" s="166"/>
      <c r="M56" s="166"/>
      <c r="N56" s="166"/>
      <c r="O56" s="166"/>
      <c r="P56" s="166"/>
    </row>
    <row r="57" spans="8:16" s="105" customFormat="1" ht="12" customHeight="1" x14ac:dyDescent="0.2">
      <c r="H57" s="174"/>
      <c r="I57" s="174"/>
      <c r="J57" s="166"/>
      <c r="K57" s="166"/>
      <c r="L57" s="166"/>
      <c r="M57" s="166"/>
      <c r="N57" s="166"/>
      <c r="O57" s="166"/>
      <c r="P57" s="166"/>
    </row>
    <row r="58" spans="8:16" ht="15" customHeight="1" x14ac:dyDescent="0.2">
      <c r="H58" s="20"/>
    </row>
    <row r="59" spans="8:16" ht="15" customHeight="1" x14ac:dyDescent="0.2">
      <c r="H59" s="20"/>
    </row>
    <row r="60" spans="8:16" ht="15" customHeight="1" x14ac:dyDescent="0.2">
      <c r="H60" s="20"/>
    </row>
    <row r="61" spans="8:16" x14ac:dyDescent="0.2">
      <c r="H61" s="20"/>
    </row>
    <row r="62" spans="8:16" x14ac:dyDescent="0.2">
      <c r="H62" s="20"/>
      <c r="J62" s="550"/>
    </row>
    <row r="63" spans="8:16" x14ac:dyDescent="0.2">
      <c r="H63" s="20"/>
    </row>
    <row r="65" spans="8:9" x14ac:dyDescent="0.2">
      <c r="H65" s="20"/>
    </row>
    <row r="66" spans="8:9" x14ac:dyDescent="0.2">
      <c r="H66" s="20"/>
    </row>
    <row r="67" spans="8:9" x14ac:dyDescent="0.2">
      <c r="H67" s="20"/>
    </row>
    <row r="68" spans="8:9" x14ac:dyDescent="0.2">
      <c r="H68" s="20"/>
    </row>
    <row r="71" spans="8:9" x14ac:dyDescent="0.2">
      <c r="I71" s="20"/>
    </row>
    <row r="72" spans="8:9" x14ac:dyDescent="0.2">
      <c r="I72" s="20"/>
    </row>
    <row r="73" spans="8:9" x14ac:dyDescent="0.2">
      <c r="I73" s="20"/>
    </row>
    <row r="74" spans="8:9" x14ac:dyDescent="0.2">
      <c r="I74" s="20"/>
    </row>
  </sheetData>
  <sheetProtection password="CA39" sheet="1" objects="1" scenarios="1"/>
  <mergeCells count="4">
    <mergeCell ref="B40:G40"/>
    <mergeCell ref="A3:B3"/>
    <mergeCell ref="A43:H44"/>
    <mergeCell ref="A41:H42"/>
  </mergeCells>
  <phoneticPr fontId="12" type="noConversion"/>
  <conditionalFormatting sqref="A3">
    <cfRule type="cellIs" dxfId="46" priority="1" stopIfTrue="1" operator="equal">
      <formula>"Vul het Nza-nummer in op het voorblad"</formula>
    </cfRule>
  </conditionalFormatting>
  <conditionalFormatting sqref="A43 H36 A7:B35 A5:H5 A36:G40">
    <cfRule type="expression" dxfId="45" priority="2" stopIfTrue="1">
      <formula>#REF!="nee"</formula>
    </cfRule>
  </conditionalFormatting>
  <conditionalFormatting sqref="C7:D35 F7:G35 H38:H39">
    <cfRule type="expression" dxfId="44" priority="3" stopIfTrue="1">
      <formula>$B$1=TRUE</formula>
    </cfRule>
  </conditionalFormatting>
  <dataValidations count="2">
    <dataValidation type="list" allowBlank="1" showInputMessage="1" showErrorMessage="1" sqref="G7:G35">
      <formula1>" ,ja,nee"</formula1>
    </dataValidation>
    <dataValidation type="whole" allowBlank="1" showInputMessage="1" showErrorMessage="1" error="Het is niet mogelijk om een ingangsdatum van voor 1-1-2012 of na 1-1-2013 in te voeren._x000a_Het betreft hier uitsluitend mutaties van toepassing op de schaduwbudget 2012.  " sqref="F7:F35">
      <formula1>40909</formula1>
      <formula2>41274</formula2>
    </dataValidation>
  </dataValidations>
  <pageMargins left="0.39370078740157483" right="0.39370078740157483" top="0.39370078740157483" bottom="0.39370078740157483" header="0.51181102362204722" footer="0.51181102362204722"/>
  <pageSetup paperSize="9" scale="91" orientation="landscape" cellComments="asDisplayed" r:id="rId1"/>
  <headerFooter alignWithMargins="0"/>
  <rowBreaks count="1" manualBreakCount="1">
    <brk id="45" max="16383" man="1"/>
  </rowBreaks>
  <drawing r:id="rId2"/>
  <legacyDrawing r:id="rId3"/>
  <oleObjects>
    <mc:AlternateContent xmlns:mc="http://schemas.openxmlformats.org/markup-compatibility/2006">
      <mc:Choice Requires="x14">
        <oleObject progId="MSPhotoEd.3" shapeId="93185" r:id="rId4">
          <objectPr defaultSize="0" autoPict="0" r:id="rId5">
            <anchor moveWithCells="1" sizeWithCells="1">
              <from>
                <xdr:col>6</xdr:col>
                <xdr:colOff>228600</xdr:colOff>
                <xdr:row>1</xdr:row>
                <xdr:rowOff>19050</xdr:rowOff>
              </from>
              <to>
                <xdr:col>7</xdr:col>
                <xdr:colOff>714375</xdr:colOff>
                <xdr:row>1</xdr:row>
                <xdr:rowOff>161925</xdr:rowOff>
              </to>
            </anchor>
          </objectPr>
        </oleObject>
      </mc:Choice>
      <mc:Fallback>
        <oleObject progId="MSPhotoEd.3" shapeId="93185"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2">
    <pageSetUpPr autoPageBreaks="0"/>
  </sheetPr>
  <dimension ref="A1:XFD57"/>
  <sheetViews>
    <sheetView showGridLines="0" showZeros="0" showOutlineSymbols="0" zoomScaleNormal="100" zoomScaleSheetLayoutView="100" workbookViewId="0">
      <selection activeCell="I43" sqref="I43"/>
    </sheetView>
  </sheetViews>
  <sheetFormatPr defaultRowHeight="12" x14ac:dyDescent="0.2"/>
  <cols>
    <col min="1" max="1" width="6.85546875" style="20" customWidth="1"/>
    <col min="2" max="2" width="30.7109375" style="20" customWidth="1"/>
    <col min="3" max="3" width="7.85546875" style="20" customWidth="1"/>
    <col min="4" max="4" width="12.85546875" style="20" customWidth="1"/>
    <col min="5" max="5" width="12.28515625" style="20" customWidth="1"/>
    <col min="6" max="6" width="14.140625" style="20" customWidth="1"/>
    <col min="7" max="7" width="12.28515625" style="20" customWidth="1"/>
    <col min="8" max="8" width="12.85546875" style="20" customWidth="1"/>
    <col min="9" max="10" width="12.28515625" style="20" customWidth="1"/>
    <col min="11" max="11" width="12.5703125" style="20" customWidth="1"/>
    <col min="12" max="12" width="6.5703125" style="20" customWidth="1"/>
    <col min="13" max="13" width="9.140625" style="20" customWidth="1"/>
    <col min="14" max="15" width="9.140625" style="20"/>
    <col min="16" max="16" width="4.85546875" style="20" customWidth="1"/>
    <col min="17" max="16384" width="9.140625" style="20"/>
  </cols>
  <sheetData>
    <row r="1" spans="1:17" ht="15.95" customHeight="1" x14ac:dyDescent="0.2">
      <c r="A1" s="35"/>
      <c r="B1" s="36"/>
      <c r="C1" s="772"/>
      <c r="D1" s="36"/>
      <c r="E1" s="30"/>
      <c r="F1" s="35"/>
      <c r="G1" s="36"/>
      <c r="H1" s="31"/>
      <c r="I1" s="43"/>
      <c r="J1" s="55"/>
      <c r="K1" s="43"/>
      <c r="L1" s="43"/>
      <c r="M1" s="43"/>
      <c r="N1" s="43"/>
      <c r="O1" s="43"/>
      <c r="P1" s="43"/>
      <c r="Q1" s="43"/>
    </row>
    <row r="2" spans="1:17" s="13" customFormat="1" ht="15.75" customHeight="1" x14ac:dyDescent="0.2">
      <c r="A2" s="66" t="str">
        <f>inhoud!A2</f>
        <v>Vaststelling Transitiebedrag 2012</v>
      </c>
      <c r="B2" s="40"/>
      <c r="G2" s="41"/>
      <c r="H2" s="40"/>
      <c r="I2" s="40"/>
      <c r="L2" s="40"/>
      <c r="M2" s="40"/>
      <c r="N2" s="40"/>
      <c r="O2" s="40"/>
      <c r="P2" s="42">
        <f>'1.7 specialisten'!H2+1</f>
        <v>15</v>
      </c>
    </row>
    <row r="3" spans="1:17" ht="12.75" customHeight="1" x14ac:dyDescent="0.2">
      <c r="A3" s="1317" t="str">
        <f>IF(Voorblad!$F$10&lt;1,"Vul het NZa-nummer in op het voorblad","")</f>
        <v>Vul het NZa-nummer in op het voorblad</v>
      </c>
      <c r="B3" s="1318"/>
      <c r="C3" s="1318"/>
      <c r="D3" s="1318"/>
      <c r="E3" s="785" t="b">
        <f>Voorblad!D27</f>
        <v>1</v>
      </c>
      <c r="F3" s="36"/>
      <c r="G3" s="31"/>
      <c r="H3" s="43"/>
      <c r="I3" s="55"/>
      <c r="J3" s="43"/>
      <c r="K3" s="43"/>
      <c r="L3" s="43"/>
      <c r="M3" s="43"/>
      <c r="N3" s="43"/>
      <c r="O3" s="43"/>
      <c r="P3" s="43"/>
    </row>
    <row r="4" spans="1:17" ht="12.75" customHeight="1" x14ac:dyDescent="0.2">
      <c r="A4" s="51" t="s">
        <v>302</v>
      </c>
      <c r="B4" s="53"/>
      <c r="C4" s="53"/>
      <c r="D4" s="67"/>
      <c r="E4" s="51"/>
      <c r="F4" s="68"/>
      <c r="G4" s="53"/>
      <c r="H4" s="43"/>
      <c r="I4" s="43"/>
      <c r="J4" s="43"/>
      <c r="K4" s="43"/>
      <c r="L4" s="43"/>
      <c r="M4" s="43"/>
      <c r="N4" s="43"/>
      <c r="O4" s="43"/>
      <c r="P4" s="43"/>
    </row>
    <row r="5" spans="1:17" x14ac:dyDescent="0.2">
      <c r="A5" s="59"/>
      <c r="B5" s="43"/>
      <c r="C5" s="43"/>
      <c r="D5" s="43"/>
      <c r="E5" s="43"/>
      <c r="F5" s="43"/>
      <c r="G5" s="43"/>
      <c r="H5" s="43"/>
      <c r="I5" s="43"/>
      <c r="J5" s="43"/>
      <c r="K5" s="43"/>
      <c r="L5" s="43"/>
      <c r="M5" s="43"/>
      <c r="N5" s="43"/>
      <c r="O5" s="43"/>
      <c r="P5" s="43"/>
    </row>
    <row r="6" spans="1:17" ht="12" customHeight="1" x14ac:dyDescent="0.2">
      <c r="A6" s="59" t="s">
        <v>226</v>
      </c>
      <c r="B6" s="1393" t="s">
        <v>279</v>
      </c>
      <c r="C6" s="1395" t="s">
        <v>838</v>
      </c>
      <c r="D6" s="1397" t="str">
        <f>CONCATENATE("Afschrijvingen ",Voorblad!K4-1)</f>
        <v>Afschrijvingen 2011</v>
      </c>
      <c r="E6" s="1398"/>
      <c r="F6" s="1397" t="str">
        <f>CONCATENATE("Afschrijving investeringen ",Voorblad!K4)</f>
        <v>Afschrijving investeringen 2012</v>
      </c>
      <c r="G6" s="1398"/>
      <c r="H6" s="1397" t="str">
        <f>CONCATENATE("Afschrijving 
desinvestering ",Voorblad!K4)</f>
        <v>Afschrijving 
desinvestering 2012</v>
      </c>
      <c r="I6" s="1398"/>
      <c r="J6" s="1397" t="str">
        <f>CONCATENATE("Afschrijvingen ",Voorblad!K4)</f>
        <v>Afschrijvingen 2012</v>
      </c>
      <c r="K6" s="1398"/>
      <c r="M6" s="1397" t="s">
        <v>1219</v>
      </c>
      <c r="N6" s="1398"/>
      <c r="O6" s="1397" t="s">
        <v>1224</v>
      </c>
      <c r="P6" s="1398"/>
    </row>
    <row r="7" spans="1:17" ht="44.25" customHeight="1" x14ac:dyDescent="0.2">
      <c r="A7" s="43"/>
      <c r="B7" s="1394"/>
      <c r="C7" s="1396"/>
      <c r="D7" s="1399"/>
      <c r="E7" s="1400"/>
      <c r="F7" s="1399"/>
      <c r="G7" s="1400"/>
      <c r="H7" s="1399"/>
      <c r="I7" s="1400"/>
      <c r="J7" s="1399"/>
      <c r="K7" s="1400"/>
      <c r="M7" s="1399"/>
      <c r="N7" s="1400"/>
      <c r="O7" s="1399"/>
      <c r="P7" s="1400"/>
    </row>
    <row r="8" spans="1:17" ht="12" customHeight="1" x14ac:dyDescent="0.2">
      <c r="A8" s="43"/>
      <c r="B8" s="309"/>
      <c r="D8" s="75"/>
      <c r="E8" s="43"/>
      <c r="G8" s="43"/>
      <c r="H8" s="43"/>
      <c r="I8" s="43"/>
      <c r="J8" s="46"/>
    </row>
    <row r="9" spans="1:17" ht="12" customHeight="1" x14ac:dyDescent="0.2">
      <c r="A9" s="177">
        <f>P2*100+1</f>
        <v>1501</v>
      </c>
      <c r="B9" s="303" t="s">
        <v>273</v>
      </c>
      <c r="C9" s="310">
        <v>2.5000000000000001E-2</v>
      </c>
      <c r="D9" s="1371"/>
      <c r="E9" s="1372"/>
      <c r="F9" s="1371"/>
      <c r="G9" s="1372"/>
      <c r="H9" s="1371"/>
      <c r="I9" s="1372"/>
      <c r="J9" s="1365">
        <f t="shared" ref="J9:J15" si="0">D9+F9-H9</f>
        <v>0</v>
      </c>
      <c r="K9" s="1366"/>
      <c r="M9" s="1365">
        <f>+F9/C9</f>
        <v>0</v>
      </c>
      <c r="N9" s="1366"/>
      <c r="O9" s="1371"/>
      <c r="P9" s="1372"/>
    </row>
    <row r="10" spans="1:17" ht="12" customHeight="1" x14ac:dyDescent="0.2">
      <c r="A10" s="177">
        <f>A9+1</f>
        <v>1502</v>
      </c>
      <c r="B10" s="303" t="s">
        <v>274</v>
      </c>
      <c r="C10" s="311">
        <v>0</v>
      </c>
      <c r="D10" s="1371"/>
      <c r="E10" s="1372"/>
      <c r="F10" s="1371"/>
      <c r="G10" s="1372"/>
      <c r="H10" s="1371"/>
      <c r="I10" s="1372"/>
      <c r="J10" s="1365">
        <f t="shared" si="0"/>
        <v>0</v>
      </c>
      <c r="K10" s="1366"/>
    </row>
    <row r="11" spans="1:17" ht="12" customHeight="1" x14ac:dyDescent="0.2">
      <c r="A11" s="177">
        <f t="shared" ref="A11:A17" si="1">A10+1</f>
        <v>1503</v>
      </c>
      <c r="B11" s="303" t="s">
        <v>275</v>
      </c>
      <c r="C11" s="311">
        <v>0.05</v>
      </c>
      <c r="D11" s="1371"/>
      <c r="E11" s="1372"/>
      <c r="F11" s="1371"/>
      <c r="G11" s="1372"/>
      <c r="H11" s="1371"/>
      <c r="I11" s="1372"/>
      <c r="J11" s="1365">
        <f t="shared" si="0"/>
        <v>0</v>
      </c>
      <c r="K11" s="1366"/>
      <c r="M11" s="1365">
        <f t="shared" ref="M11:M14" si="2">+F11/C11</f>
        <v>0</v>
      </c>
      <c r="N11" s="1366"/>
      <c r="O11" s="1371"/>
      <c r="P11" s="1372"/>
    </row>
    <row r="12" spans="1:17" ht="12" customHeight="1" x14ac:dyDescent="0.2">
      <c r="A12" s="177">
        <f t="shared" si="1"/>
        <v>1504</v>
      </c>
      <c r="B12" s="303" t="s">
        <v>276</v>
      </c>
      <c r="C12" s="311">
        <v>0.02</v>
      </c>
      <c r="D12" s="1371"/>
      <c r="E12" s="1372"/>
      <c r="F12" s="1371"/>
      <c r="G12" s="1372"/>
      <c r="H12" s="1371"/>
      <c r="I12" s="1372"/>
      <c r="J12" s="1365">
        <f t="shared" si="0"/>
        <v>0</v>
      </c>
      <c r="K12" s="1366"/>
      <c r="M12" s="1365">
        <f t="shared" si="2"/>
        <v>0</v>
      </c>
      <c r="N12" s="1366"/>
      <c r="O12" s="1371"/>
      <c r="P12" s="1372"/>
    </row>
    <row r="13" spans="1:17" ht="12" customHeight="1" x14ac:dyDescent="0.2">
      <c r="A13" s="177">
        <f t="shared" si="1"/>
        <v>1505</v>
      </c>
      <c r="B13" s="303" t="s">
        <v>277</v>
      </c>
      <c r="C13" s="312">
        <v>0.05</v>
      </c>
      <c r="D13" s="1371"/>
      <c r="E13" s="1372"/>
      <c r="F13" s="1371"/>
      <c r="G13" s="1372"/>
      <c r="H13" s="1371"/>
      <c r="I13" s="1372"/>
      <c r="J13" s="1365">
        <f t="shared" si="0"/>
        <v>0</v>
      </c>
      <c r="K13" s="1366"/>
      <c r="M13" s="1365">
        <f t="shared" si="2"/>
        <v>0</v>
      </c>
      <c r="N13" s="1366"/>
      <c r="O13" s="1371"/>
      <c r="P13" s="1372"/>
    </row>
    <row r="14" spans="1:17" ht="12" customHeight="1" x14ac:dyDescent="0.2">
      <c r="A14" s="177">
        <f t="shared" si="1"/>
        <v>1506</v>
      </c>
      <c r="B14" s="303" t="s">
        <v>278</v>
      </c>
      <c r="C14" s="312">
        <v>0.05</v>
      </c>
      <c r="D14" s="1371"/>
      <c r="E14" s="1372"/>
      <c r="F14" s="1371"/>
      <c r="G14" s="1372"/>
      <c r="H14" s="1371"/>
      <c r="I14" s="1372"/>
      <c r="J14" s="1365">
        <f t="shared" si="0"/>
        <v>0</v>
      </c>
      <c r="K14" s="1366"/>
      <c r="M14" s="1365">
        <f t="shared" si="2"/>
        <v>0</v>
      </c>
      <c r="N14" s="1366"/>
      <c r="O14" s="1371"/>
      <c r="P14" s="1372"/>
    </row>
    <row r="15" spans="1:17" ht="12.75" x14ac:dyDescent="0.2">
      <c r="A15" s="177">
        <f t="shared" si="1"/>
        <v>1507</v>
      </c>
      <c r="B15" s="301" t="s">
        <v>847</v>
      </c>
      <c r="C15" s="302"/>
      <c r="D15" s="1371"/>
      <c r="E15" s="1372"/>
      <c r="F15" s="1371"/>
      <c r="G15" s="1372"/>
      <c r="H15" s="1371"/>
      <c r="I15" s="1372"/>
      <c r="J15" s="1365">
        <f t="shared" si="0"/>
        <v>0</v>
      </c>
      <c r="K15" s="1366"/>
      <c r="M15" s="1367" t="s">
        <v>1220</v>
      </c>
      <c r="N15" s="1367"/>
      <c r="O15" s="1367"/>
      <c r="P15" s="1367"/>
    </row>
    <row r="16" spans="1:17" ht="12" customHeight="1" x14ac:dyDescent="0.2">
      <c r="A16" s="177">
        <f t="shared" si="1"/>
        <v>1508</v>
      </c>
      <c r="B16" s="50" t="s">
        <v>828</v>
      </c>
      <c r="C16" s="304"/>
      <c r="D16" s="304"/>
      <c r="E16" s="305"/>
      <c r="F16" s="305"/>
      <c r="G16" s="305"/>
      <c r="H16" s="305"/>
      <c r="I16" s="305"/>
      <c r="J16" s="1369">
        <f>SUM(J9:J15)</f>
        <v>0</v>
      </c>
      <c r="K16" s="1403"/>
      <c r="M16" s="1368"/>
      <c r="N16" s="1368"/>
      <c r="O16" s="1368"/>
      <c r="P16" s="1368"/>
    </row>
    <row r="17" spans="1:17" ht="12.75" x14ac:dyDescent="0.2">
      <c r="A17" s="177">
        <f t="shared" si="1"/>
        <v>1509</v>
      </c>
      <c r="B17" s="301" t="s">
        <v>835</v>
      </c>
      <c r="C17" s="302"/>
      <c r="D17" s="302"/>
      <c r="E17" s="302"/>
      <c r="F17" s="302"/>
      <c r="G17" s="302"/>
      <c r="H17" s="302"/>
      <c r="I17" s="300"/>
      <c r="J17" s="1371"/>
      <c r="K17" s="1372"/>
      <c r="M17" s="1368"/>
      <c r="N17" s="1368"/>
      <c r="O17" s="1368"/>
      <c r="P17" s="1368"/>
    </row>
    <row r="18" spans="1:17" ht="12.75" x14ac:dyDescent="0.2">
      <c r="A18" s="177">
        <f>A17+1</f>
        <v>1510</v>
      </c>
      <c r="B18" s="50" t="s">
        <v>571</v>
      </c>
      <c r="C18" s="306"/>
      <c r="D18" s="306"/>
      <c r="E18" s="307"/>
      <c r="F18" s="307"/>
      <c r="G18" s="307"/>
      <c r="H18" s="307"/>
      <c r="I18" s="308"/>
      <c r="J18" s="1369">
        <f>J16-J17</f>
        <v>0</v>
      </c>
      <c r="K18" s="1370"/>
      <c r="M18" s="1368"/>
      <c r="N18" s="1368"/>
      <c r="O18" s="1368"/>
      <c r="P18" s="1368"/>
    </row>
    <row r="19" spans="1:17" x14ac:dyDescent="0.2">
      <c r="A19" s="43"/>
      <c r="B19" s="43"/>
      <c r="C19" s="43"/>
      <c r="D19" s="43"/>
      <c r="E19" s="43"/>
      <c r="F19" s="43"/>
      <c r="G19" s="43"/>
      <c r="H19" s="43"/>
      <c r="I19" s="43"/>
      <c r="J19" s="43"/>
      <c r="K19" s="43"/>
    </row>
    <row r="20" spans="1:17" ht="12" customHeight="1" x14ac:dyDescent="0.2">
      <c r="A20" s="1368" t="s">
        <v>1218</v>
      </c>
      <c r="B20" s="1368"/>
      <c r="C20" s="1368"/>
      <c r="D20" s="1368"/>
      <c r="E20" s="1368"/>
      <c r="F20" s="1368"/>
      <c r="G20" s="1368"/>
      <c r="H20" s="1368"/>
      <c r="I20" s="1368"/>
      <c r="J20" s="1368"/>
      <c r="K20" s="1368"/>
      <c r="L20" s="1368"/>
      <c r="M20" s="1368"/>
      <c r="N20" s="1368"/>
      <c r="O20" s="1368"/>
      <c r="P20" s="1368"/>
    </row>
    <row r="21" spans="1:17" ht="12" customHeight="1" x14ac:dyDescent="0.2">
      <c r="A21" s="1368"/>
      <c r="B21" s="1368"/>
      <c r="C21" s="1368"/>
      <c r="D21" s="1368"/>
      <c r="E21" s="1368"/>
      <c r="F21" s="1368"/>
      <c r="G21" s="1368"/>
      <c r="H21" s="1368"/>
      <c r="I21" s="1368"/>
      <c r="J21" s="1368"/>
      <c r="K21" s="1368"/>
      <c r="L21" s="1368"/>
      <c r="M21" s="1368"/>
      <c r="N21" s="1368"/>
      <c r="O21" s="1368"/>
      <c r="P21" s="1368"/>
    </row>
    <row r="22" spans="1:17" ht="12" customHeight="1" x14ac:dyDescent="0.2">
      <c r="A22" s="1368"/>
      <c r="B22" s="1368"/>
      <c r="C22" s="1368"/>
      <c r="D22" s="1368"/>
      <c r="E22" s="1368"/>
      <c r="F22" s="1368"/>
      <c r="G22" s="1368"/>
      <c r="H22" s="1368"/>
      <c r="I22" s="1368"/>
      <c r="J22" s="1368"/>
      <c r="K22" s="1368"/>
      <c r="L22" s="1368"/>
      <c r="M22" s="1368"/>
      <c r="N22" s="1368"/>
      <c r="O22" s="1368"/>
      <c r="P22" s="1368"/>
    </row>
    <row r="23" spans="1:17" ht="12.75" x14ac:dyDescent="0.2">
      <c r="A23" s="364"/>
      <c r="B23" s="364"/>
      <c r="C23" s="364"/>
      <c r="D23" s="364"/>
      <c r="E23" s="364"/>
      <c r="F23" s="364"/>
      <c r="G23" s="364"/>
      <c r="H23" s="364"/>
      <c r="I23" s="364"/>
      <c r="J23" s="364"/>
      <c r="K23" s="364"/>
    </row>
    <row r="24" spans="1:17" ht="12.75" customHeight="1" x14ac:dyDescent="0.2">
      <c r="A24" s="43"/>
      <c r="B24" s="43"/>
      <c r="C24" s="43"/>
      <c r="D24" s="43"/>
      <c r="E24" s="59"/>
      <c r="F24" s="59"/>
      <c r="G24" s="59"/>
      <c r="H24" s="59"/>
      <c r="I24" s="59"/>
      <c r="J24" s="59"/>
      <c r="K24" s="59"/>
      <c r="L24" s="43"/>
      <c r="M24" s="1389" t="s">
        <v>1223</v>
      </c>
      <c r="N24" s="1390"/>
      <c r="O24" s="1390"/>
      <c r="P24" s="1391"/>
    </row>
    <row r="25" spans="1:17" s="112" customFormat="1" x14ac:dyDescent="0.2">
      <c r="A25" s="59" t="s">
        <v>227</v>
      </c>
      <c r="B25" s="59" t="s">
        <v>753</v>
      </c>
      <c r="C25" s="20"/>
      <c r="D25" s="1374" t="str">
        <f>CONCATENATE("Investeringsruimte ult. ",Voorblad!K$4-1)</f>
        <v>Investeringsruimte ult. 2011</v>
      </c>
      <c r="E25" s="172" t="s">
        <v>592</v>
      </c>
      <c r="F25" s="172" t="s">
        <v>745</v>
      </c>
      <c r="G25" s="1374" t="str">
        <f>CONCATENATE("Inbreng
verplicht.
 ",Voorblad!K4)</f>
        <v>Inbreng
verplicht.
 2012</v>
      </c>
      <c r="H25" s="1374" t="str">
        <f>CONCATENATE("Investerings-ruimte ult ",Voorblad!K$4)</f>
        <v>Investerings-ruimte ult 2012</v>
      </c>
      <c r="I25" s="1374" t="str">
        <f>CONCATENATE("OHW ultimo ",Voorblad!K4)</f>
        <v>OHW ultimo 2012</v>
      </c>
      <c r="J25" s="1374" t="str">
        <f>CONCATENATE("Verplichting ultimo ",Voorblad!K4)</f>
        <v>Verplichting ultimo 2012</v>
      </c>
      <c r="K25" s="1374" t="str">
        <f>CONCATENATE("Besteedbaar ultimo ",Voorblad!K4)</f>
        <v>Besteedbaar ultimo 2012</v>
      </c>
      <c r="L25" s="59"/>
      <c r="M25" s="1379"/>
      <c r="N25" s="1380"/>
      <c r="O25" s="1381"/>
      <c r="P25" s="1382"/>
    </row>
    <row r="26" spans="1:17" x14ac:dyDescent="0.2">
      <c r="A26" s="43"/>
      <c r="B26" s="43"/>
      <c r="D26" s="1401"/>
      <c r="E26" s="173" t="s">
        <v>855</v>
      </c>
      <c r="F26" s="173">
        <f>Voorblad!K4</f>
        <v>2012</v>
      </c>
      <c r="G26" s="1375"/>
      <c r="H26" s="1375"/>
      <c r="I26" s="1375"/>
      <c r="J26" s="1375"/>
      <c r="K26" s="1375"/>
      <c r="L26" s="43"/>
      <c r="M26" s="1383"/>
      <c r="N26" s="1384"/>
      <c r="O26" s="1384"/>
      <c r="P26" s="1385"/>
    </row>
    <row r="27" spans="1:17" x14ac:dyDescent="0.2">
      <c r="A27" s="43"/>
      <c r="B27" s="43"/>
      <c r="C27" s="104"/>
      <c r="D27" s="1402"/>
      <c r="E27" s="132" t="str">
        <f>CONCATENATE("ruimte ",Voorblad!K4)</f>
        <v>ruimte 2012</v>
      </c>
      <c r="F27" s="132"/>
      <c r="G27" s="1376"/>
      <c r="H27" s="1376"/>
      <c r="I27" s="1376"/>
      <c r="J27" s="1376"/>
      <c r="K27" s="1376"/>
      <c r="L27" s="43"/>
      <c r="M27" s="1383"/>
      <c r="N27" s="1384"/>
      <c r="O27" s="1384"/>
      <c r="P27" s="1385"/>
    </row>
    <row r="28" spans="1:17" x14ac:dyDescent="0.2">
      <c r="A28" s="123"/>
      <c r="B28" s="123"/>
      <c r="D28" s="174"/>
      <c r="E28" s="174"/>
      <c r="F28" s="174"/>
      <c r="G28" s="174"/>
      <c r="H28" s="175"/>
      <c r="I28" s="174"/>
      <c r="J28" s="176"/>
      <c r="K28" s="43"/>
      <c r="L28" s="55"/>
      <c r="M28" s="1383"/>
      <c r="N28" s="1384"/>
      <c r="O28" s="1384"/>
      <c r="P28" s="1385"/>
      <c r="Q28" s="55"/>
    </row>
    <row r="29" spans="1:17" s="112" customFormat="1" ht="12.75" customHeight="1" x14ac:dyDescent="0.2">
      <c r="A29" s="65">
        <f>A18+1</f>
        <v>1511</v>
      </c>
      <c r="B29" s="1392" t="s">
        <v>857</v>
      </c>
      <c r="C29" s="1356"/>
      <c r="D29" s="539"/>
      <c r="E29" s="539"/>
      <c r="F29" s="539"/>
      <c r="G29" s="539"/>
      <c r="H29" s="271">
        <f>+D29+E29-F29-G29</f>
        <v>0</v>
      </c>
      <c r="I29" s="539"/>
      <c r="J29" s="539"/>
      <c r="K29" s="271">
        <f>+H29-I29-J29</f>
        <v>0</v>
      </c>
      <c r="M29" s="1383"/>
      <c r="N29" s="1384"/>
      <c r="O29" s="1384"/>
      <c r="P29" s="1385"/>
      <c r="Q29" s="574"/>
    </row>
    <row r="30" spans="1:17" ht="12.75" x14ac:dyDescent="0.2">
      <c r="A30" s="65">
        <f>A29+1</f>
        <v>1512</v>
      </c>
      <c r="B30" s="1392" t="s">
        <v>213</v>
      </c>
      <c r="C30" s="1356"/>
      <c r="D30" s="539"/>
      <c r="E30" s="539"/>
      <c r="F30" s="539"/>
      <c r="G30" s="539"/>
      <c r="H30" s="271">
        <f>IF(+D30+E30-F30-G30&lt;0,"onjuist",+D30+E30-F30-G30)</f>
        <v>0</v>
      </c>
      <c r="I30" s="539"/>
      <c r="J30" s="539"/>
      <c r="K30" s="271">
        <f>IF(H30="onjuist",0,+H30-I30-J30)</f>
        <v>0</v>
      </c>
      <c r="L30" s="574"/>
      <c r="M30" s="1383"/>
      <c r="N30" s="1384"/>
      <c r="O30" s="1384"/>
      <c r="P30" s="1385"/>
      <c r="Q30" s="574"/>
    </row>
    <row r="31" spans="1:17" s="104" customFormat="1" ht="12" customHeight="1" x14ac:dyDescent="0.2">
      <c r="A31" s="1378" t="str">
        <f>IF(H29&lt;0,"LET OP: Negatieve waarde Jaarlijkse instandhouding investeringsruimte ulitimo 2012","")</f>
        <v/>
      </c>
      <c r="B31" s="1378"/>
      <c r="C31" s="1378"/>
      <c r="D31" s="1378"/>
      <c r="E31" s="1378"/>
      <c r="F31" s="1378"/>
      <c r="G31" s="1378"/>
      <c r="H31" s="1378"/>
      <c r="I31" s="1378"/>
      <c r="J31" s="1378"/>
      <c r="K31" s="1378"/>
      <c r="L31" s="574"/>
      <c r="M31" s="1383"/>
      <c r="N31" s="1384"/>
      <c r="O31" s="1384"/>
      <c r="P31" s="1385"/>
      <c r="Q31" s="574"/>
    </row>
    <row r="32" spans="1:17" ht="12" customHeight="1" x14ac:dyDescent="0.2">
      <c r="A32" s="1377" t="s">
        <v>1217</v>
      </c>
      <c r="B32" s="1377"/>
      <c r="C32" s="1377"/>
      <c r="D32" s="1377"/>
      <c r="E32" s="1377"/>
      <c r="F32" s="1377"/>
      <c r="G32" s="1377"/>
      <c r="H32" s="1377"/>
      <c r="I32" s="1377"/>
      <c r="J32" s="1377"/>
      <c r="K32" s="1377"/>
      <c r="L32" s="43"/>
      <c r="M32" s="1383"/>
      <c r="N32" s="1384"/>
      <c r="O32" s="1384"/>
      <c r="P32" s="1385"/>
    </row>
    <row r="33" spans="1:16384" ht="12" customHeight="1" x14ac:dyDescent="0.2">
      <c r="A33" s="1377"/>
      <c r="B33" s="1377"/>
      <c r="C33" s="1377"/>
      <c r="D33" s="1377"/>
      <c r="E33" s="1377"/>
      <c r="F33" s="1377"/>
      <c r="G33" s="1377"/>
      <c r="H33" s="1377"/>
      <c r="I33" s="1377"/>
      <c r="J33" s="1377"/>
      <c r="K33" s="1377"/>
      <c r="L33" s="43"/>
      <c r="M33" s="1383"/>
      <c r="N33" s="1384"/>
      <c r="O33" s="1384"/>
      <c r="P33" s="1385"/>
    </row>
    <row r="34" spans="1:16384" ht="12" customHeight="1" x14ac:dyDescent="0.2">
      <c r="A34" s="1377"/>
      <c r="B34" s="1377"/>
      <c r="C34" s="1377"/>
      <c r="D34" s="1377"/>
      <c r="E34" s="1377"/>
      <c r="F34" s="1377"/>
      <c r="G34" s="1377"/>
      <c r="H34" s="1377"/>
      <c r="I34" s="1377"/>
      <c r="J34" s="1377"/>
      <c r="K34" s="1377"/>
      <c r="L34" s="43"/>
      <c r="M34" s="1383"/>
      <c r="N34" s="1384"/>
      <c r="O34" s="1384"/>
      <c r="P34" s="1385"/>
    </row>
    <row r="35" spans="1:16384" ht="12" customHeight="1" x14ac:dyDescent="0.2">
      <c r="A35" s="1195"/>
      <c r="B35" s="1195"/>
      <c r="C35" s="1195"/>
      <c r="D35" s="1195"/>
      <c r="E35" s="1195"/>
      <c r="F35" s="1195"/>
      <c r="G35" s="1195"/>
      <c r="H35" s="1195"/>
      <c r="I35" s="1195"/>
      <c r="J35" s="1195"/>
      <c r="K35" s="1195"/>
      <c r="L35" s="43"/>
      <c r="M35" s="1383"/>
      <c r="N35" s="1384"/>
      <c r="O35" s="1384"/>
      <c r="P35" s="1385"/>
    </row>
    <row r="36" spans="1:16384" x14ac:dyDescent="0.2">
      <c r="A36" s="43"/>
      <c r="B36" s="43"/>
      <c r="C36" s="43"/>
      <c r="D36" s="43"/>
      <c r="E36" s="43"/>
      <c r="L36" s="43"/>
      <c r="M36" s="1383"/>
      <c r="N36" s="1384"/>
      <c r="O36" s="1384"/>
      <c r="P36" s="1385"/>
      <c r="Q36" s="43"/>
    </row>
    <row r="37" spans="1:16384" s="6" customFormat="1" ht="12.75" x14ac:dyDescent="0.2">
      <c r="A37" s="1373" t="s">
        <v>1207</v>
      </c>
      <c r="B37" s="1318"/>
      <c r="C37" s="1318"/>
      <c r="D37" s="1318"/>
      <c r="E37" s="1318"/>
      <c r="F37" s="1318"/>
      <c r="G37" s="1318"/>
      <c r="H37" s="1318"/>
      <c r="I37" s="1318"/>
      <c r="J37" s="1318"/>
      <c r="K37" s="1318"/>
      <c r="L37" s="36"/>
      <c r="M37" s="1383"/>
      <c r="N37" s="1384"/>
      <c r="O37" s="1384"/>
      <c r="P37" s="1385"/>
      <c r="Q37" s="36"/>
    </row>
    <row r="38" spans="1:16384" s="6" customFormat="1" ht="12.75" x14ac:dyDescent="0.2">
      <c r="A38" s="1196" t="s">
        <v>1208</v>
      </c>
      <c r="B38" s="1194"/>
      <c r="C38" s="1194"/>
      <c r="D38" s="1194"/>
      <c r="E38" s="1195"/>
      <c r="F38" s="1195"/>
      <c r="G38" s="1195"/>
      <c r="H38" s="1195"/>
      <c r="I38" s="1195"/>
      <c r="J38" s="1195"/>
      <c r="K38" s="1195"/>
      <c r="L38" s="36"/>
      <c r="M38" s="1383"/>
      <c r="N38" s="1384"/>
      <c r="O38" s="1384"/>
      <c r="P38" s="1385"/>
      <c r="Q38" s="36"/>
    </row>
    <row r="39" spans="1:16384" s="6" customFormat="1" ht="12.75" x14ac:dyDescent="0.2">
      <c r="A39" s="1196" t="s">
        <v>1209</v>
      </c>
      <c r="B39" s="1194"/>
      <c r="C39" s="1194"/>
      <c r="D39" s="1194"/>
      <c r="E39" s="1195"/>
      <c r="F39" s="1195"/>
      <c r="G39" s="1195"/>
      <c r="H39" s="1195"/>
      <c r="I39" s="1195"/>
      <c r="J39" s="1195"/>
      <c r="K39" s="1195"/>
      <c r="L39" s="36"/>
      <c r="M39" s="1383"/>
      <c r="N39" s="1384"/>
      <c r="O39" s="1384"/>
      <c r="P39" s="1385"/>
      <c r="Q39" s="36"/>
    </row>
    <row r="40" spans="1:16384" s="6" customFormat="1" ht="12.75" x14ac:dyDescent="0.2">
      <c r="A40" s="1196" t="s">
        <v>1210</v>
      </c>
      <c r="B40" s="1194"/>
      <c r="C40" s="1194"/>
      <c r="D40" s="1194"/>
      <c r="E40" s="1195"/>
      <c r="F40" s="1195"/>
      <c r="G40" s="1195"/>
      <c r="H40" s="1195"/>
      <c r="I40" s="1195"/>
      <c r="J40" s="1195"/>
      <c r="K40" s="1195"/>
      <c r="L40" s="36"/>
      <c r="M40" s="1383"/>
      <c r="N40" s="1384"/>
      <c r="O40" s="1384"/>
      <c r="P40" s="1385"/>
      <c r="Q40" s="36"/>
    </row>
    <row r="41" spans="1:16384" x14ac:dyDescent="0.2">
      <c r="A41" s="1196" t="s">
        <v>1211</v>
      </c>
      <c r="J41" s="43"/>
      <c r="K41" s="43"/>
      <c r="L41" s="43"/>
      <c r="M41" s="1383"/>
      <c r="N41" s="1384"/>
      <c r="O41" s="1384"/>
      <c r="P41" s="1385"/>
      <c r="Q41" s="43"/>
    </row>
    <row r="42" spans="1:16384" x14ac:dyDescent="0.2">
      <c r="A42" s="1196" t="s">
        <v>1212</v>
      </c>
      <c r="J42" s="43"/>
      <c r="K42" s="43"/>
      <c r="L42" s="43"/>
      <c r="M42" s="1383"/>
      <c r="N42" s="1384"/>
      <c r="O42" s="1384"/>
      <c r="P42" s="1385"/>
      <c r="Q42" s="43"/>
    </row>
    <row r="43" spans="1:16384" x14ac:dyDescent="0.2">
      <c r="A43" s="1196" t="s">
        <v>1213</v>
      </c>
      <c r="J43" s="43"/>
      <c r="K43" s="43"/>
      <c r="L43" s="43"/>
      <c r="M43" s="1383"/>
      <c r="N43" s="1384"/>
      <c r="O43" s="1384"/>
      <c r="P43" s="1385"/>
      <c r="Q43" s="43"/>
    </row>
    <row r="44" spans="1:16384" x14ac:dyDescent="0.2">
      <c r="A44" s="1196" t="s">
        <v>1214</v>
      </c>
      <c r="J44" s="43"/>
      <c r="K44" s="43"/>
      <c r="L44" s="43"/>
      <c r="M44" s="1383"/>
      <c r="N44" s="1384"/>
      <c r="O44" s="1384"/>
      <c r="P44" s="1385"/>
      <c r="Q44" s="43"/>
    </row>
    <row r="45" spans="1:16384" x14ac:dyDescent="0.2">
      <c r="A45" s="1196" t="s">
        <v>1215</v>
      </c>
      <c r="J45" s="43"/>
      <c r="K45" s="43"/>
      <c r="L45" s="43"/>
      <c r="M45" s="1383"/>
      <c r="N45" s="1384"/>
      <c r="O45" s="1384"/>
      <c r="P45" s="1385"/>
      <c r="Q45" s="43"/>
    </row>
    <row r="46" spans="1:16384" ht="12.75" x14ac:dyDescent="0.2">
      <c r="A46" s="1195"/>
      <c r="J46" s="43"/>
      <c r="K46" s="43"/>
      <c r="L46" s="43"/>
      <c r="M46" s="1386"/>
      <c r="N46" s="1387"/>
      <c r="O46" s="1387"/>
      <c r="P46" s="1388"/>
      <c r="Q46" s="43"/>
    </row>
    <row r="47" spans="1:16384" ht="12.75" x14ac:dyDescent="0.2">
      <c r="A47" s="1373" t="s">
        <v>1216</v>
      </c>
      <c r="B47" s="1318"/>
      <c r="C47" s="1318"/>
      <c r="D47" s="1318"/>
      <c r="E47" s="1318"/>
      <c r="F47" s="1318"/>
      <c r="G47" s="1318"/>
      <c r="H47" s="1318"/>
      <c r="I47" s="1318"/>
      <c r="J47" s="1318"/>
      <c r="K47" s="1318"/>
      <c r="L47" s="1373"/>
      <c r="M47" s="1318"/>
      <c r="N47" s="1318"/>
      <c r="O47" s="1318"/>
      <c r="P47" s="1318"/>
      <c r="Q47" s="1318"/>
      <c r="R47" s="1318"/>
      <c r="S47" s="1318"/>
      <c r="T47" s="1318"/>
      <c r="U47" s="1318"/>
      <c r="V47" s="1318"/>
      <c r="W47" s="1373"/>
      <c r="X47" s="1318"/>
      <c r="Y47" s="1318"/>
      <c r="Z47" s="1318"/>
      <c r="AA47" s="1318"/>
      <c r="AB47" s="1318"/>
      <c r="AC47" s="1318"/>
      <c r="AD47" s="1318"/>
      <c r="AE47" s="1318"/>
      <c r="AF47" s="1318"/>
      <c r="AG47" s="1318"/>
      <c r="AH47" s="1373"/>
      <c r="AI47" s="1318"/>
      <c r="AJ47" s="1318"/>
      <c r="AK47" s="1318"/>
      <c r="AL47" s="1318"/>
      <c r="AM47" s="1318"/>
      <c r="AN47" s="1318"/>
      <c r="AO47" s="1318"/>
      <c r="AP47" s="1318"/>
      <c r="AQ47" s="1318"/>
      <c r="AR47" s="1318"/>
      <c r="AS47" s="1373"/>
      <c r="AT47" s="1318"/>
      <c r="AU47" s="1318"/>
      <c r="AV47" s="1318"/>
      <c r="AW47" s="1318"/>
      <c r="AX47" s="1318"/>
      <c r="AY47" s="1318"/>
      <c r="AZ47" s="1318"/>
      <c r="BA47" s="1318"/>
      <c r="BB47" s="1318"/>
      <c r="BC47" s="1318"/>
      <c r="BD47" s="1373"/>
      <c r="BE47" s="1318"/>
      <c r="BF47" s="1318"/>
      <c r="BG47" s="1318"/>
      <c r="BH47" s="1318"/>
      <c r="BI47" s="1318"/>
      <c r="BJ47" s="1318"/>
      <c r="BK47" s="1318"/>
      <c r="BL47" s="1318"/>
      <c r="BM47" s="1318"/>
      <c r="BN47" s="1318"/>
      <c r="BO47" s="1373"/>
      <c r="BP47" s="1318"/>
      <c r="BQ47" s="1318"/>
      <c r="BR47" s="1318"/>
      <c r="BS47" s="1318"/>
      <c r="BT47" s="1318"/>
      <c r="BU47" s="1318"/>
      <c r="BV47" s="1318"/>
      <c r="BW47" s="1318"/>
      <c r="BX47" s="1318"/>
      <c r="BY47" s="1318"/>
      <c r="BZ47" s="1373"/>
      <c r="CA47" s="1318"/>
      <c r="CB47" s="1318"/>
      <c r="CC47" s="1318"/>
      <c r="CD47" s="1318"/>
      <c r="CE47" s="1318"/>
      <c r="CF47" s="1318"/>
      <c r="CG47" s="1318"/>
      <c r="CH47" s="1318"/>
      <c r="CI47" s="1318"/>
      <c r="CJ47" s="1318"/>
      <c r="CK47" s="1373"/>
      <c r="CL47" s="1318"/>
      <c r="CM47" s="1318"/>
      <c r="CN47" s="1318"/>
      <c r="CO47" s="1318"/>
      <c r="CP47" s="1318"/>
      <c r="CQ47" s="1318"/>
      <c r="CR47" s="1318"/>
      <c r="CS47" s="1318"/>
      <c r="CT47" s="1318"/>
      <c r="CU47" s="1318"/>
      <c r="CV47" s="1373"/>
      <c r="CW47" s="1318"/>
      <c r="CX47" s="1318"/>
      <c r="CY47" s="1318"/>
      <c r="CZ47" s="1318"/>
      <c r="DA47" s="1318"/>
      <c r="DB47" s="1318"/>
      <c r="DC47" s="1318"/>
      <c r="DD47" s="1318"/>
      <c r="DE47" s="1318"/>
      <c r="DF47" s="1318"/>
      <c r="DG47" s="1373"/>
      <c r="DH47" s="1318"/>
      <c r="DI47" s="1318"/>
      <c r="DJ47" s="1318"/>
      <c r="DK47" s="1318"/>
      <c r="DL47" s="1318"/>
      <c r="DM47" s="1318"/>
      <c r="DN47" s="1318"/>
      <c r="DO47" s="1318"/>
      <c r="DP47" s="1318"/>
      <c r="DQ47" s="1318"/>
      <c r="DR47" s="1373"/>
      <c r="DS47" s="1318"/>
      <c r="DT47" s="1318"/>
      <c r="DU47" s="1318"/>
      <c r="DV47" s="1318"/>
      <c r="DW47" s="1318"/>
      <c r="DX47" s="1318"/>
      <c r="DY47" s="1318"/>
      <c r="DZ47" s="1318"/>
      <c r="EA47" s="1318"/>
      <c r="EB47" s="1318"/>
      <c r="EC47" s="1373"/>
      <c r="ED47" s="1318"/>
      <c r="EE47" s="1318"/>
      <c r="EF47" s="1318"/>
      <c r="EG47" s="1318"/>
      <c r="EH47" s="1318"/>
      <c r="EI47" s="1318"/>
      <c r="EJ47" s="1318"/>
      <c r="EK47" s="1318"/>
      <c r="EL47" s="1318"/>
      <c r="EM47" s="1318"/>
      <c r="EN47" s="1373"/>
      <c r="EO47" s="1318"/>
      <c r="EP47" s="1318"/>
      <c r="EQ47" s="1318"/>
      <c r="ER47" s="1318"/>
      <c r="ES47" s="1318"/>
      <c r="ET47" s="1318"/>
      <c r="EU47" s="1318"/>
      <c r="EV47" s="1318"/>
      <c r="EW47" s="1318"/>
      <c r="EX47" s="1318"/>
      <c r="EY47" s="1373"/>
      <c r="EZ47" s="1318"/>
      <c r="FA47" s="1318"/>
      <c r="FB47" s="1318"/>
      <c r="FC47" s="1318"/>
      <c r="FD47" s="1318"/>
      <c r="FE47" s="1318"/>
      <c r="FF47" s="1318"/>
      <c r="FG47" s="1318"/>
      <c r="FH47" s="1318"/>
      <c r="FI47" s="1318"/>
      <c r="FJ47" s="1373"/>
      <c r="FK47" s="1318"/>
      <c r="FL47" s="1318"/>
      <c r="FM47" s="1318"/>
      <c r="FN47" s="1318"/>
      <c r="FO47" s="1318"/>
      <c r="FP47" s="1318"/>
      <c r="FQ47" s="1318"/>
      <c r="FR47" s="1318"/>
      <c r="FS47" s="1318"/>
      <c r="FT47" s="1318"/>
      <c r="FU47" s="1373"/>
      <c r="FV47" s="1318"/>
      <c r="FW47" s="1318"/>
      <c r="FX47" s="1318"/>
      <c r="FY47" s="1318"/>
      <c r="FZ47" s="1318"/>
      <c r="GA47" s="1318"/>
      <c r="GB47" s="1318"/>
      <c r="GC47" s="1318"/>
      <c r="GD47" s="1318"/>
      <c r="GE47" s="1318"/>
      <c r="GF47" s="1373"/>
      <c r="GG47" s="1318"/>
      <c r="GH47" s="1318"/>
      <c r="GI47" s="1318"/>
      <c r="GJ47" s="1318"/>
      <c r="GK47" s="1318"/>
      <c r="GL47" s="1318"/>
      <c r="GM47" s="1318"/>
      <c r="GN47" s="1318"/>
      <c r="GO47" s="1318"/>
      <c r="GP47" s="1318"/>
      <c r="GQ47" s="1373"/>
      <c r="GR47" s="1318"/>
      <c r="GS47" s="1318"/>
      <c r="GT47" s="1318"/>
      <c r="GU47" s="1318"/>
      <c r="GV47" s="1318"/>
      <c r="GW47" s="1318"/>
      <c r="GX47" s="1318"/>
      <c r="GY47" s="1318"/>
      <c r="GZ47" s="1318"/>
      <c r="HA47" s="1318"/>
      <c r="HB47" s="1373"/>
      <c r="HC47" s="1318"/>
      <c r="HD47" s="1318"/>
      <c r="HE47" s="1318"/>
      <c r="HF47" s="1318"/>
      <c r="HG47" s="1318"/>
      <c r="HH47" s="1318"/>
      <c r="HI47" s="1318"/>
      <c r="HJ47" s="1318"/>
      <c r="HK47" s="1318"/>
      <c r="HL47" s="1318"/>
      <c r="HM47" s="1373"/>
      <c r="HN47" s="1318"/>
      <c r="HO47" s="1318"/>
      <c r="HP47" s="1318"/>
      <c r="HQ47" s="1318"/>
      <c r="HR47" s="1318"/>
      <c r="HS47" s="1318"/>
      <c r="HT47" s="1318"/>
      <c r="HU47" s="1318"/>
      <c r="HV47" s="1318"/>
      <c r="HW47" s="1318"/>
      <c r="HX47" s="1373"/>
      <c r="HY47" s="1318"/>
      <c r="HZ47" s="1318"/>
      <c r="IA47" s="1318"/>
      <c r="IB47" s="1318"/>
      <c r="IC47" s="1318"/>
      <c r="ID47" s="1318"/>
      <c r="IE47" s="1318"/>
      <c r="IF47" s="1318"/>
      <c r="IG47" s="1318"/>
      <c r="IH47" s="1318"/>
      <c r="II47" s="1373"/>
      <c r="IJ47" s="1318"/>
      <c r="IK47" s="1318"/>
      <c r="IL47" s="1318"/>
      <c r="IM47" s="1318"/>
      <c r="IN47" s="1318"/>
      <c r="IO47" s="1318"/>
      <c r="IP47" s="1318"/>
      <c r="IQ47" s="1318"/>
      <c r="IR47" s="1318"/>
      <c r="IS47" s="1318"/>
      <c r="IT47" s="1373"/>
      <c r="IU47" s="1318"/>
      <c r="IV47" s="1318"/>
      <c r="IW47" s="1318"/>
      <c r="IX47" s="1318"/>
      <c r="IY47" s="1318"/>
      <c r="IZ47" s="1318"/>
      <c r="JA47" s="1318"/>
      <c r="JB47" s="1318"/>
      <c r="JC47" s="1318"/>
      <c r="JD47" s="1318"/>
      <c r="JE47" s="1373"/>
      <c r="JF47" s="1318"/>
      <c r="JG47" s="1318"/>
      <c r="JH47" s="1318"/>
      <c r="JI47" s="1318"/>
      <c r="JJ47" s="1318"/>
      <c r="JK47" s="1318"/>
      <c r="JL47" s="1318"/>
      <c r="JM47" s="1318"/>
      <c r="JN47" s="1318"/>
      <c r="JO47" s="1318"/>
      <c r="JP47" s="1373"/>
      <c r="JQ47" s="1318"/>
      <c r="JR47" s="1318"/>
      <c r="JS47" s="1318"/>
      <c r="JT47" s="1318"/>
      <c r="JU47" s="1318"/>
      <c r="JV47" s="1318"/>
      <c r="JW47" s="1318"/>
      <c r="JX47" s="1318"/>
      <c r="JY47" s="1318"/>
      <c r="JZ47" s="1318"/>
      <c r="KA47" s="1373"/>
      <c r="KB47" s="1318"/>
      <c r="KC47" s="1318"/>
      <c r="KD47" s="1318"/>
      <c r="KE47" s="1318"/>
      <c r="KF47" s="1318"/>
      <c r="KG47" s="1318"/>
      <c r="KH47" s="1318"/>
      <c r="KI47" s="1318"/>
      <c r="KJ47" s="1318"/>
      <c r="KK47" s="1318"/>
      <c r="KL47" s="1373"/>
      <c r="KM47" s="1318"/>
      <c r="KN47" s="1318"/>
      <c r="KO47" s="1318"/>
      <c r="KP47" s="1318"/>
      <c r="KQ47" s="1318"/>
      <c r="KR47" s="1318"/>
      <c r="KS47" s="1318"/>
      <c r="KT47" s="1318"/>
      <c r="KU47" s="1318"/>
      <c r="KV47" s="1318"/>
      <c r="KW47" s="1373"/>
      <c r="KX47" s="1318"/>
      <c r="KY47" s="1318"/>
      <c r="KZ47" s="1318"/>
      <c r="LA47" s="1318"/>
      <c r="LB47" s="1318"/>
      <c r="LC47" s="1318"/>
      <c r="LD47" s="1318"/>
      <c r="LE47" s="1318"/>
      <c r="LF47" s="1318"/>
      <c r="LG47" s="1318"/>
      <c r="LH47" s="1373"/>
      <c r="LI47" s="1318"/>
      <c r="LJ47" s="1318"/>
      <c r="LK47" s="1318"/>
      <c r="LL47" s="1318"/>
      <c r="LM47" s="1318"/>
      <c r="LN47" s="1318"/>
      <c r="LO47" s="1318"/>
      <c r="LP47" s="1318"/>
      <c r="LQ47" s="1318"/>
      <c r="LR47" s="1318"/>
      <c r="LS47" s="1373"/>
      <c r="LT47" s="1318"/>
      <c r="LU47" s="1318"/>
      <c r="LV47" s="1318"/>
      <c r="LW47" s="1318"/>
      <c r="LX47" s="1318"/>
      <c r="LY47" s="1318"/>
      <c r="LZ47" s="1318"/>
      <c r="MA47" s="1318"/>
      <c r="MB47" s="1318"/>
      <c r="MC47" s="1318"/>
      <c r="MD47" s="1373"/>
      <c r="ME47" s="1318"/>
      <c r="MF47" s="1318"/>
      <c r="MG47" s="1318"/>
      <c r="MH47" s="1318"/>
      <c r="MI47" s="1318"/>
      <c r="MJ47" s="1318"/>
      <c r="MK47" s="1318"/>
      <c r="ML47" s="1318"/>
      <c r="MM47" s="1318"/>
      <c r="MN47" s="1318"/>
      <c r="MO47" s="1373"/>
      <c r="MP47" s="1318"/>
      <c r="MQ47" s="1318"/>
      <c r="MR47" s="1318"/>
      <c r="MS47" s="1318"/>
      <c r="MT47" s="1318"/>
      <c r="MU47" s="1318"/>
      <c r="MV47" s="1318"/>
      <c r="MW47" s="1318"/>
      <c r="MX47" s="1318"/>
      <c r="MY47" s="1318"/>
      <c r="MZ47" s="1373"/>
      <c r="NA47" s="1318"/>
      <c r="NB47" s="1318"/>
      <c r="NC47" s="1318"/>
      <c r="ND47" s="1318"/>
      <c r="NE47" s="1318"/>
      <c r="NF47" s="1318"/>
      <c r="NG47" s="1318"/>
      <c r="NH47" s="1318"/>
      <c r="NI47" s="1318"/>
      <c r="NJ47" s="1318"/>
      <c r="NK47" s="1373"/>
      <c r="NL47" s="1318"/>
      <c r="NM47" s="1318"/>
      <c r="NN47" s="1318"/>
      <c r="NO47" s="1318"/>
      <c r="NP47" s="1318"/>
      <c r="NQ47" s="1318"/>
      <c r="NR47" s="1318"/>
      <c r="NS47" s="1318"/>
      <c r="NT47" s="1318"/>
      <c r="NU47" s="1318"/>
      <c r="NV47" s="1373"/>
      <c r="NW47" s="1318"/>
      <c r="NX47" s="1318"/>
      <c r="NY47" s="1318"/>
      <c r="NZ47" s="1318"/>
      <c r="OA47" s="1318"/>
      <c r="OB47" s="1318"/>
      <c r="OC47" s="1318"/>
      <c r="OD47" s="1318"/>
      <c r="OE47" s="1318"/>
      <c r="OF47" s="1318"/>
      <c r="OG47" s="1373"/>
      <c r="OH47" s="1318"/>
      <c r="OI47" s="1318"/>
      <c r="OJ47" s="1318"/>
      <c r="OK47" s="1318"/>
      <c r="OL47" s="1318"/>
      <c r="OM47" s="1318"/>
      <c r="ON47" s="1318"/>
      <c r="OO47" s="1318"/>
      <c r="OP47" s="1318"/>
      <c r="OQ47" s="1318"/>
      <c r="OR47" s="1373"/>
      <c r="OS47" s="1318"/>
      <c r="OT47" s="1318"/>
      <c r="OU47" s="1318"/>
      <c r="OV47" s="1318"/>
      <c r="OW47" s="1318"/>
      <c r="OX47" s="1318"/>
      <c r="OY47" s="1318"/>
      <c r="OZ47" s="1318"/>
      <c r="PA47" s="1318"/>
      <c r="PB47" s="1318"/>
      <c r="PC47" s="1373"/>
      <c r="PD47" s="1318"/>
      <c r="PE47" s="1318"/>
      <c r="PF47" s="1318"/>
      <c r="PG47" s="1318"/>
      <c r="PH47" s="1318"/>
      <c r="PI47" s="1318"/>
      <c r="PJ47" s="1318"/>
      <c r="PK47" s="1318"/>
      <c r="PL47" s="1318"/>
      <c r="PM47" s="1318"/>
      <c r="PN47" s="1373"/>
      <c r="PO47" s="1318"/>
      <c r="PP47" s="1318"/>
      <c r="PQ47" s="1318"/>
      <c r="PR47" s="1318"/>
      <c r="PS47" s="1318"/>
      <c r="PT47" s="1318"/>
      <c r="PU47" s="1318"/>
      <c r="PV47" s="1318"/>
      <c r="PW47" s="1318"/>
      <c r="PX47" s="1318"/>
      <c r="PY47" s="1373"/>
      <c r="PZ47" s="1318"/>
      <c r="QA47" s="1318"/>
      <c r="QB47" s="1318"/>
      <c r="QC47" s="1318"/>
      <c r="QD47" s="1318"/>
      <c r="QE47" s="1318"/>
      <c r="QF47" s="1318"/>
      <c r="QG47" s="1318"/>
      <c r="QH47" s="1318"/>
      <c r="QI47" s="1318"/>
      <c r="QJ47" s="1373"/>
      <c r="QK47" s="1318"/>
      <c r="QL47" s="1318"/>
      <c r="QM47" s="1318"/>
      <c r="QN47" s="1318"/>
      <c r="QO47" s="1318"/>
      <c r="QP47" s="1318"/>
      <c r="QQ47" s="1318"/>
      <c r="QR47" s="1318"/>
      <c r="QS47" s="1318"/>
      <c r="QT47" s="1318"/>
      <c r="QU47" s="1373"/>
      <c r="QV47" s="1318"/>
      <c r="QW47" s="1318"/>
      <c r="QX47" s="1318"/>
      <c r="QY47" s="1318"/>
      <c r="QZ47" s="1318"/>
      <c r="RA47" s="1318"/>
      <c r="RB47" s="1318"/>
      <c r="RC47" s="1318"/>
      <c r="RD47" s="1318"/>
      <c r="RE47" s="1318"/>
      <c r="RF47" s="1373"/>
      <c r="RG47" s="1318"/>
      <c r="RH47" s="1318"/>
      <c r="RI47" s="1318"/>
      <c r="RJ47" s="1318"/>
      <c r="RK47" s="1318"/>
      <c r="RL47" s="1318"/>
      <c r="RM47" s="1318"/>
      <c r="RN47" s="1318"/>
      <c r="RO47" s="1318"/>
      <c r="RP47" s="1318"/>
      <c r="RQ47" s="1373"/>
      <c r="RR47" s="1318"/>
      <c r="RS47" s="1318"/>
      <c r="RT47" s="1318"/>
      <c r="RU47" s="1318"/>
      <c r="RV47" s="1318"/>
      <c r="RW47" s="1318"/>
      <c r="RX47" s="1318"/>
      <c r="RY47" s="1318"/>
      <c r="RZ47" s="1318"/>
      <c r="SA47" s="1318"/>
      <c r="SB47" s="1373"/>
      <c r="SC47" s="1318"/>
      <c r="SD47" s="1318"/>
      <c r="SE47" s="1318"/>
      <c r="SF47" s="1318"/>
      <c r="SG47" s="1318"/>
      <c r="SH47" s="1318"/>
      <c r="SI47" s="1318"/>
      <c r="SJ47" s="1318"/>
      <c r="SK47" s="1318"/>
      <c r="SL47" s="1318"/>
      <c r="SM47" s="1373"/>
      <c r="SN47" s="1318"/>
      <c r="SO47" s="1318"/>
      <c r="SP47" s="1318"/>
      <c r="SQ47" s="1318"/>
      <c r="SR47" s="1318"/>
      <c r="SS47" s="1318"/>
      <c r="ST47" s="1318"/>
      <c r="SU47" s="1318"/>
      <c r="SV47" s="1318"/>
      <c r="SW47" s="1318"/>
      <c r="SX47" s="1373"/>
      <c r="SY47" s="1318"/>
      <c r="SZ47" s="1318"/>
      <c r="TA47" s="1318"/>
      <c r="TB47" s="1318"/>
      <c r="TC47" s="1318"/>
      <c r="TD47" s="1318"/>
      <c r="TE47" s="1318"/>
      <c r="TF47" s="1318"/>
      <c r="TG47" s="1318"/>
      <c r="TH47" s="1318"/>
      <c r="TI47" s="1373"/>
      <c r="TJ47" s="1318"/>
      <c r="TK47" s="1318"/>
      <c r="TL47" s="1318"/>
      <c r="TM47" s="1318"/>
      <c r="TN47" s="1318"/>
      <c r="TO47" s="1318"/>
      <c r="TP47" s="1318"/>
      <c r="TQ47" s="1318"/>
      <c r="TR47" s="1318"/>
      <c r="TS47" s="1318"/>
      <c r="TT47" s="1373"/>
      <c r="TU47" s="1318"/>
      <c r="TV47" s="1318"/>
      <c r="TW47" s="1318"/>
      <c r="TX47" s="1318"/>
      <c r="TY47" s="1318"/>
      <c r="TZ47" s="1318"/>
      <c r="UA47" s="1318"/>
      <c r="UB47" s="1318"/>
      <c r="UC47" s="1318"/>
      <c r="UD47" s="1318"/>
      <c r="UE47" s="1373"/>
      <c r="UF47" s="1318"/>
      <c r="UG47" s="1318"/>
      <c r="UH47" s="1318"/>
      <c r="UI47" s="1318"/>
      <c r="UJ47" s="1318"/>
      <c r="UK47" s="1318"/>
      <c r="UL47" s="1318"/>
      <c r="UM47" s="1318"/>
      <c r="UN47" s="1318"/>
      <c r="UO47" s="1318"/>
      <c r="UP47" s="1373"/>
      <c r="UQ47" s="1318"/>
      <c r="UR47" s="1318"/>
      <c r="US47" s="1318"/>
      <c r="UT47" s="1318"/>
      <c r="UU47" s="1318"/>
      <c r="UV47" s="1318"/>
      <c r="UW47" s="1318"/>
      <c r="UX47" s="1318"/>
      <c r="UY47" s="1318"/>
      <c r="UZ47" s="1318"/>
      <c r="VA47" s="1373"/>
      <c r="VB47" s="1318"/>
      <c r="VC47" s="1318"/>
      <c r="VD47" s="1318"/>
      <c r="VE47" s="1318"/>
      <c r="VF47" s="1318"/>
      <c r="VG47" s="1318"/>
      <c r="VH47" s="1318"/>
      <c r="VI47" s="1318"/>
      <c r="VJ47" s="1318"/>
      <c r="VK47" s="1318"/>
      <c r="VL47" s="1373"/>
      <c r="VM47" s="1318"/>
      <c r="VN47" s="1318"/>
      <c r="VO47" s="1318"/>
      <c r="VP47" s="1318"/>
      <c r="VQ47" s="1318"/>
      <c r="VR47" s="1318"/>
      <c r="VS47" s="1318"/>
      <c r="VT47" s="1318"/>
      <c r="VU47" s="1318"/>
      <c r="VV47" s="1318"/>
      <c r="VW47" s="1373"/>
      <c r="VX47" s="1318"/>
      <c r="VY47" s="1318"/>
      <c r="VZ47" s="1318"/>
      <c r="WA47" s="1318"/>
      <c r="WB47" s="1318"/>
      <c r="WC47" s="1318"/>
      <c r="WD47" s="1318"/>
      <c r="WE47" s="1318"/>
      <c r="WF47" s="1318"/>
      <c r="WG47" s="1318"/>
      <c r="WH47" s="1373"/>
      <c r="WI47" s="1318"/>
      <c r="WJ47" s="1318"/>
      <c r="WK47" s="1318"/>
      <c r="WL47" s="1318"/>
      <c r="WM47" s="1318"/>
      <c r="WN47" s="1318"/>
      <c r="WO47" s="1318"/>
      <c r="WP47" s="1318"/>
      <c r="WQ47" s="1318"/>
      <c r="WR47" s="1318"/>
      <c r="WS47" s="1373"/>
      <c r="WT47" s="1318"/>
      <c r="WU47" s="1318"/>
      <c r="WV47" s="1318"/>
      <c r="WW47" s="1318"/>
      <c r="WX47" s="1318"/>
      <c r="WY47" s="1318"/>
      <c r="WZ47" s="1318"/>
      <c r="XA47" s="1318"/>
      <c r="XB47" s="1318"/>
      <c r="XC47" s="1318"/>
      <c r="XD47" s="1373"/>
      <c r="XE47" s="1318"/>
      <c r="XF47" s="1318"/>
      <c r="XG47" s="1318"/>
      <c r="XH47" s="1318"/>
      <c r="XI47" s="1318"/>
      <c r="XJ47" s="1318"/>
      <c r="XK47" s="1318"/>
      <c r="XL47" s="1318"/>
      <c r="XM47" s="1318"/>
      <c r="XN47" s="1318"/>
      <c r="XO47" s="1373"/>
      <c r="XP47" s="1318"/>
      <c r="XQ47" s="1318"/>
      <c r="XR47" s="1318"/>
      <c r="XS47" s="1318"/>
      <c r="XT47" s="1318"/>
      <c r="XU47" s="1318"/>
      <c r="XV47" s="1318"/>
      <c r="XW47" s="1318"/>
      <c r="XX47" s="1318"/>
      <c r="XY47" s="1318"/>
      <c r="XZ47" s="1373"/>
      <c r="YA47" s="1318"/>
      <c r="YB47" s="1318"/>
      <c r="YC47" s="1318"/>
      <c r="YD47" s="1318"/>
      <c r="YE47" s="1318"/>
      <c r="YF47" s="1318"/>
      <c r="YG47" s="1318"/>
      <c r="YH47" s="1318"/>
      <c r="YI47" s="1318"/>
      <c r="YJ47" s="1318"/>
      <c r="YK47" s="1373"/>
      <c r="YL47" s="1318"/>
      <c r="YM47" s="1318"/>
      <c r="YN47" s="1318"/>
      <c r="YO47" s="1318"/>
      <c r="YP47" s="1318"/>
      <c r="YQ47" s="1318"/>
      <c r="YR47" s="1318"/>
      <c r="YS47" s="1318"/>
      <c r="YT47" s="1318"/>
      <c r="YU47" s="1318"/>
      <c r="YV47" s="1373"/>
      <c r="YW47" s="1318"/>
      <c r="YX47" s="1318"/>
      <c r="YY47" s="1318"/>
      <c r="YZ47" s="1318"/>
      <c r="ZA47" s="1318"/>
      <c r="ZB47" s="1318"/>
      <c r="ZC47" s="1318"/>
      <c r="ZD47" s="1318"/>
      <c r="ZE47" s="1318"/>
      <c r="ZF47" s="1318"/>
      <c r="ZG47" s="1373"/>
      <c r="ZH47" s="1318"/>
      <c r="ZI47" s="1318"/>
      <c r="ZJ47" s="1318"/>
      <c r="ZK47" s="1318"/>
      <c r="ZL47" s="1318"/>
      <c r="ZM47" s="1318"/>
      <c r="ZN47" s="1318"/>
      <c r="ZO47" s="1318"/>
      <c r="ZP47" s="1318"/>
      <c r="ZQ47" s="1318"/>
      <c r="ZR47" s="1373"/>
      <c r="ZS47" s="1318"/>
      <c r="ZT47" s="1318"/>
      <c r="ZU47" s="1318"/>
      <c r="ZV47" s="1318"/>
      <c r="ZW47" s="1318"/>
      <c r="ZX47" s="1318"/>
      <c r="ZY47" s="1318"/>
      <c r="ZZ47" s="1318"/>
      <c r="AAA47" s="1318"/>
      <c r="AAB47" s="1318"/>
      <c r="AAC47" s="1373"/>
      <c r="AAD47" s="1318"/>
      <c r="AAE47" s="1318"/>
      <c r="AAF47" s="1318"/>
      <c r="AAG47" s="1318"/>
      <c r="AAH47" s="1318"/>
      <c r="AAI47" s="1318"/>
      <c r="AAJ47" s="1318"/>
      <c r="AAK47" s="1318"/>
      <c r="AAL47" s="1318"/>
      <c r="AAM47" s="1318"/>
      <c r="AAN47" s="1373"/>
      <c r="AAO47" s="1318"/>
      <c r="AAP47" s="1318"/>
      <c r="AAQ47" s="1318"/>
      <c r="AAR47" s="1318"/>
      <c r="AAS47" s="1318"/>
      <c r="AAT47" s="1318"/>
      <c r="AAU47" s="1318"/>
      <c r="AAV47" s="1318"/>
      <c r="AAW47" s="1318"/>
      <c r="AAX47" s="1318"/>
      <c r="AAY47" s="1373"/>
      <c r="AAZ47" s="1318"/>
      <c r="ABA47" s="1318"/>
      <c r="ABB47" s="1318"/>
      <c r="ABC47" s="1318"/>
      <c r="ABD47" s="1318"/>
      <c r="ABE47" s="1318"/>
      <c r="ABF47" s="1318"/>
      <c r="ABG47" s="1318"/>
      <c r="ABH47" s="1318"/>
      <c r="ABI47" s="1318"/>
      <c r="ABJ47" s="1373"/>
      <c r="ABK47" s="1318"/>
      <c r="ABL47" s="1318"/>
      <c r="ABM47" s="1318"/>
      <c r="ABN47" s="1318"/>
      <c r="ABO47" s="1318"/>
      <c r="ABP47" s="1318"/>
      <c r="ABQ47" s="1318"/>
      <c r="ABR47" s="1318"/>
      <c r="ABS47" s="1318"/>
      <c r="ABT47" s="1318"/>
      <c r="ABU47" s="1373"/>
      <c r="ABV47" s="1318"/>
      <c r="ABW47" s="1318"/>
      <c r="ABX47" s="1318"/>
      <c r="ABY47" s="1318"/>
      <c r="ABZ47" s="1318"/>
      <c r="ACA47" s="1318"/>
      <c r="ACB47" s="1318"/>
      <c r="ACC47" s="1318"/>
      <c r="ACD47" s="1318"/>
      <c r="ACE47" s="1318"/>
      <c r="ACF47" s="1373"/>
      <c r="ACG47" s="1318"/>
      <c r="ACH47" s="1318"/>
      <c r="ACI47" s="1318"/>
      <c r="ACJ47" s="1318"/>
      <c r="ACK47" s="1318"/>
      <c r="ACL47" s="1318"/>
      <c r="ACM47" s="1318"/>
      <c r="ACN47" s="1318"/>
      <c r="ACO47" s="1318"/>
      <c r="ACP47" s="1318"/>
      <c r="ACQ47" s="1373"/>
      <c r="ACR47" s="1318"/>
      <c r="ACS47" s="1318"/>
      <c r="ACT47" s="1318"/>
      <c r="ACU47" s="1318"/>
      <c r="ACV47" s="1318"/>
      <c r="ACW47" s="1318"/>
      <c r="ACX47" s="1318"/>
      <c r="ACY47" s="1318"/>
      <c r="ACZ47" s="1318"/>
      <c r="ADA47" s="1318"/>
      <c r="ADB47" s="1373"/>
      <c r="ADC47" s="1318"/>
      <c r="ADD47" s="1318"/>
      <c r="ADE47" s="1318"/>
      <c r="ADF47" s="1318"/>
      <c r="ADG47" s="1318"/>
      <c r="ADH47" s="1318"/>
      <c r="ADI47" s="1318"/>
      <c r="ADJ47" s="1318"/>
      <c r="ADK47" s="1318"/>
      <c r="ADL47" s="1318"/>
      <c r="ADM47" s="1373"/>
      <c r="ADN47" s="1318"/>
      <c r="ADO47" s="1318"/>
      <c r="ADP47" s="1318"/>
      <c r="ADQ47" s="1318"/>
      <c r="ADR47" s="1318"/>
      <c r="ADS47" s="1318"/>
      <c r="ADT47" s="1318"/>
      <c r="ADU47" s="1318"/>
      <c r="ADV47" s="1318"/>
      <c r="ADW47" s="1318"/>
      <c r="ADX47" s="1373"/>
      <c r="ADY47" s="1318"/>
      <c r="ADZ47" s="1318"/>
      <c r="AEA47" s="1318"/>
      <c r="AEB47" s="1318"/>
      <c r="AEC47" s="1318"/>
      <c r="AED47" s="1318"/>
      <c r="AEE47" s="1318"/>
      <c r="AEF47" s="1318"/>
      <c r="AEG47" s="1318"/>
      <c r="AEH47" s="1318"/>
      <c r="AEI47" s="1373"/>
      <c r="AEJ47" s="1318"/>
      <c r="AEK47" s="1318"/>
      <c r="AEL47" s="1318"/>
      <c r="AEM47" s="1318"/>
      <c r="AEN47" s="1318"/>
      <c r="AEO47" s="1318"/>
      <c r="AEP47" s="1318"/>
      <c r="AEQ47" s="1318"/>
      <c r="AER47" s="1318"/>
      <c r="AES47" s="1318"/>
      <c r="AET47" s="1373"/>
      <c r="AEU47" s="1318"/>
      <c r="AEV47" s="1318"/>
      <c r="AEW47" s="1318"/>
      <c r="AEX47" s="1318"/>
      <c r="AEY47" s="1318"/>
      <c r="AEZ47" s="1318"/>
      <c r="AFA47" s="1318"/>
      <c r="AFB47" s="1318"/>
      <c r="AFC47" s="1318"/>
      <c r="AFD47" s="1318"/>
      <c r="AFE47" s="1373"/>
      <c r="AFF47" s="1318"/>
      <c r="AFG47" s="1318"/>
      <c r="AFH47" s="1318"/>
      <c r="AFI47" s="1318"/>
      <c r="AFJ47" s="1318"/>
      <c r="AFK47" s="1318"/>
      <c r="AFL47" s="1318"/>
      <c r="AFM47" s="1318"/>
      <c r="AFN47" s="1318"/>
      <c r="AFO47" s="1318"/>
      <c r="AFP47" s="1373"/>
      <c r="AFQ47" s="1318"/>
      <c r="AFR47" s="1318"/>
      <c r="AFS47" s="1318"/>
      <c r="AFT47" s="1318"/>
      <c r="AFU47" s="1318"/>
      <c r="AFV47" s="1318"/>
      <c r="AFW47" s="1318"/>
      <c r="AFX47" s="1318"/>
      <c r="AFY47" s="1318"/>
      <c r="AFZ47" s="1318"/>
      <c r="AGA47" s="1373"/>
      <c r="AGB47" s="1318"/>
      <c r="AGC47" s="1318"/>
      <c r="AGD47" s="1318"/>
      <c r="AGE47" s="1318"/>
      <c r="AGF47" s="1318"/>
      <c r="AGG47" s="1318"/>
      <c r="AGH47" s="1318"/>
      <c r="AGI47" s="1318"/>
      <c r="AGJ47" s="1318"/>
      <c r="AGK47" s="1318"/>
      <c r="AGL47" s="1373"/>
      <c r="AGM47" s="1318"/>
      <c r="AGN47" s="1318"/>
      <c r="AGO47" s="1318"/>
      <c r="AGP47" s="1318"/>
      <c r="AGQ47" s="1318"/>
      <c r="AGR47" s="1318"/>
      <c r="AGS47" s="1318"/>
      <c r="AGT47" s="1318"/>
      <c r="AGU47" s="1318"/>
      <c r="AGV47" s="1318"/>
      <c r="AGW47" s="1373"/>
      <c r="AGX47" s="1318"/>
      <c r="AGY47" s="1318"/>
      <c r="AGZ47" s="1318"/>
      <c r="AHA47" s="1318"/>
      <c r="AHB47" s="1318"/>
      <c r="AHC47" s="1318"/>
      <c r="AHD47" s="1318"/>
      <c r="AHE47" s="1318"/>
      <c r="AHF47" s="1318"/>
      <c r="AHG47" s="1318"/>
      <c r="AHH47" s="1373"/>
      <c r="AHI47" s="1318"/>
      <c r="AHJ47" s="1318"/>
      <c r="AHK47" s="1318"/>
      <c r="AHL47" s="1318"/>
      <c r="AHM47" s="1318"/>
      <c r="AHN47" s="1318"/>
      <c r="AHO47" s="1318"/>
      <c r="AHP47" s="1318"/>
      <c r="AHQ47" s="1318"/>
      <c r="AHR47" s="1318"/>
      <c r="AHS47" s="1373"/>
      <c r="AHT47" s="1318"/>
      <c r="AHU47" s="1318"/>
      <c r="AHV47" s="1318"/>
      <c r="AHW47" s="1318"/>
      <c r="AHX47" s="1318"/>
      <c r="AHY47" s="1318"/>
      <c r="AHZ47" s="1318"/>
      <c r="AIA47" s="1318"/>
      <c r="AIB47" s="1318"/>
      <c r="AIC47" s="1318"/>
      <c r="AID47" s="1373"/>
      <c r="AIE47" s="1318"/>
      <c r="AIF47" s="1318"/>
      <c r="AIG47" s="1318"/>
      <c r="AIH47" s="1318"/>
      <c r="AII47" s="1318"/>
      <c r="AIJ47" s="1318"/>
      <c r="AIK47" s="1318"/>
      <c r="AIL47" s="1318"/>
      <c r="AIM47" s="1318"/>
      <c r="AIN47" s="1318"/>
      <c r="AIO47" s="1373"/>
      <c r="AIP47" s="1318"/>
      <c r="AIQ47" s="1318"/>
      <c r="AIR47" s="1318"/>
      <c r="AIS47" s="1318"/>
      <c r="AIT47" s="1318"/>
      <c r="AIU47" s="1318"/>
      <c r="AIV47" s="1318"/>
      <c r="AIW47" s="1318"/>
      <c r="AIX47" s="1318"/>
      <c r="AIY47" s="1318"/>
      <c r="AIZ47" s="1373"/>
      <c r="AJA47" s="1318"/>
      <c r="AJB47" s="1318"/>
      <c r="AJC47" s="1318"/>
      <c r="AJD47" s="1318"/>
      <c r="AJE47" s="1318"/>
      <c r="AJF47" s="1318"/>
      <c r="AJG47" s="1318"/>
      <c r="AJH47" s="1318"/>
      <c r="AJI47" s="1318"/>
      <c r="AJJ47" s="1318"/>
      <c r="AJK47" s="1373"/>
      <c r="AJL47" s="1318"/>
      <c r="AJM47" s="1318"/>
      <c r="AJN47" s="1318"/>
      <c r="AJO47" s="1318"/>
      <c r="AJP47" s="1318"/>
      <c r="AJQ47" s="1318"/>
      <c r="AJR47" s="1318"/>
      <c r="AJS47" s="1318"/>
      <c r="AJT47" s="1318"/>
      <c r="AJU47" s="1318"/>
      <c r="AJV47" s="1373"/>
      <c r="AJW47" s="1318"/>
      <c r="AJX47" s="1318"/>
      <c r="AJY47" s="1318"/>
      <c r="AJZ47" s="1318"/>
      <c r="AKA47" s="1318"/>
      <c r="AKB47" s="1318"/>
      <c r="AKC47" s="1318"/>
      <c r="AKD47" s="1318"/>
      <c r="AKE47" s="1318"/>
      <c r="AKF47" s="1318"/>
      <c r="AKG47" s="1373"/>
      <c r="AKH47" s="1318"/>
      <c r="AKI47" s="1318"/>
      <c r="AKJ47" s="1318"/>
      <c r="AKK47" s="1318"/>
      <c r="AKL47" s="1318"/>
      <c r="AKM47" s="1318"/>
      <c r="AKN47" s="1318"/>
      <c r="AKO47" s="1318"/>
      <c r="AKP47" s="1318"/>
      <c r="AKQ47" s="1318"/>
      <c r="AKR47" s="1373"/>
      <c r="AKS47" s="1318"/>
      <c r="AKT47" s="1318"/>
      <c r="AKU47" s="1318"/>
      <c r="AKV47" s="1318"/>
      <c r="AKW47" s="1318"/>
      <c r="AKX47" s="1318"/>
      <c r="AKY47" s="1318"/>
      <c r="AKZ47" s="1318"/>
      <c r="ALA47" s="1318"/>
      <c r="ALB47" s="1318"/>
      <c r="ALC47" s="1373"/>
      <c r="ALD47" s="1318"/>
      <c r="ALE47" s="1318"/>
      <c r="ALF47" s="1318"/>
      <c r="ALG47" s="1318"/>
      <c r="ALH47" s="1318"/>
      <c r="ALI47" s="1318"/>
      <c r="ALJ47" s="1318"/>
      <c r="ALK47" s="1318"/>
      <c r="ALL47" s="1318"/>
      <c r="ALM47" s="1318"/>
      <c r="ALN47" s="1373"/>
      <c r="ALO47" s="1318"/>
      <c r="ALP47" s="1318"/>
      <c r="ALQ47" s="1318"/>
      <c r="ALR47" s="1318"/>
      <c r="ALS47" s="1318"/>
      <c r="ALT47" s="1318"/>
      <c r="ALU47" s="1318"/>
      <c r="ALV47" s="1318"/>
      <c r="ALW47" s="1318"/>
      <c r="ALX47" s="1318"/>
      <c r="ALY47" s="1373"/>
      <c r="ALZ47" s="1318"/>
      <c r="AMA47" s="1318"/>
      <c r="AMB47" s="1318"/>
      <c r="AMC47" s="1318"/>
      <c r="AMD47" s="1318"/>
      <c r="AME47" s="1318"/>
      <c r="AMF47" s="1318"/>
      <c r="AMG47" s="1318"/>
      <c r="AMH47" s="1318"/>
      <c r="AMI47" s="1318"/>
      <c r="AMJ47" s="1373"/>
      <c r="AMK47" s="1318"/>
      <c r="AML47" s="1318"/>
      <c r="AMM47" s="1318"/>
      <c r="AMN47" s="1318"/>
      <c r="AMO47" s="1318"/>
      <c r="AMP47" s="1318"/>
      <c r="AMQ47" s="1318"/>
      <c r="AMR47" s="1318"/>
      <c r="AMS47" s="1318"/>
      <c r="AMT47" s="1318"/>
      <c r="AMU47" s="1373"/>
      <c r="AMV47" s="1318"/>
      <c r="AMW47" s="1318"/>
      <c r="AMX47" s="1318"/>
      <c r="AMY47" s="1318"/>
      <c r="AMZ47" s="1318"/>
      <c r="ANA47" s="1318"/>
      <c r="ANB47" s="1318"/>
      <c r="ANC47" s="1318"/>
      <c r="AND47" s="1318"/>
      <c r="ANE47" s="1318"/>
      <c r="ANF47" s="1373"/>
      <c r="ANG47" s="1318"/>
      <c r="ANH47" s="1318"/>
      <c r="ANI47" s="1318"/>
      <c r="ANJ47" s="1318"/>
      <c r="ANK47" s="1318"/>
      <c r="ANL47" s="1318"/>
      <c r="ANM47" s="1318"/>
      <c r="ANN47" s="1318"/>
      <c r="ANO47" s="1318"/>
      <c r="ANP47" s="1318"/>
      <c r="ANQ47" s="1373"/>
      <c r="ANR47" s="1318"/>
      <c r="ANS47" s="1318"/>
      <c r="ANT47" s="1318"/>
      <c r="ANU47" s="1318"/>
      <c r="ANV47" s="1318"/>
      <c r="ANW47" s="1318"/>
      <c r="ANX47" s="1318"/>
      <c r="ANY47" s="1318"/>
      <c r="ANZ47" s="1318"/>
      <c r="AOA47" s="1318"/>
      <c r="AOB47" s="1373"/>
      <c r="AOC47" s="1318"/>
      <c r="AOD47" s="1318"/>
      <c r="AOE47" s="1318"/>
      <c r="AOF47" s="1318"/>
      <c r="AOG47" s="1318"/>
      <c r="AOH47" s="1318"/>
      <c r="AOI47" s="1318"/>
      <c r="AOJ47" s="1318"/>
      <c r="AOK47" s="1318"/>
      <c r="AOL47" s="1318"/>
      <c r="AOM47" s="1373"/>
      <c r="AON47" s="1318"/>
      <c r="AOO47" s="1318"/>
      <c r="AOP47" s="1318"/>
      <c r="AOQ47" s="1318"/>
      <c r="AOR47" s="1318"/>
      <c r="AOS47" s="1318"/>
      <c r="AOT47" s="1318"/>
      <c r="AOU47" s="1318"/>
      <c r="AOV47" s="1318"/>
      <c r="AOW47" s="1318"/>
      <c r="AOX47" s="1373"/>
      <c r="AOY47" s="1318"/>
      <c r="AOZ47" s="1318"/>
      <c r="APA47" s="1318"/>
      <c r="APB47" s="1318"/>
      <c r="APC47" s="1318"/>
      <c r="APD47" s="1318"/>
      <c r="APE47" s="1318"/>
      <c r="APF47" s="1318"/>
      <c r="APG47" s="1318"/>
      <c r="APH47" s="1318"/>
      <c r="API47" s="1373"/>
      <c r="APJ47" s="1318"/>
      <c r="APK47" s="1318"/>
      <c r="APL47" s="1318"/>
      <c r="APM47" s="1318"/>
      <c r="APN47" s="1318"/>
      <c r="APO47" s="1318"/>
      <c r="APP47" s="1318"/>
      <c r="APQ47" s="1318"/>
      <c r="APR47" s="1318"/>
      <c r="APS47" s="1318"/>
      <c r="APT47" s="1373"/>
      <c r="APU47" s="1318"/>
      <c r="APV47" s="1318"/>
      <c r="APW47" s="1318"/>
      <c r="APX47" s="1318"/>
      <c r="APY47" s="1318"/>
      <c r="APZ47" s="1318"/>
      <c r="AQA47" s="1318"/>
      <c r="AQB47" s="1318"/>
      <c r="AQC47" s="1318"/>
      <c r="AQD47" s="1318"/>
      <c r="AQE47" s="1373"/>
      <c r="AQF47" s="1318"/>
      <c r="AQG47" s="1318"/>
      <c r="AQH47" s="1318"/>
      <c r="AQI47" s="1318"/>
      <c r="AQJ47" s="1318"/>
      <c r="AQK47" s="1318"/>
      <c r="AQL47" s="1318"/>
      <c r="AQM47" s="1318"/>
      <c r="AQN47" s="1318"/>
      <c r="AQO47" s="1318"/>
      <c r="AQP47" s="1373"/>
      <c r="AQQ47" s="1318"/>
      <c r="AQR47" s="1318"/>
      <c r="AQS47" s="1318"/>
      <c r="AQT47" s="1318"/>
      <c r="AQU47" s="1318"/>
      <c r="AQV47" s="1318"/>
      <c r="AQW47" s="1318"/>
      <c r="AQX47" s="1318"/>
      <c r="AQY47" s="1318"/>
      <c r="AQZ47" s="1318"/>
      <c r="ARA47" s="1373"/>
      <c r="ARB47" s="1318"/>
      <c r="ARC47" s="1318"/>
      <c r="ARD47" s="1318"/>
      <c r="ARE47" s="1318"/>
      <c r="ARF47" s="1318"/>
      <c r="ARG47" s="1318"/>
      <c r="ARH47" s="1318"/>
      <c r="ARI47" s="1318"/>
      <c r="ARJ47" s="1318"/>
      <c r="ARK47" s="1318"/>
      <c r="ARL47" s="1373"/>
      <c r="ARM47" s="1318"/>
      <c r="ARN47" s="1318"/>
      <c r="ARO47" s="1318"/>
      <c r="ARP47" s="1318"/>
      <c r="ARQ47" s="1318"/>
      <c r="ARR47" s="1318"/>
      <c r="ARS47" s="1318"/>
      <c r="ART47" s="1318"/>
      <c r="ARU47" s="1318"/>
      <c r="ARV47" s="1318"/>
      <c r="ARW47" s="1373"/>
      <c r="ARX47" s="1318"/>
      <c r="ARY47" s="1318"/>
      <c r="ARZ47" s="1318"/>
      <c r="ASA47" s="1318"/>
      <c r="ASB47" s="1318"/>
      <c r="ASC47" s="1318"/>
      <c r="ASD47" s="1318"/>
      <c r="ASE47" s="1318"/>
      <c r="ASF47" s="1318"/>
      <c r="ASG47" s="1318"/>
      <c r="ASH47" s="1373"/>
      <c r="ASI47" s="1318"/>
      <c r="ASJ47" s="1318"/>
      <c r="ASK47" s="1318"/>
      <c r="ASL47" s="1318"/>
      <c r="ASM47" s="1318"/>
      <c r="ASN47" s="1318"/>
      <c r="ASO47" s="1318"/>
      <c r="ASP47" s="1318"/>
      <c r="ASQ47" s="1318"/>
      <c r="ASR47" s="1318"/>
      <c r="ASS47" s="1373"/>
      <c r="AST47" s="1318"/>
      <c r="ASU47" s="1318"/>
      <c r="ASV47" s="1318"/>
      <c r="ASW47" s="1318"/>
      <c r="ASX47" s="1318"/>
      <c r="ASY47" s="1318"/>
      <c r="ASZ47" s="1318"/>
      <c r="ATA47" s="1318"/>
      <c r="ATB47" s="1318"/>
      <c r="ATC47" s="1318"/>
      <c r="ATD47" s="1373"/>
      <c r="ATE47" s="1318"/>
      <c r="ATF47" s="1318"/>
      <c r="ATG47" s="1318"/>
      <c r="ATH47" s="1318"/>
      <c r="ATI47" s="1318"/>
      <c r="ATJ47" s="1318"/>
      <c r="ATK47" s="1318"/>
      <c r="ATL47" s="1318"/>
      <c r="ATM47" s="1318"/>
      <c r="ATN47" s="1318"/>
      <c r="ATO47" s="1373"/>
      <c r="ATP47" s="1318"/>
      <c r="ATQ47" s="1318"/>
      <c r="ATR47" s="1318"/>
      <c r="ATS47" s="1318"/>
      <c r="ATT47" s="1318"/>
      <c r="ATU47" s="1318"/>
      <c r="ATV47" s="1318"/>
      <c r="ATW47" s="1318"/>
      <c r="ATX47" s="1318"/>
      <c r="ATY47" s="1318"/>
      <c r="ATZ47" s="1373"/>
      <c r="AUA47" s="1318"/>
      <c r="AUB47" s="1318"/>
      <c r="AUC47" s="1318"/>
      <c r="AUD47" s="1318"/>
      <c r="AUE47" s="1318"/>
      <c r="AUF47" s="1318"/>
      <c r="AUG47" s="1318"/>
      <c r="AUH47" s="1318"/>
      <c r="AUI47" s="1318"/>
      <c r="AUJ47" s="1318"/>
      <c r="AUK47" s="1373"/>
      <c r="AUL47" s="1318"/>
      <c r="AUM47" s="1318"/>
      <c r="AUN47" s="1318"/>
      <c r="AUO47" s="1318"/>
      <c r="AUP47" s="1318"/>
      <c r="AUQ47" s="1318"/>
      <c r="AUR47" s="1318"/>
      <c r="AUS47" s="1318"/>
      <c r="AUT47" s="1318"/>
      <c r="AUU47" s="1318"/>
      <c r="AUV47" s="1373"/>
      <c r="AUW47" s="1318"/>
      <c r="AUX47" s="1318"/>
      <c r="AUY47" s="1318"/>
      <c r="AUZ47" s="1318"/>
      <c r="AVA47" s="1318"/>
      <c r="AVB47" s="1318"/>
      <c r="AVC47" s="1318"/>
      <c r="AVD47" s="1318"/>
      <c r="AVE47" s="1318"/>
      <c r="AVF47" s="1318"/>
      <c r="AVG47" s="1373"/>
      <c r="AVH47" s="1318"/>
      <c r="AVI47" s="1318"/>
      <c r="AVJ47" s="1318"/>
      <c r="AVK47" s="1318"/>
      <c r="AVL47" s="1318"/>
      <c r="AVM47" s="1318"/>
      <c r="AVN47" s="1318"/>
      <c r="AVO47" s="1318"/>
      <c r="AVP47" s="1318"/>
      <c r="AVQ47" s="1318"/>
      <c r="AVR47" s="1373"/>
      <c r="AVS47" s="1318"/>
      <c r="AVT47" s="1318"/>
      <c r="AVU47" s="1318"/>
      <c r="AVV47" s="1318"/>
      <c r="AVW47" s="1318"/>
      <c r="AVX47" s="1318"/>
      <c r="AVY47" s="1318"/>
      <c r="AVZ47" s="1318"/>
      <c r="AWA47" s="1318"/>
      <c r="AWB47" s="1318"/>
      <c r="AWC47" s="1373"/>
      <c r="AWD47" s="1318"/>
      <c r="AWE47" s="1318"/>
      <c r="AWF47" s="1318"/>
      <c r="AWG47" s="1318"/>
      <c r="AWH47" s="1318"/>
      <c r="AWI47" s="1318"/>
      <c r="AWJ47" s="1318"/>
      <c r="AWK47" s="1318"/>
      <c r="AWL47" s="1318"/>
      <c r="AWM47" s="1318"/>
      <c r="AWN47" s="1373"/>
      <c r="AWO47" s="1318"/>
      <c r="AWP47" s="1318"/>
      <c r="AWQ47" s="1318"/>
      <c r="AWR47" s="1318"/>
      <c r="AWS47" s="1318"/>
      <c r="AWT47" s="1318"/>
      <c r="AWU47" s="1318"/>
      <c r="AWV47" s="1318"/>
      <c r="AWW47" s="1318"/>
      <c r="AWX47" s="1318"/>
      <c r="AWY47" s="1373"/>
      <c r="AWZ47" s="1318"/>
      <c r="AXA47" s="1318"/>
      <c r="AXB47" s="1318"/>
      <c r="AXC47" s="1318"/>
      <c r="AXD47" s="1318"/>
      <c r="AXE47" s="1318"/>
      <c r="AXF47" s="1318"/>
      <c r="AXG47" s="1318"/>
      <c r="AXH47" s="1318"/>
      <c r="AXI47" s="1318"/>
      <c r="AXJ47" s="1373"/>
      <c r="AXK47" s="1318"/>
      <c r="AXL47" s="1318"/>
      <c r="AXM47" s="1318"/>
      <c r="AXN47" s="1318"/>
      <c r="AXO47" s="1318"/>
      <c r="AXP47" s="1318"/>
      <c r="AXQ47" s="1318"/>
      <c r="AXR47" s="1318"/>
      <c r="AXS47" s="1318"/>
      <c r="AXT47" s="1318"/>
      <c r="AXU47" s="1373"/>
      <c r="AXV47" s="1318"/>
      <c r="AXW47" s="1318"/>
      <c r="AXX47" s="1318"/>
      <c r="AXY47" s="1318"/>
      <c r="AXZ47" s="1318"/>
      <c r="AYA47" s="1318"/>
      <c r="AYB47" s="1318"/>
      <c r="AYC47" s="1318"/>
      <c r="AYD47" s="1318"/>
      <c r="AYE47" s="1318"/>
      <c r="AYF47" s="1373"/>
      <c r="AYG47" s="1318"/>
      <c r="AYH47" s="1318"/>
      <c r="AYI47" s="1318"/>
      <c r="AYJ47" s="1318"/>
      <c r="AYK47" s="1318"/>
      <c r="AYL47" s="1318"/>
      <c r="AYM47" s="1318"/>
      <c r="AYN47" s="1318"/>
      <c r="AYO47" s="1318"/>
      <c r="AYP47" s="1318"/>
      <c r="AYQ47" s="1373"/>
      <c r="AYR47" s="1318"/>
      <c r="AYS47" s="1318"/>
      <c r="AYT47" s="1318"/>
      <c r="AYU47" s="1318"/>
      <c r="AYV47" s="1318"/>
      <c r="AYW47" s="1318"/>
      <c r="AYX47" s="1318"/>
      <c r="AYY47" s="1318"/>
      <c r="AYZ47" s="1318"/>
      <c r="AZA47" s="1318"/>
      <c r="AZB47" s="1373"/>
      <c r="AZC47" s="1318"/>
      <c r="AZD47" s="1318"/>
      <c r="AZE47" s="1318"/>
      <c r="AZF47" s="1318"/>
      <c r="AZG47" s="1318"/>
      <c r="AZH47" s="1318"/>
      <c r="AZI47" s="1318"/>
      <c r="AZJ47" s="1318"/>
      <c r="AZK47" s="1318"/>
      <c r="AZL47" s="1318"/>
      <c r="AZM47" s="1373"/>
      <c r="AZN47" s="1318"/>
      <c r="AZO47" s="1318"/>
      <c r="AZP47" s="1318"/>
      <c r="AZQ47" s="1318"/>
      <c r="AZR47" s="1318"/>
      <c r="AZS47" s="1318"/>
      <c r="AZT47" s="1318"/>
      <c r="AZU47" s="1318"/>
      <c r="AZV47" s="1318"/>
      <c r="AZW47" s="1318"/>
      <c r="AZX47" s="1373"/>
      <c r="AZY47" s="1318"/>
      <c r="AZZ47" s="1318"/>
      <c r="BAA47" s="1318"/>
      <c r="BAB47" s="1318"/>
      <c r="BAC47" s="1318"/>
      <c r="BAD47" s="1318"/>
      <c r="BAE47" s="1318"/>
      <c r="BAF47" s="1318"/>
      <c r="BAG47" s="1318"/>
      <c r="BAH47" s="1318"/>
      <c r="BAI47" s="1373"/>
      <c r="BAJ47" s="1318"/>
      <c r="BAK47" s="1318"/>
      <c r="BAL47" s="1318"/>
      <c r="BAM47" s="1318"/>
      <c r="BAN47" s="1318"/>
      <c r="BAO47" s="1318"/>
      <c r="BAP47" s="1318"/>
      <c r="BAQ47" s="1318"/>
      <c r="BAR47" s="1318"/>
      <c r="BAS47" s="1318"/>
      <c r="BAT47" s="1373"/>
      <c r="BAU47" s="1318"/>
      <c r="BAV47" s="1318"/>
      <c r="BAW47" s="1318"/>
      <c r="BAX47" s="1318"/>
      <c r="BAY47" s="1318"/>
      <c r="BAZ47" s="1318"/>
      <c r="BBA47" s="1318"/>
      <c r="BBB47" s="1318"/>
      <c r="BBC47" s="1318"/>
      <c r="BBD47" s="1318"/>
      <c r="BBE47" s="1373"/>
      <c r="BBF47" s="1318"/>
      <c r="BBG47" s="1318"/>
      <c r="BBH47" s="1318"/>
      <c r="BBI47" s="1318"/>
      <c r="BBJ47" s="1318"/>
      <c r="BBK47" s="1318"/>
      <c r="BBL47" s="1318"/>
      <c r="BBM47" s="1318"/>
      <c r="BBN47" s="1318"/>
      <c r="BBO47" s="1318"/>
      <c r="BBP47" s="1373"/>
      <c r="BBQ47" s="1318"/>
      <c r="BBR47" s="1318"/>
      <c r="BBS47" s="1318"/>
      <c r="BBT47" s="1318"/>
      <c r="BBU47" s="1318"/>
      <c r="BBV47" s="1318"/>
      <c r="BBW47" s="1318"/>
      <c r="BBX47" s="1318"/>
      <c r="BBY47" s="1318"/>
      <c r="BBZ47" s="1318"/>
      <c r="BCA47" s="1373"/>
      <c r="BCB47" s="1318"/>
      <c r="BCC47" s="1318"/>
      <c r="BCD47" s="1318"/>
      <c r="BCE47" s="1318"/>
      <c r="BCF47" s="1318"/>
      <c r="BCG47" s="1318"/>
      <c r="BCH47" s="1318"/>
      <c r="BCI47" s="1318"/>
      <c r="BCJ47" s="1318"/>
      <c r="BCK47" s="1318"/>
      <c r="BCL47" s="1373"/>
      <c r="BCM47" s="1318"/>
      <c r="BCN47" s="1318"/>
      <c r="BCO47" s="1318"/>
      <c r="BCP47" s="1318"/>
      <c r="BCQ47" s="1318"/>
      <c r="BCR47" s="1318"/>
      <c r="BCS47" s="1318"/>
      <c r="BCT47" s="1318"/>
      <c r="BCU47" s="1318"/>
      <c r="BCV47" s="1318"/>
      <c r="BCW47" s="1373"/>
      <c r="BCX47" s="1318"/>
      <c r="BCY47" s="1318"/>
      <c r="BCZ47" s="1318"/>
      <c r="BDA47" s="1318"/>
      <c r="BDB47" s="1318"/>
      <c r="BDC47" s="1318"/>
      <c r="BDD47" s="1318"/>
      <c r="BDE47" s="1318"/>
      <c r="BDF47" s="1318"/>
      <c r="BDG47" s="1318"/>
      <c r="BDH47" s="1373"/>
      <c r="BDI47" s="1318"/>
      <c r="BDJ47" s="1318"/>
      <c r="BDK47" s="1318"/>
      <c r="BDL47" s="1318"/>
      <c r="BDM47" s="1318"/>
      <c r="BDN47" s="1318"/>
      <c r="BDO47" s="1318"/>
      <c r="BDP47" s="1318"/>
      <c r="BDQ47" s="1318"/>
      <c r="BDR47" s="1318"/>
      <c r="BDS47" s="1373"/>
      <c r="BDT47" s="1318"/>
      <c r="BDU47" s="1318"/>
      <c r="BDV47" s="1318"/>
      <c r="BDW47" s="1318"/>
      <c r="BDX47" s="1318"/>
      <c r="BDY47" s="1318"/>
      <c r="BDZ47" s="1318"/>
      <c r="BEA47" s="1318"/>
      <c r="BEB47" s="1318"/>
      <c r="BEC47" s="1318"/>
      <c r="BED47" s="1373"/>
      <c r="BEE47" s="1318"/>
      <c r="BEF47" s="1318"/>
      <c r="BEG47" s="1318"/>
      <c r="BEH47" s="1318"/>
      <c r="BEI47" s="1318"/>
      <c r="BEJ47" s="1318"/>
      <c r="BEK47" s="1318"/>
      <c r="BEL47" s="1318"/>
      <c r="BEM47" s="1318"/>
      <c r="BEN47" s="1318"/>
      <c r="BEO47" s="1373"/>
      <c r="BEP47" s="1318"/>
      <c r="BEQ47" s="1318"/>
      <c r="BER47" s="1318"/>
      <c r="BES47" s="1318"/>
      <c r="BET47" s="1318"/>
      <c r="BEU47" s="1318"/>
      <c r="BEV47" s="1318"/>
      <c r="BEW47" s="1318"/>
      <c r="BEX47" s="1318"/>
      <c r="BEY47" s="1318"/>
      <c r="BEZ47" s="1373"/>
      <c r="BFA47" s="1318"/>
      <c r="BFB47" s="1318"/>
      <c r="BFC47" s="1318"/>
      <c r="BFD47" s="1318"/>
      <c r="BFE47" s="1318"/>
      <c r="BFF47" s="1318"/>
      <c r="BFG47" s="1318"/>
      <c r="BFH47" s="1318"/>
      <c r="BFI47" s="1318"/>
      <c r="BFJ47" s="1318"/>
      <c r="BFK47" s="1373"/>
      <c r="BFL47" s="1318"/>
      <c r="BFM47" s="1318"/>
      <c r="BFN47" s="1318"/>
      <c r="BFO47" s="1318"/>
      <c r="BFP47" s="1318"/>
      <c r="BFQ47" s="1318"/>
      <c r="BFR47" s="1318"/>
      <c r="BFS47" s="1318"/>
      <c r="BFT47" s="1318"/>
      <c r="BFU47" s="1318"/>
      <c r="BFV47" s="1373"/>
      <c r="BFW47" s="1318"/>
      <c r="BFX47" s="1318"/>
      <c r="BFY47" s="1318"/>
      <c r="BFZ47" s="1318"/>
      <c r="BGA47" s="1318"/>
      <c r="BGB47" s="1318"/>
      <c r="BGC47" s="1318"/>
      <c r="BGD47" s="1318"/>
      <c r="BGE47" s="1318"/>
      <c r="BGF47" s="1318"/>
      <c r="BGG47" s="1373"/>
      <c r="BGH47" s="1318"/>
      <c r="BGI47" s="1318"/>
      <c r="BGJ47" s="1318"/>
      <c r="BGK47" s="1318"/>
      <c r="BGL47" s="1318"/>
      <c r="BGM47" s="1318"/>
      <c r="BGN47" s="1318"/>
      <c r="BGO47" s="1318"/>
      <c r="BGP47" s="1318"/>
      <c r="BGQ47" s="1318"/>
      <c r="BGR47" s="1373"/>
      <c r="BGS47" s="1318"/>
      <c r="BGT47" s="1318"/>
      <c r="BGU47" s="1318"/>
      <c r="BGV47" s="1318"/>
      <c r="BGW47" s="1318"/>
      <c r="BGX47" s="1318"/>
      <c r="BGY47" s="1318"/>
      <c r="BGZ47" s="1318"/>
      <c r="BHA47" s="1318"/>
      <c r="BHB47" s="1318"/>
      <c r="BHC47" s="1373"/>
      <c r="BHD47" s="1318"/>
      <c r="BHE47" s="1318"/>
      <c r="BHF47" s="1318"/>
      <c r="BHG47" s="1318"/>
      <c r="BHH47" s="1318"/>
      <c r="BHI47" s="1318"/>
      <c r="BHJ47" s="1318"/>
      <c r="BHK47" s="1318"/>
      <c r="BHL47" s="1318"/>
      <c r="BHM47" s="1318"/>
      <c r="BHN47" s="1373"/>
      <c r="BHO47" s="1318"/>
      <c r="BHP47" s="1318"/>
      <c r="BHQ47" s="1318"/>
      <c r="BHR47" s="1318"/>
      <c r="BHS47" s="1318"/>
      <c r="BHT47" s="1318"/>
      <c r="BHU47" s="1318"/>
      <c r="BHV47" s="1318"/>
      <c r="BHW47" s="1318"/>
      <c r="BHX47" s="1318"/>
      <c r="BHY47" s="1373"/>
      <c r="BHZ47" s="1318"/>
      <c r="BIA47" s="1318"/>
      <c r="BIB47" s="1318"/>
      <c r="BIC47" s="1318"/>
      <c r="BID47" s="1318"/>
      <c r="BIE47" s="1318"/>
      <c r="BIF47" s="1318"/>
      <c r="BIG47" s="1318"/>
      <c r="BIH47" s="1318"/>
      <c r="BII47" s="1318"/>
      <c r="BIJ47" s="1373"/>
      <c r="BIK47" s="1318"/>
      <c r="BIL47" s="1318"/>
      <c r="BIM47" s="1318"/>
      <c r="BIN47" s="1318"/>
      <c r="BIO47" s="1318"/>
      <c r="BIP47" s="1318"/>
      <c r="BIQ47" s="1318"/>
      <c r="BIR47" s="1318"/>
      <c r="BIS47" s="1318"/>
      <c r="BIT47" s="1318"/>
      <c r="BIU47" s="1373"/>
      <c r="BIV47" s="1318"/>
      <c r="BIW47" s="1318"/>
      <c r="BIX47" s="1318"/>
      <c r="BIY47" s="1318"/>
      <c r="BIZ47" s="1318"/>
      <c r="BJA47" s="1318"/>
      <c r="BJB47" s="1318"/>
      <c r="BJC47" s="1318"/>
      <c r="BJD47" s="1318"/>
      <c r="BJE47" s="1318"/>
      <c r="BJF47" s="1373"/>
      <c r="BJG47" s="1318"/>
      <c r="BJH47" s="1318"/>
      <c r="BJI47" s="1318"/>
      <c r="BJJ47" s="1318"/>
      <c r="BJK47" s="1318"/>
      <c r="BJL47" s="1318"/>
      <c r="BJM47" s="1318"/>
      <c r="BJN47" s="1318"/>
      <c r="BJO47" s="1318"/>
      <c r="BJP47" s="1318"/>
      <c r="BJQ47" s="1373"/>
      <c r="BJR47" s="1318"/>
      <c r="BJS47" s="1318"/>
      <c r="BJT47" s="1318"/>
      <c r="BJU47" s="1318"/>
      <c r="BJV47" s="1318"/>
      <c r="BJW47" s="1318"/>
      <c r="BJX47" s="1318"/>
      <c r="BJY47" s="1318"/>
      <c r="BJZ47" s="1318"/>
      <c r="BKA47" s="1318"/>
      <c r="BKB47" s="1373"/>
      <c r="BKC47" s="1318"/>
      <c r="BKD47" s="1318"/>
      <c r="BKE47" s="1318"/>
      <c r="BKF47" s="1318"/>
      <c r="BKG47" s="1318"/>
      <c r="BKH47" s="1318"/>
      <c r="BKI47" s="1318"/>
      <c r="BKJ47" s="1318"/>
      <c r="BKK47" s="1318"/>
      <c r="BKL47" s="1318"/>
      <c r="BKM47" s="1373"/>
      <c r="BKN47" s="1318"/>
      <c r="BKO47" s="1318"/>
      <c r="BKP47" s="1318"/>
      <c r="BKQ47" s="1318"/>
      <c r="BKR47" s="1318"/>
      <c r="BKS47" s="1318"/>
      <c r="BKT47" s="1318"/>
      <c r="BKU47" s="1318"/>
      <c r="BKV47" s="1318"/>
      <c r="BKW47" s="1318"/>
      <c r="BKX47" s="1373"/>
      <c r="BKY47" s="1318"/>
      <c r="BKZ47" s="1318"/>
      <c r="BLA47" s="1318"/>
      <c r="BLB47" s="1318"/>
      <c r="BLC47" s="1318"/>
      <c r="BLD47" s="1318"/>
      <c r="BLE47" s="1318"/>
      <c r="BLF47" s="1318"/>
      <c r="BLG47" s="1318"/>
      <c r="BLH47" s="1318"/>
      <c r="BLI47" s="1373"/>
      <c r="BLJ47" s="1318"/>
      <c r="BLK47" s="1318"/>
      <c r="BLL47" s="1318"/>
      <c r="BLM47" s="1318"/>
      <c r="BLN47" s="1318"/>
      <c r="BLO47" s="1318"/>
      <c r="BLP47" s="1318"/>
      <c r="BLQ47" s="1318"/>
      <c r="BLR47" s="1318"/>
      <c r="BLS47" s="1318"/>
      <c r="BLT47" s="1373"/>
      <c r="BLU47" s="1318"/>
      <c r="BLV47" s="1318"/>
      <c r="BLW47" s="1318"/>
      <c r="BLX47" s="1318"/>
      <c r="BLY47" s="1318"/>
      <c r="BLZ47" s="1318"/>
      <c r="BMA47" s="1318"/>
      <c r="BMB47" s="1318"/>
      <c r="BMC47" s="1318"/>
      <c r="BMD47" s="1318"/>
      <c r="BME47" s="1373"/>
      <c r="BMF47" s="1318"/>
      <c r="BMG47" s="1318"/>
      <c r="BMH47" s="1318"/>
      <c r="BMI47" s="1318"/>
      <c r="BMJ47" s="1318"/>
      <c r="BMK47" s="1318"/>
      <c r="BML47" s="1318"/>
      <c r="BMM47" s="1318"/>
      <c r="BMN47" s="1318"/>
      <c r="BMO47" s="1318"/>
      <c r="BMP47" s="1373"/>
      <c r="BMQ47" s="1318"/>
      <c r="BMR47" s="1318"/>
      <c r="BMS47" s="1318"/>
      <c r="BMT47" s="1318"/>
      <c r="BMU47" s="1318"/>
      <c r="BMV47" s="1318"/>
      <c r="BMW47" s="1318"/>
      <c r="BMX47" s="1318"/>
      <c r="BMY47" s="1318"/>
      <c r="BMZ47" s="1318"/>
      <c r="BNA47" s="1373"/>
      <c r="BNB47" s="1318"/>
      <c r="BNC47" s="1318"/>
      <c r="BND47" s="1318"/>
      <c r="BNE47" s="1318"/>
      <c r="BNF47" s="1318"/>
      <c r="BNG47" s="1318"/>
      <c r="BNH47" s="1318"/>
      <c r="BNI47" s="1318"/>
      <c r="BNJ47" s="1318"/>
      <c r="BNK47" s="1318"/>
      <c r="BNL47" s="1373"/>
      <c r="BNM47" s="1318"/>
      <c r="BNN47" s="1318"/>
      <c r="BNO47" s="1318"/>
      <c r="BNP47" s="1318"/>
      <c r="BNQ47" s="1318"/>
      <c r="BNR47" s="1318"/>
      <c r="BNS47" s="1318"/>
      <c r="BNT47" s="1318"/>
      <c r="BNU47" s="1318"/>
      <c r="BNV47" s="1318"/>
      <c r="BNW47" s="1373"/>
      <c r="BNX47" s="1318"/>
      <c r="BNY47" s="1318"/>
      <c r="BNZ47" s="1318"/>
      <c r="BOA47" s="1318"/>
      <c r="BOB47" s="1318"/>
      <c r="BOC47" s="1318"/>
      <c r="BOD47" s="1318"/>
      <c r="BOE47" s="1318"/>
      <c r="BOF47" s="1318"/>
      <c r="BOG47" s="1318"/>
      <c r="BOH47" s="1373"/>
      <c r="BOI47" s="1318"/>
      <c r="BOJ47" s="1318"/>
      <c r="BOK47" s="1318"/>
      <c r="BOL47" s="1318"/>
      <c r="BOM47" s="1318"/>
      <c r="BON47" s="1318"/>
      <c r="BOO47" s="1318"/>
      <c r="BOP47" s="1318"/>
      <c r="BOQ47" s="1318"/>
      <c r="BOR47" s="1318"/>
      <c r="BOS47" s="1373"/>
      <c r="BOT47" s="1318"/>
      <c r="BOU47" s="1318"/>
      <c r="BOV47" s="1318"/>
      <c r="BOW47" s="1318"/>
      <c r="BOX47" s="1318"/>
      <c r="BOY47" s="1318"/>
      <c r="BOZ47" s="1318"/>
      <c r="BPA47" s="1318"/>
      <c r="BPB47" s="1318"/>
      <c r="BPC47" s="1318"/>
      <c r="BPD47" s="1373"/>
      <c r="BPE47" s="1318"/>
      <c r="BPF47" s="1318"/>
      <c r="BPG47" s="1318"/>
      <c r="BPH47" s="1318"/>
      <c r="BPI47" s="1318"/>
      <c r="BPJ47" s="1318"/>
      <c r="BPK47" s="1318"/>
      <c r="BPL47" s="1318"/>
      <c r="BPM47" s="1318"/>
      <c r="BPN47" s="1318"/>
      <c r="BPO47" s="1373"/>
      <c r="BPP47" s="1318"/>
      <c r="BPQ47" s="1318"/>
      <c r="BPR47" s="1318"/>
      <c r="BPS47" s="1318"/>
      <c r="BPT47" s="1318"/>
      <c r="BPU47" s="1318"/>
      <c r="BPV47" s="1318"/>
      <c r="BPW47" s="1318"/>
      <c r="BPX47" s="1318"/>
      <c r="BPY47" s="1318"/>
      <c r="BPZ47" s="1373"/>
      <c r="BQA47" s="1318"/>
      <c r="BQB47" s="1318"/>
      <c r="BQC47" s="1318"/>
      <c r="BQD47" s="1318"/>
      <c r="BQE47" s="1318"/>
      <c r="BQF47" s="1318"/>
      <c r="BQG47" s="1318"/>
      <c r="BQH47" s="1318"/>
      <c r="BQI47" s="1318"/>
      <c r="BQJ47" s="1318"/>
      <c r="BQK47" s="1373"/>
      <c r="BQL47" s="1318"/>
      <c r="BQM47" s="1318"/>
      <c r="BQN47" s="1318"/>
      <c r="BQO47" s="1318"/>
      <c r="BQP47" s="1318"/>
      <c r="BQQ47" s="1318"/>
      <c r="BQR47" s="1318"/>
      <c r="BQS47" s="1318"/>
      <c r="BQT47" s="1318"/>
      <c r="BQU47" s="1318"/>
      <c r="BQV47" s="1373"/>
      <c r="BQW47" s="1318"/>
      <c r="BQX47" s="1318"/>
      <c r="BQY47" s="1318"/>
      <c r="BQZ47" s="1318"/>
      <c r="BRA47" s="1318"/>
      <c r="BRB47" s="1318"/>
      <c r="BRC47" s="1318"/>
      <c r="BRD47" s="1318"/>
      <c r="BRE47" s="1318"/>
      <c r="BRF47" s="1318"/>
      <c r="BRG47" s="1373"/>
      <c r="BRH47" s="1318"/>
      <c r="BRI47" s="1318"/>
      <c r="BRJ47" s="1318"/>
      <c r="BRK47" s="1318"/>
      <c r="BRL47" s="1318"/>
      <c r="BRM47" s="1318"/>
      <c r="BRN47" s="1318"/>
      <c r="BRO47" s="1318"/>
      <c r="BRP47" s="1318"/>
      <c r="BRQ47" s="1318"/>
      <c r="BRR47" s="1373"/>
      <c r="BRS47" s="1318"/>
      <c r="BRT47" s="1318"/>
      <c r="BRU47" s="1318"/>
      <c r="BRV47" s="1318"/>
      <c r="BRW47" s="1318"/>
      <c r="BRX47" s="1318"/>
      <c r="BRY47" s="1318"/>
      <c r="BRZ47" s="1318"/>
      <c r="BSA47" s="1318"/>
      <c r="BSB47" s="1318"/>
      <c r="BSC47" s="1373"/>
      <c r="BSD47" s="1318"/>
      <c r="BSE47" s="1318"/>
      <c r="BSF47" s="1318"/>
      <c r="BSG47" s="1318"/>
      <c r="BSH47" s="1318"/>
      <c r="BSI47" s="1318"/>
      <c r="BSJ47" s="1318"/>
      <c r="BSK47" s="1318"/>
      <c r="BSL47" s="1318"/>
      <c r="BSM47" s="1318"/>
      <c r="BSN47" s="1373"/>
      <c r="BSO47" s="1318"/>
      <c r="BSP47" s="1318"/>
      <c r="BSQ47" s="1318"/>
      <c r="BSR47" s="1318"/>
      <c r="BSS47" s="1318"/>
      <c r="BST47" s="1318"/>
      <c r="BSU47" s="1318"/>
      <c r="BSV47" s="1318"/>
      <c r="BSW47" s="1318"/>
      <c r="BSX47" s="1318"/>
      <c r="BSY47" s="1373"/>
      <c r="BSZ47" s="1318"/>
      <c r="BTA47" s="1318"/>
      <c r="BTB47" s="1318"/>
      <c r="BTC47" s="1318"/>
      <c r="BTD47" s="1318"/>
      <c r="BTE47" s="1318"/>
      <c r="BTF47" s="1318"/>
      <c r="BTG47" s="1318"/>
      <c r="BTH47" s="1318"/>
      <c r="BTI47" s="1318"/>
      <c r="BTJ47" s="1373"/>
      <c r="BTK47" s="1318"/>
      <c r="BTL47" s="1318"/>
      <c r="BTM47" s="1318"/>
      <c r="BTN47" s="1318"/>
      <c r="BTO47" s="1318"/>
      <c r="BTP47" s="1318"/>
      <c r="BTQ47" s="1318"/>
      <c r="BTR47" s="1318"/>
      <c r="BTS47" s="1318"/>
      <c r="BTT47" s="1318"/>
      <c r="BTU47" s="1373"/>
      <c r="BTV47" s="1318"/>
      <c r="BTW47" s="1318"/>
      <c r="BTX47" s="1318"/>
      <c r="BTY47" s="1318"/>
      <c r="BTZ47" s="1318"/>
      <c r="BUA47" s="1318"/>
      <c r="BUB47" s="1318"/>
      <c r="BUC47" s="1318"/>
      <c r="BUD47" s="1318"/>
      <c r="BUE47" s="1318"/>
      <c r="BUF47" s="1373"/>
      <c r="BUG47" s="1318"/>
      <c r="BUH47" s="1318"/>
      <c r="BUI47" s="1318"/>
      <c r="BUJ47" s="1318"/>
      <c r="BUK47" s="1318"/>
      <c r="BUL47" s="1318"/>
      <c r="BUM47" s="1318"/>
      <c r="BUN47" s="1318"/>
      <c r="BUO47" s="1318"/>
      <c r="BUP47" s="1318"/>
      <c r="BUQ47" s="1373"/>
      <c r="BUR47" s="1318"/>
      <c r="BUS47" s="1318"/>
      <c r="BUT47" s="1318"/>
      <c r="BUU47" s="1318"/>
      <c r="BUV47" s="1318"/>
      <c r="BUW47" s="1318"/>
      <c r="BUX47" s="1318"/>
      <c r="BUY47" s="1318"/>
      <c r="BUZ47" s="1318"/>
      <c r="BVA47" s="1318"/>
      <c r="BVB47" s="1373"/>
      <c r="BVC47" s="1318"/>
      <c r="BVD47" s="1318"/>
      <c r="BVE47" s="1318"/>
      <c r="BVF47" s="1318"/>
      <c r="BVG47" s="1318"/>
      <c r="BVH47" s="1318"/>
      <c r="BVI47" s="1318"/>
      <c r="BVJ47" s="1318"/>
      <c r="BVK47" s="1318"/>
      <c r="BVL47" s="1318"/>
      <c r="BVM47" s="1373"/>
      <c r="BVN47" s="1318"/>
      <c r="BVO47" s="1318"/>
      <c r="BVP47" s="1318"/>
      <c r="BVQ47" s="1318"/>
      <c r="BVR47" s="1318"/>
      <c r="BVS47" s="1318"/>
      <c r="BVT47" s="1318"/>
      <c r="BVU47" s="1318"/>
      <c r="BVV47" s="1318"/>
      <c r="BVW47" s="1318"/>
      <c r="BVX47" s="1373"/>
      <c r="BVY47" s="1318"/>
      <c r="BVZ47" s="1318"/>
      <c r="BWA47" s="1318"/>
      <c r="BWB47" s="1318"/>
      <c r="BWC47" s="1318"/>
      <c r="BWD47" s="1318"/>
      <c r="BWE47" s="1318"/>
      <c r="BWF47" s="1318"/>
      <c r="BWG47" s="1318"/>
      <c r="BWH47" s="1318"/>
      <c r="BWI47" s="1373"/>
      <c r="BWJ47" s="1318"/>
      <c r="BWK47" s="1318"/>
      <c r="BWL47" s="1318"/>
      <c r="BWM47" s="1318"/>
      <c r="BWN47" s="1318"/>
      <c r="BWO47" s="1318"/>
      <c r="BWP47" s="1318"/>
      <c r="BWQ47" s="1318"/>
      <c r="BWR47" s="1318"/>
      <c r="BWS47" s="1318"/>
      <c r="BWT47" s="1373"/>
      <c r="BWU47" s="1318"/>
      <c r="BWV47" s="1318"/>
      <c r="BWW47" s="1318"/>
      <c r="BWX47" s="1318"/>
      <c r="BWY47" s="1318"/>
      <c r="BWZ47" s="1318"/>
      <c r="BXA47" s="1318"/>
      <c r="BXB47" s="1318"/>
      <c r="BXC47" s="1318"/>
      <c r="BXD47" s="1318"/>
      <c r="BXE47" s="1373"/>
      <c r="BXF47" s="1318"/>
      <c r="BXG47" s="1318"/>
      <c r="BXH47" s="1318"/>
      <c r="BXI47" s="1318"/>
      <c r="BXJ47" s="1318"/>
      <c r="BXK47" s="1318"/>
      <c r="BXL47" s="1318"/>
      <c r="BXM47" s="1318"/>
      <c r="BXN47" s="1318"/>
      <c r="BXO47" s="1318"/>
      <c r="BXP47" s="1373"/>
      <c r="BXQ47" s="1318"/>
      <c r="BXR47" s="1318"/>
      <c r="BXS47" s="1318"/>
      <c r="BXT47" s="1318"/>
      <c r="BXU47" s="1318"/>
      <c r="BXV47" s="1318"/>
      <c r="BXW47" s="1318"/>
      <c r="BXX47" s="1318"/>
      <c r="BXY47" s="1318"/>
      <c r="BXZ47" s="1318"/>
      <c r="BYA47" s="1373"/>
      <c r="BYB47" s="1318"/>
      <c r="BYC47" s="1318"/>
      <c r="BYD47" s="1318"/>
      <c r="BYE47" s="1318"/>
      <c r="BYF47" s="1318"/>
      <c r="BYG47" s="1318"/>
      <c r="BYH47" s="1318"/>
      <c r="BYI47" s="1318"/>
      <c r="BYJ47" s="1318"/>
      <c r="BYK47" s="1318"/>
      <c r="BYL47" s="1373"/>
      <c r="BYM47" s="1318"/>
      <c r="BYN47" s="1318"/>
      <c r="BYO47" s="1318"/>
      <c r="BYP47" s="1318"/>
      <c r="BYQ47" s="1318"/>
      <c r="BYR47" s="1318"/>
      <c r="BYS47" s="1318"/>
      <c r="BYT47" s="1318"/>
      <c r="BYU47" s="1318"/>
      <c r="BYV47" s="1318"/>
      <c r="BYW47" s="1373"/>
      <c r="BYX47" s="1318"/>
      <c r="BYY47" s="1318"/>
      <c r="BYZ47" s="1318"/>
      <c r="BZA47" s="1318"/>
      <c r="BZB47" s="1318"/>
      <c r="BZC47" s="1318"/>
      <c r="BZD47" s="1318"/>
      <c r="BZE47" s="1318"/>
      <c r="BZF47" s="1318"/>
      <c r="BZG47" s="1318"/>
      <c r="BZH47" s="1373"/>
      <c r="BZI47" s="1318"/>
      <c r="BZJ47" s="1318"/>
      <c r="BZK47" s="1318"/>
      <c r="BZL47" s="1318"/>
      <c r="BZM47" s="1318"/>
      <c r="BZN47" s="1318"/>
      <c r="BZO47" s="1318"/>
      <c r="BZP47" s="1318"/>
      <c r="BZQ47" s="1318"/>
      <c r="BZR47" s="1318"/>
      <c r="BZS47" s="1373"/>
      <c r="BZT47" s="1318"/>
      <c r="BZU47" s="1318"/>
      <c r="BZV47" s="1318"/>
      <c r="BZW47" s="1318"/>
      <c r="BZX47" s="1318"/>
      <c r="BZY47" s="1318"/>
      <c r="BZZ47" s="1318"/>
      <c r="CAA47" s="1318"/>
      <c r="CAB47" s="1318"/>
      <c r="CAC47" s="1318"/>
      <c r="CAD47" s="1373"/>
      <c r="CAE47" s="1318"/>
      <c r="CAF47" s="1318"/>
      <c r="CAG47" s="1318"/>
      <c r="CAH47" s="1318"/>
      <c r="CAI47" s="1318"/>
      <c r="CAJ47" s="1318"/>
      <c r="CAK47" s="1318"/>
      <c r="CAL47" s="1318"/>
      <c r="CAM47" s="1318"/>
      <c r="CAN47" s="1318"/>
      <c r="CAO47" s="1373"/>
      <c r="CAP47" s="1318"/>
      <c r="CAQ47" s="1318"/>
      <c r="CAR47" s="1318"/>
      <c r="CAS47" s="1318"/>
      <c r="CAT47" s="1318"/>
      <c r="CAU47" s="1318"/>
      <c r="CAV47" s="1318"/>
      <c r="CAW47" s="1318"/>
      <c r="CAX47" s="1318"/>
      <c r="CAY47" s="1318"/>
      <c r="CAZ47" s="1373"/>
      <c r="CBA47" s="1318"/>
      <c r="CBB47" s="1318"/>
      <c r="CBC47" s="1318"/>
      <c r="CBD47" s="1318"/>
      <c r="CBE47" s="1318"/>
      <c r="CBF47" s="1318"/>
      <c r="CBG47" s="1318"/>
      <c r="CBH47" s="1318"/>
      <c r="CBI47" s="1318"/>
      <c r="CBJ47" s="1318"/>
      <c r="CBK47" s="1373"/>
      <c r="CBL47" s="1318"/>
      <c r="CBM47" s="1318"/>
      <c r="CBN47" s="1318"/>
      <c r="CBO47" s="1318"/>
      <c r="CBP47" s="1318"/>
      <c r="CBQ47" s="1318"/>
      <c r="CBR47" s="1318"/>
      <c r="CBS47" s="1318"/>
      <c r="CBT47" s="1318"/>
      <c r="CBU47" s="1318"/>
      <c r="CBV47" s="1373"/>
      <c r="CBW47" s="1318"/>
      <c r="CBX47" s="1318"/>
      <c r="CBY47" s="1318"/>
      <c r="CBZ47" s="1318"/>
      <c r="CCA47" s="1318"/>
      <c r="CCB47" s="1318"/>
      <c r="CCC47" s="1318"/>
      <c r="CCD47" s="1318"/>
      <c r="CCE47" s="1318"/>
      <c r="CCF47" s="1318"/>
      <c r="CCG47" s="1373"/>
      <c r="CCH47" s="1318"/>
      <c r="CCI47" s="1318"/>
      <c r="CCJ47" s="1318"/>
      <c r="CCK47" s="1318"/>
      <c r="CCL47" s="1318"/>
      <c r="CCM47" s="1318"/>
      <c r="CCN47" s="1318"/>
      <c r="CCO47" s="1318"/>
      <c r="CCP47" s="1318"/>
      <c r="CCQ47" s="1318"/>
      <c r="CCR47" s="1373"/>
      <c r="CCS47" s="1318"/>
      <c r="CCT47" s="1318"/>
      <c r="CCU47" s="1318"/>
      <c r="CCV47" s="1318"/>
      <c r="CCW47" s="1318"/>
      <c r="CCX47" s="1318"/>
      <c r="CCY47" s="1318"/>
      <c r="CCZ47" s="1318"/>
      <c r="CDA47" s="1318"/>
      <c r="CDB47" s="1318"/>
      <c r="CDC47" s="1373"/>
      <c r="CDD47" s="1318"/>
      <c r="CDE47" s="1318"/>
      <c r="CDF47" s="1318"/>
      <c r="CDG47" s="1318"/>
      <c r="CDH47" s="1318"/>
      <c r="CDI47" s="1318"/>
      <c r="CDJ47" s="1318"/>
      <c r="CDK47" s="1318"/>
      <c r="CDL47" s="1318"/>
      <c r="CDM47" s="1318"/>
      <c r="CDN47" s="1373"/>
      <c r="CDO47" s="1318"/>
      <c r="CDP47" s="1318"/>
      <c r="CDQ47" s="1318"/>
      <c r="CDR47" s="1318"/>
      <c r="CDS47" s="1318"/>
      <c r="CDT47" s="1318"/>
      <c r="CDU47" s="1318"/>
      <c r="CDV47" s="1318"/>
      <c r="CDW47" s="1318"/>
      <c r="CDX47" s="1318"/>
      <c r="CDY47" s="1373"/>
      <c r="CDZ47" s="1318"/>
      <c r="CEA47" s="1318"/>
      <c r="CEB47" s="1318"/>
      <c r="CEC47" s="1318"/>
      <c r="CED47" s="1318"/>
      <c r="CEE47" s="1318"/>
      <c r="CEF47" s="1318"/>
      <c r="CEG47" s="1318"/>
      <c r="CEH47" s="1318"/>
      <c r="CEI47" s="1318"/>
      <c r="CEJ47" s="1373"/>
      <c r="CEK47" s="1318"/>
      <c r="CEL47" s="1318"/>
      <c r="CEM47" s="1318"/>
      <c r="CEN47" s="1318"/>
      <c r="CEO47" s="1318"/>
      <c r="CEP47" s="1318"/>
      <c r="CEQ47" s="1318"/>
      <c r="CER47" s="1318"/>
      <c r="CES47" s="1318"/>
      <c r="CET47" s="1318"/>
      <c r="CEU47" s="1373"/>
      <c r="CEV47" s="1318"/>
      <c r="CEW47" s="1318"/>
      <c r="CEX47" s="1318"/>
      <c r="CEY47" s="1318"/>
      <c r="CEZ47" s="1318"/>
      <c r="CFA47" s="1318"/>
      <c r="CFB47" s="1318"/>
      <c r="CFC47" s="1318"/>
      <c r="CFD47" s="1318"/>
      <c r="CFE47" s="1318"/>
      <c r="CFF47" s="1373"/>
      <c r="CFG47" s="1318"/>
      <c r="CFH47" s="1318"/>
      <c r="CFI47" s="1318"/>
      <c r="CFJ47" s="1318"/>
      <c r="CFK47" s="1318"/>
      <c r="CFL47" s="1318"/>
      <c r="CFM47" s="1318"/>
      <c r="CFN47" s="1318"/>
      <c r="CFO47" s="1318"/>
      <c r="CFP47" s="1318"/>
      <c r="CFQ47" s="1373"/>
      <c r="CFR47" s="1318"/>
      <c r="CFS47" s="1318"/>
      <c r="CFT47" s="1318"/>
      <c r="CFU47" s="1318"/>
      <c r="CFV47" s="1318"/>
      <c r="CFW47" s="1318"/>
      <c r="CFX47" s="1318"/>
      <c r="CFY47" s="1318"/>
      <c r="CFZ47" s="1318"/>
      <c r="CGA47" s="1318"/>
      <c r="CGB47" s="1373"/>
      <c r="CGC47" s="1318"/>
      <c r="CGD47" s="1318"/>
      <c r="CGE47" s="1318"/>
      <c r="CGF47" s="1318"/>
      <c r="CGG47" s="1318"/>
      <c r="CGH47" s="1318"/>
      <c r="CGI47" s="1318"/>
      <c r="CGJ47" s="1318"/>
      <c r="CGK47" s="1318"/>
      <c r="CGL47" s="1318"/>
      <c r="CGM47" s="1373"/>
      <c r="CGN47" s="1318"/>
      <c r="CGO47" s="1318"/>
      <c r="CGP47" s="1318"/>
      <c r="CGQ47" s="1318"/>
      <c r="CGR47" s="1318"/>
      <c r="CGS47" s="1318"/>
      <c r="CGT47" s="1318"/>
      <c r="CGU47" s="1318"/>
      <c r="CGV47" s="1318"/>
      <c r="CGW47" s="1318"/>
      <c r="CGX47" s="1373"/>
      <c r="CGY47" s="1318"/>
      <c r="CGZ47" s="1318"/>
      <c r="CHA47" s="1318"/>
      <c r="CHB47" s="1318"/>
      <c r="CHC47" s="1318"/>
      <c r="CHD47" s="1318"/>
      <c r="CHE47" s="1318"/>
      <c r="CHF47" s="1318"/>
      <c r="CHG47" s="1318"/>
      <c r="CHH47" s="1318"/>
      <c r="CHI47" s="1373"/>
      <c r="CHJ47" s="1318"/>
      <c r="CHK47" s="1318"/>
      <c r="CHL47" s="1318"/>
      <c r="CHM47" s="1318"/>
      <c r="CHN47" s="1318"/>
      <c r="CHO47" s="1318"/>
      <c r="CHP47" s="1318"/>
      <c r="CHQ47" s="1318"/>
      <c r="CHR47" s="1318"/>
      <c r="CHS47" s="1318"/>
      <c r="CHT47" s="1373"/>
      <c r="CHU47" s="1318"/>
      <c r="CHV47" s="1318"/>
      <c r="CHW47" s="1318"/>
      <c r="CHX47" s="1318"/>
      <c r="CHY47" s="1318"/>
      <c r="CHZ47" s="1318"/>
      <c r="CIA47" s="1318"/>
      <c r="CIB47" s="1318"/>
      <c r="CIC47" s="1318"/>
      <c r="CID47" s="1318"/>
      <c r="CIE47" s="1373"/>
      <c r="CIF47" s="1318"/>
      <c r="CIG47" s="1318"/>
      <c r="CIH47" s="1318"/>
      <c r="CII47" s="1318"/>
      <c r="CIJ47" s="1318"/>
      <c r="CIK47" s="1318"/>
      <c r="CIL47" s="1318"/>
      <c r="CIM47" s="1318"/>
      <c r="CIN47" s="1318"/>
      <c r="CIO47" s="1318"/>
      <c r="CIP47" s="1373"/>
      <c r="CIQ47" s="1318"/>
      <c r="CIR47" s="1318"/>
      <c r="CIS47" s="1318"/>
      <c r="CIT47" s="1318"/>
      <c r="CIU47" s="1318"/>
      <c r="CIV47" s="1318"/>
      <c r="CIW47" s="1318"/>
      <c r="CIX47" s="1318"/>
      <c r="CIY47" s="1318"/>
      <c r="CIZ47" s="1318"/>
      <c r="CJA47" s="1373"/>
      <c r="CJB47" s="1318"/>
      <c r="CJC47" s="1318"/>
      <c r="CJD47" s="1318"/>
      <c r="CJE47" s="1318"/>
      <c r="CJF47" s="1318"/>
      <c r="CJG47" s="1318"/>
      <c r="CJH47" s="1318"/>
      <c r="CJI47" s="1318"/>
      <c r="CJJ47" s="1318"/>
      <c r="CJK47" s="1318"/>
      <c r="CJL47" s="1373"/>
      <c r="CJM47" s="1318"/>
      <c r="CJN47" s="1318"/>
      <c r="CJO47" s="1318"/>
      <c r="CJP47" s="1318"/>
      <c r="CJQ47" s="1318"/>
      <c r="CJR47" s="1318"/>
      <c r="CJS47" s="1318"/>
      <c r="CJT47" s="1318"/>
      <c r="CJU47" s="1318"/>
      <c r="CJV47" s="1318"/>
      <c r="CJW47" s="1373"/>
      <c r="CJX47" s="1318"/>
      <c r="CJY47" s="1318"/>
      <c r="CJZ47" s="1318"/>
      <c r="CKA47" s="1318"/>
      <c r="CKB47" s="1318"/>
      <c r="CKC47" s="1318"/>
      <c r="CKD47" s="1318"/>
      <c r="CKE47" s="1318"/>
      <c r="CKF47" s="1318"/>
      <c r="CKG47" s="1318"/>
      <c r="CKH47" s="1373"/>
      <c r="CKI47" s="1318"/>
      <c r="CKJ47" s="1318"/>
      <c r="CKK47" s="1318"/>
      <c r="CKL47" s="1318"/>
      <c r="CKM47" s="1318"/>
      <c r="CKN47" s="1318"/>
      <c r="CKO47" s="1318"/>
      <c r="CKP47" s="1318"/>
      <c r="CKQ47" s="1318"/>
      <c r="CKR47" s="1318"/>
      <c r="CKS47" s="1373"/>
      <c r="CKT47" s="1318"/>
      <c r="CKU47" s="1318"/>
      <c r="CKV47" s="1318"/>
      <c r="CKW47" s="1318"/>
      <c r="CKX47" s="1318"/>
      <c r="CKY47" s="1318"/>
      <c r="CKZ47" s="1318"/>
      <c r="CLA47" s="1318"/>
      <c r="CLB47" s="1318"/>
      <c r="CLC47" s="1318"/>
      <c r="CLD47" s="1373"/>
      <c r="CLE47" s="1318"/>
      <c r="CLF47" s="1318"/>
      <c r="CLG47" s="1318"/>
      <c r="CLH47" s="1318"/>
      <c r="CLI47" s="1318"/>
      <c r="CLJ47" s="1318"/>
      <c r="CLK47" s="1318"/>
      <c r="CLL47" s="1318"/>
      <c r="CLM47" s="1318"/>
      <c r="CLN47" s="1318"/>
      <c r="CLO47" s="1373"/>
      <c r="CLP47" s="1318"/>
      <c r="CLQ47" s="1318"/>
      <c r="CLR47" s="1318"/>
      <c r="CLS47" s="1318"/>
      <c r="CLT47" s="1318"/>
      <c r="CLU47" s="1318"/>
      <c r="CLV47" s="1318"/>
      <c r="CLW47" s="1318"/>
      <c r="CLX47" s="1318"/>
      <c r="CLY47" s="1318"/>
      <c r="CLZ47" s="1373"/>
      <c r="CMA47" s="1318"/>
      <c r="CMB47" s="1318"/>
      <c r="CMC47" s="1318"/>
      <c r="CMD47" s="1318"/>
      <c r="CME47" s="1318"/>
      <c r="CMF47" s="1318"/>
      <c r="CMG47" s="1318"/>
      <c r="CMH47" s="1318"/>
      <c r="CMI47" s="1318"/>
      <c r="CMJ47" s="1318"/>
      <c r="CMK47" s="1373"/>
      <c r="CML47" s="1318"/>
      <c r="CMM47" s="1318"/>
      <c r="CMN47" s="1318"/>
      <c r="CMO47" s="1318"/>
      <c r="CMP47" s="1318"/>
      <c r="CMQ47" s="1318"/>
      <c r="CMR47" s="1318"/>
      <c r="CMS47" s="1318"/>
      <c r="CMT47" s="1318"/>
      <c r="CMU47" s="1318"/>
      <c r="CMV47" s="1373"/>
      <c r="CMW47" s="1318"/>
      <c r="CMX47" s="1318"/>
      <c r="CMY47" s="1318"/>
      <c r="CMZ47" s="1318"/>
      <c r="CNA47" s="1318"/>
      <c r="CNB47" s="1318"/>
      <c r="CNC47" s="1318"/>
      <c r="CND47" s="1318"/>
      <c r="CNE47" s="1318"/>
      <c r="CNF47" s="1318"/>
      <c r="CNG47" s="1373"/>
      <c r="CNH47" s="1318"/>
      <c r="CNI47" s="1318"/>
      <c r="CNJ47" s="1318"/>
      <c r="CNK47" s="1318"/>
      <c r="CNL47" s="1318"/>
      <c r="CNM47" s="1318"/>
      <c r="CNN47" s="1318"/>
      <c r="CNO47" s="1318"/>
      <c r="CNP47" s="1318"/>
      <c r="CNQ47" s="1318"/>
      <c r="CNR47" s="1373"/>
      <c r="CNS47" s="1318"/>
      <c r="CNT47" s="1318"/>
      <c r="CNU47" s="1318"/>
      <c r="CNV47" s="1318"/>
      <c r="CNW47" s="1318"/>
      <c r="CNX47" s="1318"/>
      <c r="CNY47" s="1318"/>
      <c r="CNZ47" s="1318"/>
      <c r="COA47" s="1318"/>
      <c r="COB47" s="1318"/>
      <c r="COC47" s="1373"/>
      <c r="COD47" s="1318"/>
      <c r="COE47" s="1318"/>
      <c r="COF47" s="1318"/>
      <c r="COG47" s="1318"/>
      <c r="COH47" s="1318"/>
      <c r="COI47" s="1318"/>
      <c r="COJ47" s="1318"/>
      <c r="COK47" s="1318"/>
      <c r="COL47" s="1318"/>
      <c r="COM47" s="1318"/>
      <c r="CON47" s="1373"/>
      <c r="COO47" s="1318"/>
      <c r="COP47" s="1318"/>
      <c r="COQ47" s="1318"/>
      <c r="COR47" s="1318"/>
      <c r="COS47" s="1318"/>
      <c r="COT47" s="1318"/>
      <c r="COU47" s="1318"/>
      <c r="COV47" s="1318"/>
      <c r="COW47" s="1318"/>
      <c r="COX47" s="1318"/>
      <c r="COY47" s="1373"/>
      <c r="COZ47" s="1318"/>
      <c r="CPA47" s="1318"/>
      <c r="CPB47" s="1318"/>
      <c r="CPC47" s="1318"/>
      <c r="CPD47" s="1318"/>
      <c r="CPE47" s="1318"/>
      <c r="CPF47" s="1318"/>
      <c r="CPG47" s="1318"/>
      <c r="CPH47" s="1318"/>
      <c r="CPI47" s="1318"/>
      <c r="CPJ47" s="1373"/>
      <c r="CPK47" s="1318"/>
      <c r="CPL47" s="1318"/>
      <c r="CPM47" s="1318"/>
      <c r="CPN47" s="1318"/>
      <c r="CPO47" s="1318"/>
      <c r="CPP47" s="1318"/>
      <c r="CPQ47" s="1318"/>
      <c r="CPR47" s="1318"/>
      <c r="CPS47" s="1318"/>
      <c r="CPT47" s="1318"/>
      <c r="CPU47" s="1373"/>
      <c r="CPV47" s="1318"/>
      <c r="CPW47" s="1318"/>
      <c r="CPX47" s="1318"/>
      <c r="CPY47" s="1318"/>
      <c r="CPZ47" s="1318"/>
      <c r="CQA47" s="1318"/>
      <c r="CQB47" s="1318"/>
      <c r="CQC47" s="1318"/>
      <c r="CQD47" s="1318"/>
      <c r="CQE47" s="1318"/>
      <c r="CQF47" s="1373"/>
      <c r="CQG47" s="1318"/>
      <c r="CQH47" s="1318"/>
      <c r="CQI47" s="1318"/>
      <c r="CQJ47" s="1318"/>
      <c r="CQK47" s="1318"/>
      <c r="CQL47" s="1318"/>
      <c r="CQM47" s="1318"/>
      <c r="CQN47" s="1318"/>
      <c r="CQO47" s="1318"/>
      <c r="CQP47" s="1318"/>
      <c r="CQQ47" s="1373"/>
      <c r="CQR47" s="1318"/>
      <c r="CQS47" s="1318"/>
      <c r="CQT47" s="1318"/>
      <c r="CQU47" s="1318"/>
      <c r="CQV47" s="1318"/>
      <c r="CQW47" s="1318"/>
      <c r="CQX47" s="1318"/>
      <c r="CQY47" s="1318"/>
      <c r="CQZ47" s="1318"/>
      <c r="CRA47" s="1318"/>
      <c r="CRB47" s="1373"/>
      <c r="CRC47" s="1318"/>
      <c r="CRD47" s="1318"/>
      <c r="CRE47" s="1318"/>
      <c r="CRF47" s="1318"/>
      <c r="CRG47" s="1318"/>
      <c r="CRH47" s="1318"/>
      <c r="CRI47" s="1318"/>
      <c r="CRJ47" s="1318"/>
      <c r="CRK47" s="1318"/>
      <c r="CRL47" s="1318"/>
      <c r="CRM47" s="1373"/>
      <c r="CRN47" s="1318"/>
      <c r="CRO47" s="1318"/>
      <c r="CRP47" s="1318"/>
      <c r="CRQ47" s="1318"/>
      <c r="CRR47" s="1318"/>
      <c r="CRS47" s="1318"/>
      <c r="CRT47" s="1318"/>
      <c r="CRU47" s="1318"/>
      <c r="CRV47" s="1318"/>
      <c r="CRW47" s="1318"/>
      <c r="CRX47" s="1373"/>
      <c r="CRY47" s="1318"/>
      <c r="CRZ47" s="1318"/>
      <c r="CSA47" s="1318"/>
      <c r="CSB47" s="1318"/>
      <c r="CSC47" s="1318"/>
      <c r="CSD47" s="1318"/>
      <c r="CSE47" s="1318"/>
      <c r="CSF47" s="1318"/>
      <c r="CSG47" s="1318"/>
      <c r="CSH47" s="1318"/>
      <c r="CSI47" s="1373"/>
      <c r="CSJ47" s="1318"/>
      <c r="CSK47" s="1318"/>
      <c r="CSL47" s="1318"/>
      <c r="CSM47" s="1318"/>
      <c r="CSN47" s="1318"/>
      <c r="CSO47" s="1318"/>
      <c r="CSP47" s="1318"/>
      <c r="CSQ47" s="1318"/>
      <c r="CSR47" s="1318"/>
      <c r="CSS47" s="1318"/>
      <c r="CST47" s="1373"/>
      <c r="CSU47" s="1318"/>
      <c r="CSV47" s="1318"/>
      <c r="CSW47" s="1318"/>
      <c r="CSX47" s="1318"/>
      <c r="CSY47" s="1318"/>
      <c r="CSZ47" s="1318"/>
      <c r="CTA47" s="1318"/>
      <c r="CTB47" s="1318"/>
      <c r="CTC47" s="1318"/>
      <c r="CTD47" s="1318"/>
      <c r="CTE47" s="1373"/>
      <c r="CTF47" s="1318"/>
      <c r="CTG47" s="1318"/>
      <c r="CTH47" s="1318"/>
      <c r="CTI47" s="1318"/>
      <c r="CTJ47" s="1318"/>
      <c r="CTK47" s="1318"/>
      <c r="CTL47" s="1318"/>
      <c r="CTM47" s="1318"/>
      <c r="CTN47" s="1318"/>
      <c r="CTO47" s="1318"/>
      <c r="CTP47" s="1373"/>
      <c r="CTQ47" s="1318"/>
      <c r="CTR47" s="1318"/>
      <c r="CTS47" s="1318"/>
      <c r="CTT47" s="1318"/>
      <c r="CTU47" s="1318"/>
      <c r="CTV47" s="1318"/>
      <c r="CTW47" s="1318"/>
      <c r="CTX47" s="1318"/>
      <c r="CTY47" s="1318"/>
      <c r="CTZ47" s="1318"/>
      <c r="CUA47" s="1373"/>
      <c r="CUB47" s="1318"/>
      <c r="CUC47" s="1318"/>
      <c r="CUD47" s="1318"/>
      <c r="CUE47" s="1318"/>
      <c r="CUF47" s="1318"/>
      <c r="CUG47" s="1318"/>
      <c r="CUH47" s="1318"/>
      <c r="CUI47" s="1318"/>
      <c r="CUJ47" s="1318"/>
      <c r="CUK47" s="1318"/>
      <c r="CUL47" s="1373"/>
      <c r="CUM47" s="1318"/>
      <c r="CUN47" s="1318"/>
      <c r="CUO47" s="1318"/>
      <c r="CUP47" s="1318"/>
      <c r="CUQ47" s="1318"/>
      <c r="CUR47" s="1318"/>
      <c r="CUS47" s="1318"/>
      <c r="CUT47" s="1318"/>
      <c r="CUU47" s="1318"/>
      <c r="CUV47" s="1318"/>
      <c r="CUW47" s="1373"/>
      <c r="CUX47" s="1318"/>
      <c r="CUY47" s="1318"/>
      <c r="CUZ47" s="1318"/>
      <c r="CVA47" s="1318"/>
      <c r="CVB47" s="1318"/>
      <c r="CVC47" s="1318"/>
      <c r="CVD47" s="1318"/>
      <c r="CVE47" s="1318"/>
      <c r="CVF47" s="1318"/>
      <c r="CVG47" s="1318"/>
      <c r="CVH47" s="1373"/>
      <c r="CVI47" s="1318"/>
      <c r="CVJ47" s="1318"/>
      <c r="CVK47" s="1318"/>
      <c r="CVL47" s="1318"/>
      <c r="CVM47" s="1318"/>
      <c r="CVN47" s="1318"/>
      <c r="CVO47" s="1318"/>
      <c r="CVP47" s="1318"/>
      <c r="CVQ47" s="1318"/>
      <c r="CVR47" s="1318"/>
      <c r="CVS47" s="1373"/>
      <c r="CVT47" s="1318"/>
      <c r="CVU47" s="1318"/>
      <c r="CVV47" s="1318"/>
      <c r="CVW47" s="1318"/>
      <c r="CVX47" s="1318"/>
      <c r="CVY47" s="1318"/>
      <c r="CVZ47" s="1318"/>
      <c r="CWA47" s="1318"/>
      <c r="CWB47" s="1318"/>
      <c r="CWC47" s="1318"/>
      <c r="CWD47" s="1373"/>
      <c r="CWE47" s="1318"/>
      <c r="CWF47" s="1318"/>
      <c r="CWG47" s="1318"/>
      <c r="CWH47" s="1318"/>
      <c r="CWI47" s="1318"/>
      <c r="CWJ47" s="1318"/>
      <c r="CWK47" s="1318"/>
      <c r="CWL47" s="1318"/>
      <c r="CWM47" s="1318"/>
      <c r="CWN47" s="1318"/>
      <c r="CWO47" s="1373"/>
      <c r="CWP47" s="1318"/>
      <c r="CWQ47" s="1318"/>
      <c r="CWR47" s="1318"/>
      <c r="CWS47" s="1318"/>
      <c r="CWT47" s="1318"/>
      <c r="CWU47" s="1318"/>
      <c r="CWV47" s="1318"/>
      <c r="CWW47" s="1318"/>
      <c r="CWX47" s="1318"/>
      <c r="CWY47" s="1318"/>
      <c r="CWZ47" s="1373"/>
      <c r="CXA47" s="1318"/>
      <c r="CXB47" s="1318"/>
      <c r="CXC47" s="1318"/>
      <c r="CXD47" s="1318"/>
      <c r="CXE47" s="1318"/>
      <c r="CXF47" s="1318"/>
      <c r="CXG47" s="1318"/>
      <c r="CXH47" s="1318"/>
      <c r="CXI47" s="1318"/>
      <c r="CXJ47" s="1318"/>
      <c r="CXK47" s="1373"/>
      <c r="CXL47" s="1318"/>
      <c r="CXM47" s="1318"/>
      <c r="CXN47" s="1318"/>
      <c r="CXO47" s="1318"/>
      <c r="CXP47" s="1318"/>
      <c r="CXQ47" s="1318"/>
      <c r="CXR47" s="1318"/>
      <c r="CXS47" s="1318"/>
      <c r="CXT47" s="1318"/>
      <c r="CXU47" s="1318"/>
      <c r="CXV47" s="1373"/>
      <c r="CXW47" s="1318"/>
      <c r="CXX47" s="1318"/>
      <c r="CXY47" s="1318"/>
      <c r="CXZ47" s="1318"/>
      <c r="CYA47" s="1318"/>
      <c r="CYB47" s="1318"/>
      <c r="CYC47" s="1318"/>
      <c r="CYD47" s="1318"/>
      <c r="CYE47" s="1318"/>
      <c r="CYF47" s="1318"/>
      <c r="CYG47" s="1373"/>
      <c r="CYH47" s="1318"/>
      <c r="CYI47" s="1318"/>
      <c r="CYJ47" s="1318"/>
      <c r="CYK47" s="1318"/>
      <c r="CYL47" s="1318"/>
      <c r="CYM47" s="1318"/>
      <c r="CYN47" s="1318"/>
      <c r="CYO47" s="1318"/>
      <c r="CYP47" s="1318"/>
      <c r="CYQ47" s="1318"/>
      <c r="CYR47" s="1373"/>
      <c r="CYS47" s="1318"/>
      <c r="CYT47" s="1318"/>
      <c r="CYU47" s="1318"/>
      <c r="CYV47" s="1318"/>
      <c r="CYW47" s="1318"/>
      <c r="CYX47" s="1318"/>
      <c r="CYY47" s="1318"/>
      <c r="CYZ47" s="1318"/>
      <c r="CZA47" s="1318"/>
      <c r="CZB47" s="1318"/>
      <c r="CZC47" s="1373"/>
      <c r="CZD47" s="1318"/>
      <c r="CZE47" s="1318"/>
      <c r="CZF47" s="1318"/>
      <c r="CZG47" s="1318"/>
      <c r="CZH47" s="1318"/>
      <c r="CZI47" s="1318"/>
      <c r="CZJ47" s="1318"/>
      <c r="CZK47" s="1318"/>
      <c r="CZL47" s="1318"/>
      <c r="CZM47" s="1318"/>
      <c r="CZN47" s="1373"/>
      <c r="CZO47" s="1318"/>
      <c r="CZP47" s="1318"/>
      <c r="CZQ47" s="1318"/>
      <c r="CZR47" s="1318"/>
      <c r="CZS47" s="1318"/>
      <c r="CZT47" s="1318"/>
      <c r="CZU47" s="1318"/>
      <c r="CZV47" s="1318"/>
      <c r="CZW47" s="1318"/>
      <c r="CZX47" s="1318"/>
      <c r="CZY47" s="1373"/>
      <c r="CZZ47" s="1318"/>
      <c r="DAA47" s="1318"/>
      <c r="DAB47" s="1318"/>
      <c r="DAC47" s="1318"/>
      <c r="DAD47" s="1318"/>
      <c r="DAE47" s="1318"/>
      <c r="DAF47" s="1318"/>
      <c r="DAG47" s="1318"/>
      <c r="DAH47" s="1318"/>
      <c r="DAI47" s="1318"/>
      <c r="DAJ47" s="1373"/>
      <c r="DAK47" s="1318"/>
      <c r="DAL47" s="1318"/>
      <c r="DAM47" s="1318"/>
      <c r="DAN47" s="1318"/>
      <c r="DAO47" s="1318"/>
      <c r="DAP47" s="1318"/>
      <c r="DAQ47" s="1318"/>
      <c r="DAR47" s="1318"/>
      <c r="DAS47" s="1318"/>
      <c r="DAT47" s="1318"/>
      <c r="DAU47" s="1373"/>
      <c r="DAV47" s="1318"/>
      <c r="DAW47" s="1318"/>
      <c r="DAX47" s="1318"/>
      <c r="DAY47" s="1318"/>
      <c r="DAZ47" s="1318"/>
      <c r="DBA47" s="1318"/>
      <c r="DBB47" s="1318"/>
      <c r="DBC47" s="1318"/>
      <c r="DBD47" s="1318"/>
      <c r="DBE47" s="1318"/>
      <c r="DBF47" s="1373"/>
      <c r="DBG47" s="1318"/>
      <c r="DBH47" s="1318"/>
      <c r="DBI47" s="1318"/>
      <c r="DBJ47" s="1318"/>
      <c r="DBK47" s="1318"/>
      <c r="DBL47" s="1318"/>
      <c r="DBM47" s="1318"/>
      <c r="DBN47" s="1318"/>
      <c r="DBO47" s="1318"/>
      <c r="DBP47" s="1318"/>
      <c r="DBQ47" s="1373"/>
      <c r="DBR47" s="1318"/>
      <c r="DBS47" s="1318"/>
      <c r="DBT47" s="1318"/>
      <c r="DBU47" s="1318"/>
      <c r="DBV47" s="1318"/>
      <c r="DBW47" s="1318"/>
      <c r="DBX47" s="1318"/>
      <c r="DBY47" s="1318"/>
      <c r="DBZ47" s="1318"/>
      <c r="DCA47" s="1318"/>
      <c r="DCB47" s="1373"/>
      <c r="DCC47" s="1318"/>
      <c r="DCD47" s="1318"/>
      <c r="DCE47" s="1318"/>
      <c r="DCF47" s="1318"/>
      <c r="DCG47" s="1318"/>
      <c r="DCH47" s="1318"/>
      <c r="DCI47" s="1318"/>
      <c r="DCJ47" s="1318"/>
      <c r="DCK47" s="1318"/>
      <c r="DCL47" s="1318"/>
      <c r="DCM47" s="1373"/>
      <c r="DCN47" s="1318"/>
      <c r="DCO47" s="1318"/>
      <c r="DCP47" s="1318"/>
      <c r="DCQ47" s="1318"/>
      <c r="DCR47" s="1318"/>
      <c r="DCS47" s="1318"/>
      <c r="DCT47" s="1318"/>
      <c r="DCU47" s="1318"/>
      <c r="DCV47" s="1318"/>
      <c r="DCW47" s="1318"/>
      <c r="DCX47" s="1373"/>
      <c r="DCY47" s="1318"/>
      <c r="DCZ47" s="1318"/>
      <c r="DDA47" s="1318"/>
      <c r="DDB47" s="1318"/>
      <c r="DDC47" s="1318"/>
      <c r="DDD47" s="1318"/>
      <c r="DDE47" s="1318"/>
      <c r="DDF47" s="1318"/>
      <c r="DDG47" s="1318"/>
      <c r="DDH47" s="1318"/>
      <c r="DDI47" s="1373"/>
      <c r="DDJ47" s="1318"/>
      <c r="DDK47" s="1318"/>
      <c r="DDL47" s="1318"/>
      <c r="DDM47" s="1318"/>
      <c r="DDN47" s="1318"/>
      <c r="DDO47" s="1318"/>
      <c r="DDP47" s="1318"/>
      <c r="DDQ47" s="1318"/>
      <c r="DDR47" s="1318"/>
      <c r="DDS47" s="1318"/>
      <c r="DDT47" s="1373"/>
      <c r="DDU47" s="1318"/>
      <c r="DDV47" s="1318"/>
      <c r="DDW47" s="1318"/>
      <c r="DDX47" s="1318"/>
      <c r="DDY47" s="1318"/>
      <c r="DDZ47" s="1318"/>
      <c r="DEA47" s="1318"/>
      <c r="DEB47" s="1318"/>
      <c r="DEC47" s="1318"/>
      <c r="DED47" s="1318"/>
      <c r="DEE47" s="1373"/>
      <c r="DEF47" s="1318"/>
      <c r="DEG47" s="1318"/>
      <c r="DEH47" s="1318"/>
      <c r="DEI47" s="1318"/>
      <c r="DEJ47" s="1318"/>
      <c r="DEK47" s="1318"/>
      <c r="DEL47" s="1318"/>
      <c r="DEM47" s="1318"/>
      <c r="DEN47" s="1318"/>
      <c r="DEO47" s="1318"/>
      <c r="DEP47" s="1373"/>
      <c r="DEQ47" s="1318"/>
      <c r="DER47" s="1318"/>
      <c r="DES47" s="1318"/>
      <c r="DET47" s="1318"/>
      <c r="DEU47" s="1318"/>
      <c r="DEV47" s="1318"/>
      <c r="DEW47" s="1318"/>
      <c r="DEX47" s="1318"/>
      <c r="DEY47" s="1318"/>
      <c r="DEZ47" s="1318"/>
      <c r="DFA47" s="1373"/>
      <c r="DFB47" s="1318"/>
      <c r="DFC47" s="1318"/>
      <c r="DFD47" s="1318"/>
      <c r="DFE47" s="1318"/>
      <c r="DFF47" s="1318"/>
      <c r="DFG47" s="1318"/>
      <c r="DFH47" s="1318"/>
      <c r="DFI47" s="1318"/>
      <c r="DFJ47" s="1318"/>
      <c r="DFK47" s="1318"/>
      <c r="DFL47" s="1373"/>
      <c r="DFM47" s="1318"/>
      <c r="DFN47" s="1318"/>
      <c r="DFO47" s="1318"/>
      <c r="DFP47" s="1318"/>
      <c r="DFQ47" s="1318"/>
      <c r="DFR47" s="1318"/>
      <c r="DFS47" s="1318"/>
      <c r="DFT47" s="1318"/>
      <c r="DFU47" s="1318"/>
      <c r="DFV47" s="1318"/>
      <c r="DFW47" s="1373"/>
      <c r="DFX47" s="1318"/>
      <c r="DFY47" s="1318"/>
      <c r="DFZ47" s="1318"/>
      <c r="DGA47" s="1318"/>
      <c r="DGB47" s="1318"/>
      <c r="DGC47" s="1318"/>
      <c r="DGD47" s="1318"/>
      <c r="DGE47" s="1318"/>
      <c r="DGF47" s="1318"/>
      <c r="DGG47" s="1318"/>
      <c r="DGH47" s="1373"/>
      <c r="DGI47" s="1318"/>
      <c r="DGJ47" s="1318"/>
      <c r="DGK47" s="1318"/>
      <c r="DGL47" s="1318"/>
      <c r="DGM47" s="1318"/>
      <c r="DGN47" s="1318"/>
      <c r="DGO47" s="1318"/>
      <c r="DGP47" s="1318"/>
      <c r="DGQ47" s="1318"/>
      <c r="DGR47" s="1318"/>
      <c r="DGS47" s="1373"/>
      <c r="DGT47" s="1318"/>
      <c r="DGU47" s="1318"/>
      <c r="DGV47" s="1318"/>
      <c r="DGW47" s="1318"/>
      <c r="DGX47" s="1318"/>
      <c r="DGY47" s="1318"/>
      <c r="DGZ47" s="1318"/>
      <c r="DHA47" s="1318"/>
      <c r="DHB47" s="1318"/>
      <c r="DHC47" s="1318"/>
      <c r="DHD47" s="1373"/>
      <c r="DHE47" s="1318"/>
      <c r="DHF47" s="1318"/>
      <c r="DHG47" s="1318"/>
      <c r="DHH47" s="1318"/>
      <c r="DHI47" s="1318"/>
      <c r="DHJ47" s="1318"/>
      <c r="DHK47" s="1318"/>
      <c r="DHL47" s="1318"/>
      <c r="DHM47" s="1318"/>
      <c r="DHN47" s="1318"/>
      <c r="DHO47" s="1373"/>
      <c r="DHP47" s="1318"/>
      <c r="DHQ47" s="1318"/>
      <c r="DHR47" s="1318"/>
      <c r="DHS47" s="1318"/>
      <c r="DHT47" s="1318"/>
      <c r="DHU47" s="1318"/>
      <c r="DHV47" s="1318"/>
      <c r="DHW47" s="1318"/>
      <c r="DHX47" s="1318"/>
      <c r="DHY47" s="1318"/>
      <c r="DHZ47" s="1373"/>
      <c r="DIA47" s="1318"/>
      <c r="DIB47" s="1318"/>
      <c r="DIC47" s="1318"/>
      <c r="DID47" s="1318"/>
      <c r="DIE47" s="1318"/>
      <c r="DIF47" s="1318"/>
      <c r="DIG47" s="1318"/>
      <c r="DIH47" s="1318"/>
      <c r="DII47" s="1318"/>
      <c r="DIJ47" s="1318"/>
      <c r="DIK47" s="1373"/>
      <c r="DIL47" s="1318"/>
      <c r="DIM47" s="1318"/>
      <c r="DIN47" s="1318"/>
      <c r="DIO47" s="1318"/>
      <c r="DIP47" s="1318"/>
      <c r="DIQ47" s="1318"/>
      <c r="DIR47" s="1318"/>
      <c r="DIS47" s="1318"/>
      <c r="DIT47" s="1318"/>
      <c r="DIU47" s="1318"/>
      <c r="DIV47" s="1373"/>
      <c r="DIW47" s="1318"/>
      <c r="DIX47" s="1318"/>
      <c r="DIY47" s="1318"/>
      <c r="DIZ47" s="1318"/>
      <c r="DJA47" s="1318"/>
      <c r="DJB47" s="1318"/>
      <c r="DJC47" s="1318"/>
      <c r="DJD47" s="1318"/>
      <c r="DJE47" s="1318"/>
      <c r="DJF47" s="1318"/>
      <c r="DJG47" s="1373"/>
      <c r="DJH47" s="1318"/>
      <c r="DJI47" s="1318"/>
      <c r="DJJ47" s="1318"/>
      <c r="DJK47" s="1318"/>
      <c r="DJL47" s="1318"/>
      <c r="DJM47" s="1318"/>
      <c r="DJN47" s="1318"/>
      <c r="DJO47" s="1318"/>
      <c r="DJP47" s="1318"/>
      <c r="DJQ47" s="1318"/>
      <c r="DJR47" s="1373"/>
      <c r="DJS47" s="1318"/>
      <c r="DJT47" s="1318"/>
      <c r="DJU47" s="1318"/>
      <c r="DJV47" s="1318"/>
      <c r="DJW47" s="1318"/>
      <c r="DJX47" s="1318"/>
      <c r="DJY47" s="1318"/>
      <c r="DJZ47" s="1318"/>
      <c r="DKA47" s="1318"/>
      <c r="DKB47" s="1318"/>
      <c r="DKC47" s="1373"/>
      <c r="DKD47" s="1318"/>
      <c r="DKE47" s="1318"/>
      <c r="DKF47" s="1318"/>
      <c r="DKG47" s="1318"/>
      <c r="DKH47" s="1318"/>
      <c r="DKI47" s="1318"/>
      <c r="DKJ47" s="1318"/>
      <c r="DKK47" s="1318"/>
      <c r="DKL47" s="1318"/>
      <c r="DKM47" s="1318"/>
      <c r="DKN47" s="1373"/>
      <c r="DKO47" s="1318"/>
      <c r="DKP47" s="1318"/>
      <c r="DKQ47" s="1318"/>
      <c r="DKR47" s="1318"/>
      <c r="DKS47" s="1318"/>
      <c r="DKT47" s="1318"/>
      <c r="DKU47" s="1318"/>
      <c r="DKV47" s="1318"/>
      <c r="DKW47" s="1318"/>
      <c r="DKX47" s="1318"/>
      <c r="DKY47" s="1373"/>
      <c r="DKZ47" s="1318"/>
      <c r="DLA47" s="1318"/>
      <c r="DLB47" s="1318"/>
      <c r="DLC47" s="1318"/>
      <c r="DLD47" s="1318"/>
      <c r="DLE47" s="1318"/>
      <c r="DLF47" s="1318"/>
      <c r="DLG47" s="1318"/>
      <c r="DLH47" s="1318"/>
      <c r="DLI47" s="1318"/>
      <c r="DLJ47" s="1373"/>
      <c r="DLK47" s="1318"/>
      <c r="DLL47" s="1318"/>
      <c r="DLM47" s="1318"/>
      <c r="DLN47" s="1318"/>
      <c r="DLO47" s="1318"/>
      <c r="DLP47" s="1318"/>
      <c r="DLQ47" s="1318"/>
      <c r="DLR47" s="1318"/>
      <c r="DLS47" s="1318"/>
      <c r="DLT47" s="1318"/>
      <c r="DLU47" s="1373"/>
      <c r="DLV47" s="1318"/>
      <c r="DLW47" s="1318"/>
      <c r="DLX47" s="1318"/>
      <c r="DLY47" s="1318"/>
      <c r="DLZ47" s="1318"/>
      <c r="DMA47" s="1318"/>
      <c r="DMB47" s="1318"/>
      <c r="DMC47" s="1318"/>
      <c r="DMD47" s="1318"/>
      <c r="DME47" s="1318"/>
      <c r="DMF47" s="1373"/>
      <c r="DMG47" s="1318"/>
      <c r="DMH47" s="1318"/>
      <c r="DMI47" s="1318"/>
      <c r="DMJ47" s="1318"/>
      <c r="DMK47" s="1318"/>
      <c r="DML47" s="1318"/>
      <c r="DMM47" s="1318"/>
      <c r="DMN47" s="1318"/>
      <c r="DMO47" s="1318"/>
      <c r="DMP47" s="1318"/>
      <c r="DMQ47" s="1373"/>
      <c r="DMR47" s="1318"/>
      <c r="DMS47" s="1318"/>
      <c r="DMT47" s="1318"/>
      <c r="DMU47" s="1318"/>
      <c r="DMV47" s="1318"/>
      <c r="DMW47" s="1318"/>
      <c r="DMX47" s="1318"/>
      <c r="DMY47" s="1318"/>
      <c r="DMZ47" s="1318"/>
      <c r="DNA47" s="1318"/>
      <c r="DNB47" s="1373"/>
      <c r="DNC47" s="1318"/>
      <c r="DND47" s="1318"/>
      <c r="DNE47" s="1318"/>
      <c r="DNF47" s="1318"/>
      <c r="DNG47" s="1318"/>
      <c r="DNH47" s="1318"/>
      <c r="DNI47" s="1318"/>
      <c r="DNJ47" s="1318"/>
      <c r="DNK47" s="1318"/>
      <c r="DNL47" s="1318"/>
      <c r="DNM47" s="1373"/>
      <c r="DNN47" s="1318"/>
      <c r="DNO47" s="1318"/>
      <c r="DNP47" s="1318"/>
      <c r="DNQ47" s="1318"/>
      <c r="DNR47" s="1318"/>
      <c r="DNS47" s="1318"/>
      <c r="DNT47" s="1318"/>
      <c r="DNU47" s="1318"/>
      <c r="DNV47" s="1318"/>
      <c r="DNW47" s="1318"/>
      <c r="DNX47" s="1373"/>
      <c r="DNY47" s="1318"/>
      <c r="DNZ47" s="1318"/>
      <c r="DOA47" s="1318"/>
      <c r="DOB47" s="1318"/>
      <c r="DOC47" s="1318"/>
      <c r="DOD47" s="1318"/>
      <c r="DOE47" s="1318"/>
      <c r="DOF47" s="1318"/>
      <c r="DOG47" s="1318"/>
      <c r="DOH47" s="1318"/>
      <c r="DOI47" s="1373"/>
      <c r="DOJ47" s="1318"/>
      <c r="DOK47" s="1318"/>
      <c r="DOL47" s="1318"/>
      <c r="DOM47" s="1318"/>
      <c r="DON47" s="1318"/>
      <c r="DOO47" s="1318"/>
      <c r="DOP47" s="1318"/>
      <c r="DOQ47" s="1318"/>
      <c r="DOR47" s="1318"/>
      <c r="DOS47" s="1318"/>
      <c r="DOT47" s="1373"/>
      <c r="DOU47" s="1318"/>
      <c r="DOV47" s="1318"/>
      <c r="DOW47" s="1318"/>
      <c r="DOX47" s="1318"/>
      <c r="DOY47" s="1318"/>
      <c r="DOZ47" s="1318"/>
      <c r="DPA47" s="1318"/>
      <c r="DPB47" s="1318"/>
      <c r="DPC47" s="1318"/>
      <c r="DPD47" s="1318"/>
      <c r="DPE47" s="1373"/>
      <c r="DPF47" s="1318"/>
      <c r="DPG47" s="1318"/>
      <c r="DPH47" s="1318"/>
      <c r="DPI47" s="1318"/>
      <c r="DPJ47" s="1318"/>
      <c r="DPK47" s="1318"/>
      <c r="DPL47" s="1318"/>
      <c r="DPM47" s="1318"/>
      <c r="DPN47" s="1318"/>
      <c r="DPO47" s="1318"/>
      <c r="DPP47" s="1373"/>
      <c r="DPQ47" s="1318"/>
      <c r="DPR47" s="1318"/>
      <c r="DPS47" s="1318"/>
      <c r="DPT47" s="1318"/>
      <c r="DPU47" s="1318"/>
      <c r="DPV47" s="1318"/>
      <c r="DPW47" s="1318"/>
      <c r="DPX47" s="1318"/>
      <c r="DPY47" s="1318"/>
      <c r="DPZ47" s="1318"/>
      <c r="DQA47" s="1373"/>
      <c r="DQB47" s="1318"/>
      <c r="DQC47" s="1318"/>
      <c r="DQD47" s="1318"/>
      <c r="DQE47" s="1318"/>
      <c r="DQF47" s="1318"/>
      <c r="DQG47" s="1318"/>
      <c r="DQH47" s="1318"/>
      <c r="DQI47" s="1318"/>
      <c r="DQJ47" s="1318"/>
      <c r="DQK47" s="1318"/>
      <c r="DQL47" s="1373"/>
      <c r="DQM47" s="1318"/>
      <c r="DQN47" s="1318"/>
      <c r="DQO47" s="1318"/>
      <c r="DQP47" s="1318"/>
      <c r="DQQ47" s="1318"/>
      <c r="DQR47" s="1318"/>
      <c r="DQS47" s="1318"/>
      <c r="DQT47" s="1318"/>
      <c r="DQU47" s="1318"/>
      <c r="DQV47" s="1318"/>
      <c r="DQW47" s="1373"/>
      <c r="DQX47" s="1318"/>
      <c r="DQY47" s="1318"/>
      <c r="DQZ47" s="1318"/>
      <c r="DRA47" s="1318"/>
      <c r="DRB47" s="1318"/>
      <c r="DRC47" s="1318"/>
      <c r="DRD47" s="1318"/>
      <c r="DRE47" s="1318"/>
      <c r="DRF47" s="1318"/>
      <c r="DRG47" s="1318"/>
      <c r="DRH47" s="1373"/>
      <c r="DRI47" s="1318"/>
      <c r="DRJ47" s="1318"/>
      <c r="DRK47" s="1318"/>
      <c r="DRL47" s="1318"/>
      <c r="DRM47" s="1318"/>
      <c r="DRN47" s="1318"/>
      <c r="DRO47" s="1318"/>
      <c r="DRP47" s="1318"/>
      <c r="DRQ47" s="1318"/>
      <c r="DRR47" s="1318"/>
      <c r="DRS47" s="1373"/>
      <c r="DRT47" s="1318"/>
      <c r="DRU47" s="1318"/>
      <c r="DRV47" s="1318"/>
      <c r="DRW47" s="1318"/>
      <c r="DRX47" s="1318"/>
      <c r="DRY47" s="1318"/>
      <c r="DRZ47" s="1318"/>
      <c r="DSA47" s="1318"/>
      <c r="DSB47" s="1318"/>
      <c r="DSC47" s="1318"/>
      <c r="DSD47" s="1373"/>
      <c r="DSE47" s="1318"/>
      <c r="DSF47" s="1318"/>
      <c r="DSG47" s="1318"/>
      <c r="DSH47" s="1318"/>
      <c r="DSI47" s="1318"/>
      <c r="DSJ47" s="1318"/>
      <c r="DSK47" s="1318"/>
      <c r="DSL47" s="1318"/>
      <c r="DSM47" s="1318"/>
      <c r="DSN47" s="1318"/>
      <c r="DSO47" s="1373"/>
      <c r="DSP47" s="1318"/>
      <c r="DSQ47" s="1318"/>
      <c r="DSR47" s="1318"/>
      <c r="DSS47" s="1318"/>
      <c r="DST47" s="1318"/>
      <c r="DSU47" s="1318"/>
      <c r="DSV47" s="1318"/>
      <c r="DSW47" s="1318"/>
      <c r="DSX47" s="1318"/>
      <c r="DSY47" s="1318"/>
      <c r="DSZ47" s="1373"/>
      <c r="DTA47" s="1318"/>
      <c r="DTB47" s="1318"/>
      <c r="DTC47" s="1318"/>
      <c r="DTD47" s="1318"/>
      <c r="DTE47" s="1318"/>
      <c r="DTF47" s="1318"/>
      <c r="DTG47" s="1318"/>
      <c r="DTH47" s="1318"/>
      <c r="DTI47" s="1318"/>
      <c r="DTJ47" s="1318"/>
      <c r="DTK47" s="1373"/>
      <c r="DTL47" s="1318"/>
      <c r="DTM47" s="1318"/>
      <c r="DTN47" s="1318"/>
      <c r="DTO47" s="1318"/>
      <c r="DTP47" s="1318"/>
      <c r="DTQ47" s="1318"/>
      <c r="DTR47" s="1318"/>
      <c r="DTS47" s="1318"/>
      <c r="DTT47" s="1318"/>
      <c r="DTU47" s="1318"/>
      <c r="DTV47" s="1373"/>
      <c r="DTW47" s="1318"/>
      <c r="DTX47" s="1318"/>
      <c r="DTY47" s="1318"/>
      <c r="DTZ47" s="1318"/>
      <c r="DUA47" s="1318"/>
      <c r="DUB47" s="1318"/>
      <c r="DUC47" s="1318"/>
      <c r="DUD47" s="1318"/>
      <c r="DUE47" s="1318"/>
      <c r="DUF47" s="1318"/>
      <c r="DUG47" s="1373"/>
      <c r="DUH47" s="1318"/>
      <c r="DUI47" s="1318"/>
      <c r="DUJ47" s="1318"/>
      <c r="DUK47" s="1318"/>
      <c r="DUL47" s="1318"/>
      <c r="DUM47" s="1318"/>
      <c r="DUN47" s="1318"/>
      <c r="DUO47" s="1318"/>
      <c r="DUP47" s="1318"/>
      <c r="DUQ47" s="1318"/>
      <c r="DUR47" s="1373"/>
      <c r="DUS47" s="1318"/>
      <c r="DUT47" s="1318"/>
      <c r="DUU47" s="1318"/>
      <c r="DUV47" s="1318"/>
      <c r="DUW47" s="1318"/>
      <c r="DUX47" s="1318"/>
      <c r="DUY47" s="1318"/>
      <c r="DUZ47" s="1318"/>
      <c r="DVA47" s="1318"/>
      <c r="DVB47" s="1318"/>
      <c r="DVC47" s="1373"/>
      <c r="DVD47" s="1318"/>
      <c r="DVE47" s="1318"/>
      <c r="DVF47" s="1318"/>
      <c r="DVG47" s="1318"/>
      <c r="DVH47" s="1318"/>
      <c r="DVI47" s="1318"/>
      <c r="DVJ47" s="1318"/>
      <c r="DVK47" s="1318"/>
      <c r="DVL47" s="1318"/>
      <c r="DVM47" s="1318"/>
      <c r="DVN47" s="1373"/>
      <c r="DVO47" s="1318"/>
      <c r="DVP47" s="1318"/>
      <c r="DVQ47" s="1318"/>
      <c r="DVR47" s="1318"/>
      <c r="DVS47" s="1318"/>
      <c r="DVT47" s="1318"/>
      <c r="DVU47" s="1318"/>
      <c r="DVV47" s="1318"/>
      <c r="DVW47" s="1318"/>
      <c r="DVX47" s="1318"/>
      <c r="DVY47" s="1373"/>
      <c r="DVZ47" s="1318"/>
      <c r="DWA47" s="1318"/>
      <c r="DWB47" s="1318"/>
      <c r="DWC47" s="1318"/>
      <c r="DWD47" s="1318"/>
      <c r="DWE47" s="1318"/>
      <c r="DWF47" s="1318"/>
      <c r="DWG47" s="1318"/>
      <c r="DWH47" s="1318"/>
      <c r="DWI47" s="1318"/>
      <c r="DWJ47" s="1373"/>
      <c r="DWK47" s="1318"/>
      <c r="DWL47" s="1318"/>
      <c r="DWM47" s="1318"/>
      <c r="DWN47" s="1318"/>
      <c r="DWO47" s="1318"/>
      <c r="DWP47" s="1318"/>
      <c r="DWQ47" s="1318"/>
      <c r="DWR47" s="1318"/>
      <c r="DWS47" s="1318"/>
      <c r="DWT47" s="1318"/>
      <c r="DWU47" s="1373"/>
      <c r="DWV47" s="1318"/>
      <c r="DWW47" s="1318"/>
      <c r="DWX47" s="1318"/>
      <c r="DWY47" s="1318"/>
      <c r="DWZ47" s="1318"/>
      <c r="DXA47" s="1318"/>
      <c r="DXB47" s="1318"/>
      <c r="DXC47" s="1318"/>
      <c r="DXD47" s="1318"/>
      <c r="DXE47" s="1318"/>
      <c r="DXF47" s="1373"/>
      <c r="DXG47" s="1318"/>
      <c r="DXH47" s="1318"/>
      <c r="DXI47" s="1318"/>
      <c r="DXJ47" s="1318"/>
      <c r="DXK47" s="1318"/>
      <c r="DXL47" s="1318"/>
      <c r="DXM47" s="1318"/>
      <c r="DXN47" s="1318"/>
      <c r="DXO47" s="1318"/>
      <c r="DXP47" s="1318"/>
      <c r="DXQ47" s="1373"/>
      <c r="DXR47" s="1318"/>
      <c r="DXS47" s="1318"/>
      <c r="DXT47" s="1318"/>
      <c r="DXU47" s="1318"/>
      <c r="DXV47" s="1318"/>
      <c r="DXW47" s="1318"/>
      <c r="DXX47" s="1318"/>
      <c r="DXY47" s="1318"/>
      <c r="DXZ47" s="1318"/>
      <c r="DYA47" s="1318"/>
      <c r="DYB47" s="1373"/>
      <c r="DYC47" s="1318"/>
      <c r="DYD47" s="1318"/>
      <c r="DYE47" s="1318"/>
      <c r="DYF47" s="1318"/>
      <c r="DYG47" s="1318"/>
      <c r="DYH47" s="1318"/>
      <c r="DYI47" s="1318"/>
      <c r="DYJ47" s="1318"/>
      <c r="DYK47" s="1318"/>
      <c r="DYL47" s="1318"/>
      <c r="DYM47" s="1373"/>
      <c r="DYN47" s="1318"/>
      <c r="DYO47" s="1318"/>
      <c r="DYP47" s="1318"/>
      <c r="DYQ47" s="1318"/>
      <c r="DYR47" s="1318"/>
      <c r="DYS47" s="1318"/>
      <c r="DYT47" s="1318"/>
      <c r="DYU47" s="1318"/>
      <c r="DYV47" s="1318"/>
      <c r="DYW47" s="1318"/>
      <c r="DYX47" s="1373"/>
      <c r="DYY47" s="1318"/>
      <c r="DYZ47" s="1318"/>
      <c r="DZA47" s="1318"/>
      <c r="DZB47" s="1318"/>
      <c r="DZC47" s="1318"/>
      <c r="DZD47" s="1318"/>
      <c r="DZE47" s="1318"/>
      <c r="DZF47" s="1318"/>
      <c r="DZG47" s="1318"/>
      <c r="DZH47" s="1318"/>
      <c r="DZI47" s="1373"/>
      <c r="DZJ47" s="1318"/>
      <c r="DZK47" s="1318"/>
      <c r="DZL47" s="1318"/>
      <c r="DZM47" s="1318"/>
      <c r="DZN47" s="1318"/>
      <c r="DZO47" s="1318"/>
      <c r="DZP47" s="1318"/>
      <c r="DZQ47" s="1318"/>
      <c r="DZR47" s="1318"/>
      <c r="DZS47" s="1318"/>
      <c r="DZT47" s="1373"/>
      <c r="DZU47" s="1318"/>
      <c r="DZV47" s="1318"/>
      <c r="DZW47" s="1318"/>
      <c r="DZX47" s="1318"/>
      <c r="DZY47" s="1318"/>
      <c r="DZZ47" s="1318"/>
      <c r="EAA47" s="1318"/>
      <c r="EAB47" s="1318"/>
      <c r="EAC47" s="1318"/>
      <c r="EAD47" s="1318"/>
      <c r="EAE47" s="1373"/>
      <c r="EAF47" s="1318"/>
      <c r="EAG47" s="1318"/>
      <c r="EAH47" s="1318"/>
      <c r="EAI47" s="1318"/>
      <c r="EAJ47" s="1318"/>
      <c r="EAK47" s="1318"/>
      <c r="EAL47" s="1318"/>
      <c r="EAM47" s="1318"/>
      <c r="EAN47" s="1318"/>
      <c r="EAO47" s="1318"/>
      <c r="EAP47" s="1373"/>
      <c r="EAQ47" s="1318"/>
      <c r="EAR47" s="1318"/>
      <c r="EAS47" s="1318"/>
      <c r="EAT47" s="1318"/>
      <c r="EAU47" s="1318"/>
      <c r="EAV47" s="1318"/>
      <c r="EAW47" s="1318"/>
      <c r="EAX47" s="1318"/>
      <c r="EAY47" s="1318"/>
      <c r="EAZ47" s="1318"/>
      <c r="EBA47" s="1373"/>
      <c r="EBB47" s="1318"/>
      <c r="EBC47" s="1318"/>
      <c r="EBD47" s="1318"/>
      <c r="EBE47" s="1318"/>
      <c r="EBF47" s="1318"/>
      <c r="EBG47" s="1318"/>
      <c r="EBH47" s="1318"/>
      <c r="EBI47" s="1318"/>
      <c r="EBJ47" s="1318"/>
      <c r="EBK47" s="1318"/>
      <c r="EBL47" s="1373"/>
      <c r="EBM47" s="1318"/>
      <c r="EBN47" s="1318"/>
      <c r="EBO47" s="1318"/>
      <c r="EBP47" s="1318"/>
      <c r="EBQ47" s="1318"/>
      <c r="EBR47" s="1318"/>
      <c r="EBS47" s="1318"/>
      <c r="EBT47" s="1318"/>
      <c r="EBU47" s="1318"/>
      <c r="EBV47" s="1318"/>
      <c r="EBW47" s="1373"/>
      <c r="EBX47" s="1318"/>
      <c r="EBY47" s="1318"/>
      <c r="EBZ47" s="1318"/>
      <c r="ECA47" s="1318"/>
      <c r="ECB47" s="1318"/>
      <c r="ECC47" s="1318"/>
      <c r="ECD47" s="1318"/>
      <c r="ECE47" s="1318"/>
      <c r="ECF47" s="1318"/>
      <c r="ECG47" s="1318"/>
      <c r="ECH47" s="1373"/>
      <c r="ECI47" s="1318"/>
      <c r="ECJ47" s="1318"/>
      <c r="ECK47" s="1318"/>
      <c r="ECL47" s="1318"/>
      <c r="ECM47" s="1318"/>
      <c r="ECN47" s="1318"/>
      <c r="ECO47" s="1318"/>
      <c r="ECP47" s="1318"/>
      <c r="ECQ47" s="1318"/>
      <c r="ECR47" s="1318"/>
      <c r="ECS47" s="1373"/>
      <c r="ECT47" s="1318"/>
      <c r="ECU47" s="1318"/>
      <c r="ECV47" s="1318"/>
      <c r="ECW47" s="1318"/>
      <c r="ECX47" s="1318"/>
      <c r="ECY47" s="1318"/>
      <c r="ECZ47" s="1318"/>
      <c r="EDA47" s="1318"/>
      <c r="EDB47" s="1318"/>
      <c r="EDC47" s="1318"/>
      <c r="EDD47" s="1373"/>
      <c r="EDE47" s="1318"/>
      <c r="EDF47" s="1318"/>
      <c r="EDG47" s="1318"/>
      <c r="EDH47" s="1318"/>
      <c r="EDI47" s="1318"/>
      <c r="EDJ47" s="1318"/>
      <c r="EDK47" s="1318"/>
      <c r="EDL47" s="1318"/>
      <c r="EDM47" s="1318"/>
      <c r="EDN47" s="1318"/>
      <c r="EDO47" s="1373"/>
      <c r="EDP47" s="1318"/>
      <c r="EDQ47" s="1318"/>
      <c r="EDR47" s="1318"/>
      <c r="EDS47" s="1318"/>
      <c r="EDT47" s="1318"/>
      <c r="EDU47" s="1318"/>
      <c r="EDV47" s="1318"/>
      <c r="EDW47" s="1318"/>
      <c r="EDX47" s="1318"/>
      <c r="EDY47" s="1318"/>
      <c r="EDZ47" s="1373"/>
      <c r="EEA47" s="1318"/>
      <c r="EEB47" s="1318"/>
      <c r="EEC47" s="1318"/>
      <c r="EED47" s="1318"/>
      <c r="EEE47" s="1318"/>
      <c r="EEF47" s="1318"/>
      <c r="EEG47" s="1318"/>
      <c r="EEH47" s="1318"/>
      <c r="EEI47" s="1318"/>
      <c r="EEJ47" s="1318"/>
      <c r="EEK47" s="1373"/>
      <c r="EEL47" s="1318"/>
      <c r="EEM47" s="1318"/>
      <c r="EEN47" s="1318"/>
      <c r="EEO47" s="1318"/>
      <c r="EEP47" s="1318"/>
      <c r="EEQ47" s="1318"/>
      <c r="EER47" s="1318"/>
      <c r="EES47" s="1318"/>
      <c r="EET47" s="1318"/>
      <c r="EEU47" s="1318"/>
      <c r="EEV47" s="1373"/>
      <c r="EEW47" s="1318"/>
      <c r="EEX47" s="1318"/>
      <c r="EEY47" s="1318"/>
      <c r="EEZ47" s="1318"/>
      <c r="EFA47" s="1318"/>
      <c r="EFB47" s="1318"/>
      <c r="EFC47" s="1318"/>
      <c r="EFD47" s="1318"/>
      <c r="EFE47" s="1318"/>
      <c r="EFF47" s="1318"/>
      <c r="EFG47" s="1373"/>
      <c r="EFH47" s="1318"/>
      <c r="EFI47" s="1318"/>
      <c r="EFJ47" s="1318"/>
      <c r="EFK47" s="1318"/>
      <c r="EFL47" s="1318"/>
      <c r="EFM47" s="1318"/>
      <c r="EFN47" s="1318"/>
      <c r="EFO47" s="1318"/>
      <c r="EFP47" s="1318"/>
      <c r="EFQ47" s="1318"/>
      <c r="EFR47" s="1373"/>
      <c r="EFS47" s="1318"/>
      <c r="EFT47" s="1318"/>
      <c r="EFU47" s="1318"/>
      <c r="EFV47" s="1318"/>
      <c r="EFW47" s="1318"/>
      <c r="EFX47" s="1318"/>
      <c r="EFY47" s="1318"/>
      <c r="EFZ47" s="1318"/>
      <c r="EGA47" s="1318"/>
      <c r="EGB47" s="1318"/>
      <c r="EGC47" s="1373"/>
      <c r="EGD47" s="1318"/>
      <c r="EGE47" s="1318"/>
      <c r="EGF47" s="1318"/>
      <c r="EGG47" s="1318"/>
      <c r="EGH47" s="1318"/>
      <c r="EGI47" s="1318"/>
      <c r="EGJ47" s="1318"/>
      <c r="EGK47" s="1318"/>
      <c r="EGL47" s="1318"/>
      <c r="EGM47" s="1318"/>
      <c r="EGN47" s="1373"/>
      <c r="EGO47" s="1318"/>
      <c r="EGP47" s="1318"/>
      <c r="EGQ47" s="1318"/>
      <c r="EGR47" s="1318"/>
      <c r="EGS47" s="1318"/>
      <c r="EGT47" s="1318"/>
      <c r="EGU47" s="1318"/>
      <c r="EGV47" s="1318"/>
      <c r="EGW47" s="1318"/>
      <c r="EGX47" s="1318"/>
      <c r="EGY47" s="1373"/>
      <c r="EGZ47" s="1318"/>
      <c r="EHA47" s="1318"/>
      <c r="EHB47" s="1318"/>
      <c r="EHC47" s="1318"/>
      <c r="EHD47" s="1318"/>
      <c r="EHE47" s="1318"/>
      <c r="EHF47" s="1318"/>
      <c r="EHG47" s="1318"/>
      <c r="EHH47" s="1318"/>
      <c r="EHI47" s="1318"/>
      <c r="EHJ47" s="1373"/>
      <c r="EHK47" s="1318"/>
      <c r="EHL47" s="1318"/>
      <c r="EHM47" s="1318"/>
      <c r="EHN47" s="1318"/>
      <c r="EHO47" s="1318"/>
      <c r="EHP47" s="1318"/>
      <c r="EHQ47" s="1318"/>
      <c r="EHR47" s="1318"/>
      <c r="EHS47" s="1318"/>
      <c r="EHT47" s="1318"/>
      <c r="EHU47" s="1373"/>
      <c r="EHV47" s="1318"/>
      <c r="EHW47" s="1318"/>
      <c r="EHX47" s="1318"/>
      <c r="EHY47" s="1318"/>
      <c r="EHZ47" s="1318"/>
      <c r="EIA47" s="1318"/>
      <c r="EIB47" s="1318"/>
      <c r="EIC47" s="1318"/>
      <c r="EID47" s="1318"/>
      <c r="EIE47" s="1318"/>
      <c r="EIF47" s="1373"/>
      <c r="EIG47" s="1318"/>
      <c r="EIH47" s="1318"/>
      <c r="EII47" s="1318"/>
      <c r="EIJ47" s="1318"/>
      <c r="EIK47" s="1318"/>
      <c r="EIL47" s="1318"/>
      <c r="EIM47" s="1318"/>
      <c r="EIN47" s="1318"/>
      <c r="EIO47" s="1318"/>
      <c r="EIP47" s="1318"/>
      <c r="EIQ47" s="1373"/>
      <c r="EIR47" s="1318"/>
      <c r="EIS47" s="1318"/>
      <c r="EIT47" s="1318"/>
      <c r="EIU47" s="1318"/>
      <c r="EIV47" s="1318"/>
      <c r="EIW47" s="1318"/>
      <c r="EIX47" s="1318"/>
      <c r="EIY47" s="1318"/>
      <c r="EIZ47" s="1318"/>
      <c r="EJA47" s="1318"/>
      <c r="EJB47" s="1373"/>
      <c r="EJC47" s="1318"/>
      <c r="EJD47" s="1318"/>
      <c r="EJE47" s="1318"/>
      <c r="EJF47" s="1318"/>
      <c r="EJG47" s="1318"/>
      <c r="EJH47" s="1318"/>
      <c r="EJI47" s="1318"/>
      <c r="EJJ47" s="1318"/>
      <c r="EJK47" s="1318"/>
      <c r="EJL47" s="1318"/>
      <c r="EJM47" s="1373"/>
      <c r="EJN47" s="1318"/>
      <c r="EJO47" s="1318"/>
      <c r="EJP47" s="1318"/>
      <c r="EJQ47" s="1318"/>
      <c r="EJR47" s="1318"/>
      <c r="EJS47" s="1318"/>
      <c r="EJT47" s="1318"/>
      <c r="EJU47" s="1318"/>
      <c r="EJV47" s="1318"/>
      <c r="EJW47" s="1318"/>
      <c r="EJX47" s="1373"/>
      <c r="EJY47" s="1318"/>
      <c r="EJZ47" s="1318"/>
      <c r="EKA47" s="1318"/>
      <c r="EKB47" s="1318"/>
      <c r="EKC47" s="1318"/>
      <c r="EKD47" s="1318"/>
      <c r="EKE47" s="1318"/>
      <c r="EKF47" s="1318"/>
      <c r="EKG47" s="1318"/>
      <c r="EKH47" s="1318"/>
      <c r="EKI47" s="1373"/>
      <c r="EKJ47" s="1318"/>
      <c r="EKK47" s="1318"/>
      <c r="EKL47" s="1318"/>
      <c r="EKM47" s="1318"/>
      <c r="EKN47" s="1318"/>
      <c r="EKO47" s="1318"/>
      <c r="EKP47" s="1318"/>
      <c r="EKQ47" s="1318"/>
      <c r="EKR47" s="1318"/>
      <c r="EKS47" s="1318"/>
      <c r="EKT47" s="1373"/>
      <c r="EKU47" s="1318"/>
      <c r="EKV47" s="1318"/>
      <c r="EKW47" s="1318"/>
      <c r="EKX47" s="1318"/>
      <c r="EKY47" s="1318"/>
      <c r="EKZ47" s="1318"/>
      <c r="ELA47" s="1318"/>
      <c r="ELB47" s="1318"/>
      <c r="ELC47" s="1318"/>
      <c r="ELD47" s="1318"/>
      <c r="ELE47" s="1373"/>
      <c r="ELF47" s="1318"/>
      <c r="ELG47" s="1318"/>
      <c r="ELH47" s="1318"/>
      <c r="ELI47" s="1318"/>
      <c r="ELJ47" s="1318"/>
      <c r="ELK47" s="1318"/>
      <c r="ELL47" s="1318"/>
      <c r="ELM47" s="1318"/>
      <c r="ELN47" s="1318"/>
      <c r="ELO47" s="1318"/>
      <c r="ELP47" s="1373"/>
      <c r="ELQ47" s="1318"/>
      <c r="ELR47" s="1318"/>
      <c r="ELS47" s="1318"/>
      <c r="ELT47" s="1318"/>
      <c r="ELU47" s="1318"/>
      <c r="ELV47" s="1318"/>
      <c r="ELW47" s="1318"/>
      <c r="ELX47" s="1318"/>
      <c r="ELY47" s="1318"/>
      <c r="ELZ47" s="1318"/>
      <c r="EMA47" s="1373"/>
      <c r="EMB47" s="1318"/>
      <c r="EMC47" s="1318"/>
      <c r="EMD47" s="1318"/>
      <c r="EME47" s="1318"/>
      <c r="EMF47" s="1318"/>
      <c r="EMG47" s="1318"/>
      <c r="EMH47" s="1318"/>
      <c r="EMI47" s="1318"/>
      <c r="EMJ47" s="1318"/>
      <c r="EMK47" s="1318"/>
      <c r="EML47" s="1373"/>
      <c r="EMM47" s="1318"/>
      <c r="EMN47" s="1318"/>
      <c r="EMO47" s="1318"/>
      <c r="EMP47" s="1318"/>
      <c r="EMQ47" s="1318"/>
      <c r="EMR47" s="1318"/>
      <c r="EMS47" s="1318"/>
      <c r="EMT47" s="1318"/>
      <c r="EMU47" s="1318"/>
      <c r="EMV47" s="1318"/>
      <c r="EMW47" s="1373"/>
      <c r="EMX47" s="1318"/>
      <c r="EMY47" s="1318"/>
      <c r="EMZ47" s="1318"/>
      <c r="ENA47" s="1318"/>
      <c r="ENB47" s="1318"/>
      <c r="ENC47" s="1318"/>
      <c r="END47" s="1318"/>
      <c r="ENE47" s="1318"/>
      <c r="ENF47" s="1318"/>
      <c r="ENG47" s="1318"/>
      <c r="ENH47" s="1373"/>
      <c r="ENI47" s="1318"/>
      <c r="ENJ47" s="1318"/>
      <c r="ENK47" s="1318"/>
      <c r="ENL47" s="1318"/>
      <c r="ENM47" s="1318"/>
      <c r="ENN47" s="1318"/>
      <c r="ENO47" s="1318"/>
      <c r="ENP47" s="1318"/>
      <c r="ENQ47" s="1318"/>
      <c r="ENR47" s="1318"/>
      <c r="ENS47" s="1373"/>
      <c r="ENT47" s="1318"/>
      <c r="ENU47" s="1318"/>
      <c r="ENV47" s="1318"/>
      <c r="ENW47" s="1318"/>
      <c r="ENX47" s="1318"/>
      <c r="ENY47" s="1318"/>
      <c r="ENZ47" s="1318"/>
      <c r="EOA47" s="1318"/>
      <c r="EOB47" s="1318"/>
      <c r="EOC47" s="1318"/>
      <c r="EOD47" s="1373"/>
      <c r="EOE47" s="1318"/>
      <c r="EOF47" s="1318"/>
      <c r="EOG47" s="1318"/>
      <c r="EOH47" s="1318"/>
      <c r="EOI47" s="1318"/>
      <c r="EOJ47" s="1318"/>
      <c r="EOK47" s="1318"/>
      <c r="EOL47" s="1318"/>
      <c r="EOM47" s="1318"/>
      <c r="EON47" s="1318"/>
      <c r="EOO47" s="1373"/>
      <c r="EOP47" s="1318"/>
      <c r="EOQ47" s="1318"/>
      <c r="EOR47" s="1318"/>
      <c r="EOS47" s="1318"/>
      <c r="EOT47" s="1318"/>
      <c r="EOU47" s="1318"/>
      <c r="EOV47" s="1318"/>
      <c r="EOW47" s="1318"/>
      <c r="EOX47" s="1318"/>
      <c r="EOY47" s="1318"/>
      <c r="EOZ47" s="1373"/>
      <c r="EPA47" s="1318"/>
      <c r="EPB47" s="1318"/>
      <c r="EPC47" s="1318"/>
      <c r="EPD47" s="1318"/>
      <c r="EPE47" s="1318"/>
      <c r="EPF47" s="1318"/>
      <c r="EPG47" s="1318"/>
      <c r="EPH47" s="1318"/>
      <c r="EPI47" s="1318"/>
      <c r="EPJ47" s="1318"/>
      <c r="EPK47" s="1373"/>
      <c r="EPL47" s="1318"/>
      <c r="EPM47" s="1318"/>
      <c r="EPN47" s="1318"/>
      <c r="EPO47" s="1318"/>
      <c r="EPP47" s="1318"/>
      <c r="EPQ47" s="1318"/>
      <c r="EPR47" s="1318"/>
      <c r="EPS47" s="1318"/>
      <c r="EPT47" s="1318"/>
      <c r="EPU47" s="1318"/>
      <c r="EPV47" s="1373"/>
      <c r="EPW47" s="1318"/>
      <c r="EPX47" s="1318"/>
      <c r="EPY47" s="1318"/>
      <c r="EPZ47" s="1318"/>
      <c r="EQA47" s="1318"/>
      <c r="EQB47" s="1318"/>
      <c r="EQC47" s="1318"/>
      <c r="EQD47" s="1318"/>
      <c r="EQE47" s="1318"/>
      <c r="EQF47" s="1318"/>
      <c r="EQG47" s="1373"/>
      <c r="EQH47" s="1318"/>
      <c r="EQI47" s="1318"/>
      <c r="EQJ47" s="1318"/>
      <c r="EQK47" s="1318"/>
      <c r="EQL47" s="1318"/>
      <c r="EQM47" s="1318"/>
      <c r="EQN47" s="1318"/>
      <c r="EQO47" s="1318"/>
      <c r="EQP47" s="1318"/>
      <c r="EQQ47" s="1318"/>
      <c r="EQR47" s="1373"/>
      <c r="EQS47" s="1318"/>
      <c r="EQT47" s="1318"/>
      <c r="EQU47" s="1318"/>
      <c r="EQV47" s="1318"/>
      <c r="EQW47" s="1318"/>
      <c r="EQX47" s="1318"/>
      <c r="EQY47" s="1318"/>
      <c r="EQZ47" s="1318"/>
      <c r="ERA47" s="1318"/>
      <c r="ERB47" s="1318"/>
      <c r="ERC47" s="1373"/>
      <c r="ERD47" s="1318"/>
      <c r="ERE47" s="1318"/>
      <c r="ERF47" s="1318"/>
      <c r="ERG47" s="1318"/>
      <c r="ERH47" s="1318"/>
      <c r="ERI47" s="1318"/>
      <c r="ERJ47" s="1318"/>
      <c r="ERK47" s="1318"/>
      <c r="ERL47" s="1318"/>
      <c r="ERM47" s="1318"/>
      <c r="ERN47" s="1373"/>
      <c r="ERO47" s="1318"/>
      <c r="ERP47" s="1318"/>
      <c r="ERQ47" s="1318"/>
      <c r="ERR47" s="1318"/>
      <c r="ERS47" s="1318"/>
      <c r="ERT47" s="1318"/>
      <c r="ERU47" s="1318"/>
      <c r="ERV47" s="1318"/>
      <c r="ERW47" s="1318"/>
      <c r="ERX47" s="1318"/>
      <c r="ERY47" s="1373"/>
      <c r="ERZ47" s="1318"/>
      <c r="ESA47" s="1318"/>
      <c r="ESB47" s="1318"/>
      <c r="ESC47" s="1318"/>
      <c r="ESD47" s="1318"/>
      <c r="ESE47" s="1318"/>
      <c r="ESF47" s="1318"/>
      <c r="ESG47" s="1318"/>
      <c r="ESH47" s="1318"/>
      <c r="ESI47" s="1318"/>
      <c r="ESJ47" s="1373"/>
      <c r="ESK47" s="1318"/>
      <c r="ESL47" s="1318"/>
      <c r="ESM47" s="1318"/>
      <c r="ESN47" s="1318"/>
      <c r="ESO47" s="1318"/>
      <c r="ESP47" s="1318"/>
      <c r="ESQ47" s="1318"/>
      <c r="ESR47" s="1318"/>
      <c r="ESS47" s="1318"/>
      <c r="EST47" s="1318"/>
      <c r="ESU47" s="1373"/>
      <c r="ESV47" s="1318"/>
      <c r="ESW47" s="1318"/>
      <c r="ESX47" s="1318"/>
      <c r="ESY47" s="1318"/>
      <c r="ESZ47" s="1318"/>
      <c r="ETA47" s="1318"/>
      <c r="ETB47" s="1318"/>
      <c r="ETC47" s="1318"/>
      <c r="ETD47" s="1318"/>
      <c r="ETE47" s="1318"/>
      <c r="ETF47" s="1373"/>
      <c r="ETG47" s="1318"/>
      <c r="ETH47" s="1318"/>
      <c r="ETI47" s="1318"/>
      <c r="ETJ47" s="1318"/>
      <c r="ETK47" s="1318"/>
      <c r="ETL47" s="1318"/>
      <c r="ETM47" s="1318"/>
      <c r="ETN47" s="1318"/>
      <c r="ETO47" s="1318"/>
      <c r="ETP47" s="1318"/>
      <c r="ETQ47" s="1373"/>
      <c r="ETR47" s="1318"/>
      <c r="ETS47" s="1318"/>
      <c r="ETT47" s="1318"/>
      <c r="ETU47" s="1318"/>
      <c r="ETV47" s="1318"/>
      <c r="ETW47" s="1318"/>
      <c r="ETX47" s="1318"/>
      <c r="ETY47" s="1318"/>
      <c r="ETZ47" s="1318"/>
      <c r="EUA47" s="1318"/>
      <c r="EUB47" s="1373"/>
      <c r="EUC47" s="1318"/>
      <c r="EUD47" s="1318"/>
      <c r="EUE47" s="1318"/>
      <c r="EUF47" s="1318"/>
      <c r="EUG47" s="1318"/>
      <c r="EUH47" s="1318"/>
      <c r="EUI47" s="1318"/>
      <c r="EUJ47" s="1318"/>
      <c r="EUK47" s="1318"/>
      <c r="EUL47" s="1318"/>
      <c r="EUM47" s="1373"/>
      <c r="EUN47" s="1318"/>
      <c r="EUO47" s="1318"/>
      <c r="EUP47" s="1318"/>
      <c r="EUQ47" s="1318"/>
      <c r="EUR47" s="1318"/>
      <c r="EUS47" s="1318"/>
      <c r="EUT47" s="1318"/>
      <c r="EUU47" s="1318"/>
      <c r="EUV47" s="1318"/>
      <c r="EUW47" s="1318"/>
      <c r="EUX47" s="1373"/>
      <c r="EUY47" s="1318"/>
      <c r="EUZ47" s="1318"/>
      <c r="EVA47" s="1318"/>
      <c r="EVB47" s="1318"/>
      <c r="EVC47" s="1318"/>
      <c r="EVD47" s="1318"/>
      <c r="EVE47" s="1318"/>
      <c r="EVF47" s="1318"/>
      <c r="EVG47" s="1318"/>
      <c r="EVH47" s="1318"/>
      <c r="EVI47" s="1373"/>
      <c r="EVJ47" s="1318"/>
      <c r="EVK47" s="1318"/>
      <c r="EVL47" s="1318"/>
      <c r="EVM47" s="1318"/>
      <c r="EVN47" s="1318"/>
      <c r="EVO47" s="1318"/>
      <c r="EVP47" s="1318"/>
      <c r="EVQ47" s="1318"/>
      <c r="EVR47" s="1318"/>
      <c r="EVS47" s="1318"/>
      <c r="EVT47" s="1373"/>
      <c r="EVU47" s="1318"/>
      <c r="EVV47" s="1318"/>
      <c r="EVW47" s="1318"/>
      <c r="EVX47" s="1318"/>
      <c r="EVY47" s="1318"/>
      <c r="EVZ47" s="1318"/>
      <c r="EWA47" s="1318"/>
      <c r="EWB47" s="1318"/>
      <c r="EWC47" s="1318"/>
      <c r="EWD47" s="1318"/>
      <c r="EWE47" s="1373"/>
      <c r="EWF47" s="1318"/>
      <c r="EWG47" s="1318"/>
      <c r="EWH47" s="1318"/>
      <c r="EWI47" s="1318"/>
      <c r="EWJ47" s="1318"/>
      <c r="EWK47" s="1318"/>
      <c r="EWL47" s="1318"/>
      <c r="EWM47" s="1318"/>
      <c r="EWN47" s="1318"/>
      <c r="EWO47" s="1318"/>
      <c r="EWP47" s="1373"/>
      <c r="EWQ47" s="1318"/>
      <c r="EWR47" s="1318"/>
      <c r="EWS47" s="1318"/>
      <c r="EWT47" s="1318"/>
      <c r="EWU47" s="1318"/>
      <c r="EWV47" s="1318"/>
      <c r="EWW47" s="1318"/>
      <c r="EWX47" s="1318"/>
      <c r="EWY47" s="1318"/>
      <c r="EWZ47" s="1318"/>
      <c r="EXA47" s="1373"/>
      <c r="EXB47" s="1318"/>
      <c r="EXC47" s="1318"/>
      <c r="EXD47" s="1318"/>
      <c r="EXE47" s="1318"/>
      <c r="EXF47" s="1318"/>
      <c r="EXG47" s="1318"/>
      <c r="EXH47" s="1318"/>
      <c r="EXI47" s="1318"/>
      <c r="EXJ47" s="1318"/>
      <c r="EXK47" s="1318"/>
      <c r="EXL47" s="1373"/>
      <c r="EXM47" s="1318"/>
      <c r="EXN47" s="1318"/>
      <c r="EXO47" s="1318"/>
      <c r="EXP47" s="1318"/>
      <c r="EXQ47" s="1318"/>
      <c r="EXR47" s="1318"/>
      <c r="EXS47" s="1318"/>
      <c r="EXT47" s="1318"/>
      <c r="EXU47" s="1318"/>
      <c r="EXV47" s="1318"/>
      <c r="EXW47" s="1373"/>
      <c r="EXX47" s="1318"/>
      <c r="EXY47" s="1318"/>
      <c r="EXZ47" s="1318"/>
      <c r="EYA47" s="1318"/>
      <c r="EYB47" s="1318"/>
      <c r="EYC47" s="1318"/>
      <c r="EYD47" s="1318"/>
      <c r="EYE47" s="1318"/>
      <c r="EYF47" s="1318"/>
      <c r="EYG47" s="1318"/>
      <c r="EYH47" s="1373"/>
      <c r="EYI47" s="1318"/>
      <c r="EYJ47" s="1318"/>
      <c r="EYK47" s="1318"/>
      <c r="EYL47" s="1318"/>
      <c r="EYM47" s="1318"/>
      <c r="EYN47" s="1318"/>
      <c r="EYO47" s="1318"/>
      <c r="EYP47" s="1318"/>
      <c r="EYQ47" s="1318"/>
      <c r="EYR47" s="1318"/>
      <c r="EYS47" s="1373"/>
      <c r="EYT47" s="1318"/>
      <c r="EYU47" s="1318"/>
      <c r="EYV47" s="1318"/>
      <c r="EYW47" s="1318"/>
      <c r="EYX47" s="1318"/>
      <c r="EYY47" s="1318"/>
      <c r="EYZ47" s="1318"/>
      <c r="EZA47" s="1318"/>
      <c r="EZB47" s="1318"/>
      <c r="EZC47" s="1318"/>
      <c r="EZD47" s="1373"/>
      <c r="EZE47" s="1318"/>
      <c r="EZF47" s="1318"/>
      <c r="EZG47" s="1318"/>
      <c r="EZH47" s="1318"/>
      <c r="EZI47" s="1318"/>
      <c r="EZJ47" s="1318"/>
      <c r="EZK47" s="1318"/>
      <c r="EZL47" s="1318"/>
      <c r="EZM47" s="1318"/>
      <c r="EZN47" s="1318"/>
      <c r="EZO47" s="1373"/>
      <c r="EZP47" s="1318"/>
      <c r="EZQ47" s="1318"/>
      <c r="EZR47" s="1318"/>
      <c r="EZS47" s="1318"/>
      <c r="EZT47" s="1318"/>
      <c r="EZU47" s="1318"/>
      <c r="EZV47" s="1318"/>
      <c r="EZW47" s="1318"/>
      <c r="EZX47" s="1318"/>
      <c r="EZY47" s="1318"/>
      <c r="EZZ47" s="1373"/>
      <c r="FAA47" s="1318"/>
      <c r="FAB47" s="1318"/>
      <c r="FAC47" s="1318"/>
      <c r="FAD47" s="1318"/>
      <c r="FAE47" s="1318"/>
      <c r="FAF47" s="1318"/>
      <c r="FAG47" s="1318"/>
      <c r="FAH47" s="1318"/>
      <c r="FAI47" s="1318"/>
      <c r="FAJ47" s="1318"/>
      <c r="FAK47" s="1373"/>
      <c r="FAL47" s="1318"/>
      <c r="FAM47" s="1318"/>
      <c r="FAN47" s="1318"/>
      <c r="FAO47" s="1318"/>
      <c r="FAP47" s="1318"/>
      <c r="FAQ47" s="1318"/>
      <c r="FAR47" s="1318"/>
      <c r="FAS47" s="1318"/>
      <c r="FAT47" s="1318"/>
      <c r="FAU47" s="1318"/>
      <c r="FAV47" s="1373"/>
      <c r="FAW47" s="1318"/>
      <c r="FAX47" s="1318"/>
      <c r="FAY47" s="1318"/>
      <c r="FAZ47" s="1318"/>
      <c r="FBA47" s="1318"/>
      <c r="FBB47" s="1318"/>
      <c r="FBC47" s="1318"/>
      <c r="FBD47" s="1318"/>
      <c r="FBE47" s="1318"/>
      <c r="FBF47" s="1318"/>
      <c r="FBG47" s="1373"/>
      <c r="FBH47" s="1318"/>
      <c r="FBI47" s="1318"/>
      <c r="FBJ47" s="1318"/>
      <c r="FBK47" s="1318"/>
      <c r="FBL47" s="1318"/>
      <c r="FBM47" s="1318"/>
      <c r="FBN47" s="1318"/>
      <c r="FBO47" s="1318"/>
      <c r="FBP47" s="1318"/>
      <c r="FBQ47" s="1318"/>
      <c r="FBR47" s="1373"/>
      <c r="FBS47" s="1318"/>
      <c r="FBT47" s="1318"/>
      <c r="FBU47" s="1318"/>
      <c r="FBV47" s="1318"/>
      <c r="FBW47" s="1318"/>
      <c r="FBX47" s="1318"/>
      <c r="FBY47" s="1318"/>
      <c r="FBZ47" s="1318"/>
      <c r="FCA47" s="1318"/>
      <c r="FCB47" s="1318"/>
      <c r="FCC47" s="1373"/>
      <c r="FCD47" s="1318"/>
      <c r="FCE47" s="1318"/>
      <c r="FCF47" s="1318"/>
      <c r="FCG47" s="1318"/>
      <c r="FCH47" s="1318"/>
      <c r="FCI47" s="1318"/>
      <c r="FCJ47" s="1318"/>
      <c r="FCK47" s="1318"/>
      <c r="FCL47" s="1318"/>
      <c r="FCM47" s="1318"/>
      <c r="FCN47" s="1373"/>
      <c r="FCO47" s="1318"/>
      <c r="FCP47" s="1318"/>
      <c r="FCQ47" s="1318"/>
      <c r="FCR47" s="1318"/>
      <c r="FCS47" s="1318"/>
      <c r="FCT47" s="1318"/>
      <c r="FCU47" s="1318"/>
      <c r="FCV47" s="1318"/>
      <c r="FCW47" s="1318"/>
      <c r="FCX47" s="1318"/>
      <c r="FCY47" s="1373"/>
      <c r="FCZ47" s="1318"/>
      <c r="FDA47" s="1318"/>
      <c r="FDB47" s="1318"/>
      <c r="FDC47" s="1318"/>
      <c r="FDD47" s="1318"/>
      <c r="FDE47" s="1318"/>
      <c r="FDF47" s="1318"/>
      <c r="FDG47" s="1318"/>
      <c r="FDH47" s="1318"/>
      <c r="FDI47" s="1318"/>
      <c r="FDJ47" s="1373"/>
      <c r="FDK47" s="1318"/>
      <c r="FDL47" s="1318"/>
      <c r="FDM47" s="1318"/>
      <c r="FDN47" s="1318"/>
      <c r="FDO47" s="1318"/>
      <c r="FDP47" s="1318"/>
      <c r="FDQ47" s="1318"/>
      <c r="FDR47" s="1318"/>
      <c r="FDS47" s="1318"/>
      <c r="FDT47" s="1318"/>
      <c r="FDU47" s="1373"/>
      <c r="FDV47" s="1318"/>
      <c r="FDW47" s="1318"/>
      <c r="FDX47" s="1318"/>
      <c r="FDY47" s="1318"/>
      <c r="FDZ47" s="1318"/>
      <c r="FEA47" s="1318"/>
      <c r="FEB47" s="1318"/>
      <c r="FEC47" s="1318"/>
      <c r="FED47" s="1318"/>
      <c r="FEE47" s="1318"/>
      <c r="FEF47" s="1373"/>
      <c r="FEG47" s="1318"/>
      <c r="FEH47" s="1318"/>
      <c r="FEI47" s="1318"/>
      <c r="FEJ47" s="1318"/>
      <c r="FEK47" s="1318"/>
      <c r="FEL47" s="1318"/>
      <c r="FEM47" s="1318"/>
      <c r="FEN47" s="1318"/>
      <c r="FEO47" s="1318"/>
      <c r="FEP47" s="1318"/>
      <c r="FEQ47" s="1373"/>
      <c r="FER47" s="1318"/>
      <c r="FES47" s="1318"/>
      <c r="FET47" s="1318"/>
      <c r="FEU47" s="1318"/>
      <c r="FEV47" s="1318"/>
      <c r="FEW47" s="1318"/>
      <c r="FEX47" s="1318"/>
      <c r="FEY47" s="1318"/>
      <c r="FEZ47" s="1318"/>
      <c r="FFA47" s="1318"/>
      <c r="FFB47" s="1373"/>
      <c r="FFC47" s="1318"/>
      <c r="FFD47" s="1318"/>
      <c r="FFE47" s="1318"/>
      <c r="FFF47" s="1318"/>
      <c r="FFG47" s="1318"/>
      <c r="FFH47" s="1318"/>
      <c r="FFI47" s="1318"/>
      <c r="FFJ47" s="1318"/>
      <c r="FFK47" s="1318"/>
      <c r="FFL47" s="1318"/>
      <c r="FFM47" s="1373"/>
      <c r="FFN47" s="1318"/>
      <c r="FFO47" s="1318"/>
      <c r="FFP47" s="1318"/>
      <c r="FFQ47" s="1318"/>
      <c r="FFR47" s="1318"/>
      <c r="FFS47" s="1318"/>
      <c r="FFT47" s="1318"/>
      <c r="FFU47" s="1318"/>
      <c r="FFV47" s="1318"/>
      <c r="FFW47" s="1318"/>
      <c r="FFX47" s="1373"/>
      <c r="FFY47" s="1318"/>
      <c r="FFZ47" s="1318"/>
      <c r="FGA47" s="1318"/>
      <c r="FGB47" s="1318"/>
      <c r="FGC47" s="1318"/>
      <c r="FGD47" s="1318"/>
      <c r="FGE47" s="1318"/>
      <c r="FGF47" s="1318"/>
      <c r="FGG47" s="1318"/>
      <c r="FGH47" s="1318"/>
      <c r="FGI47" s="1373"/>
      <c r="FGJ47" s="1318"/>
      <c r="FGK47" s="1318"/>
      <c r="FGL47" s="1318"/>
      <c r="FGM47" s="1318"/>
      <c r="FGN47" s="1318"/>
      <c r="FGO47" s="1318"/>
      <c r="FGP47" s="1318"/>
      <c r="FGQ47" s="1318"/>
      <c r="FGR47" s="1318"/>
      <c r="FGS47" s="1318"/>
      <c r="FGT47" s="1373"/>
      <c r="FGU47" s="1318"/>
      <c r="FGV47" s="1318"/>
      <c r="FGW47" s="1318"/>
      <c r="FGX47" s="1318"/>
      <c r="FGY47" s="1318"/>
      <c r="FGZ47" s="1318"/>
      <c r="FHA47" s="1318"/>
      <c r="FHB47" s="1318"/>
      <c r="FHC47" s="1318"/>
      <c r="FHD47" s="1318"/>
      <c r="FHE47" s="1373"/>
      <c r="FHF47" s="1318"/>
      <c r="FHG47" s="1318"/>
      <c r="FHH47" s="1318"/>
      <c r="FHI47" s="1318"/>
      <c r="FHJ47" s="1318"/>
      <c r="FHK47" s="1318"/>
      <c r="FHL47" s="1318"/>
      <c r="FHM47" s="1318"/>
      <c r="FHN47" s="1318"/>
      <c r="FHO47" s="1318"/>
      <c r="FHP47" s="1373"/>
      <c r="FHQ47" s="1318"/>
      <c r="FHR47" s="1318"/>
      <c r="FHS47" s="1318"/>
      <c r="FHT47" s="1318"/>
      <c r="FHU47" s="1318"/>
      <c r="FHV47" s="1318"/>
      <c r="FHW47" s="1318"/>
      <c r="FHX47" s="1318"/>
      <c r="FHY47" s="1318"/>
      <c r="FHZ47" s="1318"/>
      <c r="FIA47" s="1373"/>
      <c r="FIB47" s="1318"/>
      <c r="FIC47" s="1318"/>
      <c r="FID47" s="1318"/>
      <c r="FIE47" s="1318"/>
      <c r="FIF47" s="1318"/>
      <c r="FIG47" s="1318"/>
      <c r="FIH47" s="1318"/>
      <c r="FII47" s="1318"/>
      <c r="FIJ47" s="1318"/>
      <c r="FIK47" s="1318"/>
      <c r="FIL47" s="1373"/>
      <c r="FIM47" s="1318"/>
      <c r="FIN47" s="1318"/>
      <c r="FIO47" s="1318"/>
      <c r="FIP47" s="1318"/>
      <c r="FIQ47" s="1318"/>
      <c r="FIR47" s="1318"/>
      <c r="FIS47" s="1318"/>
      <c r="FIT47" s="1318"/>
      <c r="FIU47" s="1318"/>
      <c r="FIV47" s="1318"/>
      <c r="FIW47" s="1373"/>
      <c r="FIX47" s="1318"/>
      <c r="FIY47" s="1318"/>
      <c r="FIZ47" s="1318"/>
      <c r="FJA47" s="1318"/>
      <c r="FJB47" s="1318"/>
      <c r="FJC47" s="1318"/>
      <c r="FJD47" s="1318"/>
      <c r="FJE47" s="1318"/>
      <c r="FJF47" s="1318"/>
      <c r="FJG47" s="1318"/>
      <c r="FJH47" s="1373"/>
      <c r="FJI47" s="1318"/>
      <c r="FJJ47" s="1318"/>
      <c r="FJK47" s="1318"/>
      <c r="FJL47" s="1318"/>
      <c r="FJM47" s="1318"/>
      <c r="FJN47" s="1318"/>
      <c r="FJO47" s="1318"/>
      <c r="FJP47" s="1318"/>
      <c r="FJQ47" s="1318"/>
      <c r="FJR47" s="1318"/>
      <c r="FJS47" s="1373"/>
      <c r="FJT47" s="1318"/>
      <c r="FJU47" s="1318"/>
      <c r="FJV47" s="1318"/>
      <c r="FJW47" s="1318"/>
      <c r="FJX47" s="1318"/>
      <c r="FJY47" s="1318"/>
      <c r="FJZ47" s="1318"/>
      <c r="FKA47" s="1318"/>
      <c r="FKB47" s="1318"/>
      <c r="FKC47" s="1318"/>
      <c r="FKD47" s="1373"/>
      <c r="FKE47" s="1318"/>
      <c r="FKF47" s="1318"/>
      <c r="FKG47" s="1318"/>
      <c r="FKH47" s="1318"/>
      <c r="FKI47" s="1318"/>
      <c r="FKJ47" s="1318"/>
      <c r="FKK47" s="1318"/>
      <c r="FKL47" s="1318"/>
      <c r="FKM47" s="1318"/>
      <c r="FKN47" s="1318"/>
      <c r="FKO47" s="1373"/>
      <c r="FKP47" s="1318"/>
      <c r="FKQ47" s="1318"/>
      <c r="FKR47" s="1318"/>
      <c r="FKS47" s="1318"/>
      <c r="FKT47" s="1318"/>
      <c r="FKU47" s="1318"/>
      <c r="FKV47" s="1318"/>
      <c r="FKW47" s="1318"/>
      <c r="FKX47" s="1318"/>
      <c r="FKY47" s="1318"/>
      <c r="FKZ47" s="1373"/>
      <c r="FLA47" s="1318"/>
      <c r="FLB47" s="1318"/>
      <c r="FLC47" s="1318"/>
      <c r="FLD47" s="1318"/>
      <c r="FLE47" s="1318"/>
      <c r="FLF47" s="1318"/>
      <c r="FLG47" s="1318"/>
      <c r="FLH47" s="1318"/>
      <c r="FLI47" s="1318"/>
      <c r="FLJ47" s="1318"/>
      <c r="FLK47" s="1373"/>
      <c r="FLL47" s="1318"/>
      <c r="FLM47" s="1318"/>
      <c r="FLN47" s="1318"/>
      <c r="FLO47" s="1318"/>
      <c r="FLP47" s="1318"/>
      <c r="FLQ47" s="1318"/>
      <c r="FLR47" s="1318"/>
      <c r="FLS47" s="1318"/>
      <c r="FLT47" s="1318"/>
      <c r="FLU47" s="1318"/>
      <c r="FLV47" s="1373"/>
      <c r="FLW47" s="1318"/>
      <c r="FLX47" s="1318"/>
      <c r="FLY47" s="1318"/>
      <c r="FLZ47" s="1318"/>
      <c r="FMA47" s="1318"/>
      <c r="FMB47" s="1318"/>
      <c r="FMC47" s="1318"/>
      <c r="FMD47" s="1318"/>
      <c r="FME47" s="1318"/>
      <c r="FMF47" s="1318"/>
      <c r="FMG47" s="1373"/>
      <c r="FMH47" s="1318"/>
      <c r="FMI47" s="1318"/>
      <c r="FMJ47" s="1318"/>
      <c r="FMK47" s="1318"/>
      <c r="FML47" s="1318"/>
      <c r="FMM47" s="1318"/>
      <c r="FMN47" s="1318"/>
      <c r="FMO47" s="1318"/>
      <c r="FMP47" s="1318"/>
      <c r="FMQ47" s="1318"/>
      <c r="FMR47" s="1373"/>
      <c r="FMS47" s="1318"/>
      <c r="FMT47" s="1318"/>
      <c r="FMU47" s="1318"/>
      <c r="FMV47" s="1318"/>
      <c r="FMW47" s="1318"/>
      <c r="FMX47" s="1318"/>
      <c r="FMY47" s="1318"/>
      <c r="FMZ47" s="1318"/>
      <c r="FNA47" s="1318"/>
      <c r="FNB47" s="1318"/>
      <c r="FNC47" s="1373"/>
      <c r="FND47" s="1318"/>
      <c r="FNE47" s="1318"/>
      <c r="FNF47" s="1318"/>
      <c r="FNG47" s="1318"/>
      <c r="FNH47" s="1318"/>
      <c r="FNI47" s="1318"/>
      <c r="FNJ47" s="1318"/>
      <c r="FNK47" s="1318"/>
      <c r="FNL47" s="1318"/>
      <c r="FNM47" s="1318"/>
      <c r="FNN47" s="1373"/>
      <c r="FNO47" s="1318"/>
      <c r="FNP47" s="1318"/>
      <c r="FNQ47" s="1318"/>
      <c r="FNR47" s="1318"/>
      <c r="FNS47" s="1318"/>
      <c r="FNT47" s="1318"/>
      <c r="FNU47" s="1318"/>
      <c r="FNV47" s="1318"/>
      <c r="FNW47" s="1318"/>
      <c r="FNX47" s="1318"/>
      <c r="FNY47" s="1373"/>
      <c r="FNZ47" s="1318"/>
      <c r="FOA47" s="1318"/>
      <c r="FOB47" s="1318"/>
      <c r="FOC47" s="1318"/>
      <c r="FOD47" s="1318"/>
      <c r="FOE47" s="1318"/>
      <c r="FOF47" s="1318"/>
      <c r="FOG47" s="1318"/>
      <c r="FOH47" s="1318"/>
      <c r="FOI47" s="1318"/>
      <c r="FOJ47" s="1373"/>
      <c r="FOK47" s="1318"/>
      <c r="FOL47" s="1318"/>
      <c r="FOM47" s="1318"/>
      <c r="FON47" s="1318"/>
      <c r="FOO47" s="1318"/>
      <c r="FOP47" s="1318"/>
      <c r="FOQ47" s="1318"/>
      <c r="FOR47" s="1318"/>
      <c r="FOS47" s="1318"/>
      <c r="FOT47" s="1318"/>
      <c r="FOU47" s="1373"/>
      <c r="FOV47" s="1318"/>
      <c r="FOW47" s="1318"/>
      <c r="FOX47" s="1318"/>
      <c r="FOY47" s="1318"/>
      <c r="FOZ47" s="1318"/>
      <c r="FPA47" s="1318"/>
      <c r="FPB47" s="1318"/>
      <c r="FPC47" s="1318"/>
      <c r="FPD47" s="1318"/>
      <c r="FPE47" s="1318"/>
      <c r="FPF47" s="1373"/>
      <c r="FPG47" s="1318"/>
      <c r="FPH47" s="1318"/>
      <c r="FPI47" s="1318"/>
      <c r="FPJ47" s="1318"/>
      <c r="FPK47" s="1318"/>
      <c r="FPL47" s="1318"/>
      <c r="FPM47" s="1318"/>
      <c r="FPN47" s="1318"/>
      <c r="FPO47" s="1318"/>
      <c r="FPP47" s="1318"/>
      <c r="FPQ47" s="1373"/>
      <c r="FPR47" s="1318"/>
      <c r="FPS47" s="1318"/>
      <c r="FPT47" s="1318"/>
      <c r="FPU47" s="1318"/>
      <c r="FPV47" s="1318"/>
      <c r="FPW47" s="1318"/>
      <c r="FPX47" s="1318"/>
      <c r="FPY47" s="1318"/>
      <c r="FPZ47" s="1318"/>
      <c r="FQA47" s="1318"/>
      <c r="FQB47" s="1373"/>
      <c r="FQC47" s="1318"/>
      <c r="FQD47" s="1318"/>
      <c r="FQE47" s="1318"/>
      <c r="FQF47" s="1318"/>
      <c r="FQG47" s="1318"/>
      <c r="FQH47" s="1318"/>
      <c r="FQI47" s="1318"/>
      <c r="FQJ47" s="1318"/>
      <c r="FQK47" s="1318"/>
      <c r="FQL47" s="1318"/>
      <c r="FQM47" s="1373"/>
      <c r="FQN47" s="1318"/>
      <c r="FQO47" s="1318"/>
      <c r="FQP47" s="1318"/>
      <c r="FQQ47" s="1318"/>
      <c r="FQR47" s="1318"/>
      <c r="FQS47" s="1318"/>
      <c r="FQT47" s="1318"/>
      <c r="FQU47" s="1318"/>
      <c r="FQV47" s="1318"/>
      <c r="FQW47" s="1318"/>
      <c r="FQX47" s="1373"/>
      <c r="FQY47" s="1318"/>
      <c r="FQZ47" s="1318"/>
      <c r="FRA47" s="1318"/>
      <c r="FRB47" s="1318"/>
      <c r="FRC47" s="1318"/>
      <c r="FRD47" s="1318"/>
      <c r="FRE47" s="1318"/>
      <c r="FRF47" s="1318"/>
      <c r="FRG47" s="1318"/>
      <c r="FRH47" s="1318"/>
      <c r="FRI47" s="1373"/>
      <c r="FRJ47" s="1318"/>
      <c r="FRK47" s="1318"/>
      <c r="FRL47" s="1318"/>
      <c r="FRM47" s="1318"/>
      <c r="FRN47" s="1318"/>
      <c r="FRO47" s="1318"/>
      <c r="FRP47" s="1318"/>
      <c r="FRQ47" s="1318"/>
      <c r="FRR47" s="1318"/>
      <c r="FRS47" s="1318"/>
      <c r="FRT47" s="1373"/>
      <c r="FRU47" s="1318"/>
      <c r="FRV47" s="1318"/>
      <c r="FRW47" s="1318"/>
      <c r="FRX47" s="1318"/>
      <c r="FRY47" s="1318"/>
      <c r="FRZ47" s="1318"/>
      <c r="FSA47" s="1318"/>
      <c r="FSB47" s="1318"/>
      <c r="FSC47" s="1318"/>
      <c r="FSD47" s="1318"/>
      <c r="FSE47" s="1373"/>
      <c r="FSF47" s="1318"/>
      <c r="FSG47" s="1318"/>
      <c r="FSH47" s="1318"/>
      <c r="FSI47" s="1318"/>
      <c r="FSJ47" s="1318"/>
      <c r="FSK47" s="1318"/>
      <c r="FSL47" s="1318"/>
      <c r="FSM47" s="1318"/>
      <c r="FSN47" s="1318"/>
      <c r="FSO47" s="1318"/>
      <c r="FSP47" s="1373"/>
      <c r="FSQ47" s="1318"/>
      <c r="FSR47" s="1318"/>
      <c r="FSS47" s="1318"/>
      <c r="FST47" s="1318"/>
      <c r="FSU47" s="1318"/>
      <c r="FSV47" s="1318"/>
      <c r="FSW47" s="1318"/>
      <c r="FSX47" s="1318"/>
      <c r="FSY47" s="1318"/>
      <c r="FSZ47" s="1318"/>
      <c r="FTA47" s="1373"/>
      <c r="FTB47" s="1318"/>
      <c r="FTC47" s="1318"/>
      <c r="FTD47" s="1318"/>
      <c r="FTE47" s="1318"/>
      <c r="FTF47" s="1318"/>
      <c r="FTG47" s="1318"/>
      <c r="FTH47" s="1318"/>
      <c r="FTI47" s="1318"/>
      <c r="FTJ47" s="1318"/>
      <c r="FTK47" s="1318"/>
      <c r="FTL47" s="1373"/>
      <c r="FTM47" s="1318"/>
      <c r="FTN47" s="1318"/>
      <c r="FTO47" s="1318"/>
      <c r="FTP47" s="1318"/>
      <c r="FTQ47" s="1318"/>
      <c r="FTR47" s="1318"/>
      <c r="FTS47" s="1318"/>
      <c r="FTT47" s="1318"/>
      <c r="FTU47" s="1318"/>
      <c r="FTV47" s="1318"/>
      <c r="FTW47" s="1373"/>
      <c r="FTX47" s="1318"/>
      <c r="FTY47" s="1318"/>
      <c r="FTZ47" s="1318"/>
      <c r="FUA47" s="1318"/>
      <c r="FUB47" s="1318"/>
      <c r="FUC47" s="1318"/>
      <c r="FUD47" s="1318"/>
      <c r="FUE47" s="1318"/>
      <c r="FUF47" s="1318"/>
      <c r="FUG47" s="1318"/>
      <c r="FUH47" s="1373"/>
      <c r="FUI47" s="1318"/>
      <c r="FUJ47" s="1318"/>
      <c r="FUK47" s="1318"/>
      <c r="FUL47" s="1318"/>
      <c r="FUM47" s="1318"/>
      <c r="FUN47" s="1318"/>
      <c r="FUO47" s="1318"/>
      <c r="FUP47" s="1318"/>
      <c r="FUQ47" s="1318"/>
      <c r="FUR47" s="1318"/>
      <c r="FUS47" s="1373"/>
      <c r="FUT47" s="1318"/>
      <c r="FUU47" s="1318"/>
      <c r="FUV47" s="1318"/>
      <c r="FUW47" s="1318"/>
      <c r="FUX47" s="1318"/>
      <c r="FUY47" s="1318"/>
      <c r="FUZ47" s="1318"/>
      <c r="FVA47" s="1318"/>
      <c r="FVB47" s="1318"/>
      <c r="FVC47" s="1318"/>
      <c r="FVD47" s="1373"/>
      <c r="FVE47" s="1318"/>
      <c r="FVF47" s="1318"/>
      <c r="FVG47" s="1318"/>
      <c r="FVH47" s="1318"/>
      <c r="FVI47" s="1318"/>
      <c r="FVJ47" s="1318"/>
      <c r="FVK47" s="1318"/>
      <c r="FVL47" s="1318"/>
      <c r="FVM47" s="1318"/>
      <c r="FVN47" s="1318"/>
      <c r="FVO47" s="1373"/>
      <c r="FVP47" s="1318"/>
      <c r="FVQ47" s="1318"/>
      <c r="FVR47" s="1318"/>
      <c r="FVS47" s="1318"/>
      <c r="FVT47" s="1318"/>
      <c r="FVU47" s="1318"/>
      <c r="FVV47" s="1318"/>
      <c r="FVW47" s="1318"/>
      <c r="FVX47" s="1318"/>
      <c r="FVY47" s="1318"/>
      <c r="FVZ47" s="1373"/>
      <c r="FWA47" s="1318"/>
      <c r="FWB47" s="1318"/>
      <c r="FWC47" s="1318"/>
      <c r="FWD47" s="1318"/>
      <c r="FWE47" s="1318"/>
      <c r="FWF47" s="1318"/>
      <c r="FWG47" s="1318"/>
      <c r="FWH47" s="1318"/>
      <c r="FWI47" s="1318"/>
      <c r="FWJ47" s="1318"/>
      <c r="FWK47" s="1373"/>
      <c r="FWL47" s="1318"/>
      <c r="FWM47" s="1318"/>
      <c r="FWN47" s="1318"/>
      <c r="FWO47" s="1318"/>
      <c r="FWP47" s="1318"/>
      <c r="FWQ47" s="1318"/>
      <c r="FWR47" s="1318"/>
      <c r="FWS47" s="1318"/>
      <c r="FWT47" s="1318"/>
      <c r="FWU47" s="1318"/>
      <c r="FWV47" s="1373"/>
      <c r="FWW47" s="1318"/>
      <c r="FWX47" s="1318"/>
      <c r="FWY47" s="1318"/>
      <c r="FWZ47" s="1318"/>
      <c r="FXA47" s="1318"/>
      <c r="FXB47" s="1318"/>
      <c r="FXC47" s="1318"/>
      <c r="FXD47" s="1318"/>
      <c r="FXE47" s="1318"/>
      <c r="FXF47" s="1318"/>
      <c r="FXG47" s="1373"/>
      <c r="FXH47" s="1318"/>
      <c r="FXI47" s="1318"/>
      <c r="FXJ47" s="1318"/>
      <c r="FXK47" s="1318"/>
      <c r="FXL47" s="1318"/>
      <c r="FXM47" s="1318"/>
      <c r="FXN47" s="1318"/>
      <c r="FXO47" s="1318"/>
      <c r="FXP47" s="1318"/>
      <c r="FXQ47" s="1318"/>
      <c r="FXR47" s="1373"/>
      <c r="FXS47" s="1318"/>
      <c r="FXT47" s="1318"/>
      <c r="FXU47" s="1318"/>
      <c r="FXV47" s="1318"/>
      <c r="FXW47" s="1318"/>
      <c r="FXX47" s="1318"/>
      <c r="FXY47" s="1318"/>
      <c r="FXZ47" s="1318"/>
      <c r="FYA47" s="1318"/>
      <c r="FYB47" s="1318"/>
      <c r="FYC47" s="1373"/>
      <c r="FYD47" s="1318"/>
      <c r="FYE47" s="1318"/>
      <c r="FYF47" s="1318"/>
      <c r="FYG47" s="1318"/>
      <c r="FYH47" s="1318"/>
      <c r="FYI47" s="1318"/>
      <c r="FYJ47" s="1318"/>
      <c r="FYK47" s="1318"/>
      <c r="FYL47" s="1318"/>
      <c r="FYM47" s="1318"/>
      <c r="FYN47" s="1373"/>
      <c r="FYO47" s="1318"/>
      <c r="FYP47" s="1318"/>
      <c r="FYQ47" s="1318"/>
      <c r="FYR47" s="1318"/>
      <c r="FYS47" s="1318"/>
      <c r="FYT47" s="1318"/>
      <c r="FYU47" s="1318"/>
      <c r="FYV47" s="1318"/>
      <c r="FYW47" s="1318"/>
      <c r="FYX47" s="1318"/>
      <c r="FYY47" s="1373"/>
      <c r="FYZ47" s="1318"/>
      <c r="FZA47" s="1318"/>
      <c r="FZB47" s="1318"/>
      <c r="FZC47" s="1318"/>
      <c r="FZD47" s="1318"/>
      <c r="FZE47" s="1318"/>
      <c r="FZF47" s="1318"/>
      <c r="FZG47" s="1318"/>
      <c r="FZH47" s="1318"/>
      <c r="FZI47" s="1318"/>
      <c r="FZJ47" s="1373"/>
      <c r="FZK47" s="1318"/>
      <c r="FZL47" s="1318"/>
      <c r="FZM47" s="1318"/>
      <c r="FZN47" s="1318"/>
      <c r="FZO47" s="1318"/>
      <c r="FZP47" s="1318"/>
      <c r="FZQ47" s="1318"/>
      <c r="FZR47" s="1318"/>
      <c r="FZS47" s="1318"/>
      <c r="FZT47" s="1318"/>
      <c r="FZU47" s="1373"/>
      <c r="FZV47" s="1318"/>
      <c r="FZW47" s="1318"/>
      <c r="FZX47" s="1318"/>
      <c r="FZY47" s="1318"/>
      <c r="FZZ47" s="1318"/>
      <c r="GAA47" s="1318"/>
      <c r="GAB47" s="1318"/>
      <c r="GAC47" s="1318"/>
      <c r="GAD47" s="1318"/>
      <c r="GAE47" s="1318"/>
      <c r="GAF47" s="1373"/>
      <c r="GAG47" s="1318"/>
      <c r="GAH47" s="1318"/>
      <c r="GAI47" s="1318"/>
      <c r="GAJ47" s="1318"/>
      <c r="GAK47" s="1318"/>
      <c r="GAL47" s="1318"/>
      <c r="GAM47" s="1318"/>
      <c r="GAN47" s="1318"/>
      <c r="GAO47" s="1318"/>
      <c r="GAP47" s="1318"/>
      <c r="GAQ47" s="1373"/>
      <c r="GAR47" s="1318"/>
      <c r="GAS47" s="1318"/>
      <c r="GAT47" s="1318"/>
      <c r="GAU47" s="1318"/>
      <c r="GAV47" s="1318"/>
      <c r="GAW47" s="1318"/>
      <c r="GAX47" s="1318"/>
      <c r="GAY47" s="1318"/>
      <c r="GAZ47" s="1318"/>
      <c r="GBA47" s="1318"/>
      <c r="GBB47" s="1373"/>
      <c r="GBC47" s="1318"/>
      <c r="GBD47" s="1318"/>
      <c r="GBE47" s="1318"/>
      <c r="GBF47" s="1318"/>
      <c r="GBG47" s="1318"/>
      <c r="GBH47" s="1318"/>
      <c r="GBI47" s="1318"/>
      <c r="GBJ47" s="1318"/>
      <c r="GBK47" s="1318"/>
      <c r="GBL47" s="1318"/>
      <c r="GBM47" s="1373"/>
      <c r="GBN47" s="1318"/>
      <c r="GBO47" s="1318"/>
      <c r="GBP47" s="1318"/>
      <c r="GBQ47" s="1318"/>
      <c r="GBR47" s="1318"/>
      <c r="GBS47" s="1318"/>
      <c r="GBT47" s="1318"/>
      <c r="GBU47" s="1318"/>
      <c r="GBV47" s="1318"/>
      <c r="GBW47" s="1318"/>
      <c r="GBX47" s="1373"/>
      <c r="GBY47" s="1318"/>
      <c r="GBZ47" s="1318"/>
      <c r="GCA47" s="1318"/>
      <c r="GCB47" s="1318"/>
      <c r="GCC47" s="1318"/>
      <c r="GCD47" s="1318"/>
      <c r="GCE47" s="1318"/>
      <c r="GCF47" s="1318"/>
      <c r="GCG47" s="1318"/>
      <c r="GCH47" s="1318"/>
      <c r="GCI47" s="1373"/>
      <c r="GCJ47" s="1318"/>
      <c r="GCK47" s="1318"/>
      <c r="GCL47" s="1318"/>
      <c r="GCM47" s="1318"/>
      <c r="GCN47" s="1318"/>
      <c r="GCO47" s="1318"/>
      <c r="GCP47" s="1318"/>
      <c r="GCQ47" s="1318"/>
      <c r="GCR47" s="1318"/>
      <c r="GCS47" s="1318"/>
      <c r="GCT47" s="1373"/>
      <c r="GCU47" s="1318"/>
      <c r="GCV47" s="1318"/>
      <c r="GCW47" s="1318"/>
      <c r="GCX47" s="1318"/>
      <c r="GCY47" s="1318"/>
      <c r="GCZ47" s="1318"/>
      <c r="GDA47" s="1318"/>
      <c r="GDB47" s="1318"/>
      <c r="GDC47" s="1318"/>
      <c r="GDD47" s="1318"/>
      <c r="GDE47" s="1373"/>
      <c r="GDF47" s="1318"/>
      <c r="GDG47" s="1318"/>
      <c r="GDH47" s="1318"/>
      <c r="GDI47" s="1318"/>
      <c r="GDJ47" s="1318"/>
      <c r="GDK47" s="1318"/>
      <c r="GDL47" s="1318"/>
      <c r="GDM47" s="1318"/>
      <c r="GDN47" s="1318"/>
      <c r="GDO47" s="1318"/>
      <c r="GDP47" s="1373"/>
      <c r="GDQ47" s="1318"/>
      <c r="GDR47" s="1318"/>
      <c r="GDS47" s="1318"/>
      <c r="GDT47" s="1318"/>
      <c r="GDU47" s="1318"/>
      <c r="GDV47" s="1318"/>
      <c r="GDW47" s="1318"/>
      <c r="GDX47" s="1318"/>
      <c r="GDY47" s="1318"/>
      <c r="GDZ47" s="1318"/>
      <c r="GEA47" s="1373"/>
      <c r="GEB47" s="1318"/>
      <c r="GEC47" s="1318"/>
      <c r="GED47" s="1318"/>
      <c r="GEE47" s="1318"/>
      <c r="GEF47" s="1318"/>
      <c r="GEG47" s="1318"/>
      <c r="GEH47" s="1318"/>
      <c r="GEI47" s="1318"/>
      <c r="GEJ47" s="1318"/>
      <c r="GEK47" s="1318"/>
      <c r="GEL47" s="1373"/>
      <c r="GEM47" s="1318"/>
      <c r="GEN47" s="1318"/>
      <c r="GEO47" s="1318"/>
      <c r="GEP47" s="1318"/>
      <c r="GEQ47" s="1318"/>
      <c r="GER47" s="1318"/>
      <c r="GES47" s="1318"/>
      <c r="GET47" s="1318"/>
      <c r="GEU47" s="1318"/>
      <c r="GEV47" s="1318"/>
      <c r="GEW47" s="1373"/>
      <c r="GEX47" s="1318"/>
      <c r="GEY47" s="1318"/>
      <c r="GEZ47" s="1318"/>
      <c r="GFA47" s="1318"/>
      <c r="GFB47" s="1318"/>
      <c r="GFC47" s="1318"/>
      <c r="GFD47" s="1318"/>
      <c r="GFE47" s="1318"/>
      <c r="GFF47" s="1318"/>
      <c r="GFG47" s="1318"/>
      <c r="GFH47" s="1373"/>
      <c r="GFI47" s="1318"/>
      <c r="GFJ47" s="1318"/>
      <c r="GFK47" s="1318"/>
      <c r="GFL47" s="1318"/>
      <c r="GFM47" s="1318"/>
      <c r="GFN47" s="1318"/>
      <c r="GFO47" s="1318"/>
      <c r="GFP47" s="1318"/>
      <c r="GFQ47" s="1318"/>
      <c r="GFR47" s="1318"/>
      <c r="GFS47" s="1373"/>
      <c r="GFT47" s="1318"/>
      <c r="GFU47" s="1318"/>
      <c r="GFV47" s="1318"/>
      <c r="GFW47" s="1318"/>
      <c r="GFX47" s="1318"/>
      <c r="GFY47" s="1318"/>
      <c r="GFZ47" s="1318"/>
      <c r="GGA47" s="1318"/>
      <c r="GGB47" s="1318"/>
      <c r="GGC47" s="1318"/>
      <c r="GGD47" s="1373"/>
      <c r="GGE47" s="1318"/>
      <c r="GGF47" s="1318"/>
      <c r="GGG47" s="1318"/>
      <c r="GGH47" s="1318"/>
      <c r="GGI47" s="1318"/>
      <c r="GGJ47" s="1318"/>
      <c r="GGK47" s="1318"/>
      <c r="GGL47" s="1318"/>
      <c r="GGM47" s="1318"/>
      <c r="GGN47" s="1318"/>
      <c r="GGO47" s="1373"/>
      <c r="GGP47" s="1318"/>
      <c r="GGQ47" s="1318"/>
      <c r="GGR47" s="1318"/>
      <c r="GGS47" s="1318"/>
      <c r="GGT47" s="1318"/>
      <c r="GGU47" s="1318"/>
      <c r="GGV47" s="1318"/>
      <c r="GGW47" s="1318"/>
      <c r="GGX47" s="1318"/>
      <c r="GGY47" s="1318"/>
      <c r="GGZ47" s="1373"/>
      <c r="GHA47" s="1318"/>
      <c r="GHB47" s="1318"/>
      <c r="GHC47" s="1318"/>
      <c r="GHD47" s="1318"/>
      <c r="GHE47" s="1318"/>
      <c r="GHF47" s="1318"/>
      <c r="GHG47" s="1318"/>
      <c r="GHH47" s="1318"/>
      <c r="GHI47" s="1318"/>
      <c r="GHJ47" s="1318"/>
      <c r="GHK47" s="1373"/>
      <c r="GHL47" s="1318"/>
      <c r="GHM47" s="1318"/>
      <c r="GHN47" s="1318"/>
      <c r="GHO47" s="1318"/>
      <c r="GHP47" s="1318"/>
      <c r="GHQ47" s="1318"/>
      <c r="GHR47" s="1318"/>
      <c r="GHS47" s="1318"/>
      <c r="GHT47" s="1318"/>
      <c r="GHU47" s="1318"/>
      <c r="GHV47" s="1373"/>
      <c r="GHW47" s="1318"/>
      <c r="GHX47" s="1318"/>
      <c r="GHY47" s="1318"/>
      <c r="GHZ47" s="1318"/>
      <c r="GIA47" s="1318"/>
      <c r="GIB47" s="1318"/>
      <c r="GIC47" s="1318"/>
      <c r="GID47" s="1318"/>
      <c r="GIE47" s="1318"/>
      <c r="GIF47" s="1318"/>
      <c r="GIG47" s="1373"/>
      <c r="GIH47" s="1318"/>
      <c r="GII47" s="1318"/>
      <c r="GIJ47" s="1318"/>
      <c r="GIK47" s="1318"/>
      <c r="GIL47" s="1318"/>
      <c r="GIM47" s="1318"/>
      <c r="GIN47" s="1318"/>
      <c r="GIO47" s="1318"/>
      <c r="GIP47" s="1318"/>
      <c r="GIQ47" s="1318"/>
      <c r="GIR47" s="1373"/>
      <c r="GIS47" s="1318"/>
      <c r="GIT47" s="1318"/>
      <c r="GIU47" s="1318"/>
      <c r="GIV47" s="1318"/>
      <c r="GIW47" s="1318"/>
      <c r="GIX47" s="1318"/>
      <c r="GIY47" s="1318"/>
      <c r="GIZ47" s="1318"/>
      <c r="GJA47" s="1318"/>
      <c r="GJB47" s="1318"/>
      <c r="GJC47" s="1373"/>
      <c r="GJD47" s="1318"/>
      <c r="GJE47" s="1318"/>
      <c r="GJF47" s="1318"/>
      <c r="GJG47" s="1318"/>
      <c r="GJH47" s="1318"/>
      <c r="GJI47" s="1318"/>
      <c r="GJJ47" s="1318"/>
      <c r="GJK47" s="1318"/>
      <c r="GJL47" s="1318"/>
      <c r="GJM47" s="1318"/>
      <c r="GJN47" s="1373"/>
      <c r="GJO47" s="1318"/>
      <c r="GJP47" s="1318"/>
      <c r="GJQ47" s="1318"/>
      <c r="GJR47" s="1318"/>
      <c r="GJS47" s="1318"/>
      <c r="GJT47" s="1318"/>
      <c r="GJU47" s="1318"/>
      <c r="GJV47" s="1318"/>
      <c r="GJW47" s="1318"/>
      <c r="GJX47" s="1318"/>
      <c r="GJY47" s="1373"/>
      <c r="GJZ47" s="1318"/>
      <c r="GKA47" s="1318"/>
      <c r="GKB47" s="1318"/>
      <c r="GKC47" s="1318"/>
      <c r="GKD47" s="1318"/>
      <c r="GKE47" s="1318"/>
      <c r="GKF47" s="1318"/>
      <c r="GKG47" s="1318"/>
      <c r="GKH47" s="1318"/>
      <c r="GKI47" s="1318"/>
      <c r="GKJ47" s="1373"/>
      <c r="GKK47" s="1318"/>
      <c r="GKL47" s="1318"/>
      <c r="GKM47" s="1318"/>
      <c r="GKN47" s="1318"/>
      <c r="GKO47" s="1318"/>
      <c r="GKP47" s="1318"/>
      <c r="GKQ47" s="1318"/>
      <c r="GKR47" s="1318"/>
      <c r="GKS47" s="1318"/>
      <c r="GKT47" s="1318"/>
      <c r="GKU47" s="1373"/>
      <c r="GKV47" s="1318"/>
      <c r="GKW47" s="1318"/>
      <c r="GKX47" s="1318"/>
      <c r="GKY47" s="1318"/>
      <c r="GKZ47" s="1318"/>
      <c r="GLA47" s="1318"/>
      <c r="GLB47" s="1318"/>
      <c r="GLC47" s="1318"/>
      <c r="GLD47" s="1318"/>
      <c r="GLE47" s="1318"/>
      <c r="GLF47" s="1373"/>
      <c r="GLG47" s="1318"/>
      <c r="GLH47" s="1318"/>
      <c r="GLI47" s="1318"/>
      <c r="GLJ47" s="1318"/>
      <c r="GLK47" s="1318"/>
      <c r="GLL47" s="1318"/>
      <c r="GLM47" s="1318"/>
      <c r="GLN47" s="1318"/>
      <c r="GLO47" s="1318"/>
      <c r="GLP47" s="1318"/>
      <c r="GLQ47" s="1373"/>
      <c r="GLR47" s="1318"/>
      <c r="GLS47" s="1318"/>
      <c r="GLT47" s="1318"/>
      <c r="GLU47" s="1318"/>
      <c r="GLV47" s="1318"/>
      <c r="GLW47" s="1318"/>
      <c r="GLX47" s="1318"/>
      <c r="GLY47" s="1318"/>
      <c r="GLZ47" s="1318"/>
      <c r="GMA47" s="1318"/>
      <c r="GMB47" s="1373"/>
      <c r="GMC47" s="1318"/>
      <c r="GMD47" s="1318"/>
      <c r="GME47" s="1318"/>
      <c r="GMF47" s="1318"/>
      <c r="GMG47" s="1318"/>
      <c r="GMH47" s="1318"/>
      <c r="GMI47" s="1318"/>
      <c r="GMJ47" s="1318"/>
      <c r="GMK47" s="1318"/>
      <c r="GML47" s="1318"/>
      <c r="GMM47" s="1373"/>
      <c r="GMN47" s="1318"/>
      <c r="GMO47" s="1318"/>
      <c r="GMP47" s="1318"/>
      <c r="GMQ47" s="1318"/>
      <c r="GMR47" s="1318"/>
      <c r="GMS47" s="1318"/>
      <c r="GMT47" s="1318"/>
      <c r="GMU47" s="1318"/>
      <c r="GMV47" s="1318"/>
      <c r="GMW47" s="1318"/>
      <c r="GMX47" s="1373"/>
      <c r="GMY47" s="1318"/>
      <c r="GMZ47" s="1318"/>
      <c r="GNA47" s="1318"/>
      <c r="GNB47" s="1318"/>
      <c r="GNC47" s="1318"/>
      <c r="GND47" s="1318"/>
      <c r="GNE47" s="1318"/>
      <c r="GNF47" s="1318"/>
      <c r="GNG47" s="1318"/>
      <c r="GNH47" s="1318"/>
      <c r="GNI47" s="1373"/>
      <c r="GNJ47" s="1318"/>
      <c r="GNK47" s="1318"/>
      <c r="GNL47" s="1318"/>
      <c r="GNM47" s="1318"/>
      <c r="GNN47" s="1318"/>
      <c r="GNO47" s="1318"/>
      <c r="GNP47" s="1318"/>
      <c r="GNQ47" s="1318"/>
      <c r="GNR47" s="1318"/>
      <c r="GNS47" s="1318"/>
      <c r="GNT47" s="1373"/>
      <c r="GNU47" s="1318"/>
      <c r="GNV47" s="1318"/>
      <c r="GNW47" s="1318"/>
      <c r="GNX47" s="1318"/>
      <c r="GNY47" s="1318"/>
      <c r="GNZ47" s="1318"/>
      <c r="GOA47" s="1318"/>
      <c r="GOB47" s="1318"/>
      <c r="GOC47" s="1318"/>
      <c r="GOD47" s="1318"/>
      <c r="GOE47" s="1373"/>
      <c r="GOF47" s="1318"/>
      <c r="GOG47" s="1318"/>
      <c r="GOH47" s="1318"/>
      <c r="GOI47" s="1318"/>
      <c r="GOJ47" s="1318"/>
      <c r="GOK47" s="1318"/>
      <c r="GOL47" s="1318"/>
      <c r="GOM47" s="1318"/>
      <c r="GON47" s="1318"/>
      <c r="GOO47" s="1318"/>
      <c r="GOP47" s="1373"/>
      <c r="GOQ47" s="1318"/>
      <c r="GOR47" s="1318"/>
      <c r="GOS47" s="1318"/>
      <c r="GOT47" s="1318"/>
      <c r="GOU47" s="1318"/>
      <c r="GOV47" s="1318"/>
      <c r="GOW47" s="1318"/>
      <c r="GOX47" s="1318"/>
      <c r="GOY47" s="1318"/>
      <c r="GOZ47" s="1318"/>
      <c r="GPA47" s="1373"/>
      <c r="GPB47" s="1318"/>
      <c r="GPC47" s="1318"/>
      <c r="GPD47" s="1318"/>
      <c r="GPE47" s="1318"/>
      <c r="GPF47" s="1318"/>
      <c r="GPG47" s="1318"/>
      <c r="GPH47" s="1318"/>
      <c r="GPI47" s="1318"/>
      <c r="GPJ47" s="1318"/>
      <c r="GPK47" s="1318"/>
      <c r="GPL47" s="1373"/>
      <c r="GPM47" s="1318"/>
      <c r="GPN47" s="1318"/>
      <c r="GPO47" s="1318"/>
      <c r="GPP47" s="1318"/>
      <c r="GPQ47" s="1318"/>
      <c r="GPR47" s="1318"/>
      <c r="GPS47" s="1318"/>
      <c r="GPT47" s="1318"/>
      <c r="GPU47" s="1318"/>
      <c r="GPV47" s="1318"/>
      <c r="GPW47" s="1373"/>
      <c r="GPX47" s="1318"/>
      <c r="GPY47" s="1318"/>
      <c r="GPZ47" s="1318"/>
      <c r="GQA47" s="1318"/>
      <c r="GQB47" s="1318"/>
      <c r="GQC47" s="1318"/>
      <c r="GQD47" s="1318"/>
      <c r="GQE47" s="1318"/>
      <c r="GQF47" s="1318"/>
      <c r="GQG47" s="1318"/>
      <c r="GQH47" s="1373"/>
      <c r="GQI47" s="1318"/>
      <c r="GQJ47" s="1318"/>
      <c r="GQK47" s="1318"/>
      <c r="GQL47" s="1318"/>
      <c r="GQM47" s="1318"/>
      <c r="GQN47" s="1318"/>
      <c r="GQO47" s="1318"/>
      <c r="GQP47" s="1318"/>
      <c r="GQQ47" s="1318"/>
      <c r="GQR47" s="1318"/>
      <c r="GQS47" s="1373"/>
      <c r="GQT47" s="1318"/>
      <c r="GQU47" s="1318"/>
      <c r="GQV47" s="1318"/>
      <c r="GQW47" s="1318"/>
      <c r="GQX47" s="1318"/>
      <c r="GQY47" s="1318"/>
      <c r="GQZ47" s="1318"/>
      <c r="GRA47" s="1318"/>
      <c r="GRB47" s="1318"/>
      <c r="GRC47" s="1318"/>
      <c r="GRD47" s="1373"/>
      <c r="GRE47" s="1318"/>
      <c r="GRF47" s="1318"/>
      <c r="GRG47" s="1318"/>
      <c r="GRH47" s="1318"/>
      <c r="GRI47" s="1318"/>
      <c r="GRJ47" s="1318"/>
      <c r="GRK47" s="1318"/>
      <c r="GRL47" s="1318"/>
      <c r="GRM47" s="1318"/>
      <c r="GRN47" s="1318"/>
      <c r="GRO47" s="1373"/>
      <c r="GRP47" s="1318"/>
      <c r="GRQ47" s="1318"/>
      <c r="GRR47" s="1318"/>
      <c r="GRS47" s="1318"/>
      <c r="GRT47" s="1318"/>
      <c r="GRU47" s="1318"/>
      <c r="GRV47" s="1318"/>
      <c r="GRW47" s="1318"/>
      <c r="GRX47" s="1318"/>
      <c r="GRY47" s="1318"/>
      <c r="GRZ47" s="1373"/>
      <c r="GSA47" s="1318"/>
      <c r="GSB47" s="1318"/>
      <c r="GSC47" s="1318"/>
      <c r="GSD47" s="1318"/>
      <c r="GSE47" s="1318"/>
      <c r="GSF47" s="1318"/>
      <c r="GSG47" s="1318"/>
      <c r="GSH47" s="1318"/>
      <c r="GSI47" s="1318"/>
      <c r="GSJ47" s="1318"/>
      <c r="GSK47" s="1373"/>
      <c r="GSL47" s="1318"/>
      <c r="GSM47" s="1318"/>
      <c r="GSN47" s="1318"/>
      <c r="GSO47" s="1318"/>
      <c r="GSP47" s="1318"/>
      <c r="GSQ47" s="1318"/>
      <c r="GSR47" s="1318"/>
      <c r="GSS47" s="1318"/>
      <c r="GST47" s="1318"/>
      <c r="GSU47" s="1318"/>
      <c r="GSV47" s="1373"/>
      <c r="GSW47" s="1318"/>
      <c r="GSX47" s="1318"/>
      <c r="GSY47" s="1318"/>
      <c r="GSZ47" s="1318"/>
      <c r="GTA47" s="1318"/>
      <c r="GTB47" s="1318"/>
      <c r="GTC47" s="1318"/>
      <c r="GTD47" s="1318"/>
      <c r="GTE47" s="1318"/>
      <c r="GTF47" s="1318"/>
      <c r="GTG47" s="1373"/>
      <c r="GTH47" s="1318"/>
      <c r="GTI47" s="1318"/>
      <c r="GTJ47" s="1318"/>
      <c r="GTK47" s="1318"/>
      <c r="GTL47" s="1318"/>
      <c r="GTM47" s="1318"/>
      <c r="GTN47" s="1318"/>
      <c r="GTO47" s="1318"/>
      <c r="GTP47" s="1318"/>
      <c r="GTQ47" s="1318"/>
      <c r="GTR47" s="1373"/>
      <c r="GTS47" s="1318"/>
      <c r="GTT47" s="1318"/>
      <c r="GTU47" s="1318"/>
      <c r="GTV47" s="1318"/>
      <c r="GTW47" s="1318"/>
      <c r="GTX47" s="1318"/>
      <c r="GTY47" s="1318"/>
      <c r="GTZ47" s="1318"/>
      <c r="GUA47" s="1318"/>
      <c r="GUB47" s="1318"/>
      <c r="GUC47" s="1373"/>
      <c r="GUD47" s="1318"/>
      <c r="GUE47" s="1318"/>
      <c r="GUF47" s="1318"/>
      <c r="GUG47" s="1318"/>
      <c r="GUH47" s="1318"/>
      <c r="GUI47" s="1318"/>
      <c r="GUJ47" s="1318"/>
      <c r="GUK47" s="1318"/>
      <c r="GUL47" s="1318"/>
      <c r="GUM47" s="1318"/>
      <c r="GUN47" s="1373"/>
      <c r="GUO47" s="1318"/>
      <c r="GUP47" s="1318"/>
      <c r="GUQ47" s="1318"/>
      <c r="GUR47" s="1318"/>
      <c r="GUS47" s="1318"/>
      <c r="GUT47" s="1318"/>
      <c r="GUU47" s="1318"/>
      <c r="GUV47" s="1318"/>
      <c r="GUW47" s="1318"/>
      <c r="GUX47" s="1318"/>
      <c r="GUY47" s="1373"/>
      <c r="GUZ47" s="1318"/>
      <c r="GVA47" s="1318"/>
      <c r="GVB47" s="1318"/>
      <c r="GVC47" s="1318"/>
      <c r="GVD47" s="1318"/>
      <c r="GVE47" s="1318"/>
      <c r="GVF47" s="1318"/>
      <c r="GVG47" s="1318"/>
      <c r="GVH47" s="1318"/>
      <c r="GVI47" s="1318"/>
      <c r="GVJ47" s="1373"/>
      <c r="GVK47" s="1318"/>
      <c r="GVL47" s="1318"/>
      <c r="GVM47" s="1318"/>
      <c r="GVN47" s="1318"/>
      <c r="GVO47" s="1318"/>
      <c r="GVP47" s="1318"/>
      <c r="GVQ47" s="1318"/>
      <c r="GVR47" s="1318"/>
      <c r="GVS47" s="1318"/>
      <c r="GVT47" s="1318"/>
      <c r="GVU47" s="1373"/>
      <c r="GVV47" s="1318"/>
      <c r="GVW47" s="1318"/>
      <c r="GVX47" s="1318"/>
      <c r="GVY47" s="1318"/>
      <c r="GVZ47" s="1318"/>
      <c r="GWA47" s="1318"/>
      <c r="GWB47" s="1318"/>
      <c r="GWC47" s="1318"/>
      <c r="GWD47" s="1318"/>
      <c r="GWE47" s="1318"/>
      <c r="GWF47" s="1373"/>
      <c r="GWG47" s="1318"/>
      <c r="GWH47" s="1318"/>
      <c r="GWI47" s="1318"/>
      <c r="GWJ47" s="1318"/>
      <c r="GWK47" s="1318"/>
      <c r="GWL47" s="1318"/>
      <c r="GWM47" s="1318"/>
      <c r="GWN47" s="1318"/>
      <c r="GWO47" s="1318"/>
      <c r="GWP47" s="1318"/>
      <c r="GWQ47" s="1373"/>
      <c r="GWR47" s="1318"/>
      <c r="GWS47" s="1318"/>
      <c r="GWT47" s="1318"/>
      <c r="GWU47" s="1318"/>
      <c r="GWV47" s="1318"/>
      <c r="GWW47" s="1318"/>
      <c r="GWX47" s="1318"/>
      <c r="GWY47" s="1318"/>
      <c r="GWZ47" s="1318"/>
      <c r="GXA47" s="1318"/>
      <c r="GXB47" s="1373"/>
      <c r="GXC47" s="1318"/>
      <c r="GXD47" s="1318"/>
      <c r="GXE47" s="1318"/>
      <c r="GXF47" s="1318"/>
      <c r="GXG47" s="1318"/>
      <c r="GXH47" s="1318"/>
      <c r="GXI47" s="1318"/>
      <c r="GXJ47" s="1318"/>
      <c r="GXK47" s="1318"/>
      <c r="GXL47" s="1318"/>
      <c r="GXM47" s="1373"/>
      <c r="GXN47" s="1318"/>
      <c r="GXO47" s="1318"/>
      <c r="GXP47" s="1318"/>
      <c r="GXQ47" s="1318"/>
      <c r="GXR47" s="1318"/>
      <c r="GXS47" s="1318"/>
      <c r="GXT47" s="1318"/>
      <c r="GXU47" s="1318"/>
      <c r="GXV47" s="1318"/>
      <c r="GXW47" s="1318"/>
      <c r="GXX47" s="1373"/>
      <c r="GXY47" s="1318"/>
      <c r="GXZ47" s="1318"/>
      <c r="GYA47" s="1318"/>
      <c r="GYB47" s="1318"/>
      <c r="GYC47" s="1318"/>
      <c r="GYD47" s="1318"/>
      <c r="GYE47" s="1318"/>
      <c r="GYF47" s="1318"/>
      <c r="GYG47" s="1318"/>
      <c r="GYH47" s="1318"/>
      <c r="GYI47" s="1373"/>
      <c r="GYJ47" s="1318"/>
      <c r="GYK47" s="1318"/>
      <c r="GYL47" s="1318"/>
      <c r="GYM47" s="1318"/>
      <c r="GYN47" s="1318"/>
      <c r="GYO47" s="1318"/>
      <c r="GYP47" s="1318"/>
      <c r="GYQ47" s="1318"/>
      <c r="GYR47" s="1318"/>
      <c r="GYS47" s="1318"/>
      <c r="GYT47" s="1373"/>
      <c r="GYU47" s="1318"/>
      <c r="GYV47" s="1318"/>
      <c r="GYW47" s="1318"/>
      <c r="GYX47" s="1318"/>
      <c r="GYY47" s="1318"/>
      <c r="GYZ47" s="1318"/>
      <c r="GZA47" s="1318"/>
      <c r="GZB47" s="1318"/>
      <c r="GZC47" s="1318"/>
      <c r="GZD47" s="1318"/>
      <c r="GZE47" s="1373"/>
      <c r="GZF47" s="1318"/>
      <c r="GZG47" s="1318"/>
      <c r="GZH47" s="1318"/>
      <c r="GZI47" s="1318"/>
      <c r="GZJ47" s="1318"/>
      <c r="GZK47" s="1318"/>
      <c r="GZL47" s="1318"/>
      <c r="GZM47" s="1318"/>
      <c r="GZN47" s="1318"/>
      <c r="GZO47" s="1318"/>
      <c r="GZP47" s="1373"/>
      <c r="GZQ47" s="1318"/>
      <c r="GZR47" s="1318"/>
      <c r="GZS47" s="1318"/>
      <c r="GZT47" s="1318"/>
      <c r="GZU47" s="1318"/>
      <c r="GZV47" s="1318"/>
      <c r="GZW47" s="1318"/>
      <c r="GZX47" s="1318"/>
      <c r="GZY47" s="1318"/>
      <c r="GZZ47" s="1318"/>
      <c r="HAA47" s="1373"/>
      <c r="HAB47" s="1318"/>
      <c r="HAC47" s="1318"/>
      <c r="HAD47" s="1318"/>
      <c r="HAE47" s="1318"/>
      <c r="HAF47" s="1318"/>
      <c r="HAG47" s="1318"/>
      <c r="HAH47" s="1318"/>
      <c r="HAI47" s="1318"/>
      <c r="HAJ47" s="1318"/>
      <c r="HAK47" s="1318"/>
      <c r="HAL47" s="1373"/>
      <c r="HAM47" s="1318"/>
      <c r="HAN47" s="1318"/>
      <c r="HAO47" s="1318"/>
      <c r="HAP47" s="1318"/>
      <c r="HAQ47" s="1318"/>
      <c r="HAR47" s="1318"/>
      <c r="HAS47" s="1318"/>
      <c r="HAT47" s="1318"/>
      <c r="HAU47" s="1318"/>
      <c r="HAV47" s="1318"/>
      <c r="HAW47" s="1373"/>
      <c r="HAX47" s="1318"/>
      <c r="HAY47" s="1318"/>
      <c r="HAZ47" s="1318"/>
      <c r="HBA47" s="1318"/>
      <c r="HBB47" s="1318"/>
      <c r="HBC47" s="1318"/>
      <c r="HBD47" s="1318"/>
      <c r="HBE47" s="1318"/>
      <c r="HBF47" s="1318"/>
      <c r="HBG47" s="1318"/>
      <c r="HBH47" s="1373"/>
      <c r="HBI47" s="1318"/>
      <c r="HBJ47" s="1318"/>
      <c r="HBK47" s="1318"/>
      <c r="HBL47" s="1318"/>
      <c r="HBM47" s="1318"/>
      <c r="HBN47" s="1318"/>
      <c r="HBO47" s="1318"/>
      <c r="HBP47" s="1318"/>
      <c r="HBQ47" s="1318"/>
      <c r="HBR47" s="1318"/>
      <c r="HBS47" s="1373"/>
      <c r="HBT47" s="1318"/>
      <c r="HBU47" s="1318"/>
      <c r="HBV47" s="1318"/>
      <c r="HBW47" s="1318"/>
      <c r="HBX47" s="1318"/>
      <c r="HBY47" s="1318"/>
      <c r="HBZ47" s="1318"/>
      <c r="HCA47" s="1318"/>
      <c r="HCB47" s="1318"/>
      <c r="HCC47" s="1318"/>
      <c r="HCD47" s="1373"/>
      <c r="HCE47" s="1318"/>
      <c r="HCF47" s="1318"/>
      <c r="HCG47" s="1318"/>
      <c r="HCH47" s="1318"/>
      <c r="HCI47" s="1318"/>
      <c r="HCJ47" s="1318"/>
      <c r="HCK47" s="1318"/>
      <c r="HCL47" s="1318"/>
      <c r="HCM47" s="1318"/>
      <c r="HCN47" s="1318"/>
      <c r="HCO47" s="1373"/>
      <c r="HCP47" s="1318"/>
      <c r="HCQ47" s="1318"/>
      <c r="HCR47" s="1318"/>
      <c r="HCS47" s="1318"/>
      <c r="HCT47" s="1318"/>
      <c r="HCU47" s="1318"/>
      <c r="HCV47" s="1318"/>
      <c r="HCW47" s="1318"/>
      <c r="HCX47" s="1318"/>
      <c r="HCY47" s="1318"/>
      <c r="HCZ47" s="1373"/>
      <c r="HDA47" s="1318"/>
      <c r="HDB47" s="1318"/>
      <c r="HDC47" s="1318"/>
      <c r="HDD47" s="1318"/>
      <c r="HDE47" s="1318"/>
      <c r="HDF47" s="1318"/>
      <c r="HDG47" s="1318"/>
      <c r="HDH47" s="1318"/>
      <c r="HDI47" s="1318"/>
      <c r="HDJ47" s="1318"/>
      <c r="HDK47" s="1373"/>
      <c r="HDL47" s="1318"/>
      <c r="HDM47" s="1318"/>
      <c r="HDN47" s="1318"/>
      <c r="HDO47" s="1318"/>
      <c r="HDP47" s="1318"/>
      <c r="HDQ47" s="1318"/>
      <c r="HDR47" s="1318"/>
      <c r="HDS47" s="1318"/>
      <c r="HDT47" s="1318"/>
      <c r="HDU47" s="1318"/>
      <c r="HDV47" s="1373"/>
      <c r="HDW47" s="1318"/>
      <c r="HDX47" s="1318"/>
      <c r="HDY47" s="1318"/>
      <c r="HDZ47" s="1318"/>
      <c r="HEA47" s="1318"/>
      <c r="HEB47" s="1318"/>
      <c r="HEC47" s="1318"/>
      <c r="HED47" s="1318"/>
      <c r="HEE47" s="1318"/>
      <c r="HEF47" s="1318"/>
      <c r="HEG47" s="1373"/>
      <c r="HEH47" s="1318"/>
      <c r="HEI47" s="1318"/>
      <c r="HEJ47" s="1318"/>
      <c r="HEK47" s="1318"/>
      <c r="HEL47" s="1318"/>
      <c r="HEM47" s="1318"/>
      <c r="HEN47" s="1318"/>
      <c r="HEO47" s="1318"/>
      <c r="HEP47" s="1318"/>
      <c r="HEQ47" s="1318"/>
      <c r="HER47" s="1373"/>
      <c r="HES47" s="1318"/>
      <c r="HET47" s="1318"/>
      <c r="HEU47" s="1318"/>
      <c r="HEV47" s="1318"/>
      <c r="HEW47" s="1318"/>
      <c r="HEX47" s="1318"/>
      <c r="HEY47" s="1318"/>
      <c r="HEZ47" s="1318"/>
      <c r="HFA47" s="1318"/>
      <c r="HFB47" s="1318"/>
      <c r="HFC47" s="1373"/>
      <c r="HFD47" s="1318"/>
      <c r="HFE47" s="1318"/>
      <c r="HFF47" s="1318"/>
      <c r="HFG47" s="1318"/>
      <c r="HFH47" s="1318"/>
      <c r="HFI47" s="1318"/>
      <c r="HFJ47" s="1318"/>
      <c r="HFK47" s="1318"/>
      <c r="HFL47" s="1318"/>
      <c r="HFM47" s="1318"/>
      <c r="HFN47" s="1373"/>
      <c r="HFO47" s="1318"/>
      <c r="HFP47" s="1318"/>
      <c r="HFQ47" s="1318"/>
      <c r="HFR47" s="1318"/>
      <c r="HFS47" s="1318"/>
      <c r="HFT47" s="1318"/>
      <c r="HFU47" s="1318"/>
      <c r="HFV47" s="1318"/>
      <c r="HFW47" s="1318"/>
      <c r="HFX47" s="1318"/>
      <c r="HFY47" s="1373"/>
      <c r="HFZ47" s="1318"/>
      <c r="HGA47" s="1318"/>
      <c r="HGB47" s="1318"/>
      <c r="HGC47" s="1318"/>
      <c r="HGD47" s="1318"/>
      <c r="HGE47" s="1318"/>
      <c r="HGF47" s="1318"/>
      <c r="HGG47" s="1318"/>
      <c r="HGH47" s="1318"/>
      <c r="HGI47" s="1318"/>
      <c r="HGJ47" s="1373"/>
      <c r="HGK47" s="1318"/>
      <c r="HGL47" s="1318"/>
      <c r="HGM47" s="1318"/>
      <c r="HGN47" s="1318"/>
      <c r="HGO47" s="1318"/>
      <c r="HGP47" s="1318"/>
      <c r="HGQ47" s="1318"/>
      <c r="HGR47" s="1318"/>
      <c r="HGS47" s="1318"/>
      <c r="HGT47" s="1318"/>
      <c r="HGU47" s="1373"/>
      <c r="HGV47" s="1318"/>
      <c r="HGW47" s="1318"/>
      <c r="HGX47" s="1318"/>
      <c r="HGY47" s="1318"/>
      <c r="HGZ47" s="1318"/>
      <c r="HHA47" s="1318"/>
      <c r="HHB47" s="1318"/>
      <c r="HHC47" s="1318"/>
      <c r="HHD47" s="1318"/>
      <c r="HHE47" s="1318"/>
      <c r="HHF47" s="1373"/>
      <c r="HHG47" s="1318"/>
      <c r="HHH47" s="1318"/>
      <c r="HHI47" s="1318"/>
      <c r="HHJ47" s="1318"/>
      <c r="HHK47" s="1318"/>
      <c r="HHL47" s="1318"/>
      <c r="HHM47" s="1318"/>
      <c r="HHN47" s="1318"/>
      <c r="HHO47" s="1318"/>
      <c r="HHP47" s="1318"/>
      <c r="HHQ47" s="1373"/>
      <c r="HHR47" s="1318"/>
      <c r="HHS47" s="1318"/>
      <c r="HHT47" s="1318"/>
      <c r="HHU47" s="1318"/>
      <c r="HHV47" s="1318"/>
      <c r="HHW47" s="1318"/>
      <c r="HHX47" s="1318"/>
      <c r="HHY47" s="1318"/>
      <c r="HHZ47" s="1318"/>
      <c r="HIA47" s="1318"/>
      <c r="HIB47" s="1373"/>
      <c r="HIC47" s="1318"/>
      <c r="HID47" s="1318"/>
      <c r="HIE47" s="1318"/>
      <c r="HIF47" s="1318"/>
      <c r="HIG47" s="1318"/>
      <c r="HIH47" s="1318"/>
      <c r="HII47" s="1318"/>
      <c r="HIJ47" s="1318"/>
      <c r="HIK47" s="1318"/>
      <c r="HIL47" s="1318"/>
      <c r="HIM47" s="1373"/>
      <c r="HIN47" s="1318"/>
      <c r="HIO47" s="1318"/>
      <c r="HIP47" s="1318"/>
      <c r="HIQ47" s="1318"/>
      <c r="HIR47" s="1318"/>
      <c r="HIS47" s="1318"/>
      <c r="HIT47" s="1318"/>
      <c r="HIU47" s="1318"/>
      <c r="HIV47" s="1318"/>
      <c r="HIW47" s="1318"/>
      <c r="HIX47" s="1373"/>
      <c r="HIY47" s="1318"/>
      <c r="HIZ47" s="1318"/>
      <c r="HJA47" s="1318"/>
      <c r="HJB47" s="1318"/>
      <c r="HJC47" s="1318"/>
      <c r="HJD47" s="1318"/>
      <c r="HJE47" s="1318"/>
      <c r="HJF47" s="1318"/>
      <c r="HJG47" s="1318"/>
      <c r="HJH47" s="1318"/>
      <c r="HJI47" s="1373"/>
      <c r="HJJ47" s="1318"/>
      <c r="HJK47" s="1318"/>
      <c r="HJL47" s="1318"/>
      <c r="HJM47" s="1318"/>
      <c r="HJN47" s="1318"/>
      <c r="HJO47" s="1318"/>
      <c r="HJP47" s="1318"/>
      <c r="HJQ47" s="1318"/>
      <c r="HJR47" s="1318"/>
      <c r="HJS47" s="1318"/>
      <c r="HJT47" s="1373"/>
      <c r="HJU47" s="1318"/>
      <c r="HJV47" s="1318"/>
      <c r="HJW47" s="1318"/>
      <c r="HJX47" s="1318"/>
      <c r="HJY47" s="1318"/>
      <c r="HJZ47" s="1318"/>
      <c r="HKA47" s="1318"/>
      <c r="HKB47" s="1318"/>
      <c r="HKC47" s="1318"/>
      <c r="HKD47" s="1318"/>
      <c r="HKE47" s="1373"/>
      <c r="HKF47" s="1318"/>
      <c r="HKG47" s="1318"/>
      <c r="HKH47" s="1318"/>
      <c r="HKI47" s="1318"/>
      <c r="HKJ47" s="1318"/>
      <c r="HKK47" s="1318"/>
      <c r="HKL47" s="1318"/>
      <c r="HKM47" s="1318"/>
      <c r="HKN47" s="1318"/>
      <c r="HKO47" s="1318"/>
      <c r="HKP47" s="1373"/>
      <c r="HKQ47" s="1318"/>
      <c r="HKR47" s="1318"/>
      <c r="HKS47" s="1318"/>
      <c r="HKT47" s="1318"/>
      <c r="HKU47" s="1318"/>
      <c r="HKV47" s="1318"/>
      <c r="HKW47" s="1318"/>
      <c r="HKX47" s="1318"/>
      <c r="HKY47" s="1318"/>
      <c r="HKZ47" s="1318"/>
      <c r="HLA47" s="1373"/>
      <c r="HLB47" s="1318"/>
      <c r="HLC47" s="1318"/>
      <c r="HLD47" s="1318"/>
      <c r="HLE47" s="1318"/>
      <c r="HLF47" s="1318"/>
      <c r="HLG47" s="1318"/>
      <c r="HLH47" s="1318"/>
      <c r="HLI47" s="1318"/>
      <c r="HLJ47" s="1318"/>
      <c r="HLK47" s="1318"/>
      <c r="HLL47" s="1373"/>
      <c r="HLM47" s="1318"/>
      <c r="HLN47" s="1318"/>
      <c r="HLO47" s="1318"/>
      <c r="HLP47" s="1318"/>
      <c r="HLQ47" s="1318"/>
      <c r="HLR47" s="1318"/>
      <c r="HLS47" s="1318"/>
      <c r="HLT47" s="1318"/>
      <c r="HLU47" s="1318"/>
      <c r="HLV47" s="1318"/>
      <c r="HLW47" s="1373"/>
      <c r="HLX47" s="1318"/>
      <c r="HLY47" s="1318"/>
      <c r="HLZ47" s="1318"/>
      <c r="HMA47" s="1318"/>
      <c r="HMB47" s="1318"/>
      <c r="HMC47" s="1318"/>
      <c r="HMD47" s="1318"/>
      <c r="HME47" s="1318"/>
      <c r="HMF47" s="1318"/>
      <c r="HMG47" s="1318"/>
      <c r="HMH47" s="1373"/>
      <c r="HMI47" s="1318"/>
      <c r="HMJ47" s="1318"/>
      <c r="HMK47" s="1318"/>
      <c r="HML47" s="1318"/>
      <c r="HMM47" s="1318"/>
      <c r="HMN47" s="1318"/>
      <c r="HMO47" s="1318"/>
      <c r="HMP47" s="1318"/>
      <c r="HMQ47" s="1318"/>
      <c r="HMR47" s="1318"/>
      <c r="HMS47" s="1373"/>
      <c r="HMT47" s="1318"/>
      <c r="HMU47" s="1318"/>
      <c r="HMV47" s="1318"/>
      <c r="HMW47" s="1318"/>
      <c r="HMX47" s="1318"/>
      <c r="HMY47" s="1318"/>
      <c r="HMZ47" s="1318"/>
      <c r="HNA47" s="1318"/>
      <c r="HNB47" s="1318"/>
      <c r="HNC47" s="1318"/>
      <c r="HND47" s="1373"/>
      <c r="HNE47" s="1318"/>
      <c r="HNF47" s="1318"/>
      <c r="HNG47" s="1318"/>
      <c r="HNH47" s="1318"/>
      <c r="HNI47" s="1318"/>
      <c r="HNJ47" s="1318"/>
      <c r="HNK47" s="1318"/>
      <c r="HNL47" s="1318"/>
      <c r="HNM47" s="1318"/>
      <c r="HNN47" s="1318"/>
      <c r="HNO47" s="1373"/>
      <c r="HNP47" s="1318"/>
      <c r="HNQ47" s="1318"/>
      <c r="HNR47" s="1318"/>
      <c r="HNS47" s="1318"/>
      <c r="HNT47" s="1318"/>
      <c r="HNU47" s="1318"/>
      <c r="HNV47" s="1318"/>
      <c r="HNW47" s="1318"/>
      <c r="HNX47" s="1318"/>
      <c r="HNY47" s="1318"/>
      <c r="HNZ47" s="1373"/>
      <c r="HOA47" s="1318"/>
      <c r="HOB47" s="1318"/>
      <c r="HOC47" s="1318"/>
      <c r="HOD47" s="1318"/>
      <c r="HOE47" s="1318"/>
      <c r="HOF47" s="1318"/>
      <c r="HOG47" s="1318"/>
      <c r="HOH47" s="1318"/>
      <c r="HOI47" s="1318"/>
      <c r="HOJ47" s="1318"/>
      <c r="HOK47" s="1373"/>
      <c r="HOL47" s="1318"/>
      <c r="HOM47" s="1318"/>
      <c r="HON47" s="1318"/>
      <c r="HOO47" s="1318"/>
      <c r="HOP47" s="1318"/>
      <c r="HOQ47" s="1318"/>
      <c r="HOR47" s="1318"/>
      <c r="HOS47" s="1318"/>
      <c r="HOT47" s="1318"/>
      <c r="HOU47" s="1318"/>
      <c r="HOV47" s="1373"/>
      <c r="HOW47" s="1318"/>
      <c r="HOX47" s="1318"/>
      <c r="HOY47" s="1318"/>
      <c r="HOZ47" s="1318"/>
      <c r="HPA47" s="1318"/>
      <c r="HPB47" s="1318"/>
      <c r="HPC47" s="1318"/>
      <c r="HPD47" s="1318"/>
      <c r="HPE47" s="1318"/>
      <c r="HPF47" s="1318"/>
      <c r="HPG47" s="1373"/>
      <c r="HPH47" s="1318"/>
      <c r="HPI47" s="1318"/>
      <c r="HPJ47" s="1318"/>
      <c r="HPK47" s="1318"/>
      <c r="HPL47" s="1318"/>
      <c r="HPM47" s="1318"/>
      <c r="HPN47" s="1318"/>
      <c r="HPO47" s="1318"/>
      <c r="HPP47" s="1318"/>
      <c r="HPQ47" s="1318"/>
      <c r="HPR47" s="1373"/>
      <c r="HPS47" s="1318"/>
      <c r="HPT47" s="1318"/>
      <c r="HPU47" s="1318"/>
      <c r="HPV47" s="1318"/>
      <c r="HPW47" s="1318"/>
      <c r="HPX47" s="1318"/>
      <c r="HPY47" s="1318"/>
      <c r="HPZ47" s="1318"/>
      <c r="HQA47" s="1318"/>
      <c r="HQB47" s="1318"/>
      <c r="HQC47" s="1373"/>
      <c r="HQD47" s="1318"/>
      <c r="HQE47" s="1318"/>
      <c r="HQF47" s="1318"/>
      <c r="HQG47" s="1318"/>
      <c r="HQH47" s="1318"/>
      <c r="HQI47" s="1318"/>
      <c r="HQJ47" s="1318"/>
      <c r="HQK47" s="1318"/>
      <c r="HQL47" s="1318"/>
      <c r="HQM47" s="1318"/>
      <c r="HQN47" s="1373"/>
      <c r="HQO47" s="1318"/>
      <c r="HQP47" s="1318"/>
      <c r="HQQ47" s="1318"/>
      <c r="HQR47" s="1318"/>
      <c r="HQS47" s="1318"/>
      <c r="HQT47" s="1318"/>
      <c r="HQU47" s="1318"/>
      <c r="HQV47" s="1318"/>
      <c r="HQW47" s="1318"/>
      <c r="HQX47" s="1318"/>
      <c r="HQY47" s="1373"/>
      <c r="HQZ47" s="1318"/>
      <c r="HRA47" s="1318"/>
      <c r="HRB47" s="1318"/>
      <c r="HRC47" s="1318"/>
      <c r="HRD47" s="1318"/>
      <c r="HRE47" s="1318"/>
      <c r="HRF47" s="1318"/>
      <c r="HRG47" s="1318"/>
      <c r="HRH47" s="1318"/>
      <c r="HRI47" s="1318"/>
      <c r="HRJ47" s="1373"/>
      <c r="HRK47" s="1318"/>
      <c r="HRL47" s="1318"/>
      <c r="HRM47" s="1318"/>
      <c r="HRN47" s="1318"/>
      <c r="HRO47" s="1318"/>
      <c r="HRP47" s="1318"/>
      <c r="HRQ47" s="1318"/>
      <c r="HRR47" s="1318"/>
      <c r="HRS47" s="1318"/>
      <c r="HRT47" s="1318"/>
      <c r="HRU47" s="1373"/>
      <c r="HRV47" s="1318"/>
      <c r="HRW47" s="1318"/>
      <c r="HRX47" s="1318"/>
      <c r="HRY47" s="1318"/>
      <c r="HRZ47" s="1318"/>
      <c r="HSA47" s="1318"/>
      <c r="HSB47" s="1318"/>
      <c r="HSC47" s="1318"/>
      <c r="HSD47" s="1318"/>
      <c r="HSE47" s="1318"/>
      <c r="HSF47" s="1373"/>
      <c r="HSG47" s="1318"/>
      <c r="HSH47" s="1318"/>
      <c r="HSI47" s="1318"/>
      <c r="HSJ47" s="1318"/>
      <c r="HSK47" s="1318"/>
      <c r="HSL47" s="1318"/>
      <c r="HSM47" s="1318"/>
      <c r="HSN47" s="1318"/>
      <c r="HSO47" s="1318"/>
      <c r="HSP47" s="1318"/>
      <c r="HSQ47" s="1373"/>
      <c r="HSR47" s="1318"/>
      <c r="HSS47" s="1318"/>
      <c r="HST47" s="1318"/>
      <c r="HSU47" s="1318"/>
      <c r="HSV47" s="1318"/>
      <c r="HSW47" s="1318"/>
      <c r="HSX47" s="1318"/>
      <c r="HSY47" s="1318"/>
      <c r="HSZ47" s="1318"/>
      <c r="HTA47" s="1318"/>
      <c r="HTB47" s="1373"/>
      <c r="HTC47" s="1318"/>
      <c r="HTD47" s="1318"/>
      <c r="HTE47" s="1318"/>
      <c r="HTF47" s="1318"/>
      <c r="HTG47" s="1318"/>
      <c r="HTH47" s="1318"/>
      <c r="HTI47" s="1318"/>
      <c r="HTJ47" s="1318"/>
      <c r="HTK47" s="1318"/>
      <c r="HTL47" s="1318"/>
      <c r="HTM47" s="1373"/>
      <c r="HTN47" s="1318"/>
      <c r="HTO47" s="1318"/>
      <c r="HTP47" s="1318"/>
      <c r="HTQ47" s="1318"/>
      <c r="HTR47" s="1318"/>
      <c r="HTS47" s="1318"/>
      <c r="HTT47" s="1318"/>
      <c r="HTU47" s="1318"/>
      <c r="HTV47" s="1318"/>
      <c r="HTW47" s="1318"/>
      <c r="HTX47" s="1373"/>
      <c r="HTY47" s="1318"/>
      <c r="HTZ47" s="1318"/>
      <c r="HUA47" s="1318"/>
      <c r="HUB47" s="1318"/>
      <c r="HUC47" s="1318"/>
      <c r="HUD47" s="1318"/>
      <c r="HUE47" s="1318"/>
      <c r="HUF47" s="1318"/>
      <c r="HUG47" s="1318"/>
      <c r="HUH47" s="1318"/>
      <c r="HUI47" s="1373"/>
      <c r="HUJ47" s="1318"/>
      <c r="HUK47" s="1318"/>
      <c r="HUL47" s="1318"/>
      <c r="HUM47" s="1318"/>
      <c r="HUN47" s="1318"/>
      <c r="HUO47" s="1318"/>
      <c r="HUP47" s="1318"/>
      <c r="HUQ47" s="1318"/>
      <c r="HUR47" s="1318"/>
      <c r="HUS47" s="1318"/>
      <c r="HUT47" s="1373"/>
      <c r="HUU47" s="1318"/>
      <c r="HUV47" s="1318"/>
      <c r="HUW47" s="1318"/>
      <c r="HUX47" s="1318"/>
      <c r="HUY47" s="1318"/>
      <c r="HUZ47" s="1318"/>
      <c r="HVA47" s="1318"/>
      <c r="HVB47" s="1318"/>
      <c r="HVC47" s="1318"/>
      <c r="HVD47" s="1318"/>
      <c r="HVE47" s="1373"/>
      <c r="HVF47" s="1318"/>
      <c r="HVG47" s="1318"/>
      <c r="HVH47" s="1318"/>
      <c r="HVI47" s="1318"/>
      <c r="HVJ47" s="1318"/>
      <c r="HVK47" s="1318"/>
      <c r="HVL47" s="1318"/>
      <c r="HVM47" s="1318"/>
      <c r="HVN47" s="1318"/>
      <c r="HVO47" s="1318"/>
      <c r="HVP47" s="1373"/>
      <c r="HVQ47" s="1318"/>
      <c r="HVR47" s="1318"/>
      <c r="HVS47" s="1318"/>
      <c r="HVT47" s="1318"/>
      <c r="HVU47" s="1318"/>
      <c r="HVV47" s="1318"/>
      <c r="HVW47" s="1318"/>
      <c r="HVX47" s="1318"/>
      <c r="HVY47" s="1318"/>
      <c r="HVZ47" s="1318"/>
      <c r="HWA47" s="1373"/>
      <c r="HWB47" s="1318"/>
      <c r="HWC47" s="1318"/>
      <c r="HWD47" s="1318"/>
      <c r="HWE47" s="1318"/>
      <c r="HWF47" s="1318"/>
      <c r="HWG47" s="1318"/>
      <c r="HWH47" s="1318"/>
      <c r="HWI47" s="1318"/>
      <c r="HWJ47" s="1318"/>
      <c r="HWK47" s="1318"/>
      <c r="HWL47" s="1373"/>
      <c r="HWM47" s="1318"/>
      <c r="HWN47" s="1318"/>
      <c r="HWO47" s="1318"/>
      <c r="HWP47" s="1318"/>
      <c r="HWQ47" s="1318"/>
      <c r="HWR47" s="1318"/>
      <c r="HWS47" s="1318"/>
      <c r="HWT47" s="1318"/>
      <c r="HWU47" s="1318"/>
      <c r="HWV47" s="1318"/>
      <c r="HWW47" s="1373"/>
      <c r="HWX47" s="1318"/>
      <c r="HWY47" s="1318"/>
      <c r="HWZ47" s="1318"/>
      <c r="HXA47" s="1318"/>
      <c r="HXB47" s="1318"/>
      <c r="HXC47" s="1318"/>
      <c r="HXD47" s="1318"/>
      <c r="HXE47" s="1318"/>
      <c r="HXF47" s="1318"/>
      <c r="HXG47" s="1318"/>
      <c r="HXH47" s="1373"/>
      <c r="HXI47" s="1318"/>
      <c r="HXJ47" s="1318"/>
      <c r="HXK47" s="1318"/>
      <c r="HXL47" s="1318"/>
      <c r="HXM47" s="1318"/>
      <c r="HXN47" s="1318"/>
      <c r="HXO47" s="1318"/>
      <c r="HXP47" s="1318"/>
      <c r="HXQ47" s="1318"/>
      <c r="HXR47" s="1318"/>
      <c r="HXS47" s="1373"/>
      <c r="HXT47" s="1318"/>
      <c r="HXU47" s="1318"/>
      <c r="HXV47" s="1318"/>
      <c r="HXW47" s="1318"/>
      <c r="HXX47" s="1318"/>
      <c r="HXY47" s="1318"/>
      <c r="HXZ47" s="1318"/>
      <c r="HYA47" s="1318"/>
      <c r="HYB47" s="1318"/>
      <c r="HYC47" s="1318"/>
      <c r="HYD47" s="1373"/>
      <c r="HYE47" s="1318"/>
      <c r="HYF47" s="1318"/>
      <c r="HYG47" s="1318"/>
      <c r="HYH47" s="1318"/>
      <c r="HYI47" s="1318"/>
      <c r="HYJ47" s="1318"/>
      <c r="HYK47" s="1318"/>
      <c r="HYL47" s="1318"/>
      <c r="HYM47" s="1318"/>
      <c r="HYN47" s="1318"/>
      <c r="HYO47" s="1373"/>
      <c r="HYP47" s="1318"/>
      <c r="HYQ47" s="1318"/>
      <c r="HYR47" s="1318"/>
      <c r="HYS47" s="1318"/>
      <c r="HYT47" s="1318"/>
      <c r="HYU47" s="1318"/>
      <c r="HYV47" s="1318"/>
      <c r="HYW47" s="1318"/>
      <c r="HYX47" s="1318"/>
      <c r="HYY47" s="1318"/>
      <c r="HYZ47" s="1373"/>
      <c r="HZA47" s="1318"/>
      <c r="HZB47" s="1318"/>
      <c r="HZC47" s="1318"/>
      <c r="HZD47" s="1318"/>
      <c r="HZE47" s="1318"/>
      <c r="HZF47" s="1318"/>
      <c r="HZG47" s="1318"/>
      <c r="HZH47" s="1318"/>
      <c r="HZI47" s="1318"/>
      <c r="HZJ47" s="1318"/>
      <c r="HZK47" s="1373"/>
      <c r="HZL47" s="1318"/>
      <c r="HZM47" s="1318"/>
      <c r="HZN47" s="1318"/>
      <c r="HZO47" s="1318"/>
      <c r="HZP47" s="1318"/>
      <c r="HZQ47" s="1318"/>
      <c r="HZR47" s="1318"/>
      <c r="HZS47" s="1318"/>
      <c r="HZT47" s="1318"/>
      <c r="HZU47" s="1318"/>
      <c r="HZV47" s="1373"/>
      <c r="HZW47" s="1318"/>
      <c r="HZX47" s="1318"/>
      <c r="HZY47" s="1318"/>
      <c r="HZZ47" s="1318"/>
      <c r="IAA47" s="1318"/>
      <c r="IAB47" s="1318"/>
      <c r="IAC47" s="1318"/>
      <c r="IAD47" s="1318"/>
      <c r="IAE47" s="1318"/>
      <c r="IAF47" s="1318"/>
      <c r="IAG47" s="1373"/>
      <c r="IAH47" s="1318"/>
      <c r="IAI47" s="1318"/>
      <c r="IAJ47" s="1318"/>
      <c r="IAK47" s="1318"/>
      <c r="IAL47" s="1318"/>
      <c r="IAM47" s="1318"/>
      <c r="IAN47" s="1318"/>
      <c r="IAO47" s="1318"/>
      <c r="IAP47" s="1318"/>
      <c r="IAQ47" s="1318"/>
      <c r="IAR47" s="1373"/>
      <c r="IAS47" s="1318"/>
      <c r="IAT47" s="1318"/>
      <c r="IAU47" s="1318"/>
      <c r="IAV47" s="1318"/>
      <c r="IAW47" s="1318"/>
      <c r="IAX47" s="1318"/>
      <c r="IAY47" s="1318"/>
      <c r="IAZ47" s="1318"/>
      <c r="IBA47" s="1318"/>
      <c r="IBB47" s="1318"/>
      <c r="IBC47" s="1373"/>
      <c r="IBD47" s="1318"/>
      <c r="IBE47" s="1318"/>
      <c r="IBF47" s="1318"/>
      <c r="IBG47" s="1318"/>
      <c r="IBH47" s="1318"/>
      <c r="IBI47" s="1318"/>
      <c r="IBJ47" s="1318"/>
      <c r="IBK47" s="1318"/>
      <c r="IBL47" s="1318"/>
      <c r="IBM47" s="1318"/>
      <c r="IBN47" s="1373"/>
      <c r="IBO47" s="1318"/>
      <c r="IBP47" s="1318"/>
      <c r="IBQ47" s="1318"/>
      <c r="IBR47" s="1318"/>
      <c r="IBS47" s="1318"/>
      <c r="IBT47" s="1318"/>
      <c r="IBU47" s="1318"/>
      <c r="IBV47" s="1318"/>
      <c r="IBW47" s="1318"/>
      <c r="IBX47" s="1318"/>
      <c r="IBY47" s="1373"/>
      <c r="IBZ47" s="1318"/>
      <c r="ICA47" s="1318"/>
      <c r="ICB47" s="1318"/>
      <c r="ICC47" s="1318"/>
      <c r="ICD47" s="1318"/>
      <c r="ICE47" s="1318"/>
      <c r="ICF47" s="1318"/>
      <c r="ICG47" s="1318"/>
      <c r="ICH47" s="1318"/>
      <c r="ICI47" s="1318"/>
      <c r="ICJ47" s="1373"/>
      <c r="ICK47" s="1318"/>
      <c r="ICL47" s="1318"/>
      <c r="ICM47" s="1318"/>
      <c r="ICN47" s="1318"/>
      <c r="ICO47" s="1318"/>
      <c r="ICP47" s="1318"/>
      <c r="ICQ47" s="1318"/>
      <c r="ICR47" s="1318"/>
      <c r="ICS47" s="1318"/>
      <c r="ICT47" s="1318"/>
      <c r="ICU47" s="1373"/>
      <c r="ICV47" s="1318"/>
      <c r="ICW47" s="1318"/>
      <c r="ICX47" s="1318"/>
      <c r="ICY47" s="1318"/>
      <c r="ICZ47" s="1318"/>
      <c r="IDA47" s="1318"/>
      <c r="IDB47" s="1318"/>
      <c r="IDC47" s="1318"/>
      <c r="IDD47" s="1318"/>
      <c r="IDE47" s="1318"/>
      <c r="IDF47" s="1373"/>
      <c r="IDG47" s="1318"/>
      <c r="IDH47" s="1318"/>
      <c r="IDI47" s="1318"/>
      <c r="IDJ47" s="1318"/>
      <c r="IDK47" s="1318"/>
      <c r="IDL47" s="1318"/>
      <c r="IDM47" s="1318"/>
      <c r="IDN47" s="1318"/>
      <c r="IDO47" s="1318"/>
      <c r="IDP47" s="1318"/>
      <c r="IDQ47" s="1373"/>
      <c r="IDR47" s="1318"/>
      <c r="IDS47" s="1318"/>
      <c r="IDT47" s="1318"/>
      <c r="IDU47" s="1318"/>
      <c r="IDV47" s="1318"/>
      <c r="IDW47" s="1318"/>
      <c r="IDX47" s="1318"/>
      <c r="IDY47" s="1318"/>
      <c r="IDZ47" s="1318"/>
      <c r="IEA47" s="1318"/>
      <c r="IEB47" s="1373"/>
      <c r="IEC47" s="1318"/>
      <c r="IED47" s="1318"/>
      <c r="IEE47" s="1318"/>
      <c r="IEF47" s="1318"/>
      <c r="IEG47" s="1318"/>
      <c r="IEH47" s="1318"/>
      <c r="IEI47" s="1318"/>
      <c r="IEJ47" s="1318"/>
      <c r="IEK47" s="1318"/>
      <c r="IEL47" s="1318"/>
      <c r="IEM47" s="1373"/>
      <c r="IEN47" s="1318"/>
      <c r="IEO47" s="1318"/>
      <c r="IEP47" s="1318"/>
      <c r="IEQ47" s="1318"/>
      <c r="IER47" s="1318"/>
      <c r="IES47" s="1318"/>
      <c r="IET47" s="1318"/>
      <c r="IEU47" s="1318"/>
      <c r="IEV47" s="1318"/>
      <c r="IEW47" s="1318"/>
      <c r="IEX47" s="1373"/>
      <c r="IEY47" s="1318"/>
      <c r="IEZ47" s="1318"/>
      <c r="IFA47" s="1318"/>
      <c r="IFB47" s="1318"/>
      <c r="IFC47" s="1318"/>
      <c r="IFD47" s="1318"/>
      <c r="IFE47" s="1318"/>
      <c r="IFF47" s="1318"/>
      <c r="IFG47" s="1318"/>
      <c r="IFH47" s="1318"/>
      <c r="IFI47" s="1373"/>
      <c r="IFJ47" s="1318"/>
      <c r="IFK47" s="1318"/>
      <c r="IFL47" s="1318"/>
      <c r="IFM47" s="1318"/>
      <c r="IFN47" s="1318"/>
      <c r="IFO47" s="1318"/>
      <c r="IFP47" s="1318"/>
      <c r="IFQ47" s="1318"/>
      <c r="IFR47" s="1318"/>
      <c r="IFS47" s="1318"/>
      <c r="IFT47" s="1373"/>
      <c r="IFU47" s="1318"/>
      <c r="IFV47" s="1318"/>
      <c r="IFW47" s="1318"/>
      <c r="IFX47" s="1318"/>
      <c r="IFY47" s="1318"/>
      <c r="IFZ47" s="1318"/>
      <c r="IGA47" s="1318"/>
      <c r="IGB47" s="1318"/>
      <c r="IGC47" s="1318"/>
      <c r="IGD47" s="1318"/>
      <c r="IGE47" s="1373"/>
      <c r="IGF47" s="1318"/>
      <c r="IGG47" s="1318"/>
      <c r="IGH47" s="1318"/>
      <c r="IGI47" s="1318"/>
      <c r="IGJ47" s="1318"/>
      <c r="IGK47" s="1318"/>
      <c r="IGL47" s="1318"/>
      <c r="IGM47" s="1318"/>
      <c r="IGN47" s="1318"/>
      <c r="IGO47" s="1318"/>
      <c r="IGP47" s="1373"/>
      <c r="IGQ47" s="1318"/>
      <c r="IGR47" s="1318"/>
      <c r="IGS47" s="1318"/>
      <c r="IGT47" s="1318"/>
      <c r="IGU47" s="1318"/>
      <c r="IGV47" s="1318"/>
      <c r="IGW47" s="1318"/>
      <c r="IGX47" s="1318"/>
      <c r="IGY47" s="1318"/>
      <c r="IGZ47" s="1318"/>
      <c r="IHA47" s="1373"/>
      <c r="IHB47" s="1318"/>
      <c r="IHC47" s="1318"/>
      <c r="IHD47" s="1318"/>
      <c r="IHE47" s="1318"/>
      <c r="IHF47" s="1318"/>
      <c r="IHG47" s="1318"/>
      <c r="IHH47" s="1318"/>
      <c r="IHI47" s="1318"/>
      <c r="IHJ47" s="1318"/>
      <c r="IHK47" s="1318"/>
      <c r="IHL47" s="1373"/>
      <c r="IHM47" s="1318"/>
      <c r="IHN47" s="1318"/>
      <c r="IHO47" s="1318"/>
      <c r="IHP47" s="1318"/>
      <c r="IHQ47" s="1318"/>
      <c r="IHR47" s="1318"/>
      <c r="IHS47" s="1318"/>
      <c r="IHT47" s="1318"/>
      <c r="IHU47" s="1318"/>
      <c r="IHV47" s="1318"/>
      <c r="IHW47" s="1373"/>
      <c r="IHX47" s="1318"/>
      <c r="IHY47" s="1318"/>
      <c r="IHZ47" s="1318"/>
      <c r="IIA47" s="1318"/>
      <c r="IIB47" s="1318"/>
      <c r="IIC47" s="1318"/>
      <c r="IID47" s="1318"/>
      <c r="IIE47" s="1318"/>
      <c r="IIF47" s="1318"/>
      <c r="IIG47" s="1318"/>
      <c r="IIH47" s="1373"/>
      <c r="III47" s="1318"/>
      <c r="IIJ47" s="1318"/>
      <c r="IIK47" s="1318"/>
      <c r="IIL47" s="1318"/>
      <c r="IIM47" s="1318"/>
      <c r="IIN47" s="1318"/>
      <c r="IIO47" s="1318"/>
      <c r="IIP47" s="1318"/>
      <c r="IIQ47" s="1318"/>
      <c r="IIR47" s="1318"/>
      <c r="IIS47" s="1373"/>
      <c r="IIT47" s="1318"/>
      <c r="IIU47" s="1318"/>
      <c r="IIV47" s="1318"/>
      <c r="IIW47" s="1318"/>
      <c r="IIX47" s="1318"/>
      <c r="IIY47" s="1318"/>
      <c r="IIZ47" s="1318"/>
      <c r="IJA47" s="1318"/>
      <c r="IJB47" s="1318"/>
      <c r="IJC47" s="1318"/>
      <c r="IJD47" s="1373"/>
      <c r="IJE47" s="1318"/>
      <c r="IJF47" s="1318"/>
      <c r="IJG47" s="1318"/>
      <c r="IJH47" s="1318"/>
      <c r="IJI47" s="1318"/>
      <c r="IJJ47" s="1318"/>
      <c r="IJK47" s="1318"/>
      <c r="IJL47" s="1318"/>
      <c r="IJM47" s="1318"/>
      <c r="IJN47" s="1318"/>
      <c r="IJO47" s="1373"/>
      <c r="IJP47" s="1318"/>
      <c r="IJQ47" s="1318"/>
      <c r="IJR47" s="1318"/>
      <c r="IJS47" s="1318"/>
      <c r="IJT47" s="1318"/>
      <c r="IJU47" s="1318"/>
      <c r="IJV47" s="1318"/>
      <c r="IJW47" s="1318"/>
      <c r="IJX47" s="1318"/>
      <c r="IJY47" s="1318"/>
      <c r="IJZ47" s="1373"/>
      <c r="IKA47" s="1318"/>
      <c r="IKB47" s="1318"/>
      <c r="IKC47" s="1318"/>
      <c r="IKD47" s="1318"/>
      <c r="IKE47" s="1318"/>
      <c r="IKF47" s="1318"/>
      <c r="IKG47" s="1318"/>
      <c r="IKH47" s="1318"/>
      <c r="IKI47" s="1318"/>
      <c r="IKJ47" s="1318"/>
      <c r="IKK47" s="1373"/>
      <c r="IKL47" s="1318"/>
      <c r="IKM47" s="1318"/>
      <c r="IKN47" s="1318"/>
      <c r="IKO47" s="1318"/>
      <c r="IKP47" s="1318"/>
      <c r="IKQ47" s="1318"/>
      <c r="IKR47" s="1318"/>
      <c r="IKS47" s="1318"/>
      <c r="IKT47" s="1318"/>
      <c r="IKU47" s="1318"/>
      <c r="IKV47" s="1373"/>
      <c r="IKW47" s="1318"/>
      <c r="IKX47" s="1318"/>
      <c r="IKY47" s="1318"/>
      <c r="IKZ47" s="1318"/>
      <c r="ILA47" s="1318"/>
      <c r="ILB47" s="1318"/>
      <c r="ILC47" s="1318"/>
      <c r="ILD47" s="1318"/>
      <c r="ILE47" s="1318"/>
      <c r="ILF47" s="1318"/>
      <c r="ILG47" s="1373"/>
      <c r="ILH47" s="1318"/>
      <c r="ILI47" s="1318"/>
      <c r="ILJ47" s="1318"/>
      <c r="ILK47" s="1318"/>
      <c r="ILL47" s="1318"/>
      <c r="ILM47" s="1318"/>
      <c r="ILN47" s="1318"/>
      <c r="ILO47" s="1318"/>
      <c r="ILP47" s="1318"/>
      <c r="ILQ47" s="1318"/>
      <c r="ILR47" s="1373"/>
      <c r="ILS47" s="1318"/>
      <c r="ILT47" s="1318"/>
      <c r="ILU47" s="1318"/>
      <c r="ILV47" s="1318"/>
      <c r="ILW47" s="1318"/>
      <c r="ILX47" s="1318"/>
      <c r="ILY47" s="1318"/>
      <c r="ILZ47" s="1318"/>
      <c r="IMA47" s="1318"/>
      <c r="IMB47" s="1318"/>
      <c r="IMC47" s="1373"/>
      <c r="IMD47" s="1318"/>
      <c r="IME47" s="1318"/>
      <c r="IMF47" s="1318"/>
      <c r="IMG47" s="1318"/>
      <c r="IMH47" s="1318"/>
      <c r="IMI47" s="1318"/>
      <c r="IMJ47" s="1318"/>
      <c r="IMK47" s="1318"/>
      <c r="IML47" s="1318"/>
      <c r="IMM47" s="1318"/>
      <c r="IMN47" s="1373"/>
      <c r="IMO47" s="1318"/>
      <c r="IMP47" s="1318"/>
      <c r="IMQ47" s="1318"/>
      <c r="IMR47" s="1318"/>
      <c r="IMS47" s="1318"/>
      <c r="IMT47" s="1318"/>
      <c r="IMU47" s="1318"/>
      <c r="IMV47" s="1318"/>
      <c r="IMW47" s="1318"/>
      <c r="IMX47" s="1318"/>
      <c r="IMY47" s="1373"/>
      <c r="IMZ47" s="1318"/>
      <c r="INA47" s="1318"/>
      <c r="INB47" s="1318"/>
      <c r="INC47" s="1318"/>
      <c r="IND47" s="1318"/>
      <c r="INE47" s="1318"/>
      <c r="INF47" s="1318"/>
      <c r="ING47" s="1318"/>
      <c r="INH47" s="1318"/>
      <c r="INI47" s="1318"/>
      <c r="INJ47" s="1373"/>
      <c r="INK47" s="1318"/>
      <c r="INL47" s="1318"/>
      <c r="INM47" s="1318"/>
      <c r="INN47" s="1318"/>
      <c r="INO47" s="1318"/>
      <c r="INP47" s="1318"/>
      <c r="INQ47" s="1318"/>
      <c r="INR47" s="1318"/>
      <c r="INS47" s="1318"/>
      <c r="INT47" s="1318"/>
      <c r="INU47" s="1373"/>
      <c r="INV47" s="1318"/>
      <c r="INW47" s="1318"/>
      <c r="INX47" s="1318"/>
      <c r="INY47" s="1318"/>
      <c r="INZ47" s="1318"/>
      <c r="IOA47" s="1318"/>
      <c r="IOB47" s="1318"/>
      <c r="IOC47" s="1318"/>
      <c r="IOD47" s="1318"/>
      <c r="IOE47" s="1318"/>
      <c r="IOF47" s="1373"/>
      <c r="IOG47" s="1318"/>
      <c r="IOH47" s="1318"/>
      <c r="IOI47" s="1318"/>
      <c r="IOJ47" s="1318"/>
      <c r="IOK47" s="1318"/>
      <c r="IOL47" s="1318"/>
      <c r="IOM47" s="1318"/>
      <c r="ION47" s="1318"/>
      <c r="IOO47" s="1318"/>
      <c r="IOP47" s="1318"/>
      <c r="IOQ47" s="1373"/>
      <c r="IOR47" s="1318"/>
      <c r="IOS47" s="1318"/>
      <c r="IOT47" s="1318"/>
      <c r="IOU47" s="1318"/>
      <c r="IOV47" s="1318"/>
      <c r="IOW47" s="1318"/>
      <c r="IOX47" s="1318"/>
      <c r="IOY47" s="1318"/>
      <c r="IOZ47" s="1318"/>
      <c r="IPA47" s="1318"/>
      <c r="IPB47" s="1373"/>
      <c r="IPC47" s="1318"/>
      <c r="IPD47" s="1318"/>
      <c r="IPE47" s="1318"/>
      <c r="IPF47" s="1318"/>
      <c r="IPG47" s="1318"/>
      <c r="IPH47" s="1318"/>
      <c r="IPI47" s="1318"/>
      <c r="IPJ47" s="1318"/>
      <c r="IPK47" s="1318"/>
      <c r="IPL47" s="1318"/>
      <c r="IPM47" s="1373"/>
      <c r="IPN47" s="1318"/>
      <c r="IPO47" s="1318"/>
      <c r="IPP47" s="1318"/>
      <c r="IPQ47" s="1318"/>
      <c r="IPR47" s="1318"/>
      <c r="IPS47" s="1318"/>
      <c r="IPT47" s="1318"/>
      <c r="IPU47" s="1318"/>
      <c r="IPV47" s="1318"/>
      <c r="IPW47" s="1318"/>
      <c r="IPX47" s="1373"/>
      <c r="IPY47" s="1318"/>
      <c r="IPZ47" s="1318"/>
      <c r="IQA47" s="1318"/>
      <c r="IQB47" s="1318"/>
      <c r="IQC47" s="1318"/>
      <c r="IQD47" s="1318"/>
      <c r="IQE47" s="1318"/>
      <c r="IQF47" s="1318"/>
      <c r="IQG47" s="1318"/>
      <c r="IQH47" s="1318"/>
      <c r="IQI47" s="1373"/>
      <c r="IQJ47" s="1318"/>
      <c r="IQK47" s="1318"/>
      <c r="IQL47" s="1318"/>
      <c r="IQM47" s="1318"/>
      <c r="IQN47" s="1318"/>
      <c r="IQO47" s="1318"/>
      <c r="IQP47" s="1318"/>
      <c r="IQQ47" s="1318"/>
      <c r="IQR47" s="1318"/>
      <c r="IQS47" s="1318"/>
      <c r="IQT47" s="1373"/>
      <c r="IQU47" s="1318"/>
      <c r="IQV47" s="1318"/>
      <c r="IQW47" s="1318"/>
      <c r="IQX47" s="1318"/>
      <c r="IQY47" s="1318"/>
      <c r="IQZ47" s="1318"/>
      <c r="IRA47" s="1318"/>
      <c r="IRB47" s="1318"/>
      <c r="IRC47" s="1318"/>
      <c r="IRD47" s="1318"/>
      <c r="IRE47" s="1373"/>
      <c r="IRF47" s="1318"/>
      <c r="IRG47" s="1318"/>
      <c r="IRH47" s="1318"/>
      <c r="IRI47" s="1318"/>
      <c r="IRJ47" s="1318"/>
      <c r="IRK47" s="1318"/>
      <c r="IRL47" s="1318"/>
      <c r="IRM47" s="1318"/>
      <c r="IRN47" s="1318"/>
      <c r="IRO47" s="1318"/>
      <c r="IRP47" s="1373"/>
      <c r="IRQ47" s="1318"/>
      <c r="IRR47" s="1318"/>
      <c r="IRS47" s="1318"/>
      <c r="IRT47" s="1318"/>
      <c r="IRU47" s="1318"/>
      <c r="IRV47" s="1318"/>
      <c r="IRW47" s="1318"/>
      <c r="IRX47" s="1318"/>
      <c r="IRY47" s="1318"/>
      <c r="IRZ47" s="1318"/>
      <c r="ISA47" s="1373"/>
      <c r="ISB47" s="1318"/>
      <c r="ISC47" s="1318"/>
      <c r="ISD47" s="1318"/>
      <c r="ISE47" s="1318"/>
      <c r="ISF47" s="1318"/>
      <c r="ISG47" s="1318"/>
      <c r="ISH47" s="1318"/>
      <c r="ISI47" s="1318"/>
      <c r="ISJ47" s="1318"/>
      <c r="ISK47" s="1318"/>
      <c r="ISL47" s="1373"/>
      <c r="ISM47" s="1318"/>
      <c r="ISN47" s="1318"/>
      <c r="ISO47" s="1318"/>
      <c r="ISP47" s="1318"/>
      <c r="ISQ47" s="1318"/>
      <c r="ISR47" s="1318"/>
      <c r="ISS47" s="1318"/>
      <c r="IST47" s="1318"/>
      <c r="ISU47" s="1318"/>
      <c r="ISV47" s="1318"/>
      <c r="ISW47" s="1373"/>
      <c r="ISX47" s="1318"/>
      <c r="ISY47" s="1318"/>
      <c r="ISZ47" s="1318"/>
      <c r="ITA47" s="1318"/>
      <c r="ITB47" s="1318"/>
      <c r="ITC47" s="1318"/>
      <c r="ITD47" s="1318"/>
      <c r="ITE47" s="1318"/>
      <c r="ITF47" s="1318"/>
      <c r="ITG47" s="1318"/>
      <c r="ITH47" s="1373"/>
      <c r="ITI47" s="1318"/>
      <c r="ITJ47" s="1318"/>
      <c r="ITK47" s="1318"/>
      <c r="ITL47" s="1318"/>
      <c r="ITM47" s="1318"/>
      <c r="ITN47" s="1318"/>
      <c r="ITO47" s="1318"/>
      <c r="ITP47" s="1318"/>
      <c r="ITQ47" s="1318"/>
      <c r="ITR47" s="1318"/>
      <c r="ITS47" s="1373"/>
      <c r="ITT47" s="1318"/>
      <c r="ITU47" s="1318"/>
      <c r="ITV47" s="1318"/>
      <c r="ITW47" s="1318"/>
      <c r="ITX47" s="1318"/>
      <c r="ITY47" s="1318"/>
      <c r="ITZ47" s="1318"/>
      <c r="IUA47" s="1318"/>
      <c r="IUB47" s="1318"/>
      <c r="IUC47" s="1318"/>
      <c r="IUD47" s="1373"/>
      <c r="IUE47" s="1318"/>
      <c r="IUF47" s="1318"/>
      <c r="IUG47" s="1318"/>
      <c r="IUH47" s="1318"/>
      <c r="IUI47" s="1318"/>
      <c r="IUJ47" s="1318"/>
      <c r="IUK47" s="1318"/>
      <c r="IUL47" s="1318"/>
      <c r="IUM47" s="1318"/>
      <c r="IUN47" s="1318"/>
      <c r="IUO47" s="1373"/>
      <c r="IUP47" s="1318"/>
      <c r="IUQ47" s="1318"/>
      <c r="IUR47" s="1318"/>
      <c r="IUS47" s="1318"/>
      <c r="IUT47" s="1318"/>
      <c r="IUU47" s="1318"/>
      <c r="IUV47" s="1318"/>
      <c r="IUW47" s="1318"/>
      <c r="IUX47" s="1318"/>
      <c r="IUY47" s="1318"/>
      <c r="IUZ47" s="1373"/>
      <c r="IVA47" s="1318"/>
      <c r="IVB47" s="1318"/>
      <c r="IVC47" s="1318"/>
      <c r="IVD47" s="1318"/>
      <c r="IVE47" s="1318"/>
      <c r="IVF47" s="1318"/>
      <c r="IVG47" s="1318"/>
      <c r="IVH47" s="1318"/>
      <c r="IVI47" s="1318"/>
      <c r="IVJ47" s="1318"/>
      <c r="IVK47" s="1373"/>
      <c r="IVL47" s="1318"/>
      <c r="IVM47" s="1318"/>
      <c r="IVN47" s="1318"/>
      <c r="IVO47" s="1318"/>
      <c r="IVP47" s="1318"/>
      <c r="IVQ47" s="1318"/>
      <c r="IVR47" s="1318"/>
      <c r="IVS47" s="1318"/>
      <c r="IVT47" s="1318"/>
      <c r="IVU47" s="1318"/>
      <c r="IVV47" s="1373"/>
      <c r="IVW47" s="1318"/>
      <c r="IVX47" s="1318"/>
      <c r="IVY47" s="1318"/>
      <c r="IVZ47" s="1318"/>
      <c r="IWA47" s="1318"/>
      <c r="IWB47" s="1318"/>
      <c r="IWC47" s="1318"/>
      <c r="IWD47" s="1318"/>
      <c r="IWE47" s="1318"/>
      <c r="IWF47" s="1318"/>
      <c r="IWG47" s="1373"/>
      <c r="IWH47" s="1318"/>
      <c r="IWI47" s="1318"/>
      <c r="IWJ47" s="1318"/>
      <c r="IWK47" s="1318"/>
      <c r="IWL47" s="1318"/>
      <c r="IWM47" s="1318"/>
      <c r="IWN47" s="1318"/>
      <c r="IWO47" s="1318"/>
      <c r="IWP47" s="1318"/>
      <c r="IWQ47" s="1318"/>
      <c r="IWR47" s="1373"/>
      <c r="IWS47" s="1318"/>
      <c r="IWT47" s="1318"/>
      <c r="IWU47" s="1318"/>
      <c r="IWV47" s="1318"/>
      <c r="IWW47" s="1318"/>
      <c r="IWX47" s="1318"/>
      <c r="IWY47" s="1318"/>
      <c r="IWZ47" s="1318"/>
      <c r="IXA47" s="1318"/>
      <c r="IXB47" s="1318"/>
      <c r="IXC47" s="1373"/>
      <c r="IXD47" s="1318"/>
      <c r="IXE47" s="1318"/>
      <c r="IXF47" s="1318"/>
      <c r="IXG47" s="1318"/>
      <c r="IXH47" s="1318"/>
      <c r="IXI47" s="1318"/>
      <c r="IXJ47" s="1318"/>
      <c r="IXK47" s="1318"/>
      <c r="IXL47" s="1318"/>
      <c r="IXM47" s="1318"/>
      <c r="IXN47" s="1373"/>
      <c r="IXO47" s="1318"/>
      <c r="IXP47" s="1318"/>
      <c r="IXQ47" s="1318"/>
      <c r="IXR47" s="1318"/>
      <c r="IXS47" s="1318"/>
      <c r="IXT47" s="1318"/>
      <c r="IXU47" s="1318"/>
      <c r="IXV47" s="1318"/>
      <c r="IXW47" s="1318"/>
      <c r="IXX47" s="1318"/>
      <c r="IXY47" s="1373"/>
      <c r="IXZ47" s="1318"/>
      <c r="IYA47" s="1318"/>
      <c r="IYB47" s="1318"/>
      <c r="IYC47" s="1318"/>
      <c r="IYD47" s="1318"/>
      <c r="IYE47" s="1318"/>
      <c r="IYF47" s="1318"/>
      <c r="IYG47" s="1318"/>
      <c r="IYH47" s="1318"/>
      <c r="IYI47" s="1318"/>
      <c r="IYJ47" s="1373"/>
      <c r="IYK47" s="1318"/>
      <c r="IYL47" s="1318"/>
      <c r="IYM47" s="1318"/>
      <c r="IYN47" s="1318"/>
      <c r="IYO47" s="1318"/>
      <c r="IYP47" s="1318"/>
      <c r="IYQ47" s="1318"/>
      <c r="IYR47" s="1318"/>
      <c r="IYS47" s="1318"/>
      <c r="IYT47" s="1318"/>
      <c r="IYU47" s="1373"/>
      <c r="IYV47" s="1318"/>
      <c r="IYW47" s="1318"/>
      <c r="IYX47" s="1318"/>
      <c r="IYY47" s="1318"/>
      <c r="IYZ47" s="1318"/>
      <c r="IZA47" s="1318"/>
      <c r="IZB47" s="1318"/>
      <c r="IZC47" s="1318"/>
      <c r="IZD47" s="1318"/>
      <c r="IZE47" s="1318"/>
      <c r="IZF47" s="1373"/>
      <c r="IZG47" s="1318"/>
      <c r="IZH47" s="1318"/>
      <c r="IZI47" s="1318"/>
      <c r="IZJ47" s="1318"/>
      <c r="IZK47" s="1318"/>
      <c r="IZL47" s="1318"/>
      <c r="IZM47" s="1318"/>
      <c r="IZN47" s="1318"/>
      <c r="IZO47" s="1318"/>
      <c r="IZP47" s="1318"/>
      <c r="IZQ47" s="1373"/>
      <c r="IZR47" s="1318"/>
      <c r="IZS47" s="1318"/>
      <c r="IZT47" s="1318"/>
      <c r="IZU47" s="1318"/>
      <c r="IZV47" s="1318"/>
      <c r="IZW47" s="1318"/>
      <c r="IZX47" s="1318"/>
      <c r="IZY47" s="1318"/>
      <c r="IZZ47" s="1318"/>
      <c r="JAA47" s="1318"/>
      <c r="JAB47" s="1373"/>
      <c r="JAC47" s="1318"/>
      <c r="JAD47" s="1318"/>
      <c r="JAE47" s="1318"/>
      <c r="JAF47" s="1318"/>
      <c r="JAG47" s="1318"/>
      <c r="JAH47" s="1318"/>
      <c r="JAI47" s="1318"/>
      <c r="JAJ47" s="1318"/>
      <c r="JAK47" s="1318"/>
      <c r="JAL47" s="1318"/>
      <c r="JAM47" s="1373"/>
      <c r="JAN47" s="1318"/>
      <c r="JAO47" s="1318"/>
      <c r="JAP47" s="1318"/>
      <c r="JAQ47" s="1318"/>
      <c r="JAR47" s="1318"/>
      <c r="JAS47" s="1318"/>
      <c r="JAT47" s="1318"/>
      <c r="JAU47" s="1318"/>
      <c r="JAV47" s="1318"/>
      <c r="JAW47" s="1318"/>
      <c r="JAX47" s="1373"/>
      <c r="JAY47" s="1318"/>
      <c r="JAZ47" s="1318"/>
      <c r="JBA47" s="1318"/>
      <c r="JBB47" s="1318"/>
      <c r="JBC47" s="1318"/>
      <c r="JBD47" s="1318"/>
      <c r="JBE47" s="1318"/>
      <c r="JBF47" s="1318"/>
      <c r="JBG47" s="1318"/>
      <c r="JBH47" s="1318"/>
      <c r="JBI47" s="1373"/>
      <c r="JBJ47" s="1318"/>
      <c r="JBK47" s="1318"/>
      <c r="JBL47" s="1318"/>
      <c r="JBM47" s="1318"/>
      <c r="JBN47" s="1318"/>
      <c r="JBO47" s="1318"/>
      <c r="JBP47" s="1318"/>
      <c r="JBQ47" s="1318"/>
      <c r="JBR47" s="1318"/>
      <c r="JBS47" s="1318"/>
      <c r="JBT47" s="1373"/>
      <c r="JBU47" s="1318"/>
      <c r="JBV47" s="1318"/>
      <c r="JBW47" s="1318"/>
      <c r="JBX47" s="1318"/>
      <c r="JBY47" s="1318"/>
      <c r="JBZ47" s="1318"/>
      <c r="JCA47" s="1318"/>
      <c r="JCB47" s="1318"/>
      <c r="JCC47" s="1318"/>
      <c r="JCD47" s="1318"/>
      <c r="JCE47" s="1373"/>
      <c r="JCF47" s="1318"/>
      <c r="JCG47" s="1318"/>
      <c r="JCH47" s="1318"/>
      <c r="JCI47" s="1318"/>
      <c r="JCJ47" s="1318"/>
      <c r="JCK47" s="1318"/>
      <c r="JCL47" s="1318"/>
      <c r="JCM47" s="1318"/>
      <c r="JCN47" s="1318"/>
      <c r="JCO47" s="1318"/>
      <c r="JCP47" s="1373"/>
      <c r="JCQ47" s="1318"/>
      <c r="JCR47" s="1318"/>
      <c r="JCS47" s="1318"/>
      <c r="JCT47" s="1318"/>
      <c r="JCU47" s="1318"/>
      <c r="JCV47" s="1318"/>
      <c r="JCW47" s="1318"/>
      <c r="JCX47" s="1318"/>
      <c r="JCY47" s="1318"/>
      <c r="JCZ47" s="1318"/>
      <c r="JDA47" s="1373"/>
      <c r="JDB47" s="1318"/>
      <c r="JDC47" s="1318"/>
      <c r="JDD47" s="1318"/>
      <c r="JDE47" s="1318"/>
      <c r="JDF47" s="1318"/>
      <c r="JDG47" s="1318"/>
      <c r="JDH47" s="1318"/>
      <c r="JDI47" s="1318"/>
      <c r="JDJ47" s="1318"/>
      <c r="JDK47" s="1318"/>
      <c r="JDL47" s="1373"/>
      <c r="JDM47" s="1318"/>
      <c r="JDN47" s="1318"/>
      <c r="JDO47" s="1318"/>
      <c r="JDP47" s="1318"/>
      <c r="JDQ47" s="1318"/>
      <c r="JDR47" s="1318"/>
      <c r="JDS47" s="1318"/>
      <c r="JDT47" s="1318"/>
      <c r="JDU47" s="1318"/>
      <c r="JDV47" s="1318"/>
      <c r="JDW47" s="1373"/>
      <c r="JDX47" s="1318"/>
      <c r="JDY47" s="1318"/>
      <c r="JDZ47" s="1318"/>
      <c r="JEA47" s="1318"/>
      <c r="JEB47" s="1318"/>
      <c r="JEC47" s="1318"/>
      <c r="JED47" s="1318"/>
      <c r="JEE47" s="1318"/>
      <c r="JEF47" s="1318"/>
      <c r="JEG47" s="1318"/>
      <c r="JEH47" s="1373"/>
      <c r="JEI47" s="1318"/>
      <c r="JEJ47" s="1318"/>
      <c r="JEK47" s="1318"/>
      <c r="JEL47" s="1318"/>
      <c r="JEM47" s="1318"/>
      <c r="JEN47" s="1318"/>
      <c r="JEO47" s="1318"/>
      <c r="JEP47" s="1318"/>
      <c r="JEQ47" s="1318"/>
      <c r="JER47" s="1318"/>
      <c r="JES47" s="1373"/>
      <c r="JET47" s="1318"/>
      <c r="JEU47" s="1318"/>
      <c r="JEV47" s="1318"/>
      <c r="JEW47" s="1318"/>
      <c r="JEX47" s="1318"/>
      <c r="JEY47" s="1318"/>
      <c r="JEZ47" s="1318"/>
      <c r="JFA47" s="1318"/>
      <c r="JFB47" s="1318"/>
      <c r="JFC47" s="1318"/>
      <c r="JFD47" s="1373"/>
      <c r="JFE47" s="1318"/>
      <c r="JFF47" s="1318"/>
      <c r="JFG47" s="1318"/>
      <c r="JFH47" s="1318"/>
      <c r="JFI47" s="1318"/>
      <c r="JFJ47" s="1318"/>
      <c r="JFK47" s="1318"/>
      <c r="JFL47" s="1318"/>
      <c r="JFM47" s="1318"/>
      <c r="JFN47" s="1318"/>
      <c r="JFO47" s="1373"/>
      <c r="JFP47" s="1318"/>
      <c r="JFQ47" s="1318"/>
      <c r="JFR47" s="1318"/>
      <c r="JFS47" s="1318"/>
      <c r="JFT47" s="1318"/>
      <c r="JFU47" s="1318"/>
      <c r="JFV47" s="1318"/>
      <c r="JFW47" s="1318"/>
      <c r="JFX47" s="1318"/>
      <c r="JFY47" s="1318"/>
      <c r="JFZ47" s="1373"/>
      <c r="JGA47" s="1318"/>
      <c r="JGB47" s="1318"/>
      <c r="JGC47" s="1318"/>
      <c r="JGD47" s="1318"/>
      <c r="JGE47" s="1318"/>
      <c r="JGF47" s="1318"/>
      <c r="JGG47" s="1318"/>
      <c r="JGH47" s="1318"/>
      <c r="JGI47" s="1318"/>
      <c r="JGJ47" s="1318"/>
      <c r="JGK47" s="1373"/>
      <c r="JGL47" s="1318"/>
      <c r="JGM47" s="1318"/>
      <c r="JGN47" s="1318"/>
      <c r="JGO47" s="1318"/>
      <c r="JGP47" s="1318"/>
      <c r="JGQ47" s="1318"/>
      <c r="JGR47" s="1318"/>
      <c r="JGS47" s="1318"/>
      <c r="JGT47" s="1318"/>
      <c r="JGU47" s="1318"/>
      <c r="JGV47" s="1373"/>
      <c r="JGW47" s="1318"/>
      <c r="JGX47" s="1318"/>
      <c r="JGY47" s="1318"/>
      <c r="JGZ47" s="1318"/>
      <c r="JHA47" s="1318"/>
      <c r="JHB47" s="1318"/>
      <c r="JHC47" s="1318"/>
      <c r="JHD47" s="1318"/>
      <c r="JHE47" s="1318"/>
      <c r="JHF47" s="1318"/>
      <c r="JHG47" s="1373"/>
      <c r="JHH47" s="1318"/>
      <c r="JHI47" s="1318"/>
      <c r="JHJ47" s="1318"/>
      <c r="JHK47" s="1318"/>
      <c r="JHL47" s="1318"/>
      <c r="JHM47" s="1318"/>
      <c r="JHN47" s="1318"/>
      <c r="JHO47" s="1318"/>
      <c r="JHP47" s="1318"/>
      <c r="JHQ47" s="1318"/>
      <c r="JHR47" s="1373"/>
      <c r="JHS47" s="1318"/>
      <c r="JHT47" s="1318"/>
      <c r="JHU47" s="1318"/>
      <c r="JHV47" s="1318"/>
      <c r="JHW47" s="1318"/>
      <c r="JHX47" s="1318"/>
      <c r="JHY47" s="1318"/>
      <c r="JHZ47" s="1318"/>
      <c r="JIA47" s="1318"/>
      <c r="JIB47" s="1318"/>
      <c r="JIC47" s="1373"/>
      <c r="JID47" s="1318"/>
      <c r="JIE47" s="1318"/>
      <c r="JIF47" s="1318"/>
      <c r="JIG47" s="1318"/>
      <c r="JIH47" s="1318"/>
      <c r="JII47" s="1318"/>
      <c r="JIJ47" s="1318"/>
      <c r="JIK47" s="1318"/>
      <c r="JIL47" s="1318"/>
      <c r="JIM47" s="1318"/>
      <c r="JIN47" s="1373"/>
      <c r="JIO47" s="1318"/>
      <c r="JIP47" s="1318"/>
      <c r="JIQ47" s="1318"/>
      <c r="JIR47" s="1318"/>
      <c r="JIS47" s="1318"/>
      <c r="JIT47" s="1318"/>
      <c r="JIU47" s="1318"/>
      <c r="JIV47" s="1318"/>
      <c r="JIW47" s="1318"/>
      <c r="JIX47" s="1318"/>
      <c r="JIY47" s="1373"/>
      <c r="JIZ47" s="1318"/>
      <c r="JJA47" s="1318"/>
      <c r="JJB47" s="1318"/>
      <c r="JJC47" s="1318"/>
      <c r="JJD47" s="1318"/>
      <c r="JJE47" s="1318"/>
      <c r="JJF47" s="1318"/>
      <c r="JJG47" s="1318"/>
      <c r="JJH47" s="1318"/>
      <c r="JJI47" s="1318"/>
      <c r="JJJ47" s="1373"/>
      <c r="JJK47" s="1318"/>
      <c r="JJL47" s="1318"/>
      <c r="JJM47" s="1318"/>
      <c r="JJN47" s="1318"/>
      <c r="JJO47" s="1318"/>
      <c r="JJP47" s="1318"/>
      <c r="JJQ47" s="1318"/>
      <c r="JJR47" s="1318"/>
      <c r="JJS47" s="1318"/>
      <c r="JJT47" s="1318"/>
      <c r="JJU47" s="1373"/>
      <c r="JJV47" s="1318"/>
      <c r="JJW47" s="1318"/>
      <c r="JJX47" s="1318"/>
      <c r="JJY47" s="1318"/>
      <c r="JJZ47" s="1318"/>
      <c r="JKA47" s="1318"/>
      <c r="JKB47" s="1318"/>
      <c r="JKC47" s="1318"/>
      <c r="JKD47" s="1318"/>
      <c r="JKE47" s="1318"/>
      <c r="JKF47" s="1373"/>
      <c r="JKG47" s="1318"/>
      <c r="JKH47" s="1318"/>
      <c r="JKI47" s="1318"/>
      <c r="JKJ47" s="1318"/>
      <c r="JKK47" s="1318"/>
      <c r="JKL47" s="1318"/>
      <c r="JKM47" s="1318"/>
      <c r="JKN47" s="1318"/>
      <c r="JKO47" s="1318"/>
      <c r="JKP47" s="1318"/>
      <c r="JKQ47" s="1373"/>
      <c r="JKR47" s="1318"/>
      <c r="JKS47" s="1318"/>
      <c r="JKT47" s="1318"/>
      <c r="JKU47" s="1318"/>
      <c r="JKV47" s="1318"/>
      <c r="JKW47" s="1318"/>
      <c r="JKX47" s="1318"/>
      <c r="JKY47" s="1318"/>
      <c r="JKZ47" s="1318"/>
      <c r="JLA47" s="1318"/>
      <c r="JLB47" s="1373"/>
      <c r="JLC47" s="1318"/>
      <c r="JLD47" s="1318"/>
      <c r="JLE47" s="1318"/>
      <c r="JLF47" s="1318"/>
      <c r="JLG47" s="1318"/>
      <c r="JLH47" s="1318"/>
      <c r="JLI47" s="1318"/>
      <c r="JLJ47" s="1318"/>
      <c r="JLK47" s="1318"/>
      <c r="JLL47" s="1318"/>
      <c r="JLM47" s="1373"/>
      <c r="JLN47" s="1318"/>
      <c r="JLO47" s="1318"/>
      <c r="JLP47" s="1318"/>
      <c r="JLQ47" s="1318"/>
      <c r="JLR47" s="1318"/>
      <c r="JLS47" s="1318"/>
      <c r="JLT47" s="1318"/>
      <c r="JLU47" s="1318"/>
      <c r="JLV47" s="1318"/>
      <c r="JLW47" s="1318"/>
      <c r="JLX47" s="1373"/>
      <c r="JLY47" s="1318"/>
      <c r="JLZ47" s="1318"/>
      <c r="JMA47" s="1318"/>
      <c r="JMB47" s="1318"/>
      <c r="JMC47" s="1318"/>
      <c r="JMD47" s="1318"/>
      <c r="JME47" s="1318"/>
      <c r="JMF47" s="1318"/>
      <c r="JMG47" s="1318"/>
      <c r="JMH47" s="1318"/>
      <c r="JMI47" s="1373"/>
      <c r="JMJ47" s="1318"/>
      <c r="JMK47" s="1318"/>
      <c r="JML47" s="1318"/>
      <c r="JMM47" s="1318"/>
      <c r="JMN47" s="1318"/>
      <c r="JMO47" s="1318"/>
      <c r="JMP47" s="1318"/>
      <c r="JMQ47" s="1318"/>
      <c r="JMR47" s="1318"/>
      <c r="JMS47" s="1318"/>
      <c r="JMT47" s="1373"/>
      <c r="JMU47" s="1318"/>
      <c r="JMV47" s="1318"/>
      <c r="JMW47" s="1318"/>
      <c r="JMX47" s="1318"/>
      <c r="JMY47" s="1318"/>
      <c r="JMZ47" s="1318"/>
      <c r="JNA47" s="1318"/>
      <c r="JNB47" s="1318"/>
      <c r="JNC47" s="1318"/>
      <c r="JND47" s="1318"/>
      <c r="JNE47" s="1373"/>
      <c r="JNF47" s="1318"/>
      <c r="JNG47" s="1318"/>
      <c r="JNH47" s="1318"/>
      <c r="JNI47" s="1318"/>
      <c r="JNJ47" s="1318"/>
      <c r="JNK47" s="1318"/>
      <c r="JNL47" s="1318"/>
      <c r="JNM47" s="1318"/>
      <c r="JNN47" s="1318"/>
      <c r="JNO47" s="1318"/>
      <c r="JNP47" s="1373"/>
      <c r="JNQ47" s="1318"/>
      <c r="JNR47" s="1318"/>
      <c r="JNS47" s="1318"/>
      <c r="JNT47" s="1318"/>
      <c r="JNU47" s="1318"/>
      <c r="JNV47" s="1318"/>
      <c r="JNW47" s="1318"/>
      <c r="JNX47" s="1318"/>
      <c r="JNY47" s="1318"/>
      <c r="JNZ47" s="1318"/>
      <c r="JOA47" s="1373"/>
      <c r="JOB47" s="1318"/>
      <c r="JOC47" s="1318"/>
      <c r="JOD47" s="1318"/>
      <c r="JOE47" s="1318"/>
      <c r="JOF47" s="1318"/>
      <c r="JOG47" s="1318"/>
      <c r="JOH47" s="1318"/>
      <c r="JOI47" s="1318"/>
      <c r="JOJ47" s="1318"/>
      <c r="JOK47" s="1318"/>
      <c r="JOL47" s="1373"/>
      <c r="JOM47" s="1318"/>
      <c r="JON47" s="1318"/>
      <c r="JOO47" s="1318"/>
      <c r="JOP47" s="1318"/>
      <c r="JOQ47" s="1318"/>
      <c r="JOR47" s="1318"/>
      <c r="JOS47" s="1318"/>
      <c r="JOT47" s="1318"/>
      <c r="JOU47" s="1318"/>
      <c r="JOV47" s="1318"/>
      <c r="JOW47" s="1373"/>
      <c r="JOX47" s="1318"/>
      <c r="JOY47" s="1318"/>
      <c r="JOZ47" s="1318"/>
      <c r="JPA47" s="1318"/>
      <c r="JPB47" s="1318"/>
      <c r="JPC47" s="1318"/>
      <c r="JPD47" s="1318"/>
      <c r="JPE47" s="1318"/>
      <c r="JPF47" s="1318"/>
      <c r="JPG47" s="1318"/>
      <c r="JPH47" s="1373"/>
      <c r="JPI47" s="1318"/>
      <c r="JPJ47" s="1318"/>
      <c r="JPK47" s="1318"/>
      <c r="JPL47" s="1318"/>
      <c r="JPM47" s="1318"/>
      <c r="JPN47" s="1318"/>
      <c r="JPO47" s="1318"/>
      <c r="JPP47" s="1318"/>
      <c r="JPQ47" s="1318"/>
      <c r="JPR47" s="1318"/>
      <c r="JPS47" s="1373"/>
      <c r="JPT47" s="1318"/>
      <c r="JPU47" s="1318"/>
      <c r="JPV47" s="1318"/>
      <c r="JPW47" s="1318"/>
      <c r="JPX47" s="1318"/>
      <c r="JPY47" s="1318"/>
      <c r="JPZ47" s="1318"/>
      <c r="JQA47" s="1318"/>
      <c r="JQB47" s="1318"/>
      <c r="JQC47" s="1318"/>
      <c r="JQD47" s="1373"/>
      <c r="JQE47" s="1318"/>
      <c r="JQF47" s="1318"/>
      <c r="JQG47" s="1318"/>
      <c r="JQH47" s="1318"/>
      <c r="JQI47" s="1318"/>
      <c r="JQJ47" s="1318"/>
      <c r="JQK47" s="1318"/>
      <c r="JQL47" s="1318"/>
      <c r="JQM47" s="1318"/>
      <c r="JQN47" s="1318"/>
      <c r="JQO47" s="1373"/>
      <c r="JQP47" s="1318"/>
      <c r="JQQ47" s="1318"/>
      <c r="JQR47" s="1318"/>
      <c r="JQS47" s="1318"/>
      <c r="JQT47" s="1318"/>
      <c r="JQU47" s="1318"/>
      <c r="JQV47" s="1318"/>
      <c r="JQW47" s="1318"/>
      <c r="JQX47" s="1318"/>
      <c r="JQY47" s="1318"/>
      <c r="JQZ47" s="1373"/>
      <c r="JRA47" s="1318"/>
      <c r="JRB47" s="1318"/>
      <c r="JRC47" s="1318"/>
      <c r="JRD47" s="1318"/>
      <c r="JRE47" s="1318"/>
      <c r="JRF47" s="1318"/>
      <c r="JRG47" s="1318"/>
      <c r="JRH47" s="1318"/>
      <c r="JRI47" s="1318"/>
      <c r="JRJ47" s="1318"/>
      <c r="JRK47" s="1373"/>
      <c r="JRL47" s="1318"/>
      <c r="JRM47" s="1318"/>
      <c r="JRN47" s="1318"/>
      <c r="JRO47" s="1318"/>
      <c r="JRP47" s="1318"/>
      <c r="JRQ47" s="1318"/>
      <c r="JRR47" s="1318"/>
      <c r="JRS47" s="1318"/>
      <c r="JRT47" s="1318"/>
      <c r="JRU47" s="1318"/>
      <c r="JRV47" s="1373"/>
      <c r="JRW47" s="1318"/>
      <c r="JRX47" s="1318"/>
      <c r="JRY47" s="1318"/>
      <c r="JRZ47" s="1318"/>
      <c r="JSA47" s="1318"/>
      <c r="JSB47" s="1318"/>
      <c r="JSC47" s="1318"/>
      <c r="JSD47" s="1318"/>
      <c r="JSE47" s="1318"/>
      <c r="JSF47" s="1318"/>
      <c r="JSG47" s="1373"/>
      <c r="JSH47" s="1318"/>
      <c r="JSI47" s="1318"/>
      <c r="JSJ47" s="1318"/>
      <c r="JSK47" s="1318"/>
      <c r="JSL47" s="1318"/>
      <c r="JSM47" s="1318"/>
      <c r="JSN47" s="1318"/>
      <c r="JSO47" s="1318"/>
      <c r="JSP47" s="1318"/>
      <c r="JSQ47" s="1318"/>
      <c r="JSR47" s="1373"/>
      <c r="JSS47" s="1318"/>
      <c r="JST47" s="1318"/>
      <c r="JSU47" s="1318"/>
      <c r="JSV47" s="1318"/>
      <c r="JSW47" s="1318"/>
      <c r="JSX47" s="1318"/>
      <c r="JSY47" s="1318"/>
      <c r="JSZ47" s="1318"/>
      <c r="JTA47" s="1318"/>
      <c r="JTB47" s="1318"/>
      <c r="JTC47" s="1373"/>
      <c r="JTD47" s="1318"/>
      <c r="JTE47" s="1318"/>
      <c r="JTF47" s="1318"/>
      <c r="JTG47" s="1318"/>
      <c r="JTH47" s="1318"/>
      <c r="JTI47" s="1318"/>
      <c r="JTJ47" s="1318"/>
      <c r="JTK47" s="1318"/>
      <c r="JTL47" s="1318"/>
      <c r="JTM47" s="1318"/>
      <c r="JTN47" s="1373"/>
      <c r="JTO47" s="1318"/>
      <c r="JTP47" s="1318"/>
      <c r="JTQ47" s="1318"/>
      <c r="JTR47" s="1318"/>
      <c r="JTS47" s="1318"/>
      <c r="JTT47" s="1318"/>
      <c r="JTU47" s="1318"/>
      <c r="JTV47" s="1318"/>
      <c r="JTW47" s="1318"/>
      <c r="JTX47" s="1318"/>
      <c r="JTY47" s="1373"/>
      <c r="JTZ47" s="1318"/>
      <c r="JUA47" s="1318"/>
      <c r="JUB47" s="1318"/>
      <c r="JUC47" s="1318"/>
      <c r="JUD47" s="1318"/>
      <c r="JUE47" s="1318"/>
      <c r="JUF47" s="1318"/>
      <c r="JUG47" s="1318"/>
      <c r="JUH47" s="1318"/>
      <c r="JUI47" s="1318"/>
      <c r="JUJ47" s="1373"/>
      <c r="JUK47" s="1318"/>
      <c r="JUL47" s="1318"/>
      <c r="JUM47" s="1318"/>
      <c r="JUN47" s="1318"/>
      <c r="JUO47" s="1318"/>
      <c r="JUP47" s="1318"/>
      <c r="JUQ47" s="1318"/>
      <c r="JUR47" s="1318"/>
      <c r="JUS47" s="1318"/>
      <c r="JUT47" s="1318"/>
      <c r="JUU47" s="1373"/>
      <c r="JUV47" s="1318"/>
      <c r="JUW47" s="1318"/>
      <c r="JUX47" s="1318"/>
      <c r="JUY47" s="1318"/>
      <c r="JUZ47" s="1318"/>
      <c r="JVA47" s="1318"/>
      <c r="JVB47" s="1318"/>
      <c r="JVC47" s="1318"/>
      <c r="JVD47" s="1318"/>
      <c r="JVE47" s="1318"/>
      <c r="JVF47" s="1373"/>
      <c r="JVG47" s="1318"/>
      <c r="JVH47" s="1318"/>
      <c r="JVI47" s="1318"/>
      <c r="JVJ47" s="1318"/>
      <c r="JVK47" s="1318"/>
      <c r="JVL47" s="1318"/>
      <c r="JVM47" s="1318"/>
      <c r="JVN47" s="1318"/>
      <c r="JVO47" s="1318"/>
      <c r="JVP47" s="1318"/>
      <c r="JVQ47" s="1373"/>
      <c r="JVR47" s="1318"/>
      <c r="JVS47" s="1318"/>
      <c r="JVT47" s="1318"/>
      <c r="JVU47" s="1318"/>
      <c r="JVV47" s="1318"/>
      <c r="JVW47" s="1318"/>
      <c r="JVX47" s="1318"/>
      <c r="JVY47" s="1318"/>
      <c r="JVZ47" s="1318"/>
      <c r="JWA47" s="1318"/>
      <c r="JWB47" s="1373"/>
      <c r="JWC47" s="1318"/>
      <c r="JWD47" s="1318"/>
      <c r="JWE47" s="1318"/>
      <c r="JWF47" s="1318"/>
      <c r="JWG47" s="1318"/>
      <c r="JWH47" s="1318"/>
      <c r="JWI47" s="1318"/>
      <c r="JWJ47" s="1318"/>
      <c r="JWK47" s="1318"/>
      <c r="JWL47" s="1318"/>
      <c r="JWM47" s="1373"/>
      <c r="JWN47" s="1318"/>
      <c r="JWO47" s="1318"/>
      <c r="JWP47" s="1318"/>
      <c r="JWQ47" s="1318"/>
      <c r="JWR47" s="1318"/>
      <c r="JWS47" s="1318"/>
      <c r="JWT47" s="1318"/>
      <c r="JWU47" s="1318"/>
      <c r="JWV47" s="1318"/>
      <c r="JWW47" s="1318"/>
      <c r="JWX47" s="1373"/>
      <c r="JWY47" s="1318"/>
      <c r="JWZ47" s="1318"/>
      <c r="JXA47" s="1318"/>
      <c r="JXB47" s="1318"/>
      <c r="JXC47" s="1318"/>
      <c r="JXD47" s="1318"/>
      <c r="JXE47" s="1318"/>
      <c r="JXF47" s="1318"/>
      <c r="JXG47" s="1318"/>
      <c r="JXH47" s="1318"/>
      <c r="JXI47" s="1373"/>
      <c r="JXJ47" s="1318"/>
      <c r="JXK47" s="1318"/>
      <c r="JXL47" s="1318"/>
      <c r="JXM47" s="1318"/>
      <c r="JXN47" s="1318"/>
      <c r="JXO47" s="1318"/>
      <c r="JXP47" s="1318"/>
      <c r="JXQ47" s="1318"/>
      <c r="JXR47" s="1318"/>
      <c r="JXS47" s="1318"/>
      <c r="JXT47" s="1373"/>
      <c r="JXU47" s="1318"/>
      <c r="JXV47" s="1318"/>
      <c r="JXW47" s="1318"/>
      <c r="JXX47" s="1318"/>
      <c r="JXY47" s="1318"/>
      <c r="JXZ47" s="1318"/>
      <c r="JYA47" s="1318"/>
      <c r="JYB47" s="1318"/>
      <c r="JYC47" s="1318"/>
      <c r="JYD47" s="1318"/>
      <c r="JYE47" s="1373"/>
      <c r="JYF47" s="1318"/>
      <c r="JYG47" s="1318"/>
      <c r="JYH47" s="1318"/>
      <c r="JYI47" s="1318"/>
      <c r="JYJ47" s="1318"/>
      <c r="JYK47" s="1318"/>
      <c r="JYL47" s="1318"/>
      <c r="JYM47" s="1318"/>
      <c r="JYN47" s="1318"/>
      <c r="JYO47" s="1318"/>
      <c r="JYP47" s="1373"/>
      <c r="JYQ47" s="1318"/>
      <c r="JYR47" s="1318"/>
      <c r="JYS47" s="1318"/>
      <c r="JYT47" s="1318"/>
      <c r="JYU47" s="1318"/>
      <c r="JYV47" s="1318"/>
      <c r="JYW47" s="1318"/>
      <c r="JYX47" s="1318"/>
      <c r="JYY47" s="1318"/>
      <c r="JYZ47" s="1318"/>
      <c r="JZA47" s="1373"/>
      <c r="JZB47" s="1318"/>
      <c r="JZC47" s="1318"/>
      <c r="JZD47" s="1318"/>
      <c r="JZE47" s="1318"/>
      <c r="JZF47" s="1318"/>
      <c r="JZG47" s="1318"/>
      <c r="JZH47" s="1318"/>
      <c r="JZI47" s="1318"/>
      <c r="JZJ47" s="1318"/>
      <c r="JZK47" s="1318"/>
      <c r="JZL47" s="1373"/>
      <c r="JZM47" s="1318"/>
      <c r="JZN47" s="1318"/>
      <c r="JZO47" s="1318"/>
      <c r="JZP47" s="1318"/>
      <c r="JZQ47" s="1318"/>
      <c r="JZR47" s="1318"/>
      <c r="JZS47" s="1318"/>
      <c r="JZT47" s="1318"/>
      <c r="JZU47" s="1318"/>
      <c r="JZV47" s="1318"/>
      <c r="JZW47" s="1373"/>
      <c r="JZX47" s="1318"/>
      <c r="JZY47" s="1318"/>
      <c r="JZZ47" s="1318"/>
      <c r="KAA47" s="1318"/>
      <c r="KAB47" s="1318"/>
      <c r="KAC47" s="1318"/>
      <c r="KAD47" s="1318"/>
      <c r="KAE47" s="1318"/>
      <c r="KAF47" s="1318"/>
      <c r="KAG47" s="1318"/>
      <c r="KAH47" s="1373"/>
      <c r="KAI47" s="1318"/>
      <c r="KAJ47" s="1318"/>
      <c r="KAK47" s="1318"/>
      <c r="KAL47" s="1318"/>
      <c r="KAM47" s="1318"/>
      <c r="KAN47" s="1318"/>
      <c r="KAO47" s="1318"/>
      <c r="KAP47" s="1318"/>
      <c r="KAQ47" s="1318"/>
      <c r="KAR47" s="1318"/>
      <c r="KAS47" s="1373"/>
      <c r="KAT47" s="1318"/>
      <c r="KAU47" s="1318"/>
      <c r="KAV47" s="1318"/>
      <c r="KAW47" s="1318"/>
      <c r="KAX47" s="1318"/>
      <c r="KAY47" s="1318"/>
      <c r="KAZ47" s="1318"/>
      <c r="KBA47" s="1318"/>
      <c r="KBB47" s="1318"/>
      <c r="KBC47" s="1318"/>
      <c r="KBD47" s="1373"/>
      <c r="KBE47" s="1318"/>
      <c r="KBF47" s="1318"/>
      <c r="KBG47" s="1318"/>
      <c r="KBH47" s="1318"/>
      <c r="KBI47" s="1318"/>
      <c r="KBJ47" s="1318"/>
      <c r="KBK47" s="1318"/>
      <c r="KBL47" s="1318"/>
      <c r="KBM47" s="1318"/>
      <c r="KBN47" s="1318"/>
      <c r="KBO47" s="1373"/>
      <c r="KBP47" s="1318"/>
      <c r="KBQ47" s="1318"/>
      <c r="KBR47" s="1318"/>
      <c r="KBS47" s="1318"/>
      <c r="KBT47" s="1318"/>
      <c r="KBU47" s="1318"/>
      <c r="KBV47" s="1318"/>
      <c r="KBW47" s="1318"/>
      <c r="KBX47" s="1318"/>
      <c r="KBY47" s="1318"/>
      <c r="KBZ47" s="1373"/>
      <c r="KCA47" s="1318"/>
      <c r="KCB47" s="1318"/>
      <c r="KCC47" s="1318"/>
      <c r="KCD47" s="1318"/>
      <c r="KCE47" s="1318"/>
      <c r="KCF47" s="1318"/>
      <c r="KCG47" s="1318"/>
      <c r="KCH47" s="1318"/>
      <c r="KCI47" s="1318"/>
      <c r="KCJ47" s="1318"/>
      <c r="KCK47" s="1373"/>
      <c r="KCL47" s="1318"/>
      <c r="KCM47" s="1318"/>
      <c r="KCN47" s="1318"/>
      <c r="KCO47" s="1318"/>
      <c r="KCP47" s="1318"/>
      <c r="KCQ47" s="1318"/>
      <c r="KCR47" s="1318"/>
      <c r="KCS47" s="1318"/>
      <c r="KCT47" s="1318"/>
      <c r="KCU47" s="1318"/>
      <c r="KCV47" s="1373"/>
      <c r="KCW47" s="1318"/>
      <c r="KCX47" s="1318"/>
      <c r="KCY47" s="1318"/>
      <c r="KCZ47" s="1318"/>
      <c r="KDA47" s="1318"/>
      <c r="KDB47" s="1318"/>
      <c r="KDC47" s="1318"/>
      <c r="KDD47" s="1318"/>
      <c r="KDE47" s="1318"/>
      <c r="KDF47" s="1318"/>
      <c r="KDG47" s="1373"/>
      <c r="KDH47" s="1318"/>
      <c r="KDI47" s="1318"/>
      <c r="KDJ47" s="1318"/>
      <c r="KDK47" s="1318"/>
      <c r="KDL47" s="1318"/>
      <c r="KDM47" s="1318"/>
      <c r="KDN47" s="1318"/>
      <c r="KDO47" s="1318"/>
      <c r="KDP47" s="1318"/>
      <c r="KDQ47" s="1318"/>
      <c r="KDR47" s="1373"/>
      <c r="KDS47" s="1318"/>
      <c r="KDT47" s="1318"/>
      <c r="KDU47" s="1318"/>
      <c r="KDV47" s="1318"/>
      <c r="KDW47" s="1318"/>
      <c r="KDX47" s="1318"/>
      <c r="KDY47" s="1318"/>
      <c r="KDZ47" s="1318"/>
      <c r="KEA47" s="1318"/>
      <c r="KEB47" s="1318"/>
      <c r="KEC47" s="1373"/>
      <c r="KED47" s="1318"/>
      <c r="KEE47" s="1318"/>
      <c r="KEF47" s="1318"/>
      <c r="KEG47" s="1318"/>
      <c r="KEH47" s="1318"/>
      <c r="KEI47" s="1318"/>
      <c r="KEJ47" s="1318"/>
      <c r="KEK47" s="1318"/>
      <c r="KEL47" s="1318"/>
      <c r="KEM47" s="1318"/>
      <c r="KEN47" s="1373"/>
      <c r="KEO47" s="1318"/>
      <c r="KEP47" s="1318"/>
      <c r="KEQ47" s="1318"/>
      <c r="KER47" s="1318"/>
      <c r="KES47" s="1318"/>
      <c r="KET47" s="1318"/>
      <c r="KEU47" s="1318"/>
      <c r="KEV47" s="1318"/>
      <c r="KEW47" s="1318"/>
      <c r="KEX47" s="1318"/>
      <c r="KEY47" s="1373"/>
      <c r="KEZ47" s="1318"/>
      <c r="KFA47" s="1318"/>
      <c r="KFB47" s="1318"/>
      <c r="KFC47" s="1318"/>
      <c r="KFD47" s="1318"/>
      <c r="KFE47" s="1318"/>
      <c r="KFF47" s="1318"/>
      <c r="KFG47" s="1318"/>
      <c r="KFH47" s="1318"/>
      <c r="KFI47" s="1318"/>
      <c r="KFJ47" s="1373"/>
      <c r="KFK47" s="1318"/>
      <c r="KFL47" s="1318"/>
      <c r="KFM47" s="1318"/>
      <c r="KFN47" s="1318"/>
      <c r="KFO47" s="1318"/>
      <c r="KFP47" s="1318"/>
      <c r="KFQ47" s="1318"/>
      <c r="KFR47" s="1318"/>
      <c r="KFS47" s="1318"/>
      <c r="KFT47" s="1318"/>
      <c r="KFU47" s="1373"/>
      <c r="KFV47" s="1318"/>
      <c r="KFW47" s="1318"/>
      <c r="KFX47" s="1318"/>
      <c r="KFY47" s="1318"/>
      <c r="KFZ47" s="1318"/>
      <c r="KGA47" s="1318"/>
      <c r="KGB47" s="1318"/>
      <c r="KGC47" s="1318"/>
      <c r="KGD47" s="1318"/>
      <c r="KGE47" s="1318"/>
      <c r="KGF47" s="1373"/>
      <c r="KGG47" s="1318"/>
      <c r="KGH47" s="1318"/>
      <c r="KGI47" s="1318"/>
      <c r="KGJ47" s="1318"/>
      <c r="KGK47" s="1318"/>
      <c r="KGL47" s="1318"/>
      <c r="KGM47" s="1318"/>
      <c r="KGN47" s="1318"/>
      <c r="KGO47" s="1318"/>
      <c r="KGP47" s="1318"/>
      <c r="KGQ47" s="1373"/>
      <c r="KGR47" s="1318"/>
      <c r="KGS47" s="1318"/>
      <c r="KGT47" s="1318"/>
      <c r="KGU47" s="1318"/>
      <c r="KGV47" s="1318"/>
      <c r="KGW47" s="1318"/>
      <c r="KGX47" s="1318"/>
      <c r="KGY47" s="1318"/>
      <c r="KGZ47" s="1318"/>
      <c r="KHA47" s="1318"/>
      <c r="KHB47" s="1373"/>
      <c r="KHC47" s="1318"/>
      <c r="KHD47" s="1318"/>
      <c r="KHE47" s="1318"/>
      <c r="KHF47" s="1318"/>
      <c r="KHG47" s="1318"/>
      <c r="KHH47" s="1318"/>
      <c r="KHI47" s="1318"/>
      <c r="KHJ47" s="1318"/>
      <c r="KHK47" s="1318"/>
      <c r="KHL47" s="1318"/>
      <c r="KHM47" s="1373"/>
      <c r="KHN47" s="1318"/>
      <c r="KHO47" s="1318"/>
      <c r="KHP47" s="1318"/>
      <c r="KHQ47" s="1318"/>
      <c r="KHR47" s="1318"/>
      <c r="KHS47" s="1318"/>
      <c r="KHT47" s="1318"/>
      <c r="KHU47" s="1318"/>
      <c r="KHV47" s="1318"/>
      <c r="KHW47" s="1318"/>
      <c r="KHX47" s="1373"/>
      <c r="KHY47" s="1318"/>
      <c r="KHZ47" s="1318"/>
      <c r="KIA47" s="1318"/>
      <c r="KIB47" s="1318"/>
      <c r="KIC47" s="1318"/>
      <c r="KID47" s="1318"/>
      <c r="KIE47" s="1318"/>
      <c r="KIF47" s="1318"/>
      <c r="KIG47" s="1318"/>
      <c r="KIH47" s="1318"/>
      <c r="KII47" s="1373"/>
      <c r="KIJ47" s="1318"/>
      <c r="KIK47" s="1318"/>
      <c r="KIL47" s="1318"/>
      <c r="KIM47" s="1318"/>
      <c r="KIN47" s="1318"/>
      <c r="KIO47" s="1318"/>
      <c r="KIP47" s="1318"/>
      <c r="KIQ47" s="1318"/>
      <c r="KIR47" s="1318"/>
      <c r="KIS47" s="1318"/>
      <c r="KIT47" s="1373"/>
      <c r="KIU47" s="1318"/>
      <c r="KIV47" s="1318"/>
      <c r="KIW47" s="1318"/>
      <c r="KIX47" s="1318"/>
      <c r="KIY47" s="1318"/>
      <c r="KIZ47" s="1318"/>
      <c r="KJA47" s="1318"/>
      <c r="KJB47" s="1318"/>
      <c r="KJC47" s="1318"/>
      <c r="KJD47" s="1318"/>
      <c r="KJE47" s="1373"/>
      <c r="KJF47" s="1318"/>
      <c r="KJG47" s="1318"/>
      <c r="KJH47" s="1318"/>
      <c r="KJI47" s="1318"/>
      <c r="KJJ47" s="1318"/>
      <c r="KJK47" s="1318"/>
      <c r="KJL47" s="1318"/>
      <c r="KJM47" s="1318"/>
      <c r="KJN47" s="1318"/>
      <c r="KJO47" s="1318"/>
      <c r="KJP47" s="1373"/>
      <c r="KJQ47" s="1318"/>
      <c r="KJR47" s="1318"/>
      <c r="KJS47" s="1318"/>
      <c r="KJT47" s="1318"/>
      <c r="KJU47" s="1318"/>
      <c r="KJV47" s="1318"/>
      <c r="KJW47" s="1318"/>
      <c r="KJX47" s="1318"/>
      <c r="KJY47" s="1318"/>
      <c r="KJZ47" s="1318"/>
      <c r="KKA47" s="1373"/>
      <c r="KKB47" s="1318"/>
      <c r="KKC47" s="1318"/>
      <c r="KKD47" s="1318"/>
      <c r="KKE47" s="1318"/>
      <c r="KKF47" s="1318"/>
      <c r="KKG47" s="1318"/>
      <c r="KKH47" s="1318"/>
      <c r="KKI47" s="1318"/>
      <c r="KKJ47" s="1318"/>
      <c r="KKK47" s="1318"/>
      <c r="KKL47" s="1373"/>
      <c r="KKM47" s="1318"/>
      <c r="KKN47" s="1318"/>
      <c r="KKO47" s="1318"/>
      <c r="KKP47" s="1318"/>
      <c r="KKQ47" s="1318"/>
      <c r="KKR47" s="1318"/>
      <c r="KKS47" s="1318"/>
      <c r="KKT47" s="1318"/>
      <c r="KKU47" s="1318"/>
      <c r="KKV47" s="1318"/>
      <c r="KKW47" s="1373"/>
      <c r="KKX47" s="1318"/>
      <c r="KKY47" s="1318"/>
      <c r="KKZ47" s="1318"/>
      <c r="KLA47" s="1318"/>
      <c r="KLB47" s="1318"/>
      <c r="KLC47" s="1318"/>
      <c r="KLD47" s="1318"/>
      <c r="KLE47" s="1318"/>
      <c r="KLF47" s="1318"/>
      <c r="KLG47" s="1318"/>
      <c r="KLH47" s="1373"/>
      <c r="KLI47" s="1318"/>
      <c r="KLJ47" s="1318"/>
      <c r="KLK47" s="1318"/>
      <c r="KLL47" s="1318"/>
      <c r="KLM47" s="1318"/>
      <c r="KLN47" s="1318"/>
      <c r="KLO47" s="1318"/>
      <c r="KLP47" s="1318"/>
      <c r="KLQ47" s="1318"/>
      <c r="KLR47" s="1318"/>
      <c r="KLS47" s="1373"/>
      <c r="KLT47" s="1318"/>
      <c r="KLU47" s="1318"/>
      <c r="KLV47" s="1318"/>
      <c r="KLW47" s="1318"/>
      <c r="KLX47" s="1318"/>
      <c r="KLY47" s="1318"/>
      <c r="KLZ47" s="1318"/>
      <c r="KMA47" s="1318"/>
      <c r="KMB47" s="1318"/>
      <c r="KMC47" s="1318"/>
      <c r="KMD47" s="1373"/>
      <c r="KME47" s="1318"/>
      <c r="KMF47" s="1318"/>
      <c r="KMG47" s="1318"/>
      <c r="KMH47" s="1318"/>
      <c r="KMI47" s="1318"/>
      <c r="KMJ47" s="1318"/>
      <c r="KMK47" s="1318"/>
      <c r="KML47" s="1318"/>
      <c r="KMM47" s="1318"/>
      <c r="KMN47" s="1318"/>
      <c r="KMO47" s="1373"/>
      <c r="KMP47" s="1318"/>
      <c r="KMQ47" s="1318"/>
      <c r="KMR47" s="1318"/>
      <c r="KMS47" s="1318"/>
      <c r="KMT47" s="1318"/>
      <c r="KMU47" s="1318"/>
      <c r="KMV47" s="1318"/>
      <c r="KMW47" s="1318"/>
      <c r="KMX47" s="1318"/>
      <c r="KMY47" s="1318"/>
      <c r="KMZ47" s="1373"/>
      <c r="KNA47" s="1318"/>
      <c r="KNB47" s="1318"/>
      <c r="KNC47" s="1318"/>
      <c r="KND47" s="1318"/>
      <c r="KNE47" s="1318"/>
      <c r="KNF47" s="1318"/>
      <c r="KNG47" s="1318"/>
      <c r="KNH47" s="1318"/>
      <c r="KNI47" s="1318"/>
      <c r="KNJ47" s="1318"/>
      <c r="KNK47" s="1373"/>
      <c r="KNL47" s="1318"/>
      <c r="KNM47" s="1318"/>
      <c r="KNN47" s="1318"/>
      <c r="KNO47" s="1318"/>
      <c r="KNP47" s="1318"/>
      <c r="KNQ47" s="1318"/>
      <c r="KNR47" s="1318"/>
      <c r="KNS47" s="1318"/>
      <c r="KNT47" s="1318"/>
      <c r="KNU47" s="1318"/>
      <c r="KNV47" s="1373"/>
      <c r="KNW47" s="1318"/>
      <c r="KNX47" s="1318"/>
      <c r="KNY47" s="1318"/>
      <c r="KNZ47" s="1318"/>
      <c r="KOA47" s="1318"/>
      <c r="KOB47" s="1318"/>
      <c r="KOC47" s="1318"/>
      <c r="KOD47" s="1318"/>
      <c r="KOE47" s="1318"/>
      <c r="KOF47" s="1318"/>
      <c r="KOG47" s="1373"/>
      <c r="KOH47" s="1318"/>
      <c r="KOI47" s="1318"/>
      <c r="KOJ47" s="1318"/>
      <c r="KOK47" s="1318"/>
      <c r="KOL47" s="1318"/>
      <c r="KOM47" s="1318"/>
      <c r="KON47" s="1318"/>
      <c r="KOO47" s="1318"/>
      <c r="KOP47" s="1318"/>
      <c r="KOQ47" s="1318"/>
      <c r="KOR47" s="1373"/>
      <c r="KOS47" s="1318"/>
      <c r="KOT47" s="1318"/>
      <c r="KOU47" s="1318"/>
      <c r="KOV47" s="1318"/>
      <c r="KOW47" s="1318"/>
      <c r="KOX47" s="1318"/>
      <c r="KOY47" s="1318"/>
      <c r="KOZ47" s="1318"/>
      <c r="KPA47" s="1318"/>
      <c r="KPB47" s="1318"/>
      <c r="KPC47" s="1373"/>
      <c r="KPD47" s="1318"/>
      <c r="KPE47" s="1318"/>
      <c r="KPF47" s="1318"/>
      <c r="KPG47" s="1318"/>
      <c r="KPH47" s="1318"/>
      <c r="KPI47" s="1318"/>
      <c r="KPJ47" s="1318"/>
      <c r="KPK47" s="1318"/>
      <c r="KPL47" s="1318"/>
      <c r="KPM47" s="1318"/>
      <c r="KPN47" s="1373"/>
      <c r="KPO47" s="1318"/>
      <c r="KPP47" s="1318"/>
      <c r="KPQ47" s="1318"/>
      <c r="KPR47" s="1318"/>
      <c r="KPS47" s="1318"/>
      <c r="KPT47" s="1318"/>
      <c r="KPU47" s="1318"/>
      <c r="KPV47" s="1318"/>
      <c r="KPW47" s="1318"/>
      <c r="KPX47" s="1318"/>
      <c r="KPY47" s="1373"/>
      <c r="KPZ47" s="1318"/>
      <c r="KQA47" s="1318"/>
      <c r="KQB47" s="1318"/>
      <c r="KQC47" s="1318"/>
      <c r="KQD47" s="1318"/>
      <c r="KQE47" s="1318"/>
      <c r="KQF47" s="1318"/>
      <c r="KQG47" s="1318"/>
      <c r="KQH47" s="1318"/>
      <c r="KQI47" s="1318"/>
      <c r="KQJ47" s="1373"/>
      <c r="KQK47" s="1318"/>
      <c r="KQL47" s="1318"/>
      <c r="KQM47" s="1318"/>
      <c r="KQN47" s="1318"/>
      <c r="KQO47" s="1318"/>
      <c r="KQP47" s="1318"/>
      <c r="KQQ47" s="1318"/>
      <c r="KQR47" s="1318"/>
      <c r="KQS47" s="1318"/>
      <c r="KQT47" s="1318"/>
      <c r="KQU47" s="1373"/>
      <c r="KQV47" s="1318"/>
      <c r="KQW47" s="1318"/>
      <c r="KQX47" s="1318"/>
      <c r="KQY47" s="1318"/>
      <c r="KQZ47" s="1318"/>
      <c r="KRA47" s="1318"/>
      <c r="KRB47" s="1318"/>
      <c r="KRC47" s="1318"/>
      <c r="KRD47" s="1318"/>
      <c r="KRE47" s="1318"/>
      <c r="KRF47" s="1373"/>
      <c r="KRG47" s="1318"/>
      <c r="KRH47" s="1318"/>
      <c r="KRI47" s="1318"/>
      <c r="KRJ47" s="1318"/>
      <c r="KRK47" s="1318"/>
      <c r="KRL47" s="1318"/>
      <c r="KRM47" s="1318"/>
      <c r="KRN47" s="1318"/>
      <c r="KRO47" s="1318"/>
      <c r="KRP47" s="1318"/>
      <c r="KRQ47" s="1373"/>
      <c r="KRR47" s="1318"/>
      <c r="KRS47" s="1318"/>
      <c r="KRT47" s="1318"/>
      <c r="KRU47" s="1318"/>
      <c r="KRV47" s="1318"/>
      <c r="KRW47" s="1318"/>
      <c r="KRX47" s="1318"/>
      <c r="KRY47" s="1318"/>
      <c r="KRZ47" s="1318"/>
      <c r="KSA47" s="1318"/>
      <c r="KSB47" s="1373"/>
      <c r="KSC47" s="1318"/>
      <c r="KSD47" s="1318"/>
      <c r="KSE47" s="1318"/>
      <c r="KSF47" s="1318"/>
      <c r="KSG47" s="1318"/>
      <c r="KSH47" s="1318"/>
      <c r="KSI47" s="1318"/>
      <c r="KSJ47" s="1318"/>
      <c r="KSK47" s="1318"/>
      <c r="KSL47" s="1318"/>
      <c r="KSM47" s="1373"/>
      <c r="KSN47" s="1318"/>
      <c r="KSO47" s="1318"/>
      <c r="KSP47" s="1318"/>
      <c r="KSQ47" s="1318"/>
      <c r="KSR47" s="1318"/>
      <c r="KSS47" s="1318"/>
      <c r="KST47" s="1318"/>
      <c r="KSU47" s="1318"/>
      <c r="KSV47" s="1318"/>
      <c r="KSW47" s="1318"/>
      <c r="KSX47" s="1373"/>
      <c r="KSY47" s="1318"/>
      <c r="KSZ47" s="1318"/>
      <c r="KTA47" s="1318"/>
      <c r="KTB47" s="1318"/>
      <c r="KTC47" s="1318"/>
      <c r="KTD47" s="1318"/>
      <c r="KTE47" s="1318"/>
      <c r="KTF47" s="1318"/>
      <c r="KTG47" s="1318"/>
      <c r="KTH47" s="1318"/>
      <c r="KTI47" s="1373"/>
      <c r="KTJ47" s="1318"/>
      <c r="KTK47" s="1318"/>
      <c r="KTL47" s="1318"/>
      <c r="KTM47" s="1318"/>
      <c r="KTN47" s="1318"/>
      <c r="KTO47" s="1318"/>
      <c r="KTP47" s="1318"/>
      <c r="KTQ47" s="1318"/>
      <c r="KTR47" s="1318"/>
      <c r="KTS47" s="1318"/>
      <c r="KTT47" s="1373"/>
      <c r="KTU47" s="1318"/>
      <c r="KTV47" s="1318"/>
      <c r="KTW47" s="1318"/>
      <c r="KTX47" s="1318"/>
      <c r="KTY47" s="1318"/>
      <c r="KTZ47" s="1318"/>
      <c r="KUA47" s="1318"/>
      <c r="KUB47" s="1318"/>
      <c r="KUC47" s="1318"/>
      <c r="KUD47" s="1318"/>
      <c r="KUE47" s="1373"/>
      <c r="KUF47" s="1318"/>
      <c r="KUG47" s="1318"/>
      <c r="KUH47" s="1318"/>
      <c r="KUI47" s="1318"/>
      <c r="KUJ47" s="1318"/>
      <c r="KUK47" s="1318"/>
      <c r="KUL47" s="1318"/>
      <c r="KUM47" s="1318"/>
      <c r="KUN47" s="1318"/>
      <c r="KUO47" s="1318"/>
      <c r="KUP47" s="1373"/>
      <c r="KUQ47" s="1318"/>
      <c r="KUR47" s="1318"/>
      <c r="KUS47" s="1318"/>
      <c r="KUT47" s="1318"/>
      <c r="KUU47" s="1318"/>
      <c r="KUV47" s="1318"/>
      <c r="KUW47" s="1318"/>
      <c r="KUX47" s="1318"/>
      <c r="KUY47" s="1318"/>
      <c r="KUZ47" s="1318"/>
      <c r="KVA47" s="1373"/>
      <c r="KVB47" s="1318"/>
      <c r="KVC47" s="1318"/>
      <c r="KVD47" s="1318"/>
      <c r="KVE47" s="1318"/>
      <c r="KVF47" s="1318"/>
      <c r="KVG47" s="1318"/>
      <c r="KVH47" s="1318"/>
      <c r="KVI47" s="1318"/>
      <c r="KVJ47" s="1318"/>
      <c r="KVK47" s="1318"/>
      <c r="KVL47" s="1373"/>
      <c r="KVM47" s="1318"/>
      <c r="KVN47" s="1318"/>
      <c r="KVO47" s="1318"/>
      <c r="KVP47" s="1318"/>
      <c r="KVQ47" s="1318"/>
      <c r="KVR47" s="1318"/>
      <c r="KVS47" s="1318"/>
      <c r="KVT47" s="1318"/>
      <c r="KVU47" s="1318"/>
      <c r="KVV47" s="1318"/>
      <c r="KVW47" s="1373"/>
      <c r="KVX47" s="1318"/>
      <c r="KVY47" s="1318"/>
      <c r="KVZ47" s="1318"/>
      <c r="KWA47" s="1318"/>
      <c r="KWB47" s="1318"/>
      <c r="KWC47" s="1318"/>
      <c r="KWD47" s="1318"/>
      <c r="KWE47" s="1318"/>
      <c r="KWF47" s="1318"/>
      <c r="KWG47" s="1318"/>
      <c r="KWH47" s="1373"/>
      <c r="KWI47" s="1318"/>
      <c r="KWJ47" s="1318"/>
      <c r="KWK47" s="1318"/>
      <c r="KWL47" s="1318"/>
      <c r="KWM47" s="1318"/>
      <c r="KWN47" s="1318"/>
      <c r="KWO47" s="1318"/>
      <c r="KWP47" s="1318"/>
      <c r="KWQ47" s="1318"/>
      <c r="KWR47" s="1318"/>
      <c r="KWS47" s="1373"/>
      <c r="KWT47" s="1318"/>
      <c r="KWU47" s="1318"/>
      <c r="KWV47" s="1318"/>
      <c r="KWW47" s="1318"/>
      <c r="KWX47" s="1318"/>
      <c r="KWY47" s="1318"/>
      <c r="KWZ47" s="1318"/>
      <c r="KXA47" s="1318"/>
      <c r="KXB47" s="1318"/>
      <c r="KXC47" s="1318"/>
      <c r="KXD47" s="1373"/>
      <c r="KXE47" s="1318"/>
      <c r="KXF47" s="1318"/>
      <c r="KXG47" s="1318"/>
      <c r="KXH47" s="1318"/>
      <c r="KXI47" s="1318"/>
      <c r="KXJ47" s="1318"/>
      <c r="KXK47" s="1318"/>
      <c r="KXL47" s="1318"/>
      <c r="KXM47" s="1318"/>
      <c r="KXN47" s="1318"/>
      <c r="KXO47" s="1373"/>
      <c r="KXP47" s="1318"/>
      <c r="KXQ47" s="1318"/>
      <c r="KXR47" s="1318"/>
      <c r="KXS47" s="1318"/>
      <c r="KXT47" s="1318"/>
      <c r="KXU47" s="1318"/>
      <c r="KXV47" s="1318"/>
      <c r="KXW47" s="1318"/>
      <c r="KXX47" s="1318"/>
      <c r="KXY47" s="1318"/>
      <c r="KXZ47" s="1373"/>
      <c r="KYA47" s="1318"/>
      <c r="KYB47" s="1318"/>
      <c r="KYC47" s="1318"/>
      <c r="KYD47" s="1318"/>
      <c r="KYE47" s="1318"/>
      <c r="KYF47" s="1318"/>
      <c r="KYG47" s="1318"/>
      <c r="KYH47" s="1318"/>
      <c r="KYI47" s="1318"/>
      <c r="KYJ47" s="1318"/>
      <c r="KYK47" s="1373"/>
      <c r="KYL47" s="1318"/>
      <c r="KYM47" s="1318"/>
      <c r="KYN47" s="1318"/>
      <c r="KYO47" s="1318"/>
      <c r="KYP47" s="1318"/>
      <c r="KYQ47" s="1318"/>
      <c r="KYR47" s="1318"/>
      <c r="KYS47" s="1318"/>
      <c r="KYT47" s="1318"/>
      <c r="KYU47" s="1318"/>
      <c r="KYV47" s="1373"/>
      <c r="KYW47" s="1318"/>
      <c r="KYX47" s="1318"/>
      <c r="KYY47" s="1318"/>
      <c r="KYZ47" s="1318"/>
      <c r="KZA47" s="1318"/>
      <c r="KZB47" s="1318"/>
      <c r="KZC47" s="1318"/>
      <c r="KZD47" s="1318"/>
      <c r="KZE47" s="1318"/>
      <c r="KZF47" s="1318"/>
      <c r="KZG47" s="1373"/>
      <c r="KZH47" s="1318"/>
      <c r="KZI47" s="1318"/>
      <c r="KZJ47" s="1318"/>
      <c r="KZK47" s="1318"/>
      <c r="KZL47" s="1318"/>
      <c r="KZM47" s="1318"/>
      <c r="KZN47" s="1318"/>
      <c r="KZO47" s="1318"/>
      <c r="KZP47" s="1318"/>
      <c r="KZQ47" s="1318"/>
      <c r="KZR47" s="1373"/>
      <c r="KZS47" s="1318"/>
      <c r="KZT47" s="1318"/>
      <c r="KZU47" s="1318"/>
      <c r="KZV47" s="1318"/>
      <c r="KZW47" s="1318"/>
      <c r="KZX47" s="1318"/>
      <c r="KZY47" s="1318"/>
      <c r="KZZ47" s="1318"/>
      <c r="LAA47" s="1318"/>
      <c r="LAB47" s="1318"/>
      <c r="LAC47" s="1373"/>
      <c r="LAD47" s="1318"/>
      <c r="LAE47" s="1318"/>
      <c r="LAF47" s="1318"/>
      <c r="LAG47" s="1318"/>
      <c r="LAH47" s="1318"/>
      <c r="LAI47" s="1318"/>
      <c r="LAJ47" s="1318"/>
      <c r="LAK47" s="1318"/>
      <c r="LAL47" s="1318"/>
      <c r="LAM47" s="1318"/>
      <c r="LAN47" s="1373"/>
      <c r="LAO47" s="1318"/>
      <c r="LAP47" s="1318"/>
      <c r="LAQ47" s="1318"/>
      <c r="LAR47" s="1318"/>
      <c r="LAS47" s="1318"/>
      <c r="LAT47" s="1318"/>
      <c r="LAU47" s="1318"/>
      <c r="LAV47" s="1318"/>
      <c r="LAW47" s="1318"/>
      <c r="LAX47" s="1318"/>
      <c r="LAY47" s="1373"/>
      <c r="LAZ47" s="1318"/>
      <c r="LBA47" s="1318"/>
      <c r="LBB47" s="1318"/>
      <c r="LBC47" s="1318"/>
      <c r="LBD47" s="1318"/>
      <c r="LBE47" s="1318"/>
      <c r="LBF47" s="1318"/>
      <c r="LBG47" s="1318"/>
      <c r="LBH47" s="1318"/>
      <c r="LBI47" s="1318"/>
      <c r="LBJ47" s="1373"/>
      <c r="LBK47" s="1318"/>
      <c r="LBL47" s="1318"/>
      <c r="LBM47" s="1318"/>
      <c r="LBN47" s="1318"/>
      <c r="LBO47" s="1318"/>
      <c r="LBP47" s="1318"/>
      <c r="LBQ47" s="1318"/>
      <c r="LBR47" s="1318"/>
      <c r="LBS47" s="1318"/>
      <c r="LBT47" s="1318"/>
      <c r="LBU47" s="1373"/>
      <c r="LBV47" s="1318"/>
      <c r="LBW47" s="1318"/>
      <c r="LBX47" s="1318"/>
      <c r="LBY47" s="1318"/>
      <c r="LBZ47" s="1318"/>
      <c r="LCA47" s="1318"/>
      <c r="LCB47" s="1318"/>
      <c r="LCC47" s="1318"/>
      <c r="LCD47" s="1318"/>
      <c r="LCE47" s="1318"/>
      <c r="LCF47" s="1373"/>
      <c r="LCG47" s="1318"/>
      <c r="LCH47" s="1318"/>
      <c r="LCI47" s="1318"/>
      <c r="LCJ47" s="1318"/>
      <c r="LCK47" s="1318"/>
      <c r="LCL47" s="1318"/>
      <c r="LCM47" s="1318"/>
      <c r="LCN47" s="1318"/>
      <c r="LCO47" s="1318"/>
      <c r="LCP47" s="1318"/>
      <c r="LCQ47" s="1373"/>
      <c r="LCR47" s="1318"/>
      <c r="LCS47" s="1318"/>
      <c r="LCT47" s="1318"/>
      <c r="LCU47" s="1318"/>
      <c r="LCV47" s="1318"/>
      <c r="LCW47" s="1318"/>
      <c r="LCX47" s="1318"/>
      <c r="LCY47" s="1318"/>
      <c r="LCZ47" s="1318"/>
      <c r="LDA47" s="1318"/>
      <c r="LDB47" s="1373"/>
      <c r="LDC47" s="1318"/>
      <c r="LDD47" s="1318"/>
      <c r="LDE47" s="1318"/>
      <c r="LDF47" s="1318"/>
      <c r="LDG47" s="1318"/>
      <c r="LDH47" s="1318"/>
      <c r="LDI47" s="1318"/>
      <c r="LDJ47" s="1318"/>
      <c r="LDK47" s="1318"/>
      <c r="LDL47" s="1318"/>
      <c r="LDM47" s="1373"/>
      <c r="LDN47" s="1318"/>
      <c r="LDO47" s="1318"/>
      <c r="LDP47" s="1318"/>
      <c r="LDQ47" s="1318"/>
      <c r="LDR47" s="1318"/>
      <c r="LDS47" s="1318"/>
      <c r="LDT47" s="1318"/>
      <c r="LDU47" s="1318"/>
      <c r="LDV47" s="1318"/>
      <c r="LDW47" s="1318"/>
      <c r="LDX47" s="1373"/>
      <c r="LDY47" s="1318"/>
      <c r="LDZ47" s="1318"/>
      <c r="LEA47" s="1318"/>
      <c r="LEB47" s="1318"/>
      <c r="LEC47" s="1318"/>
      <c r="LED47" s="1318"/>
      <c r="LEE47" s="1318"/>
      <c r="LEF47" s="1318"/>
      <c r="LEG47" s="1318"/>
      <c r="LEH47" s="1318"/>
      <c r="LEI47" s="1373"/>
      <c r="LEJ47" s="1318"/>
      <c r="LEK47" s="1318"/>
      <c r="LEL47" s="1318"/>
      <c r="LEM47" s="1318"/>
      <c r="LEN47" s="1318"/>
      <c r="LEO47" s="1318"/>
      <c r="LEP47" s="1318"/>
      <c r="LEQ47" s="1318"/>
      <c r="LER47" s="1318"/>
      <c r="LES47" s="1318"/>
      <c r="LET47" s="1373"/>
      <c r="LEU47" s="1318"/>
      <c r="LEV47" s="1318"/>
      <c r="LEW47" s="1318"/>
      <c r="LEX47" s="1318"/>
      <c r="LEY47" s="1318"/>
      <c r="LEZ47" s="1318"/>
      <c r="LFA47" s="1318"/>
      <c r="LFB47" s="1318"/>
      <c r="LFC47" s="1318"/>
      <c r="LFD47" s="1318"/>
      <c r="LFE47" s="1373"/>
      <c r="LFF47" s="1318"/>
      <c r="LFG47" s="1318"/>
      <c r="LFH47" s="1318"/>
      <c r="LFI47" s="1318"/>
      <c r="LFJ47" s="1318"/>
      <c r="LFK47" s="1318"/>
      <c r="LFL47" s="1318"/>
      <c r="LFM47" s="1318"/>
      <c r="LFN47" s="1318"/>
      <c r="LFO47" s="1318"/>
      <c r="LFP47" s="1373"/>
      <c r="LFQ47" s="1318"/>
      <c r="LFR47" s="1318"/>
      <c r="LFS47" s="1318"/>
      <c r="LFT47" s="1318"/>
      <c r="LFU47" s="1318"/>
      <c r="LFV47" s="1318"/>
      <c r="LFW47" s="1318"/>
      <c r="LFX47" s="1318"/>
      <c r="LFY47" s="1318"/>
      <c r="LFZ47" s="1318"/>
      <c r="LGA47" s="1373"/>
      <c r="LGB47" s="1318"/>
      <c r="LGC47" s="1318"/>
      <c r="LGD47" s="1318"/>
      <c r="LGE47" s="1318"/>
      <c r="LGF47" s="1318"/>
      <c r="LGG47" s="1318"/>
      <c r="LGH47" s="1318"/>
      <c r="LGI47" s="1318"/>
      <c r="LGJ47" s="1318"/>
      <c r="LGK47" s="1318"/>
      <c r="LGL47" s="1373"/>
      <c r="LGM47" s="1318"/>
      <c r="LGN47" s="1318"/>
      <c r="LGO47" s="1318"/>
      <c r="LGP47" s="1318"/>
      <c r="LGQ47" s="1318"/>
      <c r="LGR47" s="1318"/>
      <c r="LGS47" s="1318"/>
      <c r="LGT47" s="1318"/>
      <c r="LGU47" s="1318"/>
      <c r="LGV47" s="1318"/>
      <c r="LGW47" s="1373"/>
      <c r="LGX47" s="1318"/>
      <c r="LGY47" s="1318"/>
      <c r="LGZ47" s="1318"/>
      <c r="LHA47" s="1318"/>
      <c r="LHB47" s="1318"/>
      <c r="LHC47" s="1318"/>
      <c r="LHD47" s="1318"/>
      <c r="LHE47" s="1318"/>
      <c r="LHF47" s="1318"/>
      <c r="LHG47" s="1318"/>
      <c r="LHH47" s="1373"/>
      <c r="LHI47" s="1318"/>
      <c r="LHJ47" s="1318"/>
      <c r="LHK47" s="1318"/>
      <c r="LHL47" s="1318"/>
      <c r="LHM47" s="1318"/>
      <c r="LHN47" s="1318"/>
      <c r="LHO47" s="1318"/>
      <c r="LHP47" s="1318"/>
      <c r="LHQ47" s="1318"/>
      <c r="LHR47" s="1318"/>
      <c r="LHS47" s="1373"/>
      <c r="LHT47" s="1318"/>
      <c r="LHU47" s="1318"/>
      <c r="LHV47" s="1318"/>
      <c r="LHW47" s="1318"/>
      <c r="LHX47" s="1318"/>
      <c r="LHY47" s="1318"/>
      <c r="LHZ47" s="1318"/>
      <c r="LIA47" s="1318"/>
      <c r="LIB47" s="1318"/>
      <c r="LIC47" s="1318"/>
      <c r="LID47" s="1373"/>
      <c r="LIE47" s="1318"/>
      <c r="LIF47" s="1318"/>
      <c r="LIG47" s="1318"/>
      <c r="LIH47" s="1318"/>
      <c r="LII47" s="1318"/>
      <c r="LIJ47" s="1318"/>
      <c r="LIK47" s="1318"/>
      <c r="LIL47" s="1318"/>
      <c r="LIM47" s="1318"/>
      <c r="LIN47" s="1318"/>
      <c r="LIO47" s="1373"/>
      <c r="LIP47" s="1318"/>
      <c r="LIQ47" s="1318"/>
      <c r="LIR47" s="1318"/>
      <c r="LIS47" s="1318"/>
      <c r="LIT47" s="1318"/>
      <c r="LIU47" s="1318"/>
      <c r="LIV47" s="1318"/>
      <c r="LIW47" s="1318"/>
      <c r="LIX47" s="1318"/>
      <c r="LIY47" s="1318"/>
      <c r="LIZ47" s="1373"/>
      <c r="LJA47" s="1318"/>
      <c r="LJB47" s="1318"/>
      <c r="LJC47" s="1318"/>
      <c r="LJD47" s="1318"/>
      <c r="LJE47" s="1318"/>
      <c r="LJF47" s="1318"/>
      <c r="LJG47" s="1318"/>
      <c r="LJH47" s="1318"/>
      <c r="LJI47" s="1318"/>
      <c r="LJJ47" s="1318"/>
      <c r="LJK47" s="1373"/>
      <c r="LJL47" s="1318"/>
      <c r="LJM47" s="1318"/>
      <c r="LJN47" s="1318"/>
      <c r="LJO47" s="1318"/>
      <c r="LJP47" s="1318"/>
      <c r="LJQ47" s="1318"/>
      <c r="LJR47" s="1318"/>
      <c r="LJS47" s="1318"/>
      <c r="LJT47" s="1318"/>
      <c r="LJU47" s="1318"/>
      <c r="LJV47" s="1373"/>
      <c r="LJW47" s="1318"/>
      <c r="LJX47" s="1318"/>
      <c r="LJY47" s="1318"/>
      <c r="LJZ47" s="1318"/>
      <c r="LKA47" s="1318"/>
      <c r="LKB47" s="1318"/>
      <c r="LKC47" s="1318"/>
      <c r="LKD47" s="1318"/>
      <c r="LKE47" s="1318"/>
      <c r="LKF47" s="1318"/>
      <c r="LKG47" s="1373"/>
      <c r="LKH47" s="1318"/>
      <c r="LKI47" s="1318"/>
      <c r="LKJ47" s="1318"/>
      <c r="LKK47" s="1318"/>
      <c r="LKL47" s="1318"/>
      <c r="LKM47" s="1318"/>
      <c r="LKN47" s="1318"/>
      <c r="LKO47" s="1318"/>
      <c r="LKP47" s="1318"/>
      <c r="LKQ47" s="1318"/>
      <c r="LKR47" s="1373"/>
      <c r="LKS47" s="1318"/>
      <c r="LKT47" s="1318"/>
      <c r="LKU47" s="1318"/>
      <c r="LKV47" s="1318"/>
      <c r="LKW47" s="1318"/>
      <c r="LKX47" s="1318"/>
      <c r="LKY47" s="1318"/>
      <c r="LKZ47" s="1318"/>
      <c r="LLA47" s="1318"/>
      <c r="LLB47" s="1318"/>
      <c r="LLC47" s="1373"/>
      <c r="LLD47" s="1318"/>
      <c r="LLE47" s="1318"/>
      <c r="LLF47" s="1318"/>
      <c r="LLG47" s="1318"/>
      <c r="LLH47" s="1318"/>
      <c r="LLI47" s="1318"/>
      <c r="LLJ47" s="1318"/>
      <c r="LLK47" s="1318"/>
      <c r="LLL47" s="1318"/>
      <c r="LLM47" s="1318"/>
      <c r="LLN47" s="1373"/>
      <c r="LLO47" s="1318"/>
      <c r="LLP47" s="1318"/>
      <c r="LLQ47" s="1318"/>
      <c r="LLR47" s="1318"/>
      <c r="LLS47" s="1318"/>
      <c r="LLT47" s="1318"/>
      <c r="LLU47" s="1318"/>
      <c r="LLV47" s="1318"/>
      <c r="LLW47" s="1318"/>
      <c r="LLX47" s="1318"/>
      <c r="LLY47" s="1373"/>
      <c r="LLZ47" s="1318"/>
      <c r="LMA47" s="1318"/>
      <c r="LMB47" s="1318"/>
      <c r="LMC47" s="1318"/>
      <c r="LMD47" s="1318"/>
      <c r="LME47" s="1318"/>
      <c r="LMF47" s="1318"/>
      <c r="LMG47" s="1318"/>
      <c r="LMH47" s="1318"/>
      <c r="LMI47" s="1318"/>
      <c r="LMJ47" s="1373"/>
      <c r="LMK47" s="1318"/>
      <c r="LML47" s="1318"/>
      <c r="LMM47" s="1318"/>
      <c r="LMN47" s="1318"/>
      <c r="LMO47" s="1318"/>
      <c r="LMP47" s="1318"/>
      <c r="LMQ47" s="1318"/>
      <c r="LMR47" s="1318"/>
      <c r="LMS47" s="1318"/>
      <c r="LMT47" s="1318"/>
      <c r="LMU47" s="1373"/>
      <c r="LMV47" s="1318"/>
      <c r="LMW47" s="1318"/>
      <c r="LMX47" s="1318"/>
      <c r="LMY47" s="1318"/>
      <c r="LMZ47" s="1318"/>
      <c r="LNA47" s="1318"/>
      <c r="LNB47" s="1318"/>
      <c r="LNC47" s="1318"/>
      <c r="LND47" s="1318"/>
      <c r="LNE47" s="1318"/>
      <c r="LNF47" s="1373"/>
      <c r="LNG47" s="1318"/>
      <c r="LNH47" s="1318"/>
      <c r="LNI47" s="1318"/>
      <c r="LNJ47" s="1318"/>
      <c r="LNK47" s="1318"/>
      <c r="LNL47" s="1318"/>
      <c r="LNM47" s="1318"/>
      <c r="LNN47" s="1318"/>
      <c r="LNO47" s="1318"/>
      <c r="LNP47" s="1318"/>
      <c r="LNQ47" s="1373"/>
      <c r="LNR47" s="1318"/>
      <c r="LNS47" s="1318"/>
      <c r="LNT47" s="1318"/>
      <c r="LNU47" s="1318"/>
      <c r="LNV47" s="1318"/>
      <c r="LNW47" s="1318"/>
      <c r="LNX47" s="1318"/>
      <c r="LNY47" s="1318"/>
      <c r="LNZ47" s="1318"/>
      <c r="LOA47" s="1318"/>
      <c r="LOB47" s="1373"/>
      <c r="LOC47" s="1318"/>
      <c r="LOD47" s="1318"/>
      <c r="LOE47" s="1318"/>
      <c r="LOF47" s="1318"/>
      <c r="LOG47" s="1318"/>
      <c r="LOH47" s="1318"/>
      <c r="LOI47" s="1318"/>
      <c r="LOJ47" s="1318"/>
      <c r="LOK47" s="1318"/>
      <c r="LOL47" s="1318"/>
      <c r="LOM47" s="1373"/>
      <c r="LON47" s="1318"/>
      <c r="LOO47" s="1318"/>
      <c r="LOP47" s="1318"/>
      <c r="LOQ47" s="1318"/>
      <c r="LOR47" s="1318"/>
      <c r="LOS47" s="1318"/>
      <c r="LOT47" s="1318"/>
      <c r="LOU47" s="1318"/>
      <c r="LOV47" s="1318"/>
      <c r="LOW47" s="1318"/>
      <c r="LOX47" s="1373"/>
      <c r="LOY47" s="1318"/>
      <c r="LOZ47" s="1318"/>
      <c r="LPA47" s="1318"/>
      <c r="LPB47" s="1318"/>
      <c r="LPC47" s="1318"/>
      <c r="LPD47" s="1318"/>
      <c r="LPE47" s="1318"/>
      <c r="LPF47" s="1318"/>
      <c r="LPG47" s="1318"/>
      <c r="LPH47" s="1318"/>
      <c r="LPI47" s="1373"/>
      <c r="LPJ47" s="1318"/>
      <c r="LPK47" s="1318"/>
      <c r="LPL47" s="1318"/>
      <c r="LPM47" s="1318"/>
      <c r="LPN47" s="1318"/>
      <c r="LPO47" s="1318"/>
      <c r="LPP47" s="1318"/>
      <c r="LPQ47" s="1318"/>
      <c r="LPR47" s="1318"/>
      <c r="LPS47" s="1318"/>
      <c r="LPT47" s="1373"/>
      <c r="LPU47" s="1318"/>
      <c r="LPV47" s="1318"/>
      <c r="LPW47" s="1318"/>
      <c r="LPX47" s="1318"/>
      <c r="LPY47" s="1318"/>
      <c r="LPZ47" s="1318"/>
      <c r="LQA47" s="1318"/>
      <c r="LQB47" s="1318"/>
      <c r="LQC47" s="1318"/>
      <c r="LQD47" s="1318"/>
      <c r="LQE47" s="1373"/>
      <c r="LQF47" s="1318"/>
      <c r="LQG47" s="1318"/>
      <c r="LQH47" s="1318"/>
      <c r="LQI47" s="1318"/>
      <c r="LQJ47" s="1318"/>
      <c r="LQK47" s="1318"/>
      <c r="LQL47" s="1318"/>
      <c r="LQM47" s="1318"/>
      <c r="LQN47" s="1318"/>
      <c r="LQO47" s="1318"/>
      <c r="LQP47" s="1373"/>
      <c r="LQQ47" s="1318"/>
      <c r="LQR47" s="1318"/>
      <c r="LQS47" s="1318"/>
      <c r="LQT47" s="1318"/>
      <c r="LQU47" s="1318"/>
      <c r="LQV47" s="1318"/>
      <c r="LQW47" s="1318"/>
      <c r="LQX47" s="1318"/>
      <c r="LQY47" s="1318"/>
      <c r="LQZ47" s="1318"/>
      <c r="LRA47" s="1373"/>
      <c r="LRB47" s="1318"/>
      <c r="LRC47" s="1318"/>
      <c r="LRD47" s="1318"/>
      <c r="LRE47" s="1318"/>
      <c r="LRF47" s="1318"/>
      <c r="LRG47" s="1318"/>
      <c r="LRH47" s="1318"/>
      <c r="LRI47" s="1318"/>
      <c r="LRJ47" s="1318"/>
      <c r="LRK47" s="1318"/>
      <c r="LRL47" s="1373"/>
      <c r="LRM47" s="1318"/>
      <c r="LRN47" s="1318"/>
      <c r="LRO47" s="1318"/>
      <c r="LRP47" s="1318"/>
      <c r="LRQ47" s="1318"/>
      <c r="LRR47" s="1318"/>
      <c r="LRS47" s="1318"/>
      <c r="LRT47" s="1318"/>
      <c r="LRU47" s="1318"/>
      <c r="LRV47" s="1318"/>
      <c r="LRW47" s="1373"/>
      <c r="LRX47" s="1318"/>
      <c r="LRY47" s="1318"/>
      <c r="LRZ47" s="1318"/>
      <c r="LSA47" s="1318"/>
      <c r="LSB47" s="1318"/>
      <c r="LSC47" s="1318"/>
      <c r="LSD47" s="1318"/>
      <c r="LSE47" s="1318"/>
      <c r="LSF47" s="1318"/>
      <c r="LSG47" s="1318"/>
      <c r="LSH47" s="1373"/>
      <c r="LSI47" s="1318"/>
      <c r="LSJ47" s="1318"/>
      <c r="LSK47" s="1318"/>
      <c r="LSL47" s="1318"/>
      <c r="LSM47" s="1318"/>
      <c r="LSN47" s="1318"/>
      <c r="LSO47" s="1318"/>
      <c r="LSP47" s="1318"/>
      <c r="LSQ47" s="1318"/>
      <c r="LSR47" s="1318"/>
      <c r="LSS47" s="1373"/>
      <c r="LST47" s="1318"/>
      <c r="LSU47" s="1318"/>
      <c r="LSV47" s="1318"/>
      <c r="LSW47" s="1318"/>
      <c r="LSX47" s="1318"/>
      <c r="LSY47" s="1318"/>
      <c r="LSZ47" s="1318"/>
      <c r="LTA47" s="1318"/>
      <c r="LTB47" s="1318"/>
      <c r="LTC47" s="1318"/>
      <c r="LTD47" s="1373"/>
      <c r="LTE47" s="1318"/>
      <c r="LTF47" s="1318"/>
      <c r="LTG47" s="1318"/>
      <c r="LTH47" s="1318"/>
      <c r="LTI47" s="1318"/>
      <c r="LTJ47" s="1318"/>
      <c r="LTK47" s="1318"/>
      <c r="LTL47" s="1318"/>
      <c r="LTM47" s="1318"/>
      <c r="LTN47" s="1318"/>
      <c r="LTO47" s="1373"/>
      <c r="LTP47" s="1318"/>
      <c r="LTQ47" s="1318"/>
      <c r="LTR47" s="1318"/>
      <c r="LTS47" s="1318"/>
      <c r="LTT47" s="1318"/>
      <c r="LTU47" s="1318"/>
      <c r="LTV47" s="1318"/>
      <c r="LTW47" s="1318"/>
      <c r="LTX47" s="1318"/>
      <c r="LTY47" s="1318"/>
      <c r="LTZ47" s="1373"/>
      <c r="LUA47" s="1318"/>
      <c r="LUB47" s="1318"/>
      <c r="LUC47" s="1318"/>
      <c r="LUD47" s="1318"/>
      <c r="LUE47" s="1318"/>
      <c r="LUF47" s="1318"/>
      <c r="LUG47" s="1318"/>
      <c r="LUH47" s="1318"/>
      <c r="LUI47" s="1318"/>
      <c r="LUJ47" s="1318"/>
      <c r="LUK47" s="1373"/>
      <c r="LUL47" s="1318"/>
      <c r="LUM47" s="1318"/>
      <c r="LUN47" s="1318"/>
      <c r="LUO47" s="1318"/>
      <c r="LUP47" s="1318"/>
      <c r="LUQ47" s="1318"/>
      <c r="LUR47" s="1318"/>
      <c r="LUS47" s="1318"/>
      <c r="LUT47" s="1318"/>
      <c r="LUU47" s="1318"/>
      <c r="LUV47" s="1373"/>
      <c r="LUW47" s="1318"/>
      <c r="LUX47" s="1318"/>
      <c r="LUY47" s="1318"/>
      <c r="LUZ47" s="1318"/>
      <c r="LVA47" s="1318"/>
      <c r="LVB47" s="1318"/>
      <c r="LVC47" s="1318"/>
      <c r="LVD47" s="1318"/>
      <c r="LVE47" s="1318"/>
      <c r="LVF47" s="1318"/>
      <c r="LVG47" s="1373"/>
      <c r="LVH47" s="1318"/>
      <c r="LVI47" s="1318"/>
      <c r="LVJ47" s="1318"/>
      <c r="LVK47" s="1318"/>
      <c r="LVL47" s="1318"/>
      <c r="LVM47" s="1318"/>
      <c r="LVN47" s="1318"/>
      <c r="LVO47" s="1318"/>
      <c r="LVP47" s="1318"/>
      <c r="LVQ47" s="1318"/>
      <c r="LVR47" s="1373"/>
      <c r="LVS47" s="1318"/>
      <c r="LVT47" s="1318"/>
      <c r="LVU47" s="1318"/>
      <c r="LVV47" s="1318"/>
      <c r="LVW47" s="1318"/>
      <c r="LVX47" s="1318"/>
      <c r="LVY47" s="1318"/>
      <c r="LVZ47" s="1318"/>
      <c r="LWA47" s="1318"/>
      <c r="LWB47" s="1318"/>
      <c r="LWC47" s="1373"/>
      <c r="LWD47" s="1318"/>
      <c r="LWE47" s="1318"/>
      <c r="LWF47" s="1318"/>
      <c r="LWG47" s="1318"/>
      <c r="LWH47" s="1318"/>
      <c r="LWI47" s="1318"/>
      <c r="LWJ47" s="1318"/>
      <c r="LWK47" s="1318"/>
      <c r="LWL47" s="1318"/>
      <c r="LWM47" s="1318"/>
      <c r="LWN47" s="1373"/>
      <c r="LWO47" s="1318"/>
      <c r="LWP47" s="1318"/>
      <c r="LWQ47" s="1318"/>
      <c r="LWR47" s="1318"/>
      <c r="LWS47" s="1318"/>
      <c r="LWT47" s="1318"/>
      <c r="LWU47" s="1318"/>
      <c r="LWV47" s="1318"/>
      <c r="LWW47" s="1318"/>
      <c r="LWX47" s="1318"/>
      <c r="LWY47" s="1373"/>
      <c r="LWZ47" s="1318"/>
      <c r="LXA47" s="1318"/>
      <c r="LXB47" s="1318"/>
      <c r="LXC47" s="1318"/>
      <c r="LXD47" s="1318"/>
      <c r="LXE47" s="1318"/>
      <c r="LXF47" s="1318"/>
      <c r="LXG47" s="1318"/>
      <c r="LXH47" s="1318"/>
      <c r="LXI47" s="1318"/>
      <c r="LXJ47" s="1373"/>
      <c r="LXK47" s="1318"/>
      <c r="LXL47" s="1318"/>
      <c r="LXM47" s="1318"/>
      <c r="LXN47" s="1318"/>
      <c r="LXO47" s="1318"/>
      <c r="LXP47" s="1318"/>
      <c r="LXQ47" s="1318"/>
      <c r="LXR47" s="1318"/>
      <c r="LXS47" s="1318"/>
      <c r="LXT47" s="1318"/>
      <c r="LXU47" s="1373"/>
      <c r="LXV47" s="1318"/>
      <c r="LXW47" s="1318"/>
      <c r="LXX47" s="1318"/>
      <c r="LXY47" s="1318"/>
      <c r="LXZ47" s="1318"/>
      <c r="LYA47" s="1318"/>
      <c r="LYB47" s="1318"/>
      <c r="LYC47" s="1318"/>
      <c r="LYD47" s="1318"/>
      <c r="LYE47" s="1318"/>
      <c r="LYF47" s="1373"/>
      <c r="LYG47" s="1318"/>
      <c r="LYH47" s="1318"/>
      <c r="LYI47" s="1318"/>
      <c r="LYJ47" s="1318"/>
      <c r="LYK47" s="1318"/>
      <c r="LYL47" s="1318"/>
      <c r="LYM47" s="1318"/>
      <c r="LYN47" s="1318"/>
      <c r="LYO47" s="1318"/>
      <c r="LYP47" s="1318"/>
      <c r="LYQ47" s="1373"/>
      <c r="LYR47" s="1318"/>
      <c r="LYS47" s="1318"/>
      <c r="LYT47" s="1318"/>
      <c r="LYU47" s="1318"/>
      <c r="LYV47" s="1318"/>
      <c r="LYW47" s="1318"/>
      <c r="LYX47" s="1318"/>
      <c r="LYY47" s="1318"/>
      <c r="LYZ47" s="1318"/>
      <c r="LZA47" s="1318"/>
      <c r="LZB47" s="1373"/>
      <c r="LZC47" s="1318"/>
      <c r="LZD47" s="1318"/>
      <c r="LZE47" s="1318"/>
      <c r="LZF47" s="1318"/>
      <c r="LZG47" s="1318"/>
      <c r="LZH47" s="1318"/>
      <c r="LZI47" s="1318"/>
      <c r="LZJ47" s="1318"/>
      <c r="LZK47" s="1318"/>
      <c r="LZL47" s="1318"/>
      <c r="LZM47" s="1373"/>
      <c r="LZN47" s="1318"/>
      <c r="LZO47" s="1318"/>
      <c r="LZP47" s="1318"/>
      <c r="LZQ47" s="1318"/>
      <c r="LZR47" s="1318"/>
      <c r="LZS47" s="1318"/>
      <c r="LZT47" s="1318"/>
      <c r="LZU47" s="1318"/>
      <c r="LZV47" s="1318"/>
      <c r="LZW47" s="1318"/>
      <c r="LZX47" s="1373"/>
      <c r="LZY47" s="1318"/>
      <c r="LZZ47" s="1318"/>
      <c r="MAA47" s="1318"/>
      <c r="MAB47" s="1318"/>
      <c r="MAC47" s="1318"/>
      <c r="MAD47" s="1318"/>
      <c r="MAE47" s="1318"/>
      <c r="MAF47" s="1318"/>
      <c r="MAG47" s="1318"/>
      <c r="MAH47" s="1318"/>
      <c r="MAI47" s="1373"/>
      <c r="MAJ47" s="1318"/>
      <c r="MAK47" s="1318"/>
      <c r="MAL47" s="1318"/>
      <c r="MAM47" s="1318"/>
      <c r="MAN47" s="1318"/>
      <c r="MAO47" s="1318"/>
      <c r="MAP47" s="1318"/>
      <c r="MAQ47" s="1318"/>
      <c r="MAR47" s="1318"/>
      <c r="MAS47" s="1318"/>
      <c r="MAT47" s="1373"/>
      <c r="MAU47" s="1318"/>
      <c r="MAV47" s="1318"/>
      <c r="MAW47" s="1318"/>
      <c r="MAX47" s="1318"/>
      <c r="MAY47" s="1318"/>
      <c r="MAZ47" s="1318"/>
      <c r="MBA47" s="1318"/>
      <c r="MBB47" s="1318"/>
      <c r="MBC47" s="1318"/>
      <c r="MBD47" s="1318"/>
      <c r="MBE47" s="1373"/>
      <c r="MBF47" s="1318"/>
      <c r="MBG47" s="1318"/>
      <c r="MBH47" s="1318"/>
      <c r="MBI47" s="1318"/>
      <c r="MBJ47" s="1318"/>
      <c r="MBK47" s="1318"/>
      <c r="MBL47" s="1318"/>
      <c r="MBM47" s="1318"/>
      <c r="MBN47" s="1318"/>
      <c r="MBO47" s="1318"/>
      <c r="MBP47" s="1373"/>
      <c r="MBQ47" s="1318"/>
      <c r="MBR47" s="1318"/>
      <c r="MBS47" s="1318"/>
      <c r="MBT47" s="1318"/>
      <c r="MBU47" s="1318"/>
      <c r="MBV47" s="1318"/>
      <c r="MBW47" s="1318"/>
      <c r="MBX47" s="1318"/>
      <c r="MBY47" s="1318"/>
      <c r="MBZ47" s="1318"/>
      <c r="MCA47" s="1373"/>
      <c r="MCB47" s="1318"/>
      <c r="MCC47" s="1318"/>
      <c r="MCD47" s="1318"/>
      <c r="MCE47" s="1318"/>
      <c r="MCF47" s="1318"/>
      <c r="MCG47" s="1318"/>
      <c r="MCH47" s="1318"/>
      <c r="MCI47" s="1318"/>
      <c r="MCJ47" s="1318"/>
      <c r="MCK47" s="1318"/>
      <c r="MCL47" s="1373"/>
      <c r="MCM47" s="1318"/>
      <c r="MCN47" s="1318"/>
      <c r="MCO47" s="1318"/>
      <c r="MCP47" s="1318"/>
      <c r="MCQ47" s="1318"/>
      <c r="MCR47" s="1318"/>
      <c r="MCS47" s="1318"/>
      <c r="MCT47" s="1318"/>
      <c r="MCU47" s="1318"/>
      <c r="MCV47" s="1318"/>
      <c r="MCW47" s="1373"/>
      <c r="MCX47" s="1318"/>
      <c r="MCY47" s="1318"/>
      <c r="MCZ47" s="1318"/>
      <c r="MDA47" s="1318"/>
      <c r="MDB47" s="1318"/>
      <c r="MDC47" s="1318"/>
      <c r="MDD47" s="1318"/>
      <c r="MDE47" s="1318"/>
      <c r="MDF47" s="1318"/>
      <c r="MDG47" s="1318"/>
      <c r="MDH47" s="1373"/>
      <c r="MDI47" s="1318"/>
      <c r="MDJ47" s="1318"/>
      <c r="MDK47" s="1318"/>
      <c r="MDL47" s="1318"/>
      <c r="MDM47" s="1318"/>
      <c r="MDN47" s="1318"/>
      <c r="MDO47" s="1318"/>
      <c r="MDP47" s="1318"/>
      <c r="MDQ47" s="1318"/>
      <c r="MDR47" s="1318"/>
      <c r="MDS47" s="1373"/>
      <c r="MDT47" s="1318"/>
      <c r="MDU47" s="1318"/>
      <c r="MDV47" s="1318"/>
      <c r="MDW47" s="1318"/>
      <c r="MDX47" s="1318"/>
      <c r="MDY47" s="1318"/>
      <c r="MDZ47" s="1318"/>
      <c r="MEA47" s="1318"/>
      <c r="MEB47" s="1318"/>
      <c r="MEC47" s="1318"/>
      <c r="MED47" s="1373"/>
      <c r="MEE47" s="1318"/>
      <c r="MEF47" s="1318"/>
      <c r="MEG47" s="1318"/>
      <c r="MEH47" s="1318"/>
      <c r="MEI47" s="1318"/>
      <c r="MEJ47" s="1318"/>
      <c r="MEK47" s="1318"/>
      <c r="MEL47" s="1318"/>
      <c r="MEM47" s="1318"/>
      <c r="MEN47" s="1318"/>
      <c r="MEO47" s="1373"/>
      <c r="MEP47" s="1318"/>
      <c r="MEQ47" s="1318"/>
      <c r="MER47" s="1318"/>
      <c r="MES47" s="1318"/>
      <c r="MET47" s="1318"/>
      <c r="MEU47" s="1318"/>
      <c r="MEV47" s="1318"/>
      <c r="MEW47" s="1318"/>
      <c r="MEX47" s="1318"/>
      <c r="MEY47" s="1318"/>
      <c r="MEZ47" s="1373"/>
      <c r="MFA47" s="1318"/>
      <c r="MFB47" s="1318"/>
      <c r="MFC47" s="1318"/>
      <c r="MFD47" s="1318"/>
      <c r="MFE47" s="1318"/>
      <c r="MFF47" s="1318"/>
      <c r="MFG47" s="1318"/>
      <c r="MFH47" s="1318"/>
      <c r="MFI47" s="1318"/>
      <c r="MFJ47" s="1318"/>
      <c r="MFK47" s="1373"/>
      <c r="MFL47" s="1318"/>
      <c r="MFM47" s="1318"/>
      <c r="MFN47" s="1318"/>
      <c r="MFO47" s="1318"/>
      <c r="MFP47" s="1318"/>
      <c r="MFQ47" s="1318"/>
      <c r="MFR47" s="1318"/>
      <c r="MFS47" s="1318"/>
      <c r="MFT47" s="1318"/>
      <c r="MFU47" s="1318"/>
      <c r="MFV47" s="1373"/>
      <c r="MFW47" s="1318"/>
      <c r="MFX47" s="1318"/>
      <c r="MFY47" s="1318"/>
      <c r="MFZ47" s="1318"/>
      <c r="MGA47" s="1318"/>
      <c r="MGB47" s="1318"/>
      <c r="MGC47" s="1318"/>
      <c r="MGD47" s="1318"/>
      <c r="MGE47" s="1318"/>
      <c r="MGF47" s="1318"/>
      <c r="MGG47" s="1373"/>
      <c r="MGH47" s="1318"/>
      <c r="MGI47" s="1318"/>
      <c r="MGJ47" s="1318"/>
      <c r="MGK47" s="1318"/>
      <c r="MGL47" s="1318"/>
      <c r="MGM47" s="1318"/>
      <c r="MGN47" s="1318"/>
      <c r="MGO47" s="1318"/>
      <c r="MGP47" s="1318"/>
      <c r="MGQ47" s="1318"/>
      <c r="MGR47" s="1373"/>
      <c r="MGS47" s="1318"/>
      <c r="MGT47" s="1318"/>
      <c r="MGU47" s="1318"/>
      <c r="MGV47" s="1318"/>
      <c r="MGW47" s="1318"/>
      <c r="MGX47" s="1318"/>
      <c r="MGY47" s="1318"/>
      <c r="MGZ47" s="1318"/>
      <c r="MHA47" s="1318"/>
      <c r="MHB47" s="1318"/>
      <c r="MHC47" s="1373"/>
      <c r="MHD47" s="1318"/>
      <c r="MHE47" s="1318"/>
      <c r="MHF47" s="1318"/>
      <c r="MHG47" s="1318"/>
      <c r="MHH47" s="1318"/>
      <c r="MHI47" s="1318"/>
      <c r="MHJ47" s="1318"/>
      <c r="MHK47" s="1318"/>
      <c r="MHL47" s="1318"/>
      <c r="MHM47" s="1318"/>
      <c r="MHN47" s="1373"/>
      <c r="MHO47" s="1318"/>
      <c r="MHP47" s="1318"/>
      <c r="MHQ47" s="1318"/>
      <c r="MHR47" s="1318"/>
      <c r="MHS47" s="1318"/>
      <c r="MHT47" s="1318"/>
      <c r="MHU47" s="1318"/>
      <c r="MHV47" s="1318"/>
      <c r="MHW47" s="1318"/>
      <c r="MHX47" s="1318"/>
      <c r="MHY47" s="1373"/>
      <c r="MHZ47" s="1318"/>
      <c r="MIA47" s="1318"/>
      <c r="MIB47" s="1318"/>
      <c r="MIC47" s="1318"/>
      <c r="MID47" s="1318"/>
      <c r="MIE47" s="1318"/>
      <c r="MIF47" s="1318"/>
      <c r="MIG47" s="1318"/>
      <c r="MIH47" s="1318"/>
      <c r="MII47" s="1318"/>
      <c r="MIJ47" s="1373"/>
      <c r="MIK47" s="1318"/>
      <c r="MIL47" s="1318"/>
      <c r="MIM47" s="1318"/>
      <c r="MIN47" s="1318"/>
      <c r="MIO47" s="1318"/>
      <c r="MIP47" s="1318"/>
      <c r="MIQ47" s="1318"/>
      <c r="MIR47" s="1318"/>
      <c r="MIS47" s="1318"/>
      <c r="MIT47" s="1318"/>
      <c r="MIU47" s="1373"/>
      <c r="MIV47" s="1318"/>
      <c r="MIW47" s="1318"/>
      <c r="MIX47" s="1318"/>
      <c r="MIY47" s="1318"/>
      <c r="MIZ47" s="1318"/>
      <c r="MJA47" s="1318"/>
      <c r="MJB47" s="1318"/>
      <c r="MJC47" s="1318"/>
      <c r="MJD47" s="1318"/>
      <c r="MJE47" s="1318"/>
      <c r="MJF47" s="1373"/>
      <c r="MJG47" s="1318"/>
      <c r="MJH47" s="1318"/>
      <c r="MJI47" s="1318"/>
      <c r="MJJ47" s="1318"/>
      <c r="MJK47" s="1318"/>
      <c r="MJL47" s="1318"/>
      <c r="MJM47" s="1318"/>
      <c r="MJN47" s="1318"/>
      <c r="MJO47" s="1318"/>
      <c r="MJP47" s="1318"/>
      <c r="MJQ47" s="1373"/>
      <c r="MJR47" s="1318"/>
      <c r="MJS47" s="1318"/>
      <c r="MJT47" s="1318"/>
      <c r="MJU47" s="1318"/>
      <c r="MJV47" s="1318"/>
      <c r="MJW47" s="1318"/>
      <c r="MJX47" s="1318"/>
      <c r="MJY47" s="1318"/>
      <c r="MJZ47" s="1318"/>
      <c r="MKA47" s="1318"/>
      <c r="MKB47" s="1373"/>
      <c r="MKC47" s="1318"/>
      <c r="MKD47" s="1318"/>
      <c r="MKE47" s="1318"/>
      <c r="MKF47" s="1318"/>
      <c r="MKG47" s="1318"/>
      <c r="MKH47" s="1318"/>
      <c r="MKI47" s="1318"/>
      <c r="MKJ47" s="1318"/>
      <c r="MKK47" s="1318"/>
      <c r="MKL47" s="1318"/>
      <c r="MKM47" s="1373"/>
      <c r="MKN47" s="1318"/>
      <c r="MKO47" s="1318"/>
      <c r="MKP47" s="1318"/>
      <c r="MKQ47" s="1318"/>
      <c r="MKR47" s="1318"/>
      <c r="MKS47" s="1318"/>
      <c r="MKT47" s="1318"/>
      <c r="MKU47" s="1318"/>
      <c r="MKV47" s="1318"/>
      <c r="MKW47" s="1318"/>
      <c r="MKX47" s="1373"/>
      <c r="MKY47" s="1318"/>
      <c r="MKZ47" s="1318"/>
      <c r="MLA47" s="1318"/>
      <c r="MLB47" s="1318"/>
      <c r="MLC47" s="1318"/>
      <c r="MLD47" s="1318"/>
      <c r="MLE47" s="1318"/>
      <c r="MLF47" s="1318"/>
      <c r="MLG47" s="1318"/>
      <c r="MLH47" s="1318"/>
      <c r="MLI47" s="1373"/>
      <c r="MLJ47" s="1318"/>
      <c r="MLK47" s="1318"/>
      <c r="MLL47" s="1318"/>
      <c r="MLM47" s="1318"/>
      <c r="MLN47" s="1318"/>
      <c r="MLO47" s="1318"/>
      <c r="MLP47" s="1318"/>
      <c r="MLQ47" s="1318"/>
      <c r="MLR47" s="1318"/>
      <c r="MLS47" s="1318"/>
      <c r="MLT47" s="1373"/>
      <c r="MLU47" s="1318"/>
      <c r="MLV47" s="1318"/>
      <c r="MLW47" s="1318"/>
      <c r="MLX47" s="1318"/>
      <c r="MLY47" s="1318"/>
      <c r="MLZ47" s="1318"/>
      <c r="MMA47" s="1318"/>
      <c r="MMB47" s="1318"/>
      <c r="MMC47" s="1318"/>
      <c r="MMD47" s="1318"/>
      <c r="MME47" s="1373"/>
      <c r="MMF47" s="1318"/>
      <c r="MMG47" s="1318"/>
      <c r="MMH47" s="1318"/>
      <c r="MMI47" s="1318"/>
      <c r="MMJ47" s="1318"/>
      <c r="MMK47" s="1318"/>
      <c r="MML47" s="1318"/>
      <c r="MMM47" s="1318"/>
      <c r="MMN47" s="1318"/>
      <c r="MMO47" s="1318"/>
      <c r="MMP47" s="1373"/>
      <c r="MMQ47" s="1318"/>
      <c r="MMR47" s="1318"/>
      <c r="MMS47" s="1318"/>
      <c r="MMT47" s="1318"/>
      <c r="MMU47" s="1318"/>
      <c r="MMV47" s="1318"/>
      <c r="MMW47" s="1318"/>
      <c r="MMX47" s="1318"/>
      <c r="MMY47" s="1318"/>
      <c r="MMZ47" s="1318"/>
      <c r="MNA47" s="1373"/>
      <c r="MNB47" s="1318"/>
      <c r="MNC47" s="1318"/>
      <c r="MND47" s="1318"/>
      <c r="MNE47" s="1318"/>
      <c r="MNF47" s="1318"/>
      <c r="MNG47" s="1318"/>
      <c r="MNH47" s="1318"/>
      <c r="MNI47" s="1318"/>
      <c r="MNJ47" s="1318"/>
      <c r="MNK47" s="1318"/>
      <c r="MNL47" s="1373"/>
      <c r="MNM47" s="1318"/>
      <c r="MNN47" s="1318"/>
      <c r="MNO47" s="1318"/>
      <c r="MNP47" s="1318"/>
      <c r="MNQ47" s="1318"/>
      <c r="MNR47" s="1318"/>
      <c r="MNS47" s="1318"/>
      <c r="MNT47" s="1318"/>
      <c r="MNU47" s="1318"/>
      <c r="MNV47" s="1318"/>
      <c r="MNW47" s="1373"/>
      <c r="MNX47" s="1318"/>
      <c r="MNY47" s="1318"/>
      <c r="MNZ47" s="1318"/>
      <c r="MOA47" s="1318"/>
      <c r="MOB47" s="1318"/>
      <c r="MOC47" s="1318"/>
      <c r="MOD47" s="1318"/>
      <c r="MOE47" s="1318"/>
      <c r="MOF47" s="1318"/>
      <c r="MOG47" s="1318"/>
      <c r="MOH47" s="1373"/>
      <c r="MOI47" s="1318"/>
      <c r="MOJ47" s="1318"/>
      <c r="MOK47" s="1318"/>
      <c r="MOL47" s="1318"/>
      <c r="MOM47" s="1318"/>
      <c r="MON47" s="1318"/>
      <c r="MOO47" s="1318"/>
      <c r="MOP47" s="1318"/>
      <c r="MOQ47" s="1318"/>
      <c r="MOR47" s="1318"/>
      <c r="MOS47" s="1373"/>
      <c r="MOT47" s="1318"/>
      <c r="MOU47" s="1318"/>
      <c r="MOV47" s="1318"/>
      <c r="MOW47" s="1318"/>
      <c r="MOX47" s="1318"/>
      <c r="MOY47" s="1318"/>
      <c r="MOZ47" s="1318"/>
      <c r="MPA47" s="1318"/>
      <c r="MPB47" s="1318"/>
      <c r="MPC47" s="1318"/>
      <c r="MPD47" s="1373"/>
      <c r="MPE47" s="1318"/>
      <c r="MPF47" s="1318"/>
      <c r="MPG47" s="1318"/>
      <c r="MPH47" s="1318"/>
      <c r="MPI47" s="1318"/>
      <c r="MPJ47" s="1318"/>
      <c r="MPK47" s="1318"/>
      <c r="MPL47" s="1318"/>
      <c r="MPM47" s="1318"/>
      <c r="MPN47" s="1318"/>
      <c r="MPO47" s="1373"/>
      <c r="MPP47" s="1318"/>
      <c r="MPQ47" s="1318"/>
      <c r="MPR47" s="1318"/>
      <c r="MPS47" s="1318"/>
      <c r="MPT47" s="1318"/>
      <c r="MPU47" s="1318"/>
      <c r="MPV47" s="1318"/>
      <c r="MPW47" s="1318"/>
      <c r="MPX47" s="1318"/>
      <c r="MPY47" s="1318"/>
      <c r="MPZ47" s="1373"/>
      <c r="MQA47" s="1318"/>
      <c r="MQB47" s="1318"/>
      <c r="MQC47" s="1318"/>
      <c r="MQD47" s="1318"/>
      <c r="MQE47" s="1318"/>
      <c r="MQF47" s="1318"/>
      <c r="MQG47" s="1318"/>
      <c r="MQH47" s="1318"/>
      <c r="MQI47" s="1318"/>
      <c r="MQJ47" s="1318"/>
      <c r="MQK47" s="1373"/>
      <c r="MQL47" s="1318"/>
      <c r="MQM47" s="1318"/>
      <c r="MQN47" s="1318"/>
      <c r="MQO47" s="1318"/>
      <c r="MQP47" s="1318"/>
      <c r="MQQ47" s="1318"/>
      <c r="MQR47" s="1318"/>
      <c r="MQS47" s="1318"/>
      <c r="MQT47" s="1318"/>
      <c r="MQU47" s="1318"/>
      <c r="MQV47" s="1373"/>
      <c r="MQW47" s="1318"/>
      <c r="MQX47" s="1318"/>
      <c r="MQY47" s="1318"/>
      <c r="MQZ47" s="1318"/>
      <c r="MRA47" s="1318"/>
      <c r="MRB47" s="1318"/>
      <c r="MRC47" s="1318"/>
      <c r="MRD47" s="1318"/>
      <c r="MRE47" s="1318"/>
      <c r="MRF47" s="1318"/>
      <c r="MRG47" s="1373"/>
      <c r="MRH47" s="1318"/>
      <c r="MRI47" s="1318"/>
      <c r="MRJ47" s="1318"/>
      <c r="MRK47" s="1318"/>
      <c r="MRL47" s="1318"/>
      <c r="MRM47" s="1318"/>
      <c r="MRN47" s="1318"/>
      <c r="MRO47" s="1318"/>
      <c r="MRP47" s="1318"/>
      <c r="MRQ47" s="1318"/>
      <c r="MRR47" s="1373"/>
      <c r="MRS47" s="1318"/>
      <c r="MRT47" s="1318"/>
      <c r="MRU47" s="1318"/>
      <c r="MRV47" s="1318"/>
      <c r="MRW47" s="1318"/>
      <c r="MRX47" s="1318"/>
      <c r="MRY47" s="1318"/>
      <c r="MRZ47" s="1318"/>
      <c r="MSA47" s="1318"/>
      <c r="MSB47" s="1318"/>
      <c r="MSC47" s="1373"/>
      <c r="MSD47" s="1318"/>
      <c r="MSE47" s="1318"/>
      <c r="MSF47" s="1318"/>
      <c r="MSG47" s="1318"/>
      <c r="MSH47" s="1318"/>
      <c r="MSI47" s="1318"/>
      <c r="MSJ47" s="1318"/>
      <c r="MSK47" s="1318"/>
      <c r="MSL47" s="1318"/>
      <c r="MSM47" s="1318"/>
      <c r="MSN47" s="1373"/>
      <c r="MSO47" s="1318"/>
      <c r="MSP47" s="1318"/>
      <c r="MSQ47" s="1318"/>
      <c r="MSR47" s="1318"/>
      <c r="MSS47" s="1318"/>
      <c r="MST47" s="1318"/>
      <c r="MSU47" s="1318"/>
      <c r="MSV47" s="1318"/>
      <c r="MSW47" s="1318"/>
      <c r="MSX47" s="1318"/>
      <c r="MSY47" s="1373"/>
      <c r="MSZ47" s="1318"/>
      <c r="MTA47" s="1318"/>
      <c r="MTB47" s="1318"/>
      <c r="MTC47" s="1318"/>
      <c r="MTD47" s="1318"/>
      <c r="MTE47" s="1318"/>
      <c r="MTF47" s="1318"/>
      <c r="MTG47" s="1318"/>
      <c r="MTH47" s="1318"/>
      <c r="MTI47" s="1318"/>
      <c r="MTJ47" s="1373"/>
      <c r="MTK47" s="1318"/>
      <c r="MTL47" s="1318"/>
      <c r="MTM47" s="1318"/>
      <c r="MTN47" s="1318"/>
      <c r="MTO47" s="1318"/>
      <c r="MTP47" s="1318"/>
      <c r="MTQ47" s="1318"/>
      <c r="MTR47" s="1318"/>
      <c r="MTS47" s="1318"/>
      <c r="MTT47" s="1318"/>
      <c r="MTU47" s="1373"/>
      <c r="MTV47" s="1318"/>
      <c r="MTW47" s="1318"/>
      <c r="MTX47" s="1318"/>
      <c r="MTY47" s="1318"/>
      <c r="MTZ47" s="1318"/>
      <c r="MUA47" s="1318"/>
      <c r="MUB47" s="1318"/>
      <c r="MUC47" s="1318"/>
      <c r="MUD47" s="1318"/>
      <c r="MUE47" s="1318"/>
      <c r="MUF47" s="1373"/>
      <c r="MUG47" s="1318"/>
      <c r="MUH47" s="1318"/>
      <c r="MUI47" s="1318"/>
      <c r="MUJ47" s="1318"/>
      <c r="MUK47" s="1318"/>
      <c r="MUL47" s="1318"/>
      <c r="MUM47" s="1318"/>
      <c r="MUN47" s="1318"/>
      <c r="MUO47" s="1318"/>
      <c r="MUP47" s="1318"/>
      <c r="MUQ47" s="1373"/>
      <c r="MUR47" s="1318"/>
      <c r="MUS47" s="1318"/>
      <c r="MUT47" s="1318"/>
      <c r="MUU47" s="1318"/>
      <c r="MUV47" s="1318"/>
      <c r="MUW47" s="1318"/>
      <c r="MUX47" s="1318"/>
      <c r="MUY47" s="1318"/>
      <c r="MUZ47" s="1318"/>
      <c r="MVA47" s="1318"/>
      <c r="MVB47" s="1373"/>
      <c r="MVC47" s="1318"/>
      <c r="MVD47" s="1318"/>
      <c r="MVE47" s="1318"/>
      <c r="MVF47" s="1318"/>
      <c r="MVG47" s="1318"/>
      <c r="MVH47" s="1318"/>
      <c r="MVI47" s="1318"/>
      <c r="MVJ47" s="1318"/>
      <c r="MVK47" s="1318"/>
      <c r="MVL47" s="1318"/>
      <c r="MVM47" s="1373"/>
      <c r="MVN47" s="1318"/>
      <c r="MVO47" s="1318"/>
      <c r="MVP47" s="1318"/>
      <c r="MVQ47" s="1318"/>
      <c r="MVR47" s="1318"/>
      <c r="MVS47" s="1318"/>
      <c r="MVT47" s="1318"/>
      <c r="MVU47" s="1318"/>
      <c r="MVV47" s="1318"/>
      <c r="MVW47" s="1318"/>
      <c r="MVX47" s="1373"/>
      <c r="MVY47" s="1318"/>
      <c r="MVZ47" s="1318"/>
      <c r="MWA47" s="1318"/>
      <c r="MWB47" s="1318"/>
      <c r="MWC47" s="1318"/>
      <c r="MWD47" s="1318"/>
      <c r="MWE47" s="1318"/>
      <c r="MWF47" s="1318"/>
      <c r="MWG47" s="1318"/>
      <c r="MWH47" s="1318"/>
      <c r="MWI47" s="1373"/>
      <c r="MWJ47" s="1318"/>
      <c r="MWK47" s="1318"/>
      <c r="MWL47" s="1318"/>
      <c r="MWM47" s="1318"/>
      <c r="MWN47" s="1318"/>
      <c r="MWO47" s="1318"/>
      <c r="MWP47" s="1318"/>
      <c r="MWQ47" s="1318"/>
      <c r="MWR47" s="1318"/>
      <c r="MWS47" s="1318"/>
      <c r="MWT47" s="1373"/>
      <c r="MWU47" s="1318"/>
      <c r="MWV47" s="1318"/>
      <c r="MWW47" s="1318"/>
      <c r="MWX47" s="1318"/>
      <c r="MWY47" s="1318"/>
      <c r="MWZ47" s="1318"/>
      <c r="MXA47" s="1318"/>
      <c r="MXB47" s="1318"/>
      <c r="MXC47" s="1318"/>
      <c r="MXD47" s="1318"/>
      <c r="MXE47" s="1373"/>
      <c r="MXF47" s="1318"/>
      <c r="MXG47" s="1318"/>
      <c r="MXH47" s="1318"/>
      <c r="MXI47" s="1318"/>
      <c r="MXJ47" s="1318"/>
      <c r="MXK47" s="1318"/>
      <c r="MXL47" s="1318"/>
      <c r="MXM47" s="1318"/>
      <c r="MXN47" s="1318"/>
      <c r="MXO47" s="1318"/>
      <c r="MXP47" s="1373"/>
      <c r="MXQ47" s="1318"/>
      <c r="MXR47" s="1318"/>
      <c r="MXS47" s="1318"/>
      <c r="MXT47" s="1318"/>
      <c r="MXU47" s="1318"/>
      <c r="MXV47" s="1318"/>
      <c r="MXW47" s="1318"/>
      <c r="MXX47" s="1318"/>
      <c r="MXY47" s="1318"/>
      <c r="MXZ47" s="1318"/>
      <c r="MYA47" s="1373"/>
      <c r="MYB47" s="1318"/>
      <c r="MYC47" s="1318"/>
      <c r="MYD47" s="1318"/>
      <c r="MYE47" s="1318"/>
      <c r="MYF47" s="1318"/>
      <c r="MYG47" s="1318"/>
      <c r="MYH47" s="1318"/>
      <c r="MYI47" s="1318"/>
      <c r="MYJ47" s="1318"/>
      <c r="MYK47" s="1318"/>
      <c r="MYL47" s="1373"/>
      <c r="MYM47" s="1318"/>
      <c r="MYN47" s="1318"/>
      <c r="MYO47" s="1318"/>
      <c r="MYP47" s="1318"/>
      <c r="MYQ47" s="1318"/>
      <c r="MYR47" s="1318"/>
      <c r="MYS47" s="1318"/>
      <c r="MYT47" s="1318"/>
      <c r="MYU47" s="1318"/>
      <c r="MYV47" s="1318"/>
      <c r="MYW47" s="1373"/>
      <c r="MYX47" s="1318"/>
      <c r="MYY47" s="1318"/>
      <c r="MYZ47" s="1318"/>
      <c r="MZA47" s="1318"/>
      <c r="MZB47" s="1318"/>
      <c r="MZC47" s="1318"/>
      <c r="MZD47" s="1318"/>
      <c r="MZE47" s="1318"/>
      <c r="MZF47" s="1318"/>
      <c r="MZG47" s="1318"/>
      <c r="MZH47" s="1373"/>
      <c r="MZI47" s="1318"/>
      <c r="MZJ47" s="1318"/>
      <c r="MZK47" s="1318"/>
      <c r="MZL47" s="1318"/>
      <c r="MZM47" s="1318"/>
      <c r="MZN47" s="1318"/>
      <c r="MZO47" s="1318"/>
      <c r="MZP47" s="1318"/>
      <c r="MZQ47" s="1318"/>
      <c r="MZR47" s="1318"/>
      <c r="MZS47" s="1373"/>
      <c r="MZT47" s="1318"/>
      <c r="MZU47" s="1318"/>
      <c r="MZV47" s="1318"/>
      <c r="MZW47" s="1318"/>
      <c r="MZX47" s="1318"/>
      <c r="MZY47" s="1318"/>
      <c r="MZZ47" s="1318"/>
      <c r="NAA47" s="1318"/>
      <c r="NAB47" s="1318"/>
      <c r="NAC47" s="1318"/>
      <c r="NAD47" s="1373"/>
      <c r="NAE47" s="1318"/>
      <c r="NAF47" s="1318"/>
      <c r="NAG47" s="1318"/>
      <c r="NAH47" s="1318"/>
      <c r="NAI47" s="1318"/>
      <c r="NAJ47" s="1318"/>
      <c r="NAK47" s="1318"/>
      <c r="NAL47" s="1318"/>
      <c r="NAM47" s="1318"/>
      <c r="NAN47" s="1318"/>
      <c r="NAO47" s="1373"/>
      <c r="NAP47" s="1318"/>
      <c r="NAQ47" s="1318"/>
      <c r="NAR47" s="1318"/>
      <c r="NAS47" s="1318"/>
      <c r="NAT47" s="1318"/>
      <c r="NAU47" s="1318"/>
      <c r="NAV47" s="1318"/>
      <c r="NAW47" s="1318"/>
      <c r="NAX47" s="1318"/>
      <c r="NAY47" s="1318"/>
      <c r="NAZ47" s="1373"/>
      <c r="NBA47" s="1318"/>
      <c r="NBB47" s="1318"/>
      <c r="NBC47" s="1318"/>
      <c r="NBD47" s="1318"/>
      <c r="NBE47" s="1318"/>
      <c r="NBF47" s="1318"/>
      <c r="NBG47" s="1318"/>
      <c r="NBH47" s="1318"/>
      <c r="NBI47" s="1318"/>
      <c r="NBJ47" s="1318"/>
      <c r="NBK47" s="1373"/>
      <c r="NBL47" s="1318"/>
      <c r="NBM47" s="1318"/>
      <c r="NBN47" s="1318"/>
      <c r="NBO47" s="1318"/>
      <c r="NBP47" s="1318"/>
      <c r="NBQ47" s="1318"/>
      <c r="NBR47" s="1318"/>
      <c r="NBS47" s="1318"/>
      <c r="NBT47" s="1318"/>
      <c r="NBU47" s="1318"/>
      <c r="NBV47" s="1373"/>
      <c r="NBW47" s="1318"/>
      <c r="NBX47" s="1318"/>
      <c r="NBY47" s="1318"/>
      <c r="NBZ47" s="1318"/>
      <c r="NCA47" s="1318"/>
      <c r="NCB47" s="1318"/>
      <c r="NCC47" s="1318"/>
      <c r="NCD47" s="1318"/>
      <c r="NCE47" s="1318"/>
      <c r="NCF47" s="1318"/>
      <c r="NCG47" s="1373"/>
      <c r="NCH47" s="1318"/>
      <c r="NCI47" s="1318"/>
      <c r="NCJ47" s="1318"/>
      <c r="NCK47" s="1318"/>
      <c r="NCL47" s="1318"/>
      <c r="NCM47" s="1318"/>
      <c r="NCN47" s="1318"/>
      <c r="NCO47" s="1318"/>
      <c r="NCP47" s="1318"/>
      <c r="NCQ47" s="1318"/>
      <c r="NCR47" s="1373"/>
      <c r="NCS47" s="1318"/>
      <c r="NCT47" s="1318"/>
      <c r="NCU47" s="1318"/>
      <c r="NCV47" s="1318"/>
      <c r="NCW47" s="1318"/>
      <c r="NCX47" s="1318"/>
      <c r="NCY47" s="1318"/>
      <c r="NCZ47" s="1318"/>
      <c r="NDA47" s="1318"/>
      <c r="NDB47" s="1318"/>
      <c r="NDC47" s="1373"/>
      <c r="NDD47" s="1318"/>
      <c r="NDE47" s="1318"/>
      <c r="NDF47" s="1318"/>
      <c r="NDG47" s="1318"/>
      <c r="NDH47" s="1318"/>
      <c r="NDI47" s="1318"/>
      <c r="NDJ47" s="1318"/>
      <c r="NDK47" s="1318"/>
      <c r="NDL47" s="1318"/>
      <c r="NDM47" s="1318"/>
      <c r="NDN47" s="1373"/>
      <c r="NDO47" s="1318"/>
      <c r="NDP47" s="1318"/>
      <c r="NDQ47" s="1318"/>
      <c r="NDR47" s="1318"/>
      <c r="NDS47" s="1318"/>
      <c r="NDT47" s="1318"/>
      <c r="NDU47" s="1318"/>
      <c r="NDV47" s="1318"/>
      <c r="NDW47" s="1318"/>
      <c r="NDX47" s="1318"/>
      <c r="NDY47" s="1373"/>
      <c r="NDZ47" s="1318"/>
      <c r="NEA47" s="1318"/>
      <c r="NEB47" s="1318"/>
      <c r="NEC47" s="1318"/>
      <c r="NED47" s="1318"/>
      <c r="NEE47" s="1318"/>
      <c r="NEF47" s="1318"/>
      <c r="NEG47" s="1318"/>
      <c r="NEH47" s="1318"/>
      <c r="NEI47" s="1318"/>
      <c r="NEJ47" s="1373"/>
      <c r="NEK47" s="1318"/>
      <c r="NEL47" s="1318"/>
      <c r="NEM47" s="1318"/>
      <c r="NEN47" s="1318"/>
      <c r="NEO47" s="1318"/>
      <c r="NEP47" s="1318"/>
      <c r="NEQ47" s="1318"/>
      <c r="NER47" s="1318"/>
      <c r="NES47" s="1318"/>
      <c r="NET47" s="1318"/>
      <c r="NEU47" s="1373"/>
      <c r="NEV47" s="1318"/>
      <c r="NEW47" s="1318"/>
      <c r="NEX47" s="1318"/>
      <c r="NEY47" s="1318"/>
      <c r="NEZ47" s="1318"/>
      <c r="NFA47" s="1318"/>
      <c r="NFB47" s="1318"/>
      <c r="NFC47" s="1318"/>
      <c r="NFD47" s="1318"/>
      <c r="NFE47" s="1318"/>
      <c r="NFF47" s="1373"/>
      <c r="NFG47" s="1318"/>
      <c r="NFH47" s="1318"/>
      <c r="NFI47" s="1318"/>
      <c r="NFJ47" s="1318"/>
      <c r="NFK47" s="1318"/>
      <c r="NFL47" s="1318"/>
      <c r="NFM47" s="1318"/>
      <c r="NFN47" s="1318"/>
      <c r="NFO47" s="1318"/>
      <c r="NFP47" s="1318"/>
      <c r="NFQ47" s="1373"/>
      <c r="NFR47" s="1318"/>
      <c r="NFS47" s="1318"/>
      <c r="NFT47" s="1318"/>
      <c r="NFU47" s="1318"/>
      <c r="NFV47" s="1318"/>
      <c r="NFW47" s="1318"/>
      <c r="NFX47" s="1318"/>
      <c r="NFY47" s="1318"/>
      <c r="NFZ47" s="1318"/>
      <c r="NGA47" s="1318"/>
      <c r="NGB47" s="1373"/>
      <c r="NGC47" s="1318"/>
      <c r="NGD47" s="1318"/>
      <c r="NGE47" s="1318"/>
      <c r="NGF47" s="1318"/>
      <c r="NGG47" s="1318"/>
      <c r="NGH47" s="1318"/>
      <c r="NGI47" s="1318"/>
      <c r="NGJ47" s="1318"/>
      <c r="NGK47" s="1318"/>
      <c r="NGL47" s="1318"/>
      <c r="NGM47" s="1373"/>
      <c r="NGN47" s="1318"/>
      <c r="NGO47" s="1318"/>
      <c r="NGP47" s="1318"/>
      <c r="NGQ47" s="1318"/>
      <c r="NGR47" s="1318"/>
      <c r="NGS47" s="1318"/>
      <c r="NGT47" s="1318"/>
      <c r="NGU47" s="1318"/>
      <c r="NGV47" s="1318"/>
      <c r="NGW47" s="1318"/>
      <c r="NGX47" s="1373"/>
      <c r="NGY47" s="1318"/>
      <c r="NGZ47" s="1318"/>
      <c r="NHA47" s="1318"/>
      <c r="NHB47" s="1318"/>
      <c r="NHC47" s="1318"/>
      <c r="NHD47" s="1318"/>
      <c r="NHE47" s="1318"/>
      <c r="NHF47" s="1318"/>
      <c r="NHG47" s="1318"/>
      <c r="NHH47" s="1318"/>
      <c r="NHI47" s="1373"/>
      <c r="NHJ47" s="1318"/>
      <c r="NHK47" s="1318"/>
      <c r="NHL47" s="1318"/>
      <c r="NHM47" s="1318"/>
      <c r="NHN47" s="1318"/>
      <c r="NHO47" s="1318"/>
      <c r="NHP47" s="1318"/>
      <c r="NHQ47" s="1318"/>
      <c r="NHR47" s="1318"/>
      <c r="NHS47" s="1318"/>
      <c r="NHT47" s="1373"/>
      <c r="NHU47" s="1318"/>
      <c r="NHV47" s="1318"/>
      <c r="NHW47" s="1318"/>
      <c r="NHX47" s="1318"/>
      <c r="NHY47" s="1318"/>
      <c r="NHZ47" s="1318"/>
      <c r="NIA47" s="1318"/>
      <c r="NIB47" s="1318"/>
      <c r="NIC47" s="1318"/>
      <c r="NID47" s="1318"/>
      <c r="NIE47" s="1373"/>
      <c r="NIF47" s="1318"/>
      <c r="NIG47" s="1318"/>
      <c r="NIH47" s="1318"/>
      <c r="NII47" s="1318"/>
      <c r="NIJ47" s="1318"/>
      <c r="NIK47" s="1318"/>
      <c r="NIL47" s="1318"/>
      <c r="NIM47" s="1318"/>
      <c r="NIN47" s="1318"/>
      <c r="NIO47" s="1318"/>
      <c r="NIP47" s="1373"/>
      <c r="NIQ47" s="1318"/>
      <c r="NIR47" s="1318"/>
      <c r="NIS47" s="1318"/>
      <c r="NIT47" s="1318"/>
      <c r="NIU47" s="1318"/>
      <c r="NIV47" s="1318"/>
      <c r="NIW47" s="1318"/>
      <c r="NIX47" s="1318"/>
      <c r="NIY47" s="1318"/>
      <c r="NIZ47" s="1318"/>
      <c r="NJA47" s="1373"/>
      <c r="NJB47" s="1318"/>
      <c r="NJC47" s="1318"/>
      <c r="NJD47" s="1318"/>
      <c r="NJE47" s="1318"/>
      <c r="NJF47" s="1318"/>
      <c r="NJG47" s="1318"/>
      <c r="NJH47" s="1318"/>
      <c r="NJI47" s="1318"/>
      <c r="NJJ47" s="1318"/>
      <c r="NJK47" s="1318"/>
      <c r="NJL47" s="1373"/>
      <c r="NJM47" s="1318"/>
      <c r="NJN47" s="1318"/>
      <c r="NJO47" s="1318"/>
      <c r="NJP47" s="1318"/>
      <c r="NJQ47" s="1318"/>
      <c r="NJR47" s="1318"/>
      <c r="NJS47" s="1318"/>
      <c r="NJT47" s="1318"/>
      <c r="NJU47" s="1318"/>
      <c r="NJV47" s="1318"/>
      <c r="NJW47" s="1373"/>
      <c r="NJX47" s="1318"/>
      <c r="NJY47" s="1318"/>
      <c r="NJZ47" s="1318"/>
      <c r="NKA47" s="1318"/>
      <c r="NKB47" s="1318"/>
      <c r="NKC47" s="1318"/>
      <c r="NKD47" s="1318"/>
      <c r="NKE47" s="1318"/>
      <c r="NKF47" s="1318"/>
      <c r="NKG47" s="1318"/>
      <c r="NKH47" s="1373"/>
      <c r="NKI47" s="1318"/>
      <c r="NKJ47" s="1318"/>
      <c r="NKK47" s="1318"/>
      <c r="NKL47" s="1318"/>
      <c r="NKM47" s="1318"/>
      <c r="NKN47" s="1318"/>
      <c r="NKO47" s="1318"/>
      <c r="NKP47" s="1318"/>
      <c r="NKQ47" s="1318"/>
      <c r="NKR47" s="1318"/>
      <c r="NKS47" s="1373"/>
      <c r="NKT47" s="1318"/>
      <c r="NKU47" s="1318"/>
      <c r="NKV47" s="1318"/>
      <c r="NKW47" s="1318"/>
      <c r="NKX47" s="1318"/>
      <c r="NKY47" s="1318"/>
      <c r="NKZ47" s="1318"/>
      <c r="NLA47" s="1318"/>
      <c r="NLB47" s="1318"/>
      <c r="NLC47" s="1318"/>
      <c r="NLD47" s="1373"/>
      <c r="NLE47" s="1318"/>
      <c r="NLF47" s="1318"/>
      <c r="NLG47" s="1318"/>
      <c r="NLH47" s="1318"/>
      <c r="NLI47" s="1318"/>
      <c r="NLJ47" s="1318"/>
      <c r="NLK47" s="1318"/>
      <c r="NLL47" s="1318"/>
      <c r="NLM47" s="1318"/>
      <c r="NLN47" s="1318"/>
      <c r="NLO47" s="1373"/>
      <c r="NLP47" s="1318"/>
      <c r="NLQ47" s="1318"/>
      <c r="NLR47" s="1318"/>
      <c r="NLS47" s="1318"/>
      <c r="NLT47" s="1318"/>
      <c r="NLU47" s="1318"/>
      <c r="NLV47" s="1318"/>
      <c r="NLW47" s="1318"/>
      <c r="NLX47" s="1318"/>
      <c r="NLY47" s="1318"/>
      <c r="NLZ47" s="1373"/>
      <c r="NMA47" s="1318"/>
      <c r="NMB47" s="1318"/>
      <c r="NMC47" s="1318"/>
      <c r="NMD47" s="1318"/>
      <c r="NME47" s="1318"/>
      <c r="NMF47" s="1318"/>
      <c r="NMG47" s="1318"/>
      <c r="NMH47" s="1318"/>
      <c r="NMI47" s="1318"/>
      <c r="NMJ47" s="1318"/>
      <c r="NMK47" s="1373"/>
      <c r="NML47" s="1318"/>
      <c r="NMM47" s="1318"/>
      <c r="NMN47" s="1318"/>
      <c r="NMO47" s="1318"/>
      <c r="NMP47" s="1318"/>
      <c r="NMQ47" s="1318"/>
      <c r="NMR47" s="1318"/>
      <c r="NMS47" s="1318"/>
      <c r="NMT47" s="1318"/>
      <c r="NMU47" s="1318"/>
      <c r="NMV47" s="1373"/>
      <c r="NMW47" s="1318"/>
      <c r="NMX47" s="1318"/>
      <c r="NMY47" s="1318"/>
      <c r="NMZ47" s="1318"/>
      <c r="NNA47" s="1318"/>
      <c r="NNB47" s="1318"/>
      <c r="NNC47" s="1318"/>
      <c r="NND47" s="1318"/>
      <c r="NNE47" s="1318"/>
      <c r="NNF47" s="1318"/>
      <c r="NNG47" s="1373"/>
      <c r="NNH47" s="1318"/>
      <c r="NNI47" s="1318"/>
      <c r="NNJ47" s="1318"/>
      <c r="NNK47" s="1318"/>
      <c r="NNL47" s="1318"/>
      <c r="NNM47" s="1318"/>
      <c r="NNN47" s="1318"/>
      <c r="NNO47" s="1318"/>
      <c r="NNP47" s="1318"/>
      <c r="NNQ47" s="1318"/>
      <c r="NNR47" s="1373"/>
      <c r="NNS47" s="1318"/>
      <c r="NNT47" s="1318"/>
      <c r="NNU47" s="1318"/>
      <c r="NNV47" s="1318"/>
      <c r="NNW47" s="1318"/>
      <c r="NNX47" s="1318"/>
      <c r="NNY47" s="1318"/>
      <c r="NNZ47" s="1318"/>
      <c r="NOA47" s="1318"/>
      <c r="NOB47" s="1318"/>
      <c r="NOC47" s="1373"/>
      <c r="NOD47" s="1318"/>
      <c r="NOE47" s="1318"/>
      <c r="NOF47" s="1318"/>
      <c r="NOG47" s="1318"/>
      <c r="NOH47" s="1318"/>
      <c r="NOI47" s="1318"/>
      <c r="NOJ47" s="1318"/>
      <c r="NOK47" s="1318"/>
      <c r="NOL47" s="1318"/>
      <c r="NOM47" s="1318"/>
      <c r="NON47" s="1373"/>
      <c r="NOO47" s="1318"/>
      <c r="NOP47" s="1318"/>
      <c r="NOQ47" s="1318"/>
      <c r="NOR47" s="1318"/>
      <c r="NOS47" s="1318"/>
      <c r="NOT47" s="1318"/>
      <c r="NOU47" s="1318"/>
      <c r="NOV47" s="1318"/>
      <c r="NOW47" s="1318"/>
      <c r="NOX47" s="1318"/>
      <c r="NOY47" s="1373"/>
      <c r="NOZ47" s="1318"/>
      <c r="NPA47" s="1318"/>
      <c r="NPB47" s="1318"/>
      <c r="NPC47" s="1318"/>
      <c r="NPD47" s="1318"/>
      <c r="NPE47" s="1318"/>
      <c r="NPF47" s="1318"/>
      <c r="NPG47" s="1318"/>
      <c r="NPH47" s="1318"/>
      <c r="NPI47" s="1318"/>
      <c r="NPJ47" s="1373"/>
      <c r="NPK47" s="1318"/>
      <c r="NPL47" s="1318"/>
      <c r="NPM47" s="1318"/>
      <c r="NPN47" s="1318"/>
      <c r="NPO47" s="1318"/>
      <c r="NPP47" s="1318"/>
      <c r="NPQ47" s="1318"/>
      <c r="NPR47" s="1318"/>
      <c r="NPS47" s="1318"/>
      <c r="NPT47" s="1318"/>
      <c r="NPU47" s="1373"/>
      <c r="NPV47" s="1318"/>
      <c r="NPW47" s="1318"/>
      <c r="NPX47" s="1318"/>
      <c r="NPY47" s="1318"/>
      <c r="NPZ47" s="1318"/>
      <c r="NQA47" s="1318"/>
      <c r="NQB47" s="1318"/>
      <c r="NQC47" s="1318"/>
      <c r="NQD47" s="1318"/>
      <c r="NQE47" s="1318"/>
      <c r="NQF47" s="1373"/>
      <c r="NQG47" s="1318"/>
      <c r="NQH47" s="1318"/>
      <c r="NQI47" s="1318"/>
      <c r="NQJ47" s="1318"/>
      <c r="NQK47" s="1318"/>
      <c r="NQL47" s="1318"/>
      <c r="NQM47" s="1318"/>
      <c r="NQN47" s="1318"/>
      <c r="NQO47" s="1318"/>
      <c r="NQP47" s="1318"/>
      <c r="NQQ47" s="1373"/>
      <c r="NQR47" s="1318"/>
      <c r="NQS47" s="1318"/>
      <c r="NQT47" s="1318"/>
      <c r="NQU47" s="1318"/>
      <c r="NQV47" s="1318"/>
      <c r="NQW47" s="1318"/>
      <c r="NQX47" s="1318"/>
      <c r="NQY47" s="1318"/>
      <c r="NQZ47" s="1318"/>
      <c r="NRA47" s="1318"/>
      <c r="NRB47" s="1373"/>
      <c r="NRC47" s="1318"/>
      <c r="NRD47" s="1318"/>
      <c r="NRE47" s="1318"/>
      <c r="NRF47" s="1318"/>
      <c r="NRG47" s="1318"/>
      <c r="NRH47" s="1318"/>
      <c r="NRI47" s="1318"/>
      <c r="NRJ47" s="1318"/>
      <c r="NRK47" s="1318"/>
      <c r="NRL47" s="1318"/>
      <c r="NRM47" s="1373"/>
      <c r="NRN47" s="1318"/>
      <c r="NRO47" s="1318"/>
      <c r="NRP47" s="1318"/>
      <c r="NRQ47" s="1318"/>
      <c r="NRR47" s="1318"/>
      <c r="NRS47" s="1318"/>
      <c r="NRT47" s="1318"/>
      <c r="NRU47" s="1318"/>
      <c r="NRV47" s="1318"/>
      <c r="NRW47" s="1318"/>
      <c r="NRX47" s="1373"/>
      <c r="NRY47" s="1318"/>
      <c r="NRZ47" s="1318"/>
      <c r="NSA47" s="1318"/>
      <c r="NSB47" s="1318"/>
      <c r="NSC47" s="1318"/>
      <c r="NSD47" s="1318"/>
      <c r="NSE47" s="1318"/>
      <c r="NSF47" s="1318"/>
      <c r="NSG47" s="1318"/>
      <c r="NSH47" s="1318"/>
      <c r="NSI47" s="1373"/>
      <c r="NSJ47" s="1318"/>
      <c r="NSK47" s="1318"/>
      <c r="NSL47" s="1318"/>
      <c r="NSM47" s="1318"/>
      <c r="NSN47" s="1318"/>
      <c r="NSO47" s="1318"/>
      <c r="NSP47" s="1318"/>
      <c r="NSQ47" s="1318"/>
      <c r="NSR47" s="1318"/>
      <c r="NSS47" s="1318"/>
      <c r="NST47" s="1373"/>
      <c r="NSU47" s="1318"/>
      <c r="NSV47" s="1318"/>
      <c r="NSW47" s="1318"/>
      <c r="NSX47" s="1318"/>
      <c r="NSY47" s="1318"/>
      <c r="NSZ47" s="1318"/>
      <c r="NTA47" s="1318"/>
      <c r="NTB47" s="1318"/>
      <c r="NTC47" s="1318"/>
      <c r="NTD47" s="1318"/>
      <c r="NTE47" s="1373"/>
      <c r="NTF47" s="1318"/>
      <c r="NTG47" s="1318"/>
      <c r="NTH47" s="1318"/>
      <c r="NTI47" s="1318"/>
      <c r="NTJ47" s="1318"/>
      <c r="NTK47" s="1318"/>
      <c r="NTL47" s="1318"/>
      <c r="NTM47" s="1318"/>
      <c r="NTN47" s="1318"/>
      <c r="NTO47" s="1318"/>
      <c r="NTP47" s="1373"/>
      <c r="NTQ47" s="1318"/>
      <c r="NTR47" s="1318"/>
      <c r="NTS47" s="1318"/>
      <c r="NTT47" s="1318"/>
      <c r="NTU47" s="1318"/>
      <c r="NTV47" s="1318"/>
      <c r="NTW47" s="1318"/>
      <c r="NTX47" s="1318"/>
      <c r="NTY47" s="1318"/>
      <c r="NTZ47" s="1318"/>
      <c r="NUA47" s="1373"/>
      <c r="NUB47" s="1318"/>
      <c r="NUC47" s="1318"/>
      <c r="NUD47" s="1318"/>
      <c r="NUE47" s="1318"/>
      <c r="NUF47" s="1318"/>
      <c r="NUG47" s="1318"/>
      <c r="NUH47" s="1318"/>
      <c r="NUI47" s="1318"/>
      <c r="NUJ47" s="1318"/>
      <c r="NUK47" s="1318"/>
      <c r="NUL47" s="1373"/>
      <c r="NUM47" s="1318"/>
      <c r="NUN47" s="1318"/>
      <c r="NUO47" s="1318"/>
      <c r="NUP47" s="1318"/>
      <c r="NUQ47" s="1318"/>
      <c r="NUR47" s="1318"/>
      <c r="NUS47" s="1318"/>
      <c r="NUT47" s="1318"/>
      <c r="NUU47" s="1318"/>
      <c r="NUV47" s="1318"/>
      <c r="NUW47" s="1373"/>
      <c r="NUX47" s="1318"/>
      <c r="NUY47" s="1318"/>
      <c r="NUZ47" s="1318"/>
      <c r="NVA47" s="1318"/>
      <c r="NVB47" s="1318"/>
      <c r="NVC47" s="1318"/>
      <c r="NVD47" s="1318"/>
      <c r="NVE47" s="1318"/>
      <c r="NVF47" s="1318"/>
      <c r="NVG47" s="1318"/>
      <c r="NVH47" s="1373"/>
      <c r="NVI47" s="1318"/>
      <c r="NVJ47" s="1318"/>
      <c r="NVK47" s="1318"/>
      <c r="NVL47" s="1318"/>
      <c r="NVM47" s="1318"/>
      <c r="NVN47" s="1318"/>
      <c r="NVO47" s="1318"/>
      <c r="NVP47" s="1318"/>
      <c r="NVQ47" s="1318"/>
      <c r="NVR47" s="1318"/>
      <c r="NVS47" s="1373"/>
      <c r="NVT47" s="1318"/>
      <c r="NVU47" s="1318"/>
      <c r="NVV47" s="1318"/>
      <c r="NVW47" s="1318"/>
      <c r="NVX47" s="1318"/>
      <c r="NVY47" s="1318"/>
      <c r="NVZ47" s="1318"/>
      <c r="NWA47" s="1318"/>
      <c r="NWB47" s="1318"/>
      <c r="NWC47" s="1318"/>
      <c r="NWD47" s="1373"/>
      <c r="NWE47" s="1318"/>
      <c r="NWF47" s="1318"/>
      <c r="NWG47" s="1318"/>
      <c r="NWH47" s="1318"/>
      <c r="NWI47" s="1318"/>
      <c r="NWJ47" s="1318"/>
      <c r="NWK47" s="1318"/>
      <c r="NWL47" s="1318"/>
      <c r="NWM47" s="1318"/>
      <c r="NWN47" s="1318"/>
      <c r="NWO47" s="1373"/>
      <c r="NWP47" s="1318"/>
      <c r="NWQ47" s="1318"/>
      <c r="NWR47" s="1318"/>
      <c r="NWS47" s="1318"/>
      <c r="NWT47" s="1318"/>
      <c r="NWU47" s="1318"/>
      <c r="NWV47" s="1318"/>
      <c r="NWW47" s="1318"/>
      <c r="NWX47" s="1318"/>
      <c r="NWY47" s="1318"/>
      <c r="NWZ47" s="1373"/>
      <c r="NXA47" s="1318"/>
      <c r="NXB47" s="1318"/>
      <c r="NXC47" s="1318"/>
      <c r="NXD47" s="1318"/>
      <c r="NXE47" s="1318"/>
      <c r="NXF47" s="1318"/>
      <c r="NXG47" s="1318"/>
      <c r="NXH47" s="1318"/>
      <c r="NXI47" s="1318"/>
      <c r="NXJ47" s="1318"/>
      <c r="NXK47" s="1373"/>
      <c r="NXL47" s="1318"/>
      <c r="NXM47" s="1318"/>
      <c r="NXN47" s="1318"/>
      <c r="NXO47" s="1318"/>
      <c r="NXP47" s="1318"/>
      <c r="NXQ47" s="1318"/>
      <c r="NXR47" s="1318"/>
      <c r="NXS47" s="1318"/>
      <c r="NXT47" s="1318"/>
      <c r="NXU47" s="1318"/>
      <c r="NXV47" s="1373"/>
      <c r="NXW47" s="1318"/>
      <c r="NXX47" s="1318"/>
      <c r="NXY47" s="1318"/>
      <c r="NXZ47" s="1318"/>
      <c r="NYA47" s="1318"/>
      <c r="NYB47" s="1318"/>
      <c r="NYC47" s="1318"/>
      <c r="NYD47" s="1318"/>
      <c r="NYE47" s="1318"/>
      <c r="NYF47" s="1318"/>
      <c r="NYG47" s="1373"/>
      <c r="NYH47" s="1318"/>
      <c r="NYI47" s="1318"/>
      <c r="NYJ47" s="1318"/>
      <c r="NYK47" s="1318"/>
      <c r="NYL47" s="1318"/>
      <c r="NYM47" s="1318"/>
      <c r="NYN47" s="1318"/>
      <c r="NYO47" s="1318"/>
      <c r="NYP47" s="1318"/>
      <c r="NYQ47" s="1318"/>
      <c r="NYR47" s="1373"/>
      <c r="NYS47" s="1318"/>
      <c r="NYT47" s="1318"/>
      <c r="NYU47" s="1318"/>
      <c r="NYV47" s="1318"/>
      <c r="NYW47" s="1318"/>
      <c r="NYX47" s="1318"/>
      <c r="NYY47" s="1318"/>
      <c r="NYZ47" s="1318"/>
      <c r="NZA47" s="1318"/>
      <c r="NZB47" s="1318"/>
      <c r="NZC47" s="1373"/>
      <c r="NZD47" s="1318"/>
      <c r="NZE47" s="1318"/>
      <c r="NZF47" s="1318"/>
      <c r="NZG47" s="1318"/>
      <c r="NZH47" s="1318"/>
      <c r="NZI47" s="1318"/>
      <c r="NZJ47" s="1318"/>
      <c r="NZK47" s="1318"/>
      <c r="NZL47" s="1318"/>
      <c r="NZM47" s="1318"/>
      <c r="NZN47" s="1373"/>
      <c r="NZO47" s="1318"/>
      <c r="NZP47" s="1318"/>
      <c r="NZQ47" s="1318"/>
      <c r="NZR47" s="1318"/>
      <c r="NZS47" s="1318"/>
      <c r="NZT47" s="1318"/>
      <c r="NZU47" s="1318"/>
      <c r="NZV47" s="1318"/>
      <c r="NZW47" s="1318"/>
      <c r="NZX47" s="1318"/>
      <c r="NZY47" s="1373"/>
      <c r="NZZ47" s="1318"/>
      <c r="OAA47" s="1318"/>
      <c r="OAB47" s="1318"/>
      <c r="OAC47" s="1318"/>
      <c r="OAD47" s="1318"/>
      <c r="OAE47" s="1318"/>
      <c r="OAF47" s="1318"/>
      <c r="OAG47" s="1318"/>
      <c r="OAH47" s="1318"/>
      <c r="OAI47" s="1318"/>
      <c r="OAJ47" s="1373"/>
      <c r="OAK47" s="1318"/>
      <c r="OAL47" s="1318"/>
      <c r="OAM47" s="1318"/>
      <c r="OAN47" s="1318"/>
      <c r="OAO47" s="1318"/>
      <c r="OAP47" s="1318"/>
      <c r="OAQ47" s="1318"/>
      <c r="OAR47" s="1318"/>
      <c r="OAS47" s="1318"/>
      <c r="OAT47" s="1318"/>
      <c r="OAU47" s="1373"/>
      <c r="OAV47" s="1318"/>
      <c r="OAW47" s="1318"/>
      <c r="OAX47" s="1318"/>
      <c r="OAY47" s="1318"/>
      <c r="OAZ47" s="1318"/>
      <c r="OBA47" s="1318"/>
      <c r="OBB47" s="1318"/>
      <c r="OBC47" s="1318"/>
      <c r="OBD47" s="1318"/>
      <c r="OBE47" s="1318"/>
      <c r="OBF47" s="1373"/>
      <c r="OBG47" s="1318"/>
      <c r="OBH47" s="1318"/>
      <c r="OBI47" s="1318"/>
      <c r="OBJ47" s="1318"/>
      <c r="OBK47" s="1318"/>
      <c r="OBL47" s="1318"/>
      <c r="OBM47" s="1318"/>
      <c r="OBN47" s="1318"/>
      <c r="OBO47" s="1318"/>
      <c r="OBP47" s="1318"/>
      <c r="OBQ47" s="1373"/>
      <c r="OBR47" s="1318"/>
      <c r="OBS47" s="1318"/>
      <c r="OBT47" s="1318"/>
      <c r="OBU47" s="1318"/>
      <c r="OBV47" s="1318"/>
      <c r="OBW47" s="1318"/>
      <c r="OBX47" s="1318"/>
      <c r="OBY47" s="1318"/>
      <c r="OBZ47" s="1318"/>
      <c r="OCA47" s="1318"/>
      <c r="OCB47" s="1373"/>
      <c r="OCC47" s="1318"/>
      <c r="OCD47" s="1318"/>
      <c r="OCE47" s="1318"/>
      <c r="OCF47" s="1318"/>
      <c r="OCG47" s="1318"/>
      <c r="OCH47" s="1318"/>
      <c r="OCI47" s="1318"/>
      <c r="OCJ47" s="1318"/>
      <c r="OCK47" s="1318"/>
      <c r="OCL47" s="1318"/>
      <c r="OCM47" s="1373"/>
      <c r="OCN47" s="1318"/>
      <c r="OCO47" s="1318"/>
      <c r="OCP47" s="1318"/>
      <c r="OCQ47" s="1318"/>
      <c r="OCR47" s="1318"/>
      <c r="OCS47" s="1318"/>
      <c r="OCT47" s="1318"/>
      <c r="OCU47" s="1318"/>
      <c r="OCV47" s="1318"/>
      <c r="OCW47" s="1318"/>
      <c r="OCX47" s="1373"/>
      <c r="OCY47" s="1318"/>
      <c r="OCZ47" s="1318"/>
      <c r="ODA47" s="1318"/>
      <c r="ODB47" s="1318"/>
      <c r="ODC47" s="1318"/>
      <c r="ODD47" s="1318"/>
      <c r="ODE47" s="1318"/>
      <c r="ODF47" s="1318"/>
      <c r="ODG47" s="1318"/>
      <c r="ODH47" s="1318"/>
      <c r="ODI47" s="1373"/>
      <c r="ODJ47" s="1318"/>
      <c r="ODK47" s="1318"/>
      <c r="ODL47" s="1318"/>
      <c r="ODM47" s="1318"/>
      <c r="ODN47" s="1318"/>
      <c r="ODO47" s="1318"/>
      <c r="ODP47" s="1318"/>
      <c r="ODQ47" s="1318"/>
      <c r="ODR47" s="1318"/>
      <c r="ODS47" s="1318"/>
      <c r="ODT47" s="1373"/>
      <c r="ODU47" s="1318"/>
      <c r="ODV47" s="1318"/>
      <c r="ODW47" s="1318"/>
      <c r="ODX47" s="1318"/>
      <c r="ODY47" s="1318"/>
      <c r="ODZ47" s="1318"/>
      <c r="OEA47" s="1318"/>
      <c r="OEB47" s="1318"/>
      <c r="OEC47" s="1318"/>
      <c r="OED47" s="1318"/>
      <c r="OEE47" s="1373"/>
      <c r="OEF47" s="1318"/>
      <c r="OEG47" s="1318"/>
      <c r="OEH47" s="1318"/>
      <c r="OEI47" s="1318"/>
      <c r="OEJ47" s="1318"/>
      <c r="OEK47" s="1318"/>
      <c r="OEL47" s="1318"/>
      <c r="OEM47" s="1318"/>
      <c r="OEN47" s="1318"/>
      <c r="OEO47" s="1318"/>
      <c r="OEP47" s="1373"/>
      <c r="OEQ47" s="1318"/>
      <c r="OER47" s="1318"/>
      <c r="OES47" s="1318"/>
      <c r="OET47" s="1318"/>
      <c r="OEU47" s="1318"/>
      <c r="OEV47" s="1318"/>
      <c r="OEW47" s="1318"/>
      <c r="OEX47" s="1318"/>
      <c r="OEY47" s="1318"/>
      <c r="OEZ47" s="1318"/>
      <c r="OFA47" s="1373"/>
      <c r="OFB47" s="1318"/>
      <c r="OFC47" s="1318"/>
      <c r="OFD47" s="1318"/>
      <c r="OFE47" s="1318"/>
      <c r="OFF47" s="1318"/>
      <c r="OFG47" s="1318"/>
      <c r="OFH47" s="1318"/>
      <c r="OFI47" s="1318"/>
      <c r="OFJ47" s="1318"/>
      <c r="OFK47" s="1318"/>
      <c r="OFL47" s="1373"/>
      <c r="OFM47" s="1318"/>
      <c r="OFN47" s="1318"/>
      <c r="OFO47" s="1318"/>
      <c r="OFP47" s="1318"/>
      <c r="OFQ47" s="1318"/>
      <c r="OFR47" s="1318"/>
      <c r="OFS47" s="1318"/>
      <c r="OFT47" s="1318"/>
      <c r="OFU47" s="1318"/>
      <c r="OFV47" s="1318"/>
      <c r="OFW47" s="1373"/>
      <c r="OFX47" s="1318"/>
      <c r="OFY47" s="1318"/>
      <c r="OFZ47" s="1318"/>
      <c r="OGA47" s="1318"/>
      <c r="OGB47" s="1318"/>
      <c r="OGC47" s="1318"/>
      <c r="OGD47" s="1318"/>
      <c r="OGE47" s="1318"/>
      <c r="OGF47" s="1318"/>
      <c r="OGG47" s="1318"/>
      <c r="OGH47" s="1373"/>
      <c r="OGI47" s="1318"/>
      <c r="OGJ47" s="1318"/>
      <c r="OGK47" s="1318"/>
      <c r="OGL47" s="1318"/>
      <c r="OGM47" s="1318"/>
      <c r="OGN47" s="1318"/>
      <c r="OGO47" s="1318"/>
      <c r="OGP47" s="1318"/>
      <c r="OGQ47" s="1318"/>
      <c r="OGR47" s="1318"/>
      <c r="OGS47" s="1373"/>
      <c r="OGT47" s="1318"/>
      <c r="OGU47" s="1318"/>
      <c r="OGV47" s="1318"/>
      <c r="OGW47" s="1318"/>
      <c r="OGX47" s="1318"/>
      <c r="OGY47" s="1318"/>
      <c r="OGZ47" s="1318"/>
      <c r="OHA47" s="1318"/>
      <c r="OHB47" s="1318"/>
      <c r="OHC47" s="1318"/>
      <c r="OHD47" s="1373"/>
      <c r="OHE47" s="1318"/>
      <c r="OHF47" s="1318"/>
      <c r="OHG47" s="1318"/>
      <c r="OHH47" s="1318"/>
      <c r="OHI47" s="1318"/>
      <c r="OHJ47" s="1318"/>
      <c r="OHK47" s="1318"/>
      <c r="OHL47" s="1318"/>
      <c r="OHM47" s="1318"/>
      <c r="OHN47" s="1318"/>
      <c r="OHO47" s="1373"/>
      <c r="OHP47" s="1318"/>
      <c r="OHQ47" s="1318"/>
      <c r="OHR47" s="1318"/>
      <c r="OHS47" s="1318"/>
      <c r="OHT47" s="1318"/>
      <c r="OHU47" s="1318"/>
      <c r="OHV47" s="1318"/>
      <c r="OHW47" s="1318"/>
      <c r="OHX47" s="1318"/>
      <c r="OHY47" s="1318"/>
      <c r="OHZ47" s="1373"/>
      <c r="OIA47" s="1318"/>
      <c r="OIB47" s="1318"/>
      <c r="OIC47" s="1318"/>
      <c r="OID47" s="1318"/>
      <c r="OIE47" s="1318"/>
      <c r="OIF47" s="1318"/>
      <c r="OIG47" s="1318"/>
      <c r="OIH47" s="1318"/>
      <c r="OII47" s="1318"/>
      <c r="OIJ47" s="1318"/>
      <c r="OIK47" s="1373"/>
      <c r="OIL47" s="1318"/>
      <c r="OIM47" s="1318"/>
      <c r="OIN47" s="1318"/>
      <c r="OIO47" s="1318"/>
      <c r="OIP47" s="1318"/>
      <c r="OIQ47" s="1318"/>
      <c r="OIR47" s="1318"/>
      <c r="OIS47" s="1318"/>
      <c r="OIT47" s="1318"/>
      <c r="OIU47" s="1318"/>
      <c r="OIV47" s="1373"/>
      <c r="OIW47" s="1318"/>
      <c r="OIX47" s="1318"/>
      <c r="OIY47" s="1318"/>
      <c r="OIZ47" s="1318"/>
      <c r="OJA47" s="1318"/>
      <c r="OJB47" s="1318"/>
      <c r="OJC47" s="1318"/>
      <c r="OJD47" s="1318"/>
      <c r="OJE47" s="1318"/>
      <c r="OJF47" s="1318"/>
      <c r="OJG47" s="1373"/>
      <c r="OJH47" s="1318"/>
      <c r="OJI47" s="1318"/>
      <c r="OJJ47" s="1318"/>
      <c r="OJK47" s="1318"/>
      <c r="OJL47" s="1318"/>
      <c r="OJM47" s="1318"/>
      <c r="OJN47" s="1318"/>
      <c r="OJO47" s="1318"/>
      <c r="OJP47" s="1318"/>
      <c r="OJQ47" s="1318"/>
      <c r="OJR47" s="1373"/>
      <c r="OJS47" s="1318"/>
      <c r="OJT47" s="1318"/>
      <c r="OJU47" s="1318"/>
      <c r="OJV47" s="1318"/>
      <c r="OJW47" s="1318"/>
      <c r="OJX47" s="1318"/>
      <c r="OJY47" s="1318"/>
      <c r="OJZ47" s="1318"/>
      <c r="OKA47" s="1318"/>
      <c r="OKB47" s="1318"/>
      <c r="OKC47" s="1373"/>
      <c r="OKD47" s="1318"/>
      <c r="OKE47" s="1318"/>
      <c r="OKF47" s="1318"/>
      <c r="OKG47" s="1318"/>
      <c r="OKH47" s="1318"/>
      <c r="OKI47" s="1318"/>
      <c r="OKJ47" s="1318"/>
      <c r="OKK47" s="1318"/>
      <c r="OKL47" s="1318"/>
      <c r="OKM47" s="1318"/>
      <c r="OKN47" s="1373"/>
      <c r="OKO47" s="1318"/>
      <c r="OKP47" s="1318"/>
      <c r="OKQ47" s="1318"/>
      <c r="OKR47" s="1318"/>
      <c r="OKS47" s="1318"/>
      <c r="OKT47" s="1318"/>
      <c r="OKU47" s="1318"/>
      <c r="OKV47" s="1318"/>
      <c r="OKW47" s="1318"/>
      <c r="OKX47" s="1318"/>
      <c r="OKY47" s="1373"/>
      <c r="OKZ47" s="1318"/>
      <c r="OLA47" s="1318"/>
      <c r="OLB47" s="1318"/>
      <c r="OLC47" s="1318"/>
      <c r="OLD47" s="1318"/>
      <c r="OLE47" s="1318"/>
      <c r="OLF47" s="1318"/>
      <c r="OLG47" s="1318"/>
      <c r="OLH47" s="1318"/>
      <c r="OLI47" s="1318"/>
      <c r="OLJ47" s="1373"/>
      <c r="OLK47" s="1318"/>
      <c r="OLL47" s="1318"/>
      <c r="OLM47" s="1318"/>
      <c r="OLN47" s="1318"/>
      <c r="OLO47" s="1318"/>
      <c r="OLP47" s="1318"/>
      <c r="OLQ47" s="1318"/>
      <c r="OLR47" s="1318"/>
      <c r="OLS47" s="1318"/>
      <c r="OLT47" s="1318"/>
      <c r="OLU47" s="1373"/>
      <c r="OLV47" s="1318"/>
      <c r="OLW47" s="1318"/>
      <c r="OLX47" s="1318"/>
      <c r="OLY47" s="1318"/>
      <c r="OLZ47" s="1318"/>
      <c r="OMA47" s="1318"/>
      <c r="OMB47" s="1318"/>
      <c r="OMC47" s="1318"/>
      <c r="OMD47" s="1318"/>
      <c r="OME47" s="1318"/>
      <c r="OMF47" s="1373"/>
      <c r="OMG47" s="1318"/>
      <c r="OMH47" s="1318"/>
      <c r="OMI47" s="1318"/>
      <c r="OMJ47" s="1318"/>
      <c r="OMK47" s="1318"/>
      <c r="OML47" s="1318"/>
      <c r="OMM47" s="1318"/>
      <c r="OMN47" s="1318"/>
      <c r="OMO47" s="1318"/>
      <c r="OMP47" s="1318"/>
      <c r="OMQ47" s="1373"/>
      <c r="OMR47" s="1318"/>
      <c r="OMS47" s="1318"/>
      <c r="OMT47" s="1318"/>
      <c r="OMU47" s="1318"/>
      <c r="OMV47" s="1318"/>
      <c r="OMW47" s="1318"/>
      <c r="OMX47" s="1318"/>
      <c r="OMY47" s="1318"/>
      <c r="OMZ47" s="1318"/>
      <c r="ONA47" s="1318"/>
      <c r="ONB47" s="1373"/>
      <c r="ONC47" s="1318"/>
      <c r="OND47" s="1318"/>
      <c r="ONE47" s="1318"/>
      <c r="ONF47" s="1318"/>
      <c r="ONG47" s="1318"/>
      <c r="ONH47" s="1318"/>
      <c r="ONI47" s="1318"/>
      <c r="ONJ47" s="1318"/>
      <c r="ONK47" s="1318"/>
      <c r="ONL47" s="1318"/>
      <c r="ONM47" s="1373"/>
      <c r="ONN47" s="1318"/>
      <c r="ONO47" s="1318"/>
      <c r="ONP47" s="1318"/>
      <c r="ONQ47" s="1318"/>
      <c r="ONR47" s="1318"/>
      <c r="ONS47" s="1318"/>
      <c r="ONT47" s="1318"/>
      <c r="ONU47" s="1318"/>
      <c r="ONV47" s="1318"/>
      <c r="ONW47" s="1318"/>
      <c r="ONX47" s="1373"/>
      <c r="ONY47" s="1318"/>
      <c r="ONZ47" s="1318"/>
      <c r="OOA47" s="1318"/>
      <c r="OOB47" s="1318"/>
      <c r="OOC47" s="1318"/>
      <c r="OOD47" s="1318"/>
      <c r="OOE47" s="1318"/>
      <c r="OOF47" s="1318"/>
      <c r="OOG47" s="1318"/>
      <c r="OOH47" s="1318"/>
      <c r="OOI47" s="1373"/>
      <c r="OOJ47" s="1318"/>
      <c r="OOK47" s="1318"/>
      <c r="OOL47" s="1318"/>
      <c r="OOM47" s="1318"/>
      <c r="OON47" s="1318"/>
      <c r="OOO47" s="1318"/>
      <c r="OOP47" s="1318"/>
      <c r="OOQ47" s="1318"/>
      <c r="OOR47" s="1318"/>
      <c r="OOS47" s="1318"/>
      <c r="OOT47" s="1373"/>
      <c r="OOU47" s="1318"/>
      <c r="OOV47" s="1318"/>
      <c r="OOW47" s="1318"/>
      <c r="OOX47" s="1318"/>
      <c r="OOY47" s="1318"/>
      <c r="OOZ47" s="1318"/>
      <c r="OPA47" s="1318"/>
      <c r="OPB47" s="1318"/>
      <c r="OPC47" s="1318"/>
      <c r="OPD47" s="1318"/>
      <c r="OPE47" s="1373"/>
      <c r="OPF47" s="1318"/>
      <c r="OPG47" s="1318"/>
      <c r="OPH47" s="1318"/>
      <c r="OPI47" s="1318"/>
      <c r="OPJ47" s="1318"/>
      <c r="OPK47" s="1318"/>
      <c r="OPL47" s="1318"/>
      <c r="OPM47" s="1318"/>
      <c r="OPN47" s="1318"/>
      <c r="OPO47" s="1318"/>
      <c r="OPP47" s="1373"/>
      <c r="OPQ47" s="1318"/>
      <c r="OPR47" s="1318"/>
      <c r="OPS47" s="1318"/>
      <c r="OPT47" s="1318"/>
      <c r="OPU47" s="1318"/>
      <c r="OPV47" s="1318"/>
      <c r="OPW47" s="1318"/>
      <c r="OPX47" s="1318"/>
      <c r="OPY47" s="1318"/>
      <c r="OPZ47" s="1318"/>
      <c r="OQA47" s="1373"/>
      <c r="OQB47" s="1318"/>
      <c r="OQC47" s="1318"/>
      <c r="OQD47" s="1318"/>
      <c r="OQE47" s="1318"/>
      <c r="OQF47" s="1318"/>
      <c r="OQG47" s="1318"/>
      <c r="OQH47" s="1318"/>
      <c r="OQI47" s="1318"/>
      <c r="OQJ47" s="1318"/>
      <c r="OQK47" s="1318"/>
      <c r="OQL47" s="1373"/>
      <c r="OQM47" s="1318"/>
      <c r="OQN47" s="1318"/>
      <c r="OQO47" s="1318"/>
      <c r="OQP47" s="1318"/>
      <c r="OQQ47" s="1318"/>
      <c r="OQR47" s="1318"/>
      <c r="OQS47" s="1318"/>
      <c r="OQT47" s="1318"/>
      <c r="OQU47" s="1318"/>
      <c r="OQV47" s="1318"/>
      <c r="OQW47" s="1373"/>
      <c r="OQX47" s="1318"/>
      <c r="OQY47" s="1318"/>
      <c r="OQZ47" s="1318"/>
      <c r="ORA47" s="1318"/>
      <c r="ORB47" s="1318"/>
      <c r="ORC47" s="1318"/>
      <c r="ORD47" s="1318"/>
      <c r="ORE47" s="1318"/>
      <c r="ORF47" s="1318"/>
      <c r="ORG47" s="1318"/>
      <c r="ORH47" s="1373"/>
      <c r="ORI47" s="1318"/>
      <c r="ORJ47" s="1318"/>
      <c r="ORK47" s="1318"/>
      <c r="ORL47" s="1318"/>
      <c r="ORM47" s="1318"/>
      <c r="ORN47" s="1318"/>
      <c r="ORO47" s="1318"/>
      <c r="ORP47" s="1318"/>
      <c r="ORQ47" s="1318"/>
      <c r="ORR47" s="1318"/>
      <c r="ORS47" s="1373"/>
      <c r="ORT47" s="1318"/>
      <c r="ORU47" s="1318"/>
      <c r="ORV47" s="1318"/>
      <c r="ORW47" s="1318"/>
      <c r="ORX47" s="1318"/>
      <c r="ORY47" s="1318"/>
      <c r="ORZ47" s="1318"/>
      <c r="OSA47" s="1318"/>
      <c r="OSB47" s="1318"/>
      <c r="OSC47" s="1318"/>
      <c r="OSD47" s="1373"/>
      <c r="OSE47" s="1318"/>
      <c r="OSF47" s="1318"/>
      <c r="OSG47" s="1318"/>
      <c r="OSH47" s="1318"/>
      <c r="OSI47" s="1318"/>
      <c r="OSJ47" s="1318"/>
      <c r="OSK47" s="1318"/>
      <c r="OSL47" s="1318"/>
      <c r="OSM47" s="1318"/>
      <c r="OSN47" s="1318"/>
      <c r="OSO47" s="1373"/>
      <c r="OSP47" s="1318"/>
      <c r="OSQ47" s="1318"/>
      <c r="OSR47" s="1318"/>
      <c r="OSS47" s="1318"/>
      <c r="OST47" s="1318"/>
      <c r="OSU47" s="1318"/>
      <c r="OSV47" s="1318"/>
      <c r="OSW47" s="1318"/>
      <c r="OSX47" s="1318"/>
      <c r="OSY47" s="1318"/>
      <c r="OSZ47" s="1373"/>
      <c r="OTA47" s="1318"/>
      <c r="OTB47" s="1318"/>
      <c r="OTC47" s="1318"/>
      <c r="OTD47" s="1318"/>
      <c r="OTE47" s="1318"/>
      <c r="OTF47" s="1318"/>
      <c r="OTG47" s="1318"/>
      <c r="OTH47" s="1318"/>
      <c r="OTI47" s="1318"/>
      <c r="OTJ47" s="1318"/>
      <c r="OTK47" s="1373"/>
      <c r="OTL47" s="1318"/>
      <c r="OTM47" s="1318"/>
      <c r="OTN47" s="1318"/>
      <c r="OTO47" s="1318"/>
      <c r="OTP47" s="1318"/>
      <c r="OTQ47" s="1318"/>
      <c r="OTR47" s="1318"/>
      <c r="OTS47" s="1318"/>
      <c r="OTT47" s="1318"/>
      <c r="OTU47" s="1318"/>
      <c r="OTV47" s="1373"/>
      <c r="OTW47" s="1318"/>
      <c r="OTX47" s="1318"/>
      <c r="OTY47" s="1318"/>
      <c r="OTZ47" s="1318"/>
      <c r="OUA47" s="1318"/>
      <c r="OUB47" s="1318"/>
      <c r="OUC47" s="1318"/>
      <c r="OUD47" s="1318"/>
      <c r="OUE47" s="1318"/>
      <c r="OUF47" s="1318"/>
      <c r="OUG47" s="1373"/>
      <c r="OUH47" s="1318"/>
      <c r="OUI47" s="1318"/>
      <c r="OUJ47" s="1318"/>
      <c r="OUK47" s="1318"/>
      <c r="OUL47" s="1318"/>
      <c r="OUM47" s="1318"/>
      <c r="OUN47" s="1318"/>
      <c r="OUO47" s="1318"/>
      <c r="OUP47" s="1318"/>
      <c r="OUQ47" s="1318"/>
      <c r="OUR47" s="1373"/>
      <c r="OUS47" s="1318"/>
      <c r="OUT47" s="1318"/>
      <c r="OUU47" s="1318"/>
      <c r="OUV47" s="1318"/>
      <c r="OUW47" s="1318"/>
      <c r="OUX47" s="1318"/>
      <c r="OUY47" s="1318"/>
      <c r="OUZ47" s="1318"/>
      <c r="OVA47" s="1318"/>
      <c r="OVB47" s="1318"/>
      <c r="OVC47" s="1373"/>
      <c r="OVD47" s="1318"/>
      <c r="OVE47" s="1318"/>
      <c r="OVF47" s="1318"/>
      <c r="OVG47" s="1318"/>
      <c r="OVH47" s="1318"/>
      <c r="OVI47" s="1318"/>
      <c r="OVJ47" s="1318"/>
      <c r="OVK47" s="1318"/>
      <c r="OVL47" s="1318"/>
      <c r="OVM47" s="1318"/>
      <c r="OVN47" s="1373"/>
      <c r="OVO47" s="1318"/>
      <c r="OVP47" s="1318"/>
      <c r="OVQ47" s="1318"/>
      <c r="OVR47" s="1318"/>
      <c r="OVS47" s="1318"/>
      <c r="OVT47" s="1318"/>
      <c r="OVU47" s="1318"/>
      <c r="OVV47" s="1318"/>
      <c r="OVW47" s="1318"/>
      <c r="OVX47" s="1318"/>
      <c r="OVY47" s="1373"/>
      <c r="OVZ47" s="1318"/>
      <c r="OWA47" s="1318"/>
      <c r="OWB47" s="1318"/>
      <c r="OWC47" s="1318"/>
      <c r="OWD47" s="1318"/>
      <c r="OWE47" s="1318"/>
      <c r="OWF47" s="1318"/>
      <c r="OWG47" s="1318"/>
      <c r="OWH47" s="1318"/>
      <c r="OWI47" s="1318"/>
      <c r="OWJ47" s="1373"/>
      <c r="OWK47" s="1318"/>
      <c r="OWL47" s="1318"/>
      <c r="OWM47" s="1318"/>
      <c r="OWN47" s="1318"/>
      <c r="OWO47" s="1318"/>
      <c r="OWP47" s="1318"/>
      <c r="OWQ47" s="1318"/>
      <c r="OWR47" s="1318"/>
      <c r="OWS47" s="1318"/>
      <c r="OWT47" s="1318"/>
      <c r="OWU47" s="1373"/>
      <c r="OWV47" s="1318"/>
      <c r="OWW47" s="1318"/>
      <c r="OWX47" s="1318"/>
      <c r="OWY47" s="1318"/>
      <c r="OWZ47" s="1318"/>
      <c r="OXA47" s="1318"/>
      <c r="OXB47" s="1318"/>
      <c r="OXC47" s="1318"/>
      <c r="OXD47" s="1318"/>
      <c r="OXE47" s="1318"/>
      <c r="OXF47" s="1373"/>
      <c r="OXG47" s="1318"/>
      <c r="OXH47" s="1318"/>
      <c r="OXI47" s="1318"/>
      <c r="OXJ47" s="1318"/>
      <c r="OXK47" s="1318"/>
      <c r="OXL47" s="1318"/>
      <c r="OXM47" s="1318"/>
      <c r="OXN47" s="1318"/>
      <c r="OXO47" s="1318"/>
      <c r="OXP47" s="1318"/>
      <c r="OXQ47" s="1373"/>
      <c r="OXR47" s="1318"/>
      <c r="OXS47" s="1318"/>
      <c r="OXT47" s="1318"/>
      <c r="OXU47" s="1318"/>
      <c r="OXV47" s="1318"/>
      <c r="OXW47" s="1318"/>
      <c r="OXX47" s="1318"/>
      <c r="OXY47" s="1318"/>
      <c r="OXZ47" s="1318"/>
      <c r="OYA47" s="1318"/>
      <c r="OYB47" s="1373"/>
      <c r="OYC47" s="1318"/>
      <c r="OYD47" s="1318"/>
      <c r="OYE47" s="1318"/>
      <c r="OYF47" s="1318"/>
      <c r="OYG47" s="1318"/>
      <c r="OYH47" s="1318"/>
      <c r="OYI47" s="1318"/>
      <c r="OYJ47" s="1318"/>
      <c r="OYK47" s="1318"/>
      <c r="OYL47" s="1318"/>
      <c r="OYM47" s="1373"/>
      <c r="OYN47" s="1318"/>
      <c r="OYO47" s="1318"/>
      <c r="OYP47" s="1318"/>
      <c r="OYQ47" s="1318"/>
      <c r="OYR47" s="1318"/>
      <c r="OYS47" s="1318"/>
      <c r="OYT47" s="1318"/>
      <c r="OYU47" s="1318"/>
      <c r="OYV47" s="1318"/>
      <c r="OYW47" s="1318"/>
      <c r="OYX47" s="1373"/>
      <c r="OYY47" s="1318"/>
      <c r="OYZ47" s="1318"/>
      <c r="OZA47" s="1318"/>
      <c r="OZB47" s="1318"/>
      <c r="OZC47" s="1318"/>
      <c r="OZD47" s="1318"/>
      <c r="OZE47" s="1318"/>
      <c r="OZF47" s="1318"/>
      <c r="OZG47" s="1318"/>
      <c r="OZH47" s="1318"/>
      <c r="OZI47" s="1373"/>
      <c r="OZJ47" s="1318"/>
      <c r="OZK47" s="1318"/>
      <c r="OZL47" s="1318"/>
      <c r="OZM47" s="1318"/>
      <c r="OZN47" s="1318"/>
      <c r="OZO47" s="1318"/>
      <c r="OZP47" s="1318"/>
      <c r="OZQ47" s="1318"/>
      <c r="OZR47" s="1318"/>
      <c r="OZS47" s="1318"/>
      <c r="OZT47" s="1373"/>
      <c r="OZU47" s="1318"/>
      <c r="OZV47" s="1318"/>
      <c r="OZW47" s="1318"/>
      <c r="OZX47" s="1318"/>
      <c r="OZY47" s="1318"/>
      <c r="OZZ47" s="1318"/>
      <c r="PAA47" s="1318"/>
      <c r="PAB47" s="1318"/>
      <c r="PAC47" s="1318"/>
      <c r="PAD47" s="1318"/>
      <c r="PAE47" s="1373"/>
      <c r="PAF47" s="1318"/>
      <c r="PAG47" s="1318"/>
      <c r="PAH47" s="1318"/>
      <c r="PAI47" s="1318"/>
      <c r="PAJ47" s="1318"/>
      <c r="PAK47" s="1318"/>
      <c r="PAL47" s="1318"/>
      <c r="PAM47" s="1318"/>
      <c r="PAN47" s="1318"/>
      <c r="PAO47" s="1318"/>
      <c r="PAP47" s="1373"/>
      <c r="PAQ47" s="1318"/>
      <c r="PAR47" s="1318"/>
      <c r="PAS47" s="1318"/>
      <c r="PAT47" s="1318"/>
      <c r="PAU47" s="1318"/>
      <c r="PAV47" s="1318"/>
      <c r="PAW47" s="1318"/>
      <c r="PAX47" s="1318"/>
      <c r="PAY47" s="1318"/>
      <c r="PAZ47" s="1318"/>
      <c r="PBA47" s="1373"/>
      <c r="PBB47" s="1318"/>
      <c r="PBC47" s="1318"/>
      <c r="PBD47" s="1318"/>
      <c r="PBE47" s="1318"/>
      <c r="PBF47" s="1318"/>
      <c r="PBG47" s="1318"/>
      <c r="PBH47" s="1318"/>
      <c r="PBI47" s="1318"/>
      <c r="PBJ47" s="1318"/>
      <c r="PBK47" s="1318"/>
      <c r="PBL47" s="1373"/>
      <c r="PBM47" s="1318"/>
      <c r="PBN47" s="1318"/>
      <c r="PBO47" s="1318"/>
      <c r="PBP47" s="1318"/>
      <c r="PBQ47" s="1318"/>
      <c r="PBR47" s="1318"/>
      <c r="PBS47" s="1318"/>
      <c r="PBT47" s="1318"/>
      <c r="PBU47" s="1318"/>
      <c r="PBV47" s="1318"/>
      <c r="PBW47" s="1373"/>
      <c r="PBX47" s="1318"/>
      <c r="PBY47" s="1318"/>
      <c r="PBZ47" s="1318"/>
      <c r="PCA47" s="1318"/>
      <c r="PCB47" s="1318"/>
      <c r="PCC47" s="1318"/>
      <c r="PCD47" s="1318"/>
      <c r="PCE47" s="1318"/>
      <c r="PCF47" s="1318"/>
      <c r="PCG47" s="1318"/>
      <c r="PCH47" s="1373"/>
      <c r="PCI47" s="1318"/>
      <c r="PCJ47" s="1318"/>
      <c r="PCK47" s="1318"/>
      <c r="PCL47" s="1318"/>
      <c r="PCM47" s="1318"/>
      <c r="PCN47" s="1318"/>
      <c r="PCO47" s="1318"/>
      <c r="PCP47" s="1318"/>
      <c r="PCQ47" s="1318"/>
      <c r="PCR47" s="1318"/>
      <c r="PCS47" s="1373"/>
      <c r="PCT47" s="1318"/>
      <c r="PCU47" s="1318"/>
      <c r="PCV47" s="1318"/>
      <c r="PCW47" s="1318"/>
      <c r="PCX47" s="1318"/>
      <c r="PCY47" s="1318"/>
      <c r="PCZ47" s="1318"/>
      <c r="PDA47" s="1318"/>
      <c r="PDB47" s="1318"/>
      <c r="PDC47" s="1318"/>
      <c r="PDD47" s="1373"/>
      <c r="PDE47" s="1318"/>
      <c r="PDF47" s="1318"/>
      <c r="PDG47" s="1318"/>
      <c r="PDH47" s="1318"/>
      <c r="PDI47" s="1318"/>
      <c r="PDJ47" s="1318"/>
      <c r="PDK47" s="1318"/>
      <c r="PDL47" s="1318"/>
      <c r="PDM47" s="1318"/>
      <c r="PDN47" s="1318"/>
      <c r="PDO47" s="1373"/>
      <c r="PDP47" s="1318"/>
      <c r="PDQ47" s="1318"/>
      <c r="PDR47" s="1318"/>
      <c r="PDS47" s="1318"/>
      <c r="PDT47" s="1318"/>
      <c r="PDU47" s="1318"/>
      <c r="PDV47" s="1318"/>
      <c r="PDW47" s="1318"/>
      <c r="PDX47" s="1318"/>
      <c r="PDY47" s="1318"/>
      <c r="PDZ47" s="1373"/>
      <c r="PEA47" s="1318"/>
      <c r="PEB47" s="1318"/>
      <c r="PEC47" s="1318"/>
      <c r="PED47" s="1318"/>
      <c r="PEE47" s="1318"/>
      <c r="PEF47" s="1318"/>
      <c r="PEG47" s="1318"/>
      <c r="PEH47" s="1318"/>
      <c r="PEI47" s="1318"/>
      <c r="PEJ47" s="1318"/>
      <c r="PEK47" s="1373"/>
      <c r="PEL47" s="1318"/>
      <c r="PEM47" s="1318"/>
      <c r="PEN47" s="1318"/>
      <c r="PEO47" s="1318"/>
      <c r="PEP47" s="1318"/>
      <c r="PEQ47" s="1318"/>
      <c r="PER47" s="1318"/>
      <c r="PES47" s="1318"/>
      <c r="PET47" s="1318"/>
      <c r="PEU47" s="1318"/>
      <c r="PEV47" s="1373"/>
      <c r="PEW47" s="1318"/>
      <c r="PEX47" s="1318"/>
      <c r="PEY47" s="1318"/>
      <c r="PEZ47" s="1318"/>
      <c r="PFA47" s="1318"/>
      <c r="PFB47" s="1318"/>
      <c r="PFC47" s="1318"/>
      <c r="PFD47" s="1318"/>
      <c r="PFE47" s="1318"/>
      <c r="PFF47" s="1318"/>
      <c r="PFG47" s="1373"/>
      <c r="PFH47" s="1318"/>
      <c r="PFI47" s="1318"/>
      <c r="PFJ47" s="1318"/>
      <c r="PFK47" s="1318"/>
      <c r="PFL47" s="1318"/>
      <c r="PFM47" s="1318"/>
      <c r="PFN47" s="1318"/>
      <c r="PFO47" s="1318"/>
      <c r="PFP47" s="1318"/>
      <c r="PFQ47" s="1318"/>
      <c r="PFR47" s="1373"/>
      <c r="PFS47" s="1318"/>
      <c r="PFT47" s="1318"/>
      <c r="PFU47" s="1318"/>
      <c r="PFV47" s="1318"/>
      <c r="PFW47" s="1318"/>
      <c r="PFX47" s="1318"/>
      <c r="PFY47" s="1318"/>
      <c r="PFZ47" s="1318"/>
      <c r="PGA47" s="1318"/>
      <c r="PGB47" s="1318"/>
      <c r="PGC47" s="1373"/>
      <c r="PGD47" s="1318"/>
      <c r="PGE47" s="1318"/>
      <c r="PGF47" s="1318"/>
      <c r="PGG47" s="1318"/>
      <c r="PGH47" s="1318"/>
      <c r="PGI47" s="1318"/>
      <c r="PGJ47" s="1318"/>
      <c r="PGK47" s="1318"/>
      <c r="PGL47" s="1318"/>
      <c r="PGM47" s="1318"/>
      <c r="PGN47" s="1373"/>
      <c r="PGO47" s="1318"/>
      <c r="PGP47" s="1318"/>
      <c r="PGQ47" s="1318"/>
      <c r="PGR47" s="1318"/>
      <c r="PGS47" s="1318"/>
      <c r="PGT47" s="1318"/>
      <c r="PGU47" s="1318"/>
      <c r="PGV47" s="1318"/>
      <c r="PGW47" s="1318"/>
      <c r="PGX47" s="1318"/>
      <c r="PGY47" s="1373"/>
      <c r="PGZ47" s="1318"/>
      <c r="PHA47" s="1318"/>
      <c r="PHB47" s="1318"/>
      <c r="PHC47" s="1318"/>
      <c r="PHD47" s="1318"/>
      <c r="PHE47" s="1318"/>
      <c r="PHF47" s="1318"/>
      <c r="PHG47" s="1318"/>
      <c r="PHH47" s="1318"/>
      <c r="PHI47" s="1318"/>
      <c r="PHJ47" s="1373"/>
      <c r="PHK47" s="1318"/>
      <c r="PHL47" s="1318"/>
      <c r="PHM47" s="1318"/>
      <c r="PHN47" s="1318"/>
      <c r="PHO47" s="1318"/>
      <c r="PHP47" s="1318"/>
      <c r="PHQ47" s="1318"/>
      <c r="PHR47" s="1318"/>
      <c r="PHS47" s="1318"/>
      <c r="PHT47" s="1318"/>
      <c r="PHU47" s="1373"/>
      <c r="PHV47" s="1318"/>
      <c r="PHW47" s="1318"/>
      <c r="PHX47" s="1318"/>
      <c r="PHY47" s="1318"/>
      <c r="PHZ47" s="1318"/>
      <c r="PIA47" s="1318"/>
      <c r="PIB47" s="1318"/>
      <c r="PIC47" s="1318"/>
      <c r="PID47" s="1318"/>
      <c r="PIE47" s="1318"/>
      <c r="PIF47" s="1373"/>
      <c r="PIG47" s="1318"/>
      <c r="PIH47" s="1318"/>
      <c r="PII47" s="1318"/>
      <c r="PIJ47" s="1318"/>
      <c r="PIK47" s="1318"/>
      <c r="PIL47" s="1318"/>
      <c r="PIM47" s="1318"/>
      <c r="PIN47" s="1318"/>
      <c r="PIO47" s="1318"/>
      <c r="PIP47" s="1318"/>
      <c r="PIQ47" s="1373"/>
      <c r="PIR47" s="1318"/>
      <c r="PIS47" s="1318"/>
      <c r="PIT47" s="1318"/>
      <c r="PIU47" s="1318"/>
      <c r="PIV47" s="1318"/>
      <c r="PIW47" s="1318"/>
      <c r="PIX47" s="1318"/>
      <c r="PIY47" s="1318"/>
      <c r="PIZ47" s="1318"/>
      <c r="PJA47" s="1318"/>
      <c r="PJB47" s="1373"/>
      <c r="PJC47" s="1318"/>
      <c r="PJD47" s="1318"/>
      <c r="PJE47" s="1318"/>
      <c r="PJF47" s="1318"/>
      <c r="PJG47" s="1318"/>
      <c r="PJH47" s="1318"/>
      <c r="PJI47" s="1318"/>
      <c r="PJJ47" s="1318"/>
      <c r="PJK47" s="1318"/>
      <c r="PJL47" s="1318"/>
      <c r="PJM47" s="1373"/>
      <c r="PJN47" s="1318"/>
      <c r="PJO47" s="1318"/>
      <c r="PJP47" s="1318"/>
      <c r="PJQ47" s="1318"/>
      <c r="PJR47" s="1318"/>
      <c r="PJS47" s="1318"/>
      <c r="PJT47" s="1318"/>
      <c r="PJU47" s="1318"/>
      <c r="PJV47" s="1318"/>
      <c r="PJW47" s="1318"/>
      <c r="PJX47" s="1373"/>
      <c r="PJY47" s="1318"/>
      <c r="PJZ47" s="1318"/>
      <c r="PKA47" s="1318"/>
      <c r="PKB47" s="1318"/>
      <c r="PKC47" s="1318"/>
      <c r="PKD47" s="1318"/>
      <c r="PKE47" s="1318"/>
      <c r="PKF47" s="1318"/>
      <c r="PKG47" s="1318"/>
      <c r="PKH47" s="1318"/>
      <c r="PKI47" s="1373"/>
      <c r="PKJ47" s="1318"/>
      <c r="PKK47" s="1318"/>
      <c r="PKL47" s="1318"/>
      <c r="PKM47" s="1318"/>
      <c r="PKN47" s="1318"/>
      <c r="PKO47" s="1318"/>
      <c r="PKP47" s="1318"/>
      <c r="PKQ47" s="1318"/>
      <c r="PKR47" s="1318"/>
      <c r="PKS47" s="1318"/>
      <c r="PKT47" s="1373"/>
      <c r="PKU47" s="1318"/>
      <c r="PKV47" s="1318"/>
      <c r="PKW47" s="1318"/>
      <c r="PKX47" s="1318"/>
      <c r="PKY47" s="1318"/>
      <c r="PKZ47" s="1318"/>
      <c r="PLA47" s="1318"/>
      <c r="PLB47" s="1318"/>
      <c r="PLC47" s="1318"/>
      <c r="PLD47" s="1318"/>
      <c r="PLE47" s="1373"/>
      <c r="PLF47" s="1318"/>
      <c r="PLG47" s="1318"/>
      <c r="PLH47" s="1318"/>
      <c r="PLI47" s="1318"/>
      <c r="PLJ47" s="1318"/>
      <c r="PLK47" s="1318"/>
      <c r="PLL47" s="1318"/>
      <c r="PLM47" s="1318"/>
      <c r="PLN47" s="1318"/>
      <c r="PLO47" s="1318"/>
      <c r="PLP47" s="1373"/>
      <c r="PLQ47" s="1318"/>
      <c r="PLR47" s="1318"/>
      <c r="PLS47" s="1318"/>
      <c r="PLT47" s="1318"/>
      <c r="PLU47" s="1318"/>
      <c r="PLV47" s="1318"/>
      <c r="PLW47" s="1318"/>
      <c r="PLX47" s="1318"/>
      <c r="PLY47" s="1318"/>
      <c r="PLZ47" s="1318"/>
      <c r="PMA47" s="1373"/>
      <c r="PMB47" s="1318"/>
      <c r="PMC47" s="1318"/>
      <c r="PMD47" s="1318"/>
      <c r="PME47" s="1318"/>
      <c r="PMF47" s="1318"/>
      <c r="PMG47" s="1318"/>
      <c r="PMH47" s="1318"/>
      <c r="PMI47" s="1318"/>
      <c r="PMJ47" s="1318"/>
      <c r="PMK47" s="1318"/>
      <c r="PML47" s="1373"/>
      <c r="PMM47" s="1318"/>
      <c r="PMN47" s="1318"/>
      <c r="PMO47" s="1318"/>
      <c r="PMP47" s="1318"/>
      <c r="PMQ47" s="1318"/>
      <c r="PMR47" s="1318"/>
      <c r="PMS47" s="1318"/>
      <c r="PMT47" s="1318"/>
      <c r="PMU47" s="1318"/>
      <c r="PMV47" s="1318"/>
      <c r="PMW47" s="1373"/>
      <c r="PMX47" s="1318"/>
      <c r="PMY47" s="1318"/>
      <c r="PMZ47" s="1318"/>
      <c r="PNA47" s="1318"/>
      <c r="PNB47" s="1318"/>
      <c r="PNC47" s="1318"/>
      <c r="PND47" s="1318"/>
      <c r="PNE47" s="1318"/>
      <c r="PNF47" s="1318"/>
      <c r="PNG47" s="1318"/>
      <c r="PNH47" s="1373"/>
      <c r="PNI47" s="1318"/>
      <c r="PNJ47" s="1318"/>
      <c r="PNK47" s="1318"/>
      <c r="PNL47" s="1318"/>
      <c r="PNM47" s="1318"/>
      <c r="PNN47" s="1318"/>
      <c r="PNO47" s="1318"/>
      <c r="PNP47" s="1318"/>
      <c r="PNQ47" s="1318"/>
      <c r="PNR47" s="1318"/>
      <c r="PNS47" s="1373"/>
      <c r="PNT47" s="1318"/>
      <c r="PNU47" s="1318"/>
      <c r="PNV47" s="1318"/>
      <c r="PNW47" s="1318"/>
      <c r="PNX47" s="1318"/>
      <c r="PNY47" s="1318"/>
      <c r="PNZ47" s="1318"/>
      <c r="POA47" s="1318"/>
      <c r="POB47" s="1318"/>
      <c r="POC47" s="1318"/>
      <c r="POD47" s="1373"/>
      <c r="POE47" s="1318"/>
      <c r="POF47" s="1318"/>
      <c r="POG47" s="1318"/>
      <c r="POH47" s="1318"/>
      <c r="POI47" s="1318"/>
      <c r="POJ47" s="1318"/>
      <c r="POK47" s="1318"/>
      <c r="POL47" s="1318"/>
      <c r="POM47" s="1318"/>
      <c r="PON47" s="1318"/>
      <c r="POO47" s="1373"/>
      <c r="POP47" s="1318"/>
      <c r="POQ47" s="1318"/>
      <c r="POR47" s="1318"/>
      <c r="POS47" s="1318"/>
      <c r="POT47" s="1318"/>
      <c r="POU47" s="1318"/>
      <c r="POV47" s="1318"/>
      <c r="POW47" s="1318"/>
      <c r="POX47" s="1318"/>
      <c r="POY47" s="1318"/>
      <c r="POZ47" s="1373"/>
      <c r="PPA47" s="1318"/>
      <c r="PPB47" s="1318"/>
      <c r="PPC47" s="1318"/>
      <c r="PPD47" s="1318"/>
      <c r="PPE47" s="1318"/>
      <c r="PPF47" s="1318"/>
      <c r="PPG47" s="1318"/>
      <c r="PPH47" s="1318"/>
      <c r="PPI47" s="1318"/>
      <c r="PPJ47" s="1318"/>
      <c r="PPK47" s="1373"/>
      <c r="PPL47" s="1318"/>
      <c r="PPM47" s="1318"/>
      <c r="PPN47" s="1318"/>
      <c r="PPO47" s="1318"/>
      <c r="PPP47" s="1318"/>
      <c r="PPQ47" s="1318"/>
      <c r="PPR47" s="1318"/>
      <c r="PPS47" s="1318"/>
      <c r="PPT47" s="1318"/>
      <c r="PPU47" s="1318"/>
      <c r="PPV47" s="1373"/>
      <c r="PPW47" s="1318"/>
      <c r="PPX47" s="1318"/>
      <c r="PPY47" s="1318"/>
      <c r="PPZ47" s="1318"/>
      <c r="PQA47" s="1318"/>
      <c r="PQB47" s="1318"/>
      <c r="PQC47" s="1318"/>
      <c r="PQD47" s="1318"/>
      <c r="PQE47" s="1318"/>
      <c r="PQF47" s="1318"/>
      <c r="PQG47" s="1373"/>
      <c r="PQH47" s="1318"/>
      <c r="PQI47" s="1318"/>
      <c r="PQJ47" s="1318"/>
      <c r="PQK47" s="1318"/>
      <c r="PQL47" s="1318"/>
      <c r="PQM47" s="1318"/>
      <c r="PQN47" s="1318"/>
      <c r="PQO47" s="1318"/>
      <c r="PQP47" s="1318"/>
      <c r="PQQ47" s="1318"/>
      <c r="PQR47" s="1373"/>
      <c r="PQS47" s="1318"/>
      <c r="PQT47" s="1318"/>
      <c r="PQU47" s="1318"/>
      <c r="PQV47" s="1318"/>
      <c r="PQW47" s="1318"/>
      <c r="PQX47" s="1318"/>
      <c r="PQY47" s="1318"/>
      <c r="PQZ47" s="1318"/>
      <c r="PRA47" s="1318"/>
      <c r="PRB47" s="1318"/>
      <c r="PRC47" s="1373"/>
      <c r="PRD47" s="1318"/>
      <c r="PRE47" s="1318"/>
      <c r="PRF47" s="1318"/>
      <c r="PRG47" s="1318"/>
      <c r="PRH47" s="1318"/>
      <c r="PRI47" s="1318"/>
      <c r="PRJ47" s="1318"/>
      <c r="PRK47" s="1318"/>
      <c r="PRL47" s="1318"/>
      <c r="PRM47" s="1318"/>
      <c r="PRN47" s="1373"/>
      <c r="PRO47" s="1318"/>
      <c r="PRP47" s="1318"/>
      <c r="PRQ47" s="1318"/>
      <c r="PRR47" s="1318"/>
      <c r="PRS47" s="1318"/>
      <c r="PRT47" s="1318"/>
      <c r="PRU47" s="1318"/>
      <c r="PRV47" s="1318"/>
      <c r="PRW47" s="1318"/>
      <c r="PRX47" s="1318"/>
      <c r="PRY47" s="1373"/>
      <c r="PRZ47" s="1318"/>
      <c r="PSA47" s="1318"/>
      <c r="PSB47" s="1318"/>
      <c r="PSC47" s="1318"/>
      <c r="PSD47" s="1318"/>
      <c r="PSE47" s="1318"/>
      <c r="PSF47" s="1318"/>
      <c r="PSG47" s="1318"/>
      <c r="PSH47" s="1318"/>
      <c r="PSI47" s="1318"/>
      <c r="PSJ47" s="1373"/>
      <c r="PSK47" s="1318"/>
      <c r="PSL47" s="1318"/>
      <c r="PSM47" s="1318"/>
      <c r="PSN47" s="1318"/>
      <c r="PSO47" s="1318"/>
      <c r="PSP47" s="1318"/>
      <c r="PSQ47" s="1318"/>
      <c r="PSR47" s="1318"/>
      <c r="PSS47" s="1318"/>
      <c r="PST47" s="1318"/>
      <c r="PSU47" s="1373"/>
      <c r="PSV47" s="1318"/>
      <c r="PSW47" s="1318"/>
      <c r="PSX47" s="1318"/>
      <c r="PSY47" s="1318"/>
      <c r="PSZ47" s="1318"/>
      <c r="PTA47" s="1318"/>
      <c r="PTB47" s="1318"/>
      <c r="PTC47" s="1318"/>
      <c r="PTD47" s="1318"/>
      <c r="PTE47" s="1318"/>
      <c r="PTF47" s="1373"/>
      <c r="PTG47" s="1318"/>
      <c r="PTH47" s="1318"/>
      <c r="PTI47" s="1318"/>
      <c r="PTJ47" s="1318"/>
      <c r="PTK47" s="1318"/>
      <c r="PTL47" s="1318"/>
      <c r="PTM47" s="1318"/>
      <c r="PTN47" s="1318"/>
      <c r="PTO47" s="1318"/>
      <c r="PTP47" s="1318"/>
      <c r="PTQ47" s="1373"/>
      <c r="PTR47" s="1318"/>
      <c r="PTS47" s="1318"/>
      <c r="PTT47" s="1318"/>
      <c r="PTU47" s="1318"/>
      <c r="PTV47" s="1318"/>
      <c r="PTW47" s="1318"/>
      <c r="PTX47" s="1318"/>
      <c r="PTY47" s="1318"/>
      <c r="PTZ47" s="1318"/>
      <c r="PUA47" s="1318"/>
      <c r="PUB47" s="1373"/>
      <c r="PUC47" s="1318"/>
      <c r="PUD47" s="1318"/>
      <c r="PUE47" s="1318"/>
      <c r="PUF47" s="1318"/>
      <c r="PUG47" s="1318"/>
      <c r="PUH47" s="1318"/>
      <c r="PUI47" s="1318"/>
      <c r="PUJ47" s="1318"/>
      <c r="PUK47" s="1318"/>
      <c r="PUL47" s="1318"/>
      <c r="PUM47" s="1373"/>
      <c r="PUN47" s="1318"/>
      <c r="PUO47" s="1318"/>
      <c r="PUP47" s="1318"/>
      <c r="PUQ47" s="1318"/>
      <c r="PUR47" s="1318"/>
      <c r="PUS47" s="1318"/>
      <c r="PUT47" s="1318"/>
      <c r="PUU47" s="1318"/>
      <c r="PUV47" s="1318"/>
      <c r="PUW47" s="1318"/>
      <c r="PUX47" s="1373"/>
      <c r="PUY47" s="1318"/>
      <c r="PUZ47" s="1318"/>
      <c r="PVA47" s="1318"/>
      <c r="PVB47" s="1318"/>
      <c r="PVC47" s="1318"/>
      <c r="PVD47" s="1318"/>
      <c r="PVE47" s="1318"/>
      <c r="PVF47" s="1318"/>
      <c r="PVG47" s="1318"/>
      <c r="PVH47" s="1318"/>
      <c r="PVI47" s="1373"/>
      <c r="PVJ47" s="1318"/>
      <c r="PVK47" s="1318"/>
      <c r="PVL47" s="1318"/>
      <c r="PVM47" s="1318"/>
      <c r="PVN47" s="1318"/>
      <c r="PVO47" s="1318"/>
      <c r="PVP47" s="1318"/>
      <c r="PVQ47" s="1318"/>
      <c r="PVR47" s="1318"/>
      <c r="PVS47" s="1318"/>
      <c r="PVT47" s="1373"/>
      <c r="PVU47" s="1318"/>
      <c r="PVV47" s="1318"/>
      <c r="PVW47" s="1318"/>
      <c r="PVX47" s="1318"/>
      <c r="PVY47" s="1318"/>
      <c r="PVZ47" s="1318"/>
      <c r="PWA47" s="1318"/>
      <c r="PWB47" s="1318"/>
      <c r="PWC47" s="1318"/>
      <c r="PWD47" s="1318"/>
      <c r="PWE47" s="1373"/>
      <c r="PWF47" s="1318"/>
      <c r="PWG47" s="1318"/>
      <c r="PWH47" s="1318"/>
      <c r="PWI47" s="1318"/>
      <c r="PWJ47" s="1318"/>
      <c r="PWK47" s="1318"/>
      <c r="PWL47" s="1318"/>
      <c r="PWM47" s="1318"/>
      <c r="PWN47" s="1318"/>
      <c r="PWO47" s="1318"/>
      <c r="PWP47" s="1373"/>
      <c r="PWQ47" s="1318"/>
      <c r="PWR47" s="1318"/>
      <c r="PWS47" s="1318"/>
      <c r="PWT47" s="1318"/>
      <c r="PWU47" s="1318"/>
      <c r="PWV47" s="1318"/>
      <c r="PWW47" s="1318"/>
      <c r="PWX47" s="1318"/>
      <c r="PWY47" s="1318"/>
      <c r="PWZ47" s="1318"/>
      <c r="PXA47" s="1373"/>
      <c r="PXB47" s="1318"/>
      <c r="PXC47" s="1318"/>
      <c r="PXD47" s="1318"/>
      <c r="PXE47" s="1318"/>
      <c r="PXF47" s="1318"/>
      <c r="PXG47" s="1318"/>
      <c r="PXH47" s="1318"/>
      <c r="PXI47" s="1318"/>
      <c r="PXJ47" s="1318"/>
      <c r="PXK47" s="1318"/>
      <c r="PXL47" s="1373"/>
      <c r="PXM47" s="1318"/>
      <c r="PXN47" s="1318"/>
      <c r="PXO47" s="1318"/>
      <c r="PXP47" s="1318"/>
      <c r="PXQ47" s="1318"/>
      <c r="PXR47" s="1318"/>
      <c r="PXS47" s="1318"/>
      <c r="PXT47" s="1318"/>
      <c r="PXU47" s="1318"/>
      <c r="PXV47" s="1318"/>
      <c r="PXW47" s="1373"/>
      <c r="PXX47" s="1318"/>
      <c r="PXY47" s="1318"/>
      <c r="PXZ47" s="1318"/>
      <c r="PYA47" s="1318"/>
      <c r="PYB47" s="1318"/>
      <c r="PYC47" s="1318"/>
      <c r="PYD47" s="1318"/>
      <c r="PYE47" s="1318"/>
      <c r="PYF47" s="1318"/>
      <c r="PYG47" s="1318"/>
      <c r="PYH47" s="1373"/>
      <c r="PYI47" s="1318"/>
      <c r="PYJ47" s="1318"/>
      <c r="PYK47" s="1318"/>
      <c r="PYL47" s="1318"/>
      <c r="PYM47" s="1318"/>
      <c r="PYN47" s="1318"/>
      <c r="PYO47" s="1318"/>
      <c r="PYP47" s="1318"/>
      <c r="PYQ47" s="1318"/>
      <c r="PYR47" s="1318"/>
      <c r="PYS47" s="1373"/>
      <c r="PYT47" s="1318"/>
      <c r="PYU47" s="1318"/>
      <c r="PYV47" s="1318"/>
      <c r="PYW47" s="1318"/>
      <c r="PYX47" s="1318"/>
      <c r="PYY47" s="1318"/>
      <c r="PYZ47" s="1318"/>
      <c r="PZA47" s="1318"/>
      <c r="PZB47" s="1318"/>
      <c r="PZC47" s="1318"/>
      <c r="PZD47" s="1373"/>
      <c r="PZE47" s="1318"/>
      <c r="PZF47" s="1318"/>
      <c r="PZG47" s="1318"/>
      <c r="PZH47" s="1318"/>
      <c r="PZI47" s="1318"/>
      <c r="PZJ47" s="1318"/>
      <c r="PZK47" s="1318"/>
      <c r="PZL47" s="1318"/>
      <c r="PZM47" s="1318"/>
      <c r="PZN47" s="1318"/>
      <c r="PZO47" s="1373"/>
      <c r="PZP47" s="1318"/>
      <c r="PZQ47" s="1318"/>
      <c r="PZR47" s="1318"/>
      <c r="PZS47" s="1318"/>
      <c r="PZT47" s="1318"/>
      <c r="PZU47" s="1318"/>
      <c r="PZV47" s="1318"/>
      <c r="PZW47" s="1318"/>
      <c r="PZX47" s="1318"/>
      <c r="PZY47" s="1318"/>
      <c r="PZZ47" s="1373"/>
      <c r="QAA47" s="1318"/>
      <c r="QAB47" s="1318"/>
      <c r="QAC47" s="1318"/>
      <c r="QAD47" s="1318"/>
      <c r="QAE47" s="1318"/>
      <c r="QAF47" s="1318"/>
      <c r="QAG47" s="1318"/>
      <c r="QAH47" s="1318"/>
      <c r="QAI47" s="1318"/>
      <c r="QAJ47" s="1318"/>
      <c r="QAK47" s="1373"/>
      <c r="QAL47" s="1318"/>
      <c r="QAM47" s="1318"/>
      <c r="QAN47" s="1318"/>
      <c r="QAO47" s="1318"/>
      <c r="QAP47" s="1318"/>
      <c r="QAQ47" s="1318"/>
      <c r="QAR47" s="1318"/>
      <c r="QAS47" s="1318"/>
      <c r="QAT47" s="1318"/>
      <c r="QAU47" s="1318"/>
      <c r="QAV47" s="1373"/>
      <c r="QAW47" s="1318"/>
      <c r="QAX47" s="1318"/>
      <c r="QAY47" s="1318"/>
      <c r="QAZ47" s="1318"/>
      <c r="QBA47" s="1318"/>
      <c r="QBB47" s="1318"/>
      <c r="QBC47" s="1318"/>
      <c r="QBD47" s="1318"/>
      <c r="QBE47" s="1318"/>
      <c r="QBF47" s="1318"/>
      <c r="QBG47" s="1373"/>
      <c r="QBH47" s="1318"/>
      <c r="QBI47" s="1318"/>
      <c r="QBJ47" s="1318"/>
      <c r="QBK47" s="1318"/>
      <c r="QBL47" s="1318"/>
      <c r="QBM47" s="1318"/>
      <c r="QBN47" s="1318"/>
      <c r="QBO47" s="1318"/>
      <c r="QBP47" s="1318"/>
      <c r="QBQ47" s="1318"/>
      <c r="QBR47" s="1373"/>
      <c r="QBS47" s="1318"/>
      <c r="QBT47" s="1318"/>
      <c r="QBU47" s="1318"/>
      <c r="QBV47" s="1318"/>
      <c r="QBW47" s="1318"/>
      <c r="QBX47" s="1318"/>
      <c r="QBY47" s="1318"/>
      <c r="QBZ47" s="1318"/>
      <c r="QCA47" s="1318"/>
      <c r="QCB47" s="1318"/>
      <c r="QCC47" s="1373"/>
      <c r="QCD47" s="1318"/>
      <c r="QCE47" s="1318"/>
      <c r="QCF47" s="1318"/>
      <c r="QCG47" s="1318"/>
      <c r="QCH47" s="1318"/>
      <c r="QCI47" s="1318"/>
      <c r="QCJ47" s="1318"/>
      <c r="QCK47" s="1318"/>
      <c r="QCL47" s="1318"/>
      <c r="QCM47" s="1318"/>
      <c r="QCN47" s="1373"/>
      <c r="QCO47" s="1318"/>
      <c r="QCP47" s="1318"/>
      <c r="QCQ47" s="1318"/>
      <c r="QCR47" s="1318"/>
      <c r="QCS47" s="1318"/>
      <c r="QCT47" s="1318"/>
      <c r="QCU47" s="1318"/>
      <c r="QCV47" s="1318"/>
      <c r="QCW47" s="1318"/>
      <c r="QCX47" s="1318"/>
      <c r="QCY47" s="1373"/>
      <c r="QCZ47" s="1318"/>
      <c r="QDA47" s="1318"/>
      <c r="QDB47" s="1318"/>
      <c r="QDC47" s="1318"/>
      <c r="QDD47" s="1318"/>
      <c r="QDE47" s="1318"/>
      <c r="QDF47" s="1318"/>
      <c r="QDG47" s="1318"/>
      <c r="QDH47" s="1318"/>
      <c r="QDI47" s="1318"/>
      <c r="QDJ47" s="1373"/>
      <c r="QDK47" s="1318"/>
      <c r="QDL47" s="1318"/>
      <c r="QDM47" s="1318"/>
      <c r="QDN47" s="1318"/>
      <c r="QDO47" s="1318"/>
      <c r="QDP47" s="1318"/>
      <c r="QDQ47" s="1318"/>
      <c r="QDR47" s="1318"/>
      <c r="QDS47" s="1318"/>
      <c r="QDT47" s="1318"/>
      <c r="QDU47" s="1373"/>
      <c r="QDV47" s="1318"/>
      <c r="QDW47" s="1318"/>
      <c r="QDX47" s="1318"/>
      <c r="QDY47" s="1318"/>
      <c r="QDZ47" s="1318"/>
      <c r="QEA47" s="1318"/>
      <c r="QEB47" s="1318"/>
      <c r="QEC47" s="1318"/>
      <c r="QED47" s="1318"/>
      <c r="QEE47" s="1318"/>
      <c r="QEF47" s="1373"/>
      <c r="QEG47" s="1318"/>
      <c r="QEH47" s="1318"/>
      <c r="QEI47" s="1318"/>
      <c r="QEJ47" s="1318"/>
      <c r="QEK47" s="1318"/>
      <c r="QEL47" s="1318"/>
      <c r="QEM47" s="1318"/>
      <c r="QEN47" s="1318"/>
      <c r="QEO47" s="1318"/>
      <c r="QEP47" s="1318"/>
      <c r="QEQ47" s="1373"/>
      <c r="QER47" s="1318"/>
      <c r="QES47" s="1318"/>
      <c r="QET47" s="1318"/>
      <c r="QEU47" s="1318"/>
      <c r="QEV47" s="1318"/>
      <c r="QEW47" s="1318"/>
      <c r="QEX47" s="1318"/>
      <c r="QEY47" s="1318"/>
      <c r="QEZ47" s="1318"/>
      <c r="QFA47" s="1318"/>
      <c r="QFB47" s="1373"/>
      <c r="QFC47" s="1318"/>
      <c r="QFD47" s="1318"/>
      <c r="QFE47" s="1318"/>
      <c r="QFF47" s="1318"/>
      <c r="QFG47" s="1318"/>
      <c r="QFH47" s="1318"/>
      <c r="QFI47" s="1318"/>
      <c r="QFJ47" s="1318"/>
      <c r="QFK47" s="1318"/>
      <c r="QFL47" s="1318"/>
      <c r="QFM47" s="1373"/>
      <c r="QFN47" s="1318"/>
      <c r="QFO47" s="1318"/>
      <c r="QFP47" s="1318"/>
      <c r="QFQ47" s="1318"/>
      <c r="QFR47" s="1318"/>
      <c r="QFS47" s="1318"/>
      <c r="QFT47" s="1318"/>
      <c r="QFU47" s="1318"/>
      <c r="QFV47" s="1318"/>
      <c r="QFW47" s="1318"/>
      <c r="QFX47" s="1373"/>
      <c r="QFY47" s="1318"/>
      <c r="QFZ47" s="1318"/>
      <c r="QGA47" s="1318"/>
      <c r="QGB47" s="1318"/>
      <c r="QGC47" s="1318"/>
      <c r="QGD47" s="1318"/>
      <c r="QGE47" s="1318"/>
      <c r="QGF47" s="1318"/>
      <c r="QGG47" s="1318"/>
      <c r="QGH47" s="1318"/>
      <c r="QGI47" s="1373"/>
      <c r="QGJ47" s="1318"/>
      <c r="QGK47" s="1318"/>
      <c r="QGL47" s="1318"/>
      <c r="QGM47" s="1318"/>
      <c r="QGN47" s="1318"/>
      <c r="QGO47" s="1318"/>
      <c r="QGP47" s="1318"/>
      <c r="QGQ47" s="1318"/>
      <c r="QGR47" s="1318"/>
      <c r="QGS47" s="1318"/>
      <c r="QGT47" s="1373"/>
      <c r="QGU47" s="1318"/>
      <c r="QGV47" s="1318"/>
      <c r="QGW47" s="1318"/>
      <c r="QGX47" s="1318"/>
      <c r="QGY47" s="1318"/>
      <c r="QGZ47" s="1318"/>
      <c r="QHA47" s="1318"/>
      <c r="QHB47" s="1318"/>
      <c r="QHC47" s="1318"/>
      <c r="QHD47" s="1318"/>
      <c r="QHE47" s="1373"/>
      <c r="QHF47" s="1318"/>
      <c r="QHG47" s="1318"/>
      <c r="QHH47" s="1318"/>
      <c r="QHI47" s="1318"/>
      <c r="QHJ47" s="1318"/>
      <c r="QHK47" s="1318"/>
      <c r="QHL47" s="1318"/>
      <c r="QHM47" s="1318"/>
      <c r="QHN47" s="1318"/>
      <c r="QHO47" s="1318"/>
      <c r="QHP47" s="1373"/>
      <c r="QHQ47" s="1318"/>
      <c r="QHR47" s="1318"/>
      <c r="QHS47" s="1318"/>
      <c r="QHT47" s="1318"/>
      <c r="QHU47" s="1318"/>
      <c r="QHV47" s="1318"/>
      <c r="QHW47" s="1318"/>
      <c r="QHX47" s="1318"/>
      <c r="QHY47" s="1318"/>
      <c r="QHZ47" s="1318"/>
      <c r="QIA47" s="1373"/>
      <c r="QIB47" s="1318"/>
      <c r="QIC47" s="1318"/>
      <c r="QID47" s="1318"/>
      <c r="QIE47" s="1318"/>
      <c r="QIF47" s="1318"/>
      <c r="QIG47" s="1318"/>
      <c r="QIH47" s="1318"/>
      <c r="QII47" s="1318"/>
      <c r="QIJ47" s="1318"/>
      <c r="QIK47" s="1318"/>
      <c r="QIL47" s="1373"/>
      <c r="QIM47" s="1318"/>
      <c r="QIN47" s="1318"/>
      <c r="QIO47" s="1318"/>
      <c r="QIP47" s="1318"/>
      <c r="QIQ47" s="1318"/>
      <c r="QIR47" s="1318"/>
      <c r="QIS47" s="1318"/>
      <c r="QIT47" s="1318"/>
      <c r="QIU47" s="1318"/>
      <c r="QIV47" s="1318"/>
      <c r="QIW47" s="1373"/>
      <c r="QIX47" s="1318"/>
      <c r="QIY47" s="1318"/>
      <c r="QIZ47" s="1318"/>
      <c r="QJA47" s="1318"/>
      <c r="QJB47" s="1318"/>
      <c r="QJC47" s="1318"/>
      <c r="QJD47" s="1318"/>
      <c r="QJE47" s="1318"/>
      <c r="QJF47" s="1318"/>
      <c r="QJG47" s="1318"/>
      <c r="QJH47" s="1373"/>
      <c r="QJI47" s="1318"/>
      <c r="QJJ47" s="1318"/>
      <c r="QJK47" s="1318"/>
      <c r="QJL47" s="1318"/>
      <c r="QJM47" s="1318"/>
      <c r="QJN47" s="1318"/>
      <c r="QJO47" s="1318"/>
      <c r="QJP47" s="1318"/>
      <c r="QJQ47" s="1318"/>
      <c r="QJR47" s="1318"/>
      <c r="QJS47" s="1373"/>
      <c r="QJT47" s="1318"/>
      <c r="QJU47" s="1318"/>
      <c r="QJV47" s="1318"/>
      <c r="QJW47" s="1318"/>
      <c r="QJX47" s="1318"/>
      <c r="QJY47" s="1318"/>
      <c r="QJZ47" s="1318"/>
      <c r="QKA47" s="1318"/>
      <c r="QKB47" s="1318"/>
      <c r="QKC47" s="1318"/>
      <c r="QKD47" s="1373"/>
      <c r="QKE47" s="1318"/>
      <c r="QKF47" s="1318"/>
      <c r="QKG47" s="1318"/>
      <c r="QKH47" s="1318"/>
      <c r="QKI47" s="1318"/>
      <c r="QKJ47" s="1318"/>
      <c r="QKK47" s="1318"/>
      <c r="QKL47" s="1318"/>
      <c r="QKM47" s="1318"/>
      <c r="QKN47" s="1318"/>
      <c r="QKO47" s="1373"/>
      <c r="QKP47" s="1318"/>
      <c r="QKQ47" s="1318"/>
      <c r="QKR47" s="1318"/>
      <c r="QKS47" s="1318"/>
      <c r="QKT47" s="1318"/>
      <c r="QKU47" s="1318"/>
      <c r="QKV47" s="1318"/>
      <c r="QKW47" s="1318"/>
      <c r="QKX47" s="1318"/>
      <c r="QKY47" s="1318"/>
      <c r="QKZ47" s="1373"/>
      <c r="QLA47" s="1318"/>
      <c r="QLB47" s="1318"/>
      <c r="QLC47" s="1318"/>
      <c r="QLD47" s="1318"/>
      <c r="QLE47" s="1318"/>
      <c r="QLF47" s="1318"/>
      <c r="QLG47" s="1318"/>
      <c r="QLH47" s="1318"/>
      <c r="QLI47" s="1318"/>
      <c r="QLJ47" s="1318"/>
      <c r="QLK47" s="1373"/>
      <c r="QLL47" s="1318"/>
      <c r="QLM47" s="1318"/>
      <c r="QLN47" s="1318"/>
      <c r="QLO47" s="1318"/>
      <c r="QLP47" s="1318"/>
      <c r="QLQ47" s="1318"/>
      <c r="QLR47" s="1318"/>
      <c r="QLS47" s="1318"/>
      <c r="QLT47" s="1318"/>
      <c r="QLU47" s="1318"/>
      <c r="QLV47" s="1373"/>
      <c r="QLW47" s="1318"/>
      <c r="QLX47" s="1318"/>
      <c r="QLY47" s="1318"/>
      <c r="QLZ47" s="1318"/>
      <c r="QMA47" s="1318"/>
      <c r="QMB47" s="1318"/>
      <c r="QMC47" s="1318"/>
      <c r="QMD47" s="1318"/>
      <c r="QME47" s="1318"/>
      <c r="QMF47" s="1318"/>
      <c r="QMG47" s="1373"/>
      <c r="QMH47" s="1318"/>
      <c r="QMI47" s="1318"/>
      <c r="QMJ47" s="1318"/>
      <c r="QMK47" s="1318"/>
      <c r="QML47" s="1318"/>
      <c r="QMM47" s="1318"/>
      <c r="QMN47" s="1318"/>
      <c r="QMO47" s="1318"/>
      <c r="QMP47" s="1318"/>
      <c r="QMQ47" s="1318"/>
      <c r="QMR47" s="1373"/>
      <c r="QMS47" s="1318"/>
      <c r="QMT47" s="1318"/>
      <c r="QMU47" s="1318"/>
      <c r="QMV47" s="1318"/>
      <c r="QMW47" s="1318"/>
      <c r="QMX47" s="1318"/>
      <c r="QMY47" s="1318"/>
      <c r="QMZ47" s="1318"/>
      <c r="QNA47" s="1318"/>
      <c r="QNB47" s="1318"/>
      <c r="QNC47" s="1373"/>
      <c r="QND47" s="1318"/>
      <c r="QNE47" s="1318"/>
      <c r="QNF47" s="1318"/>
      <c r="QNG47" s="1318"/>
      <c r="QNH47" s="1318"/>
      <c r="QNI47" s="1318"/>
      <c r="QNJ47" s="1318"/>
      <c r="QNK47" s="1318"/>
      <c r="QNL47" s="1318"/>
      <c r="QNM47" s="1318"/>
      <c r="QNN47" s="1373"/>
      <c r="QNO47" s="1318"/>
      <c r="QNP47" s="1318"/>
      <c r="QNQ47" s="1318"/>
      <c r="QNR47" s="1318"/>
      <c r="QNS47" s="1318"/>
      <c r="QNT47" s="1318"/>
      <c r="QNU47" s="1318"/>
      <c r="QNV47" s="1318"/>
      <c r="QNW47" s="1318"/>
      <c r="QNX47" s="1318"/>
      <c r="QNY47" s="1373"/>
      <c r="QNZ47" s="1318"/>
      <c r="QOA47" s="1318"/>
      <c r="QOB47" s="1318"/>
      <c r="QOC47" s="1318"/>
      <c r="QOD47" s="1318"/>
      <c r="QOE47" s="1318"/>
      <c r="QOF47" s="1318"/>
      <c r="QOG47" s="1318"/>
      <c r="QOH47" s="1318"/>
      <c r="QOI47" s="1318"/>
      <c r="QOJ47" s="1373"/>
      <c r="QOK47" s="1318"/>
      <c r="QOL47" s="1318"/>
      <c r="QOM47" s="1318"/>
      <c r="QON47" s="1318"/>
      <c r="QOO47" s="1318"/>
      <c r="QOP47" s="1318"/>
      <c r="QOQ47" s="1318"/>
      <c r="QOR47" s="1318"/>
      <c r="QOS47" s="1318"/>
      <c r="QOT47" s="1318"/>
      <c r="QOU47" s="1373"/>
      <c r="QOV47" s="1318"/>
      <c r="QOW47" s="1318"/>
      <c r="QOX47" s="1318"/>
      <c r="QOY47" s="1318"/>
      <c r="QOZ47" s="1318"/>
      <c r="QPA47" s="1318"/>
      <c r="QPB47" s="1318"/>
      <c r="QPC47" s="1318"/>
      <c r="QPD47" s="1318"/>
      <c r="QPE47" s="1318"/>
      <c r="QPF47" s="1373"/>
      <c r="QPG47" s="1318"/>
      <c r="QPH47" s="1318"/>
      <c r="QPI47" s="1318"/>
      <c r="QPJ47" s="1318"/>
      <c r="QPK47" s="1318"/>
      <c r="QPL47" s="1318"/>
      <c r="QPM47" s="1318"/>
      <c r="QPN47" s="1318"/>
      <c r="QPO47" s="1318"/>
      <c r="QPP47" s="1318"/>
      <c r="QPQ47" s="1373"/>
      <c r="QPR47" s="1318"/>
      <c r="QPS47" s="1318"/>
      <c r="QPT47" s="1318"/>
      <c r="QPU47" s="1318"/>
      <c r="QPV47" s="1318"/>
      <c r="QPW47" s="1318"/>
      <c r="QPX47" s="1318"/>
      <c r="QPY47" s="1318"/>
      <c r="QPZ47" s="1318"/>
      <c r="QQA47" s="1318"/>
      <c r="QQB47" s="1373"/>
      <c r="QQC47" s="1318"/>
      <c r="QQD47" s="1318"/>
      <c r="QQE47" s="1318"/>
      <c r="QQF47" s="1318"/>
      <c r="QQG47" s="1318"/>
      <c r="QQH47" s="1318"/>
      <c r="QQI47" s="1318"/>
      <c r="QQJ47" s="1318"/>
      <c r="QQK47" s="1318"/>
      <c r="QQL47" s="1318"/>
      <c r="QQM47" s="1373"/>
      <c r="QQN47" s="1318"/>
      <c r="QQO47" s="1318"/>
      <c r="QQP47" s="1318"/>
      <c r="QQQ47" s="1318"/>
      <c r="QQR47" s="1318"/>
      <c r="QQS47" s="1318"/>
      <c r="QQT47" s="1318"/>
      <c r="QQU47" s="1318"/>
      <c r="QQV47" s="1318"/>
      <c r="QQW47" s="1318"/>
      <c r="QQX47" s="1373"/>
      <c r="QQY47" s="1318"/>
      <c r="QQZ47" s="1318"/>
      <c r="QRA47" s="1318"/>
      <c r="QRB47" s="1318"/>
      <c r="QRC47" s="1318"/>
      <c r="QRD47" s="1318"/>
      <c r="QRE47" s="1318"/>
      <c r="QRF47" s="1318"/>
      <c r="QRG47" s="1318"/>
      <c r="QRH47" s="1318"/>
      <c r="QRI47" s="1373"/>
      <c r="QRJ47" s="1318"/>
      <c r="QRK47" s="1318"/>
      <c r="QRL47" s="1318"/>
      <c r="QRM47" s="1318"/>
      <c r="QRN47" s="1318"/>
      <c r="QRO47" s="1318"/>
      <c r="QRP47" s="1318"/>
      <c r="QRQ47" s="1318"/>
      <c r="QRR47" s="1318"/>
      <c r="QRS47" s="1318"/>
      <c r="QRT47" s="1373"/>
      <c r="QRU47" s="1318"/>
      <c r="QRV47" s="1318"/>
      <c r="QRW47" s="1318"/>
      <c r="QRX47" s="1318"/>
      <c r="QRY47" s="1318"/>
      <c r="QRZ47" s="1318"/>
      <c r="QSA47" s="1318"/>
      <c r="QSB47" s="1318"/>
      <c r="QSC47" s="1318"/>
      <c r="QSD47" s="1318"/>
      <c r="QSE47" s="1373"/>
      <c r="QSF47" s="1318"/>
      <c r="QSG47" s="1318"/>
      <c r="QSH47" s="1318"/>
      <c r="QSI47" s="1318"/>
      <c r="QSJ47" s="1318"/>
      <c r="QSK47" s="1318"/>
      <c r="QSL47" s="1318"/>
      <c r="QSM47" s="1318"/>
      <c r="QSN47" s="1318"/>
      <c r="QSO47" s="1318"/>
      <c r="QSP47" s="1373"/>
      <c r="QSQ47" s="1318"/>
      <c r="QSR47" s="1318"/>
      <c r="QSS47" s="1318"/>
      <c r="QST47" s="1318"/>
      <c r="QSU47" s="1318"/>
      <c r="QSV47" s="1318"/>
      <c r="QSW47" s="1318"/>
      <c r="QSX47" s="1318"/>
      <c r="QSY47" s="1318"/>
      <c r="QSZ47" s="1318"/>
      <c r="QTA47" s="1373"/>
      <c r="QTB47" s="1318"/>
      <c r="QTC47" s="1318"/>
      <c r="QTD47" s="1318"/>
      <c r="QTE47" s="1318"/>
      <c r="QTF47" s="1318"/>
      <c r="QTG47" s="1318"/>
      <c r="QTH47" s="1318"/>
      <c r="QTI47" s="1318"/>
      <c r="QTJ47" s="1318"/>
      <c r="QTK47" s="1318"/>
      <c r="QTL47" s="1373"/>
      <c r="QTM47" s="1318"/>
      <c r="QTN47" s="1318"/>
      <c r="QTO47" s="1318"/>
      <c r="QTP47" s="1318"/>
      <c r="QTQ47" s="1318"/>
      <c r="QTR47" s="1318"/>
      <c r="QTS47" s="1318"/>
      <c r="QTT47" s="1318"/>
      <c r="QTU47" s="1318"/>
      <c r="QTV47" s="1318"/>
      <c r="QTW47" s="1373"/>
      <c r="QTX47" s="1318"/>
      <c r="QTY47" s="1318"/>
      <c r="QTZ47" s="1318"/>
      <c r="QUA47" s="1318"/>
      <c r="QUB47" s="1318"/>
      <c r="QUC47" s="1318"/>
      <c r="QUD47" s="1318"/>
      <c r="QUE47" s="1318"/>
      <c r="QUF47" s="1318"/>
      <c r="QUG47" s="1318"/>
      <c r="QUH47" s="1373"/>
      <c r="QUI47" s="1318"/>
      <c r="QUJ47" s="1318"/>
      <c r="QUK47" s="1318"/>
      <c r="QUL47" s="1318"/>
      <c r="QUM47" s="1318"/>
      <c r="QUN47" s="1318"/>
      <c r="QUO47" s="1318"/>
      <c r="QUP47" s="1318"/>
      <c r="QUQ47" s="1318"/>
      <c r="QUR47" s="1318"/>
      <c r="QUS47" s="1373"/>
      <c r="QUT47" s="1318"/>
      <c r="QUU47" s="1318"/>
      <c r="QUV47" s="1318"/>
      <c r="QUW47" s="1318"/>
      <c r="QUX47" s="1318"/>
      <c r="QUY47" s="1318"/>
      <c r="QUZ47" s="1318"/>
      <c r="QVA47" s="1318"/>
      <c r="QVB47" s="1318"/>
      <c r="QVC47" s="1318"/>
      <c r="QVD47" s="1373"/>
      <c r="QVE47" s="1318"/>
      <c r="QVF47" s="1318"/>
      <c r="QVG47" s="1318"/>
      <c r="QVH47" s="1318"/>
      <c r="QVI47" s="1318"/>
      <c r="QVJ47" s="1318"/>
      <c r="QVK47" s="1318"/>
      <c r="QVL47" s="1318"/>
      <c r="QVM47" s="1318"/>
      <c r="QVN47" s="1318"/>
      <c r="QVO47" s="1373"/>
      <c r="QVP47" s="1318"/>
      <c r="QVQ47" s="1318"/>
      <c r="QVR47" s="1318"/>
      <c r="QVS47" s="1318"/>
      <c r="QVT47" s="1318"/>
      <c r="QVU47" s="1318"/>
      <c r="QVV47" s="1318"/>
      <c r="QVW47" s="1318"/>
      <c r="QVX47" s="1318"/>
      <c r="QVY47" s="1318"/>
      <c r="QVZ47" s="1373"/>
      <c r="QWA47" s="1318"/>
      <c r="QWB47" s="1318"/>
      <c r="QWC47" s="1318"/>
      <c r="QWD47" s="1318"/>
      <c r="QWE47" s="1318"/>
      <c r="QWF47" s="1318"/>
      <c r="QWG47" s="1318"/>
      <c r="QWH47" s="1318"/>
      <c r="QWI47" s="1318"/>
      <c r="QWJ47" s="1318"/>
      <c r="QWK47" s="1373"/>
      <c r="QWL47" s="1318"/>
      <c r="QWM47" s="1318"/>
      <c r="QWN47" s="1318"/>
      <c r="QWO47" s="1318"/>
      <c r="QWP47" s="1318"/>
      <c r="QWQ47" s="1318"/>
      <c r="QWR47" s="1318"/>
      <c r="QWS47" s="1318"/>
      <c r="QWT47" s="1318"/>
      <c r="QWU47" s="1318"/>
      <c r="QWV47" s="1373"/>
      <c r="QWW47" s="1318"/>
      <c r="QWX47" s="1318"/>
      <c r="QWY47" s="1318"/>
      <c r="QWZ47" s="1318"/>
      <c r="QXA47" s="1318"/>
      <c r="QXB47" s="1318"/>
      <c r="QXC47" s="1318"/>
      <c r="QXD47" s="1318"/>
      <c r="QXE47" s="1318"/>
      <c r="QXF47" s="1318"/>
      <c r="QXG47" s="1373"/>
      <c r="QXH47" s="1318"/>
      <c r="QXI47" s="1318"/>
      <c r="QXJ47" s="1318"/>
      <c r="QXK47" s="1318"/>
      <c r="QXL47" s="1318"/>
      <c r="QXM47" s="1318"/>
      <c r="QXN47" s="1318"/>
      <c r="QXO47" s="1318"/>
      <c r="QXP47" s="1318"/>
      <c r="QXQ47" s="1318"/>
      <c r="QXR47" s="1373"/>
      <c r="QXS47" s="1318"/>
      <c r="QXT47" s="1318"/>
      <c r="QXU47" s="1318"/>
      <c r="QXV47" s="1318"/>
      <c r="QXW47" s="1318"/>
      <c r="QXX47" s="1318"/>
      <c r="QXY47" s="1318"/>
      <c r="QXZ47" s="1318"/>
      <c r="QYA47" s="1318"/>
      <c r="QYB47" s="1318"/>
      <c r="QYC47" s="1373"/>
      <c r="QYD47" s="1318"/>
      <c r="QYE47" s="1318"/>
      <c r="QYF47" s="1318"/>
      <c r="QYG47" s="1318"/>
      <c r="QYH47" s="1318"/>
      <c r="QYI47" s="1318"/>
      <c r="QYJ47" s="1318"/>
      <c r="QYK47" s="1318"/>
      <c r="QYL47" s="1318"/>
      <c r="QYM47" s="1318"/>
      <c r="QYN47" s="1373"/>
      <c r="QYO47" s="1318"/>
      <c r="QYP47" s="1318"/>
      <c r="QYQ47" s="1318"/>
      <c r="QYR47" s="1318"/>
      <c r="QYS47" s="1318"/>
      <c r="QYT47" s="1318"/>
      <c r="QYU47" s="1318"/>
      <c r="QYV47" s="1318"/>
      <c r="QYW47" s="1318"/>
      <c r="QYX47" s="1318"/>
      <c r="QYY47" s="1373"/>
      <c r="QYZ47" s="1318"/>
      <c r="QZA47" s="1318"/>
      <c r="QZB47" s="1318"/>
      <c r="QZC47" s="1318"/>
      <c r="QZD47" s="1318"/>
      <c r="QZE47" s="1318"/>
      <c r="QZF47" s="1318"/>
      <c r="QZG47" s="1318"/>
      <c r="QZH47" s="1318"/>
      <c r="QZI47" s="1318"/>
      <c r="QZJ47" s="1373"/>
      <c r="QZK47" s="1318"/>
      <c r="QZL47" s="1318"/>
      <c r="QZM47" s="1318"/>
      <c r="QZN47" s="1318"/>
      <c r="QZO47" s="1318"/>
      <c r="QZP47" s="1318"/>
      <c r="QZQ47" s="1318"/>
      <c r="QZR47" s="1318"/>
      <c r="QZS47" s="1318"/>
      <c r="QZT47" s="1318"/>
      <c r="QZU47" s="1373"/>
      <c r="QZV47" s="1318"/>
      <c r="QZW47" s="1318"/>
      <c r="QZX47" s="1318"/>
      <c r="QZY47" s="1318"/>
      <c r="QZZ47" s="1318"/>
      <c r="RAA47" s="1318"/>
      <c r="RAB47" s="1318"/>
      <c r="RAC47" s="1318"/>
      <c r="RAD47" s="1318"/>
      <c r="RAE47" s="1318"/>
      <c r="RAF47" s="1373"/>
      <c r="RAG47" s="1318"/>
      <c r="RAH47" s="1318"/>
      <c r="RAI47" s="1318"/>
      <c r="RAJ47" s="1318"/>
      <c r="RAK47" s="1318"/>
      <c r="RAL47" s="1318"/>
      <c r="RAM47" s="1318"/>
      <c r="RAN47" s="1318"/>
      <c r="RAO47" s="1318"/>
      <c r="RAP47" s="1318"/>
      <c r="RAQ47" s="1373"/>
      <c r="RAR47" s="1318"/>
      <c r="RAS47" s="1318"/>
      <c r="RAT47" s="1318"/>
      <c r="RAU47" s="1318"/>
      <c r="RAV47" s="1318"/>
      <c r="RAW47" s="1318"/>
      <c r="RAX47" s="1318"/>
      <c r="RAY47" s="1318"/>
      <c r="RAZ47" s="1318"/>
      <c r="RBA47" s="1318"/>
      <c r="RBB47" s="1373"/>
      <c r="RBC47" s="1318"/>
      <c r="RBD47" s="1318"/>
      <c r="RBE47" s="1318"/>
      <c r="RBF47" s="1318"/>
      <c r="RBG47" s="1318"/>
      <c r="RBH47" s="1318"/>
      <c r="RBI47" s="1318"/>
      <c r="RBJ47" s="1318"/>
      <c r="RBK47" s="1318"/>
      <c r="RBL47" s="1318"/>
      <c r="RBM47" s="1373"/>
      <c r="RBN47" s="1318"/>
      <c r="RBO47" s="1318"/>
      <c r="RBP47" s="1318"/>
      <c r="RBQ47" s="1318"/>
      <c r="RBR47" s="1318"/>
      <c r="RBS47" s="1318"/>
      <c r="RBT47" s="1318"/>
      <c r="RBU47" s="1318"/>
      <c r="RBV47" s="1318"/>
      <c r="RBW47" s="1318"/>
      <c r="RBX47" s="1373"/>
      <c r="RBY47" s="1318"/>
      <c r="RBZ47" s="1318"/>
      <c r="RCA47" s="1318"/>
      <c r="RCB47" s="1318"/>
      <c r="RCC47" s="1318"/>
      <c r="RCD47" s="1318"/>
      <c r="RCE47" s="1318"/>
      <c r="RCF47" s="1318"/>
      <c r="RCG47" s="1318"/>
      <c r="RCH47" s="1318"/>
      <c r="RCI47" s="1373"/>
      <c r="RCJ47" s="1318"/>
      <c r="RCK47" s="1318"/>
      <c r="RCL47" s="1318"/>
      <c r="RCM47" s="1318"/>
      <c r="RCN47" s="1318"/>
      <c r="RCO47" s="1318"/>
      <c r="RCP47" s="1318"/>
      <c r="RCQ47" s="1318"/>
      <c r="RCR47" s="1318"/>
      <c r="RCS47" s="1318"/>
      <c r="RCT47" s="1373"/>
      <c r="RCU47" s="1318"/>
      <c r="RCV47" s="1318"/>
      <c r="RCW47" s="1318"/>
      <c r="RCX47" s="1318"/>
      <c r="RCY47" s="1318"/>
      <c r="RCZ47" s="1318"/>
      <c r="RDA47" s="1318"/>
      <c r="RDB47" s="1318"/>
      <c r="RDC47" s="1318"/>
      <c r="RDD47" s="1318"/>
      <c r="RDE47" s="1373"/>
      <c r="RDF47" s="1318"/>
      <c r="RDG47" s="1318"/>
      <c r="RDH47" s="1318"/>
      <c r="RDI47" s="1318"/>
      <c r="RDJ47" s="1318"/>
      <c r="RDK47" s="1318"/>
      <c r="RDL47" s="1318"/>
      <c r="RDM47" s="1318"/>
      <c r="RDN47" s="1318"/>
      <c r="RDO47" s="1318"/>
      <c r="RDP47" s="1373"/>
      <c r="RDQ47" s="1318"/>
      <c r="RDR47" s="1318"/>
      <c r="RDS47" s="1318"/>
      <c r="RDT47" s="1318"/>
      <c r="RDU47" s="1318"/>
      <c r="RDV47" s="1318"/>
      <c r="RDW47" s="1318"/>
      <c r="RDX47" s="1318"/>
      <c r="RDY47" s="1318"/>
      <c r="RDZ47" s="1318"/>
      <c r="REA47" s="1373"/>
      <c r="REB47" s="1318"/>
      <c r="REC47" s="1318"/>
      <c r="RED47" s="1318"/>
      <c r="REE47" s="1318"/>
      <c r="REF47" s="1318"/>
      <c r="REG47" s="1318"/>
      <c r="REH47" s="1318"/>
      <c r="REI47" s="1318"/>
      <c r="REJ47" s="1318"/>
      <c r="REK47" s="1318"/>
      <c r="REL47" s="1373"/>
      <c r="REM47" s="1318"/>
      <c r="REN47" s="1318"/>
      <c r="REO47" s="1318"/>
      <c r="REP47" s="1318"/>
      <c r="REQ47" s="1318"/>
      <c r="RER47" s="1318"/>
      <c r="RES47" s="1318"/>
      <c r="RET47" s="1318"/>
      <c r="REU47" s="1318"/>
      <c r="REV47" s="1318"/>
      <c r="REW47" s="1373"/>
      <c r="REX47" s="1318"/>
      <c r="REY47" s="1318"/>
      <c r="REZ47" s="1318"/>
      <c r="RFA47" s="1318"/>
      <c r="RFB47" s="1318"/>
      <c r="RFC47" s="1318"/>
      <c r="RFD47" s="1318"/>
      <c r="RFE47" s="1318"/>
      <c r="RFF47" s="1318"/>
      <c r="RFG47" s="1318"/>
      <c r="RFH47" s="1373"/>
      <c r="RFI47" s="1318"/>
      <c r="RFJ47" s="1318"/>
      <c r="RFK47" s="1318"/>
      <c r="RFL47" s="1318"/>
      <c r="RFM47" s="1318"/>
      <c r="RFN47" s="1318"/>
      <c r="RFO47" s="1318"/>
      <c r="RFP47" s="1318"/>
      <c r="RFQ47" s="1318"/>
      <c r="RFR47" s="1318"/>
      <c r="RFS47" s="1373"/>
      <c r="RFT47" s="1318"/>
      <c r="RFU47" s="1318"/>
      <c r="RFV47" s="1318"/>
      <c r="RFW47" s="1318"/>
      <c r="RFX47" s="1318"/>
      <c r="RFY47" s="1318"/>
      <c r="RFZ47" s="1318"/>
      <c r="RGA47" s="1318"/>
      <c r="RGB47" s="1318"/>
      <c r="RGC47" s="1318"/>
      <c r="RGD47" s="1373"/>
      <c r="RGE47" s="1318"/>
      <c r="RGF47" s="1318"/>
      <c r="RGG47" s="1318"/>
      <c r="RGH47" s="1318"/>
      <c r="RGI47" s="1318"/>
      <c r="RGJ47" s="1318"/>
      <c r="RGK47" s="1318"/>
      <c r="RGL47" s="1318"/>
      <c r="RGM47" s="1318"/>
      <c r="RGN47" s="1318"/>
      <c r="RGO47" s="1373"/>
      <c r="RGP47" s="1318"/>
      <c r="RGQ47" s="1318"/>
      <c r="RGR47" s="1318"/>
      <c r="RGS47" s="1318"/>
      <c r="RGT47" s="1318"/>
      <c r="RGU47" s="1318"/>
      <c r="RGV47" s="1318"/>
      <c r="RGW47" s="1318"/>
      <c r="RGX47" s="1318"/>
      <c r="RGY47" s="1318"/>
      <c r="RGZ47" s="1373"/>
      <c r="RHA47" s="1318"/>
      <c r="RHB47" s="1318"/>
      <c r="RHC47" s="1318"/>
      <c r="RHD47" s="1318"/>
      <c r="RHE47" s="1318"/>
      <c r="RHF47" s="1318"/>
      <c r="RHG47" s="1318"/>
      <c r="RHH47" s="1318"/>
      <c r="RHI47" s="1318"/>
      <c r="RHJ47" s="1318"/>
      <c r="RHK47" s="1373"/>
      <c r="RHL47" s="1318"/>
      <c r="RHM47" s="1318"/>
      <c r="RHN47" s="1318"/>
      <c r="RHO47" s="1318"/>
      <c r="RHP47" s="1318"/>
      <c r="RHQ47" s="1318"/>
      <c r="RHR47" s="1318"/>
      <c r="RHS47" s="1318"/>
      <c r="RHT47" s="1318"/>
      <c r="RHU47" s="1318"/>
      <c r="RHV47" s="1373"/>
      <c r="RHW47" s="1318"/>
      <c r="RHX47" s="1318"/>
      <c r="RHY47" s="1318"/>
      <c r="RHZ47" s="1318"/>
      <c r="RIA47" s="1318"/>
      <c r="RIB47" s="1318"/>
      <c r="RIC47" s="1318"/>
      <c r="RID47" s="1318"/>
      <c r="RIE47" s="1318"/>
      <c r="RIF47" s="1318"/>
      <c r="RIG47" s="1373"/>
      <c r="RIH47" s="1318"/>
      <c r="RII47" s="1318"/>
      <c r="RIJ47" s="1318"/>
      <c r="RIK47" s="1318"/>
      <c r="RIL47" s="1318"/>
      <c r="RIM47" s="1318"/>
      <c r="RIN47" s="1318"/>
      <c r="RIO47" s="1318"/>
      <c r="RIP47" s="1318"/>
      <c r="RIQ47" s="1318"/>
      <c r="RIR47" s="1373"/>
      <c r="RIS47" s="1318"/>
      <c r="RIT47" s="1318"/>
      <c r="RIU47" s="1318"/>
      <c r="RIV47" s="1318"/>
      <c r="RIW47" s="1318"/>
      <c r="RIX47" s="1318"/>
      <c r="RIY47" s="1318"/>
      <c r="RIZ47" s="1318"/>
      <c r="RJA47" s="1318"/>
      <c r="RJB47" s="1318"/>
      <c r="RJC47" s="1373"/>
      <c r="RJD47" s="1318"/>
      <c r="RJE47" s="1318"/>
      <c r="RJF47" s="1318"/>
      <c r="RJG47" s="1318"/>
      <c r="RJH47" s="1318"/>
      <c r="RJI47" s="1318"/>
      <c r="RJJ47" s="1318"/>
      <c r="RJK47" s="1318"/>
      <c r="RJL47" s="1318"/>
      <c r="RJM47" s="1318"/>
      <c r="RJN47" s="1373"/>
      <c r="RJO47" s="1318"/>
      <c r="RJP47" s="1318"/>
      <c r="RJQ47" s="1318"/>
      <c r="RJR47" s="1318"/>
      <c r="RJS47" s="1318"/>
      <c r="RJT47" s="1318"/>
      <c r="RJU47" s="1318"/>
      <c r="RJV47" s="1318"/>
      <c r="RJW47" s="1318"/>
      <c r="RJX47" s="1318"/>
      <c r="RJY47" s="1373"/>
      <c r="RJZ47" s="1318"/>
      <c r="RKA47" s="1318"/>
      <c r="RKB47" s="1318"/>
      <c r="RKC47" s="1318"/>
      <c r="RKD47" s="1318"/>
      <c r="RKE47" s="1318"/>
      <c r="RKF47" s="1318"/>
      <c r="RKG47" s="1318"/>
      <c r="RKH47" s="1318"/>
      <c r="RKI47" s="1318"/>
      <c r="RKJ47" s="1373"/>
      <c r="RKK47" s="1318"/>
      <c r="RKL47" s="1318"/>
      <c r="RKM47" s="1318"/>
      <c r="RKN47" s="1318"/>
      <c r="RKO47" s="1318"/>
      <c r="RKP47" s="1318"/>
      <c r="RKQ47" s="1318"/>
      <c r="RKR47" s="1318"/>
      <c r="RKS47" s="1318"/>
      <c r="RKT47" s="1318"/>
      <c r="RKU47" s="1373"/>
      <c r="RKV47" s="1318"/>
      <c r="RKW47" s="1318"/>
      <c r="RKX47" s="1318"/>
      <c r="RKY47" s="1318"/>
      <c r="RKZ47" s="1318"/>
      <c r="RLA47" s="1318"/>
      <c r="RLB47" s="1318"/>
      <c r="RLC47" s="1318"/>
      <c r="RLD47" s="1318"/>
      <c r="RLE47" s="1318"/>
      <c r="RLF47" s="1373"/>
      <c r="RLG47" s="1318"/>
      <c r="RLH47" s="1318"/>
      <c r="RLI47" s="1318"/>
      <c r="RLJ47" s="1318"/>
      <c r="RLK47" s="1318"/>
      <c r="RLL47" s="1318"/>
      <c r="RLM47" s="1318"/>
      <c r="RLN47" s="1318"/>
      <c r="RLO47" s="1318"/>
      <c r="RLP47" s="1318"/>
      <c r="RLQ47" s="1373"/>
      <c r="RLR47" s="1318"/>
      <c r="RLS47" s="1318"/>
      <c r="RLT47" s="1318"/>
      <c r="RLU47" s="1318"/>
      <c r="RLV47" s="1318"/>
      <c r="RLW47" s="1318"/>
      <c r="RLX47" s="1318"/>
      <c r="RLY47" s="1318"/>
      <c r="RLZ47" s="1318"/>
      <c r="RMA47" s="1318"/>
      <c r="RMB47" s="1373"/>
      <c r="RMC47" s="1318"/>
      <c r="RMD47" s="1318"/>
      <c r="RME47" s="1318"/>
      <c r="RMF47" s="1318"/>
      <c r="RMG47" s="1318"/>
      <c r="RMH47" s="1318"/>
      <c r="RMI47" s="1318"/>
      <c r="RMJ47" s="1318"/>
      <c r="RMK47" s="1318"/>
      <c r="RML47" s="1318"/>
      <c r="RMM47" s="1373"/>
      <c r="RMN47" s="1318"/>
      <c r="RMO47" s="1318"/>
      <c r="RMP47" s="1318"/>
      <c r="RMQ47" s="1318"/>
      <c r="RMR47" s="1318"/>
      <c r="RMS47" s="1318"/>
      <c r="RMT47" s="1318"/>
      <c r="RMU47" s="1318"/>
      <c r="RMV47" s="1318"/>
      <c r="RMW47" s="1318"/>
      <c r="RMX47" s="1373"/>
      <c r="RMY47" s="1318"/>
      <c r="RMZ47" s="1318"/>
      <c r="RNA47" s="1318"/>
      <c r="RNB47" s="1318"/>
      <c r="RNC47" s="1318"/>
      <c r="RND47" s="1318"/>
      <c r="RNE47" s="1318"/>
      <c r="RNF47" s="1318"/>
      <c r="RNG47" s="1318"/>
      <c r="RNH47" s="1318"/>
      <c r="RNI47" s="1373"/>
      <c r="RNJ47" s="1318"/>
      <c r="RNK47" s="1318"/>
      <c r="RNL47" s="1318"/>
      <c r="RNM47" s="1318"/>
      <c r="RNN47" s="1318"/>
      <c r="RNO47" s="1318"/>
      <c r="RNP47" s="1318"/>
      <c r="RNQ47" s="1318"/>
      <c r="RNR47" s="1318"/>
      <c r="RNS47" s="1318"/>
      <c r="RNT47" s="1373"/>
      <c r="RNU47" s="1318"/>
      <c r="RNV47" s="1318"/>
      <c r="RNW47" s="1318"/>
      <c r="RNX47" s="1318"/>
      <c r="RNY47" s="1318"/>
      <c r="RNZ47" s="1318"/>
      <c r="ROA47" s="1318"/>
      <c r="ROB47" s="1318"/>
      <c r="ROC47" s="1318"/>
      <c r="ROD47" s="1318"/>
      <c r="ROE47" s="1373"/>
      <c r="ROF47" s="1318"/>
      <c r="ROG47" s="1318"/>
      <c r="ROH47" s="1318"/>
      <c r="ROI47" s="1318"/>
      <c r="ROJ47" s="1318"/>
      <c r="ROK47" s="1318"/>
      <c r="ROL47" s="1318"/>
      <c r="ROM47" s="1318"/>
      <c r="RON47" s="1318"/>
      <c r="ROO47" s="1318"/>
      <c r="ROP47" s="1373"/>
      <c r="ROQ47" s="1318"/>
      <c r="ROR47" s="1318"/>
      <c r="ROS47" s="1318"/>
      <c r="ROT47" s="1318"/>
      <c r="ROU47" s="1318"/>
      <c r="ROV47" s="1318"/>
      <c r="ROW47" s="1318"/>
      <c r="ROX47" s="1318"/>
      <c r="ROY47" s="1318"/>
      <c r="ROZ47" s="1318"/>
      <c r="RPA47" s="1373"/>
      <c r="RPB47" s="1318"/>
      <c r="RPC47" s="1318"/>
      <c r="RPD47" s="1318"/>
      <c r="RPE47" s="1318"/>
      <c r="RPF47" s="1318"/>
      <c r="RPG47" s="1318"/>
      <c r="RPH47" s="1318"/>
      <c r="RPI47" s="1318"/>
      <c r="RPJ47" s="1318"/>
      <c r="RPK47" s="1318"/>
      <c r="RPL47" s="1373"/>
      <c r="RPM47" s="1318"/>
      <c r="RPN47" s="1318"/>
      <c r="RPO47" s="1318"/>
      <c r="RPP47" s="1318"/>
      <c r="RPQ47" s="1318"/>
      <c r="RPR47" s="1318"/>
      <c r="RPS47" s="1318"/>
      <c r="RPT47" s="1318"/>
      <c r="RPU47" s="1318"/>
      <c r="RPV47" s="1318"/>
      <c r="RPW47" s="1373"/>
      <c r="RPX47" s="1318"/>
      <c r="RPY47" s="1318"/>
      <c r="RPZ47" s="1318"/>
      <c r="RQA47" s="1318"/>
      <c r="RQB47" s="1318"/>
      <c r="RQC47" s="1318"/>
      <c r="RQD47" s="1318"/>
      <c r="RQE47" s="1318"/>
      <c r="RQF47" s="1318"/>
      <c r="RQG47" s="1318"/>
      <c r="RQH47" s="1373"/>
      <c r="RQI47" s="1318"/>
      <c r="RQJ47" s="1318"/>
      <c r="RQK47" s="1318"/>
      <c r="RQL47" s="1318"/>
      <c r="RQM47" s="1318"/>
      <c r="RQN47" s="1318"/>
      <c r="RQO47" s="1318"/>
      <c r="RQP47" s="1318"/>
      <c r="RQQ47" s="1318"/>
      <c r="RQR47" s="1318"/>
      <c r="RQS47" s="1373"/>
      <c r="RQT47" s="1318"/>
      <c r="RQU47" s="1318"/>
      <c r="RQV47" s="1318"/>
      <c r="RQW47" s="1318"/>
      <c r="RQX47" s="1318"/>
      <c r="RQY47" s="1318"/>
      <c r="RQZ47" s="1318"/>
      <c r="RRA47" s="1318"/>
      <c r="RRB47" s="1318"/>
      <c r="RRC47" s="1318"/>
      <c r="RRD47" s="1373"/>
      <c r="RRE47" s="1318"/>
      <c r="RRF47" s="1318"/>
      <c r="RRG47" s="1318"/>
      <c r="RRH47" s="1318"/>
      <c r="RRI47" s="1318"/>
      <c r="RRJ47" s="1318"/>
      <c r="RRK47" s="1318"/>
      <c r="RRL47" s="1318"/>
      <c r="RRM47" s="1318"/>
      <c r="RRN47" s="1318"/>
      <c r="RRO47" s="1373"/>
      <c r="RRP47" s="1318"/>
      <c r="RRQ47" s="1318"/>
      <c r="RRR47" s="1318"/>
      <c r="RRS47" s="1318"/>
      <c r="RRT47" s="1318"/>
      <c r="RRU47" s="1318"/>
      <c r="RRV47" s="1318"/>
      <c r="RRW47" s="1318"/>
      <c r="RRX47" s="1318"/>
      <c r="RRY47" s="1318"/>
      <c r="RRZ47" s="1373"/>
      <c r="RSA47" s="1318"/>
      <c r="RSB47" s="1318"/>
      <c r="RSC47" s="1318"/>
      <c r="RSD47" s="1318"/>
      <c r="RSE47" s="1318"/>
      <c r="RSF47" s="1318"/>
      <c r="RSG47" s="1318"/>
      <c r="RSH47" s="1318"/>
      <c r="RSI47" s="1318"/>
      <c r="RSJ47" s="1318"/>
      <c r="RSK47" s="1373"/>
      <c r="RSL47" s="1318"/>
      <c r="RSM47" s="1318"/>
      <c r="RSN47" s="1318"/>
      <c r="RSO47" s="1318"/>
      <c r="RSP47" s="1318"/>
      <c r="RSQ47" s="1318"/>
      <c r="RSR47" s="1318"/>
      <c r="RSS47" s="1318"/>
      <c r="RST47" s="1318"/>
      <c r="RSU47" s="1318"/>
      <c r="RSV47" s="1373"/>
      <c r="RSW47" s="1318"/>
      <c r="RSX47" s="1318"/>
      <c r="RSY47" s="1318"/>
      <c r="RSZ47" s="1318"/>
      <c r="RTA47" s="1318"/>
      <c r="RTB47" s="1318"/>
      <c r="RTC47" s="1318"/>
      <c r="RTD47" s="1318"/>
      <c r="RTE47" s="1318"/>
      <c r="RTF47" s="1318"/>
      <c r="RTG47" s="1373"/>
      <c r="RTH47" s="1318"/>
      <c r="RTI47" s="1318"/>
      <c r="RTJ47" s="1318"/>
      <c r="RTK47" s="1318"/>
      <c r="RTL47" s="1318"/>
      <c r="RTM47" s="1318"/>
      <c r="RTN47" s="1318"/>
      <c r="RTO47" s="1318"/>
      <c r="RTP47" s="1318"/>
      <c r="RTQ47" s="1318"/>
      <c r="RTR47" s="1373"/>
      <c r="RTS47" s="1318"/>
      <c r="RTT47" s="1318"/>
      <c r="RTU47" s="1318"/>
      <c r="RTV47" s="1318"/>
      <c r="RTW47" s="1318"/>
      <c r="RTX47" s="1318"/>
      <c r="RTY47" s="1318"/>
      <c r="RTZ47" s="1318"/>
      <c r="RUA47" s="1318"/>
      <c r="RUB47" s="1318"/>
      <c r="RUC47" s="1373"/>
      <c r="RUD47" s="1318"/>
      <c r="RUE47" s="1318"/>
      <c r="RUF47" s="1318"/>
      <c r="RUG47" s="1318"/>
      <c r="RUH47" s="1318"/>
      <c r="RUI47" s="1318"/>
      <c r="RUJ47" s="1318"/>
      <c r="RUK47" s="1318"/>
      <c r="RUL47" s="1318"/>
      <c r="RUM47" s="1318"/>
      <c r="RUN47" s="1373"/>
      <c r="RUO47" s="1318"/>
      <c r="RUP47" s="1318"/>
      <c r="RUQ47" s="1318"/>
      <c r="RUR47" s="1318"/>
      <c r="RUS47" s="1318"/>
      <c r="RUT47" s="1318"/>
      <c r="RUU47" s="1318"/>
      <c r="RUV47" s="1318"/>
      <c r="RUW47" s="1318"/>
      <c r="RUX47" s="1318"/>
      <c r="RUY47" s="1373"/>
      <c r="RUZ47" s="1318"/>
      <c r="RVA47" s="1318"/>
      <c r="RVB47" s="1318"/>
      <c r="RVC47" s="1318"/>
      <c r="RVD47" s="1318"/>
      <c r="RVE47" s="1318"/>
      <c r="RVF47" s="1318"/>
      <c r="RVG47" s="1318"/>
      <c r="RVH47" s="1318"/>
      <c r="RVI47" s="1318"/>
      <c r="RVJ47" s="1373"/>
      <c r="RVK47" s="1318"/>
      <c r="RVL47" s="1318"/>
      <c r="RVM47" s="1318"/>
      <c r="RVN47" s="1318"/>
      <c r="RVO47" s="1318"/>
      <c r="RVP47" s="1318"/>
      <c r="RVQ47" s="1318"/>
      <c r="RVR47" s="1318"/>
      <c r="RVS47" s="1318"/>
      <c r="RVT47" s="1318"/>
      <c r="RVU47" s="1373"/>
      <c r="RVV47" s="1318"/>
      <c r="RVW47" s="1318"/>
      <c r="RVX47" s="1318"/>
      <c r="RVY47" s="1318"/>
      <c r="RVZ47" s="1318"/>
      <c r="RWA47" s="1318"/>
      <c r="RWB47" s="1318"/>
      <c r="RWC47" s="1318"/>
      <c r="RWD47" s="1318"/>
      <c r="RWE47" s="1318"/>
      <c r="RWF47" s="1373"/>
      <c r="RWG47" s="1318"/>
      <c r="RWH47" s="1318"/>
      <c r="RWI47" s="1318"/>
      <c r="RWJ47" s="1318"/>
      <c r="RWK47" s="1318"/>
      <c r="RWL47" s="1318"/>
      <c r="RWM47" s="1318"/>
      <c r="RWN47" s="1318"/>
      <c r="RWO47" s="1318"/>
      <c r="RWP47" s="1318"/>
      <c r="RWQ47" s="1373"/>
      <c r="RWR47" s="1318"/>
      <c r="RWS47" s="1318"/>
      <c r="RWT47" s="1318"/>
      <c r="RWU47" s="1318"/>
      <c r="RWV47" s="1318"/>
      <c r="RWW47" s="1318"/>
      <c r="RWX47" s="1318"/>
      <c r="RWY47" s="1318"/>
      <c r="RWZ47" s="1318"/>
      <c r="RXA47" s="1318"/>
      <c r="RXB47" s="1373"/>
      <c r="RXC47" s="1318"/>
      <c r="RXD47" s="1318"/>
      <c r="RXE47" s="1318"/>
      <c r="RXF47" s="1318"/>
      <c r="RXG47" s="1318"/>
      <c r="RXH47" s="1318"/>
      <c r="RXI47" s="1318"/>
      <c r="RXJ47" s="1318"/>
      <c r="RXK47" s="1318"/>
      <c r="RXL47" s="1318"/>
      <c r="RXM47" s="1373"/>
      <c r="RXN47" s="1318"/>
      <c r="RXO47" s="1318"/>
      <c r="RXP47" s="1318"/>
      <c r="RXQ47" s="1318"/>
      <c r="RXR47" s="1318"/>
      <c r="RXS47" s="1318"/>
      <c r="RXT47" s="1318"/>
      <c r="RXU47" s="1318"/>
      <c r="RXV47" s="1318"/>
      <c r="RXW47" s="1318"/>
      <c r="RXX47" s="1373"/>
      <c r="RXY47" s="1318"/>
      <c r="RXZ47" s="1318"/>
      <c r="RYA47" s="1318"/>
      <c r="RYB47" s="1318"/>
      <c r="RYC47" s="1318"/>
      <c r="RYD47" s="1318"/>
      <c r="RYE47" s="1318"/>
      <c r="RYF47" s="1318"/>
      <c r="RYG47" s="1318"/>
      <c r="RYH47" s="1318"/>
      <c r="RYI47" s="1373"/>
      <c r="RYJ47" s="1318"/>
      <c r="RYK47" s="1318"/>
      <c r="RYL47" s="1318"/>
      <c r="RYM47" s="1318"/>
      <c r="RYN47" s="1318"/>
      <c r="RYO47" s="1318"/>
      <c r="RYP47" s="1318"/>
      <c r="RYQ47" s="1318"/>
      <c r="RYR47" s="1318"/>
      <c r="RYS47" s="1318"/>
      <c r="RYT47" s="1373"/>
      <c r="RYU47" s="1318"/>
      <c r="RYV47" s="1318"/>
      <c r="RYW47" s="1318"/>
      <c r="RYX47" s="1318"/>
      <c r="RYY47" s="1318"/>
      <c r="RYZ47" s="1318"/>
      <c r="RZA47" s="1318"/>
      <c r="RZB47" s="1318"/>
      <c r="RZC47" s="1318"/>
      <c r="RZD47" s="1318"/>
      <c r="RZE47" s="1373"/>
      <c r="RZF47" s="1318"/>
      <c r="RZG47" s="1318"/>
      <c r="RZH47" s="1318"/>
      <c r="RZI47" s="1318"/>
      <c r="RZJ47" s="1318"/>
      <c r="RZK47" s="1318"/>
      <c r="RZL47" s="1318"/>
      <c r="RZM47" s="1318"/>
      <c r="RZN47" s="1318"/>
      <c r="RZO47" s="1318"/>
      <c r="RZP47" s="1373"/>
      <c r="RZQ47" s="1318"/>
      <c r="RZR47" s="1318"/>
      <c r="RZS47" s="1318"/>
      <c r="RZT47" s="1318"/>
      <c r="RZU47" s="1318"/>
      <c r="RZV47" s="1318"/>
      <c r="RZW47" s="1318"/>
      <c r="RZX47" s="1318"/>
      <c r="RZY47" s="1318"/>
      <c r="RZZ47" s="1318"/>
      <c r="SAA47" s="1373"/>
      <c r="SAB47" s="1318"/>
      <c r="SAC47" s="1318"/>
      <c r="SAD47" s="1318"/>
      <c r="SAE47" s="1318"/>
      <c r="SAF47" s="1318"/>
      <c r="SAG47" s="1318"/>
      <c r="SAH47" s="1318"/>
      <c r="SAI47" s="1318"/>
      <c r="SAJ47" s="1318"/>
      <c r="SAK47" s="1318"/>
      <c r="SAL47" s="1373"/>
      <c r="SAM47" s="1318"/>
      <c r="SAN47" s="1318"/>
      <c r="SAO47" s="1318"/>
      <c r="SAP47" s="1318"/>
      <c r="SAQ47" s="1318"/>
      <c r="SAR47" s="1318"/>
      <c r="SAS47" s="1318"/>
      <c r="SAT47" s="1318"/>
      <c r="SAU47" s="1318"/>
      <c r="SAV47" s="1318"/>
      <c r="SAW47" s="1373"/>
      <c r="SAX47" s="1318"/>
      <c r="SAY47" s="1318"/>
      <c r="SAZ47" s="1318"/>
      <c r="SBA47" s="1318"/>
      <c r="SBB47" s="1318"/>
      <c r="SBC47" s="1318"/>
      <c r="SBD47" s="1318"/>
      <c r="SBE47" s="1318"/>
      <c r="SBF47" s="1318"/>
      <c r="SBG47" s="1318"/>
      <c r="SBH47" s="1373"/>
      <c r="SBI47" s="1318"/>
      <c r="SBJ47" s="1318"/>
      <c r="SBK47" s="1318"/>
      <c r="SBL47" s="1318"/>
      <c r="SBM47" s="1318"/>
      <c r="SBN47" s="1318"/>
      <c r="SBO47" s="1318"/>
      <c r="SBP47" s="1318"/>
      <c r="SBQ47" s="1318"/>
      <c r="SBR47" s="1318"/>
      <c r="SBS47" s="1373"/>
      <c r="SBT47" s="1318"/>
      <c r="SBU47" s="1318"/>
      <c r="SBV47" s="1318"/>
      <c r="SBW47" s="1318"/>
      <c r="SBX47" s="1318"/>
      <c r="SBY47" s="1318"/>
      <c r="SBZ47" s="1318"/>
      <c r="SCA47" s="1318"/>
      <c r="SCB47" s="1318"/>
      <c r="SCC47" s="1318"/>
      <c r="SCD47" s="1373"/>
      <c r="SCE47" s="1318"/>
      <c r="SCF47" s="1318"/>
      <c r="SCG47" s="1318"/>
      <c r="SCH47" s="1318"/>
      <c r="SCI47" s="1318"/>
      <c r="SCJ47" s="1318"/>
      <c r="SCK47" s="1318"/>
      <c r="SCL47" s="1318"/>
      <c r="SCM47" s="1318"/>
      <c r="SCN47" s="1318"/>
      <c r="SCO47" s="1373"/>
      <c r="SCP47" s="1318"/>
      <c r="SCQ47" s="1318"/>
      <c r="SCR47" s="1318"/>
      <c r="SCS47" s="1318"/>
      <c r="SCT47" s="1318"/>
      <c r="SCU47" s="1318"/>
      <c r="SCV47" s="1318"/>
      <c r="SCW47" s="1318"/>
      <c r="SCX47" s="1318"/>
      <c r="SCY47" s="1318"/>
      <c r="SCZ47" s="1373"/>
      <c r="SDA47" s="1318"/>
      <c r="SDB47" s="1318"/>
      <c r="SDC47" s="1318"/>
      <c r="SDD47" s="1318"/>
      <c r="SDE47" s="1318"/>
      <c r="SDF47" s="1318"/>
      <c r="SDG47" s="1318"/>
      <c r="SDH47" s="1318"/>
      <c r="SDI47" s="1318"/>
      <c r="SDJ47" s="1318"/>
      <c r="SDK47" s="1373"/>
      <c r="SDL47" s="1318"/>
      <c r="SDM47" s="1318"/>
      <c r="SDN47" s="1318"/>
      <c r="SDO47" s="1318"/>
      <c r="SDP47" s="1318"/>
      <c r="SDQ47" s="1318"/>
      <c r="SDR47" s="1318"/>
      <c r="SDS47" s="1318"/>
      <c r="SDT47" s="1318"/>
      <c r="SDU47" s="1318"/>
      <c r="SDV47" s="1373"/>
      <c r="SDW47" s="1318"/>
      <c r="SDX47" s="1318"/>
      <c r="SDY47" s="1318"/>
      <c r="SDZ47" s="1318"/>
      <c r="SEA47" s="1318"/>
      <c r="SEB47" s="1318"/>
      <c r="SEC47" s="1318"/>
      <c r="SED47" s="1318"/>
      <c r="SEE47" s="1318"/>
      <c r="SEF47" s="1318"/>
      <c r="SEG47" s="1373"/>
      <c r="SEH47" s="1318"/>
      <c r="SEI47" s="1318"/>
      <c r="SEJ47" s="1318"/>
      <c r="SEK47" s="1318"/>
      <c r="SEL47" s="1318"/>
      <c r="SEM47" s="1318"/>
      <c r="SEN47" s="1318"/>
      <c r="SEO47" s="1318"/>
      <c r="SEP47" s="1318"/>
      <c r="SEQ47" s="1318"/>
      <c r="SER47" s="1373"/>
      <c r="SES47" s="1318"/>
      <c r="SET47" s="1318"/>
      <c r="SEU47" s="1318"/>
      <c r="SEV47" s="1318"/>
      <c r="SEW47" s="1318"/>
      <c r="SEX47" s="1318"/>
      <c r="SEY47" s="1318"/>
      <c r="SEZ47" s="1318"/>
      <c r="SFA47" s="1318"/>
      <c r="SFB47" s="1318"/>
      <c r="SFC47" s="1373"/>
      <c r="SFD47" s="1318"/>
      <c r="SFE47" s="1318"/>
      <c r="SFF47" s="1318"/>
      <c r="SFG47" s="1318"/>
      <c r="SFH47" s="1318"/>
      <c r="SFI47" s="1318"/>
      <c r="SFJ47" s="1318"/>
      <c r="SFK47" s="1318"/>
      <c r="SFL47" s="1318"/>
      <c r="SFM47" s="1318"/>
      <c r="SFN47" s="1373"/>
      <c r="SFO47" s="1318"/>
      <c r="SFP47" s="1318"/>
      <c r="SFQ47" s="1318"/>
      <c r="SFR47" s="1318"/>
      <c r="SFS47" s="1318"/>
      <c r="SFT47" s="1318"/>
      <c r="SFU47" s="1318"/>
      <c r="SFV47" s="1318"/>
      <c r="SFW47" s="1318"/>
      <c r="SFX47" s="1318"/>
      <c r="SFY47" s="1373"/>
      <c r="SFZ47" s="1318"/>
      <c r="SGA47" s="1318"/>
      <c r="SGB47" s="1318"/>
      <c r="SGC47" s="1318"/>
      <c r="SGD47" s="1318"/>
      <c r="SGE47" s="1318"/>
      <c r="SGF47" s="1318"/>
      <c r="SGG47" s="1318"/>
      <c r="SGH47" s="1318"/>
      <c r="SGI47" s="1318"/>
      <c r="SGJ47" s="1373"/>
      <c r="SGK47" s="1318"/>
      <c r="SGL47" s="1318"/>
      <c r="SGM47" s="1318"/>
      <c r="SGN47" s="1318"/>
      <c r="SGO47" s="1318"/>
      <c r="SGP47" s="1318"/>
      <c r="SGQ47" s="1318"/>
      <c r="SGR47" s="1318"/>
      <c r="SGS47" s="1318"/>
      <c r="SGT47" s="1318"/>
      <c r="SGU47" s="1373"/>
      <c r="SGV47" s="1318"/>
      <c r="SGW47" s="1318"/>
      <c r="SGX47" s="1318"/>
      <c r="SGY47" s="1318"/>
      <c r="SGZ47" s="1318"/>
      <c r="SHA47" s="1318"/>
      <c r="SHB47" s="1318"/>
      <c r="SHC47" s="1318"/>
      <c r="SHD47" s="1318"/>
      <c r="SHE47" s="1318"/>
      <c r="SHF47" s="1373"/>
      <c r="SHG47" s="1318"/>
      <c r="SHH47" s="1318"/>
      <c r="SHI47" s="1318"/>
      <c r="SHJ47" s="1318"/>
      <c r="SHK47" s="1318"/>
      <c r="SHL47" s="1318"/>
      <c r="SHM47" s="1318"/>
      <c r="SHN47" s="1318"/>
      <c r="SHO47" s="1318"/>
      <c r="SHP47" s="1318"/>
      <c r="SHQ47" s="1373"/>
      <c r="SHR47" s="1318"/>
      <c r="SHS47" s="1318"/>
      <c r="SHT47" s="1318"/>
      <c r="SHU47" s="1318"/>
      <c r="SHV47" s="1318"/>
      <c r="SHW47" s="1318"/>
      <c r="SHX47" s="1318"/>
      <c r="SHY47" s="1318"/>
      <c r="SHZ47" s="1318"/>
      <c r="SIA47" s="1318"/>
      <c r="SIB47" s="1373"/>
      <c r="SIC47" s="1318"/>
      <c r="SID47" s="1318"/>
      <c r="SIE47" s="1318"/>
      <c r="SIF47" s="1318"/>
      <c r="SIG47" s="1318"/>
      <c r="SIH47" s="1318"/>
      <c r="SII47" s="1318"/>
      <c r="SIJ47" s="1318"/>
      <c r="SIK47" s="1318"/>
      <c r="SIL47" s="1318"/>
      <c r="SIM47" s="1373"/>
      <c r="SIN47" s="1318"/>
      <c r="SIO47" s="1318"/>
      <c r="SIP47" s="1318"/>
      <c r="SIQ47" s="1318"/>
      <c r="SIR47" s="1318"/>
      <c r="SIS47" s="1318"/>
      <c r="SIT47" s="1318"/>
      <c r="SIU47" s="1318"/>
      <c r="SIV47" s="1318"/>
      <c r="SIW47" s="1318"/>
      <c r="SIX47" s="1373"/>
      <c r="SIY47" s="1318"/>
      <c r="SIZ47" s="1318"/>
      <c r="SJA47" s="1318"/>
      <c r="SJB47" s="1318"/>
      <c r="SJC47" s="1318"/>
      <c r="SJD47" s="1318"/>
      <c r="SJE47" s="1318"/>
      <c r="SJF47" s="1318"/>
      <c r="SJG47" s="1318"/>
      <c r="SJH47" s="1318"/>
      <c r="SJI47" s="1373"/>
      <c r="SJJ47" s="1318"/>
      <c r="SJK47" s="1318"/>
      <c r="SJL47" s="1318"/>
      <c r="SJM47" s="1318"/>
      <c r="SJN47" s="1318"/>
      <c r="SJO47" s="1318"/>
      <c r="SJP47" s="1318"/>
      <c r="SJQ47" s="1318"/>
      <c r="SJR47" s="1318"/>
      <c r="SJS47" s="1318"/>
      <c r="SJT47" s="1373"/>
      <c r="SJU47" s="1318"/>
      <c r="SJV47" s="1318"/>
      <c r="SJW47" s="1318"/>
      <c r="SJX47" s="1318"/>
      <c r="SJY47" s="1318"/>
      <c r="SJZ47" s="1318"/>
      <c r="SKA47" s="1318"/>
      <c r="SKB47" s="1318"/>
      <c r="SKC47" s="1318"/>
      <c r="SKD47" s="1318"/>
      <c r="SKE47" s="1373"/>
      <c r="SKF47" s="1318"/>
      <c r="SKG47" s="1318"/>
      <c r="SKH47" s="1318"/>
      <c r="SKI47" s="1318"/>
      <c r="SKJ47" s="1318"/>
      <c r="SKK47" s="1318"/>
      <c r="SKL47" s="1318"/>
      <c r="SKM47" s="1318"/>
      <c r="SKN47" s="1318"/>
      <c r="SKO47" s="1318"/>
      <c r="SKP47" s="1373"/>
      <c r="SKQ47" s="1318"/>
      <c r="SKR47" s="1318"/>
      <c r="SKS47" s="1318"/>
      <c r="SKT47" s="1318"/>
      <c r="SKU47" s="1318"/>
      <c r="SKV47" s="1318"/>
      <c r="SKW47" s="1318"/>
      <c r="SKX47" s="1318"/>
      <c r="SKY47" s="1318"/>
      <c r="SKZ47" s="1318"/>
      <c r="SLA47" s="1373"/>
      <c r="SLB47" s="1318"/>
      <c r="SLC47" s="1318"/>
      <c r="SLD47" s="1318"/>
      <c r="SLE47" s="1318"/>
      <c r="SLF47" s="1318"/>
      <c r="SLG47" s="1318"/>
      <c r="SLH47" s="1318"/>
      <c r="SLI47" s="1318"/>
      <c r="SLJ47" s="1318"/>
      <c r="SLK47" s="1318"/>
      <c r="SLL47" s="1373"/>
      <c r="SLM47" s="1318"/>
      <c r="SLN47" s="1318"/>
      <c r="SLO47" s="1318"/>
      <c r="SLP47" s="1318"/>
      <c r="SLQ47" s="1318"/>
      <c r="SLR47" s="1318"/>
      <c r="SLS47" s="1318"/>
      <c r="SLT47" s="1318"/>
      <c r="SLU47" s="1318"/>
      <c r="SLV47" s="1318"/>
      <c r="SLW47" s="1373"/>
      <c r="SLX47" s="1318"/>
      <c r="SLY47" s="1318"/>
      <c r="SLZ47" s="1318"/>
      <c r="SMA47" s="1318"/>
      <c r="SMB47" s="1318"/>
      <c r="SMC47" s="1318"/>
      <c r="SMD47" s="1318"/>
      <c r="SME47" s="1318"/>
      <c r="SMF47" s="1318"/>
      <c r="SMG47" s="1318"/>
      <c r="SMH47" s="1373"/>
      <c r="SMI47" s="1318"/>
      <c r="SMJ47" s="1318"/>
      <c r="SMK47" s="1318"/>
      <c r="SML47" s="1318"/>
      <c r="SMM47" s="1318"/>
      <c r="SMN47" s="1318"/>
      <c r="SMO47" s="1318"/>
      <c r="SMP47" s="1318"/>
      <c r="SMQ47" s="1318"/>
      <c r="SMR47" s="1318"/>
      <c r="SMS47" s="1373"/>
      <c r="SMT47" s="1318"/>
      <c r="SMU47" s="1318"/>
      <c r="SMV47" s="1318"/>
      <c r="SMW47" s="1318"/>
      <c r="SMX47" s="1318"/>
      <c r="SMY47" s="1318"/>
      <c r="SMZ47" s="1318"/>
      <c r="SNA47" s="1318"/>
      <c r="SNB47" s="1318"/>
      <c r="SNC47" s="1318"/>
      <c r="SND47" s="1373"/>
      <c r="SNE47" s="1318"/>
      <c r="SNF47" s="1318"/>
      <c r="SNG47" s="1318"/>
      <c r="SNH47" s="1318"/>
      <c r="SNI47" s="1318"/>
      <c r="SNJ47" s="1318"/>
      <c r="SNK47" s="1318"/>
      <c r="SNL47" s="1318"/>
      <c r="SNM47" s="1318"/>
      <c r="SNN47" s="1318"/>
      <c r="SNO47" s="1373"/>
      <c r="SNP47" s="1318"/>
      <c r="SNQ47" s="1318"/>
      <c r="SNR47" s="1318"/>
      <c r="SNS47" s="1318"/>
      <c r="SNT47" s="1318"/>
      <c r="SNU47" s="1318"/>
      <c r="SNV47" s="1318"/>
      <c r="SNW47" s="1318"/>
      <c r="SNX47" s="1318"/>
      <c r="SNY47" s="1318"/>
      <c r="SNZ47" s="1373"/>
      <c r="SOA47" s="1318"/>
      <c r="SOB47" s="1318"/>
      <c r="SOC47" s="1318"/>
      <c r="SOD47" s="1318"/>
      <c r="SOE47" s="1318"/>
      <c r="SOF47" s="1318"/>
      <c r="SOG47" s="1318"/>
      <c r="SOH47" s="1318"/>
      <c r="SOI47" s="1318"/>
      <c r="SOJ47" s="1318"/>
      <c r="SOK47" s="1373"/>
      <c r="SOL47" s="1318"/>
      <c r="SOM47" s="1318"/>
      <c r="SON47" s="1318"/>
      <c r="SOO47" s="1318"/>
      <c r="SOP47" s="1318"/>
      <c r="SOQ47" s="1318"/>
      <c r="SOR47" s="1318"/>
      <c r="SOS47" s="1318"/>
      <c r="SOT47" s="1318"/>
      <c r="SOU47" s="1318"/>
      <c r="SOV47" s="1373"/>
      <c r="SOW47" s="1318"/>
      <c r="SOX47" s="1318"/>
      <c r="SOY47" s="1318"/>
      <c r="SOZ47" s="1318"/>
      <c r="SPA47" s="1318"/>
      <c r="SPB47" s="1318"/>
      <c r="SPC47" s="1318"/>
      <c r="SPD47" s="1318"/>
      <c r="SPE47" s="1318"/>
      <c r="SPF47" s="1318"/>
      <c r="SPG47" s="1373"/>
      <c r="SPH47" s="1318"/>
      <c r="SPI47" s="1318"/>
      <c r="SPJ47" s="1318"/>
      <c r="SPK47" s="1318"/>
      <c r="SPL47" s="1318"/>
      <c r="SPM47" s="1318"/>
      <c r="SPN47" s="1318"/>
      <c r="SPO47" s="1318"/>
      <c r="SPP47" s="1318"/>
      <c r="SPQ47" s="1318"/>
      <c r="SPR47" s="1373"/>
      <c r="SPS47" s="1318"/>
      <c r="SPT47" s="1318"/>
      <c r="SPU47" s="1318"/>
      <c r="SPV47" s="1318"/>
      <c r="SPW47" s="1318"/>
      <c r="SPX47" s="1318"/>
      <c r="SPY47" s="1318"/>
      <c r="SPZ47" s="1318"/>
      <c r="SQA47" s="1318"/>
      <c r="SQB47" s="1318"/>
      <c r="SQC47" s="1373"/>
      <c r="SQD47" s="1318"/>
      <c r="SQE47" s="1318"/>
      <c r="SQF47" s="1318"/>
      <c r="SQG47" s="1318"/>
      <c r="SQH47" s="1318"/>
      <c r="SQI47" s="1318"/>
      <c r="SQJ47" s="1318"/>
      <c r="SQK47" s="1318"/>
      <c r="SQL47" s="1318"/>
      <c r="SQM47" s="1318"/>
      <c r="SQN47" s="1373"/>
      <c r="SQO47" s="1318"/>
      <c r="SQP47" s="1318"/>
      <c r="SQQ47" s="1318"/>
      <c r="SQR47" s="1318"/>
      <c r="SQS47" s="1318"/>
      <c r="SQT47" s="1318"/>
      <c r="SQU47" s="1318"/>
      <c r="SQV47" s="1318"/>
      <c r="SQW47" s="1318"/>
      <c r="SQX47" s="1318"/>
      <c r="SQY47" s="1373"/>
      <c r="SQZ47" s="1318"/>
      <c r="SRA47" s="1318"/>
      <c r="SRB47" s="1318"/>
      <c r="SRC47" s="1318"/>
      <c r="SRD47" s="1318"/>
      <c r="SRE47" s="1318"/>
      <c r="SRF47" s="1318"/>
      <c r="SRG47" s="1318"/>
      <c r="SRH47" s="1318"/>
      <c r="SRI47" s="1318"/>
      <c r="SRJ47" s="1373"/>
      <c r="SRK47" s="1318"/>
      <c r="SRL47" s="1318"/>
      <c r="SRM47" s="1318"/>
      <c r="SRN47" s="1318"/>
      <c r="SRO47" s="1318"/>
      <c r="SRP47" s="1318"/>
      <c r="SRQ47" s="1318"/>
      <c r="SRR47" s="1318"/>
      <c r="SRS47" s="1318"/>
      <c r="SRT47" s="1318"/>
      <c r="SRU47" s="1373"/>
      <c r="SRV47" s="1318"/>
      <c r="SRW47" s="1318"/>
      <c r="SRX47" s="1318"/>
      <c r="SRY47" s="1318"/>
      <c r="SRZ47" s="1318"/>
      <c r="SSA47" s="1318"/>
      <c r="SSB47" s="1318"/>
      <c r="SSC47" s="1318"/>
      <c r="SSD47" s="1318"/>
      <c r="SSE47" s="1318"/>
      <c r="SSF47" s="1373"/>
      <c r="SSG47" s="1318"/>
      <c r="SSH47" s="1318"/>
      <c r="SSI47" s="1318"/>
      <c r="SSJ47" s="1318"/>
      <c r="SSK47" s="1318"/>
      <c r="SSL47" s="1318"/>
      <c r="SSM47" s="1318"/>
      <c r="SSN47" s="1318"/>
      <c r="SSO47" s="1318"/>
      <c r="SSP47" s="1318"/>
      <c r="SSQ47" s="1373"/>
      <c r="SSR47" s="1318"/>
      <c r="SSS47" s="1318"/>
      <c r="SST47" s="1318"/>
      <c r="SSU47" s="1318"/>
      <c r="SSV47" s="1318"/>
      <c r="SSW47" s="1318"/>
      <c r="SSX47" s="1318"/>
      <c r="SSY47" s="1318"/>
      <c r="SSZ47" s="1318"/>
      <c r="STA47" s="1318"/>
      <c r="STB47" s="1373"/>
      <c r="STC47" s="1318"/>
      <c r="STD47" s="1318"/>
      <c r="STE47" s="1318"/>
      <c r="STF47" s="1318"/>
      <c r="STG47" s="1318"/>
      <c r="STH47" s="1318"/>
      <c r="STI47" s="1318"/>
      <c r="STJ47" s="1318"/>
      <c r="STK47" s="1318"/>
      <c r="STL47" s="1318"/>
      <c r="STM47" s="1373"/>
      <c r="STN47" s="1318"/>
      <c r="STO47" s="1318"/>
      <c r="STP47" s="1318"/>
      <c r="STQ47" s="1318"/>
      <c r="STR47" s="1318"/>
      <c r="STS47" s="1318"/>
      <c r="STT47" s="1318"/>
      <c r="STU47" s="1318"/>
      <c r="STV47" s="1318"/>
      <c r="STW47" s="1318"/>
      <c r="STX47" s="1373"/>
      <c r="STY47" s="1318"/>
      <c r="STZ47" s="1318"/>
      <c r="SUA47" s="1318"/>
      <c r="SUB47" s="1318"/>
      <c r="SUC47" s="1318"/>
      <c r="SUD47" s="1318"/>
      <c r="SUE47" s="1318"/>
      <c r="SUF47" s="1318"/>
      <c r="SUG47" s="1318"/>
      <c r="SUH47" s="1318"/>
      <c r="SUI47" s="1373"/>
      <c r="SUJ47" s="1318"/>
      <c r="SUK47" s="1318"/>
      <c r="SUL47" s="1318"/>
      <c r="SUM47" s="1318"/>
      <c r="SUN47" s="1318"/>
      <c r="SUO47" s="1318"/>
      <c r="SUP47" s="1318"/>
      <c r="SUQ47" s="1318"/>
      <c r="SUR47" s="1318"/>
      <c r="SUS47" s="1318"/>
      <c r="SUT47" s="1373"/>
      <c r="SUU47" s="1318"/>
      <c r="SUV47" s="1318"/>
      <c r="SUW47" s="1318"/>
      <c r="SUX47" s="1318"/>
      <c r="SUY47" s="1318"/>
      <c r="SUZ47" s="1318"/>
      <c r="SVA47" s="1318"/>
      <c r="SVB47" s="1318"/>
      <c r="SVC47" s="1318"/>
      <c r="SVD47" s="1318"/>
      <c r="SVE47" s="1373"/>
      <c r="SVF47" s="1318"/>
      <c r="SVG47" s="1318"/>
      <c r="SVH47" s="1318"/>
      <c r="SVI47" s="1318"/>
      <c r="SVJ47" s="1318"/>
      <c r="SVK47" s="1318"/>
      <c r="SVL47" s="1318"/>
      <c r="SVM47" s="1318"/>
      <c r="SVN47" s="1318"/>
      <c r="SVO47" s="1318"/>
      <c r="SVP47" s="1373"/>
      <c r="SVQ47" s="1318"/>
      <c r="SVR47" s="1318"/>
      <c r="SVS47" s="1318"/>
      <c r="SVT47" s="1318"/>
      <c r="SVU47" s="1318"/>
      <c r="SVV47" s="1318"/>
      <c r="SVW47" s="1318"/>
      <c r="SVX47" s="1318"/>
      <c r="SVY47" s="1318"/>
      <c r="SVZ47" s="1318"/>
      <c r="SWA47" s="1373"/>
      <c r="SWB47" s="1318"/>
      <c r="SWC47" s="1318"/>
      <c r="SWD47" s="1318"/>
      <c r="SWE47" s="1318"/>
      <c r="SWF47" s="1318"/>
      <c r="SWG47" s="1318"/>
      <c r="SWH47" s="1318"/>
      <c r="SWI47" s="1318"/>
      <c r="SWJ47" s="1318"/>
      <c r="SWK47" s="1318"/>
      <c r="SWL47" s="1373"/>
      <c r="SWM47" s="1318"/>
      <c r="SWN47" s="1318"/>
      <c r="SWO47" s="1318"/>
      <c r="SWP47" s="1318"/>
      <c r="SWQ47" s="1318"/>
      <c r="SWR47" s="1318"/>
      <c r="SWS47" s="1318"/>
      <c r="SWT47" s="1318"/>
      <c r="SWU47" s="1318"/>
      <c r="SWV47" s="1318"/>
      <c r="SWW47" s="1373"/>
      <c r="SWX47" s="1318"/>
      <c r="SWY47" s="1318"/>
      <c r="SWZ47" s="1318"/>
      <c r="SXA47" s="1318"/>
      <c r="SXB47" s="1318"/>
      <c r="SXC47" s="1318"/>
      <c r="SXD47" s="1318"/>
      <c r="SXE47" s="1318"/>
      <c r="SXF47" s="1318"/>
      <c r="SXG47" s="1318"/>
      <c r="SXH47" s="1373"/>
      <c r="SXI47" s="1318"/>
      <c r="SXJ47" s="1318"/>
      <c r="SXK47" s="1318"/>
      <c r="SXL47" s="1318"/>
      <c r="SXM47" s="1318"/>
      <c r="SXN47" s="1318"/>
      <c r="SXO47" s="1318"/>
      <c r="SXP47" s="1318"/>
      <c r="SXQ47" s="1318"/>
      <c r="SXR47" s="1318"/>
      <c r="SXS47" s="1373"/>
      <c r="SXT47" s="1318"/>
      <c r="SXU47" s="1318"/>
      <c r="SXV47" s="1318"/>
      <c r="SXW47" s="1318"/>
      <c r="SXX47" s="1318"/>
      <c r="SXY47" s="1318"/>
      <c r="SXZ47" s="1318"/>
      <c r="SYA47" s="1318"/>
      <c r="SYB47" s="1318"/>
      <c r="SYC47" s="1318"/>
      <c r="SYD47" s="1373"/>
      <c r="SYE47" s="1318"/>
      <c r="SYF47" s="1318"/>
      <c r="SYG47" s="1318"/>
      <c r="SYH47" s="1318"/>
      <c r="SYI47" s="1318"/>
      <c r="SYJ47" s="1318"/>
      <c r="SYK47" s="1318"/>
      <c r="SYL47" s="1318"/>
      <c r="SYM47" s="1318"/>
      <c r="SYN47" s="1318"/>
      <c r="SYO47" s="1373"/>
      <c r="SYP47" s="1318"/>
      <c r="SYQ47" s="1318"/>
      <c r="SYR47" s="1318"/>
      <c r="SYS47" s="1318"/>
      <c r="SYT47" s="1318"/>
      <c r="SYU47" s="1318"/>
      <c r="SYV47" s="1318"/>
      <c r="SYW47" s="1318"/>
      <c r="SYX47" s="1318"/>
      <c r="SYY47" s="1318"/>
      <c r="SYZ47" s="1373"/>
      <c r="SZA47" s="1318"/>
      <c r="SZB47" s="1318"/>
      <c r="SZC47" s="1318"/>
      <c r="SZD47" s="1318"/>
      <c r="SZE47" s="1318"/>
      <c r="SZF47" s="1318"/>
      <c r="SZG47" s="1318"/>
      <c r="SZH47" s="1318"/>
      <c r="SZI47" s="1318"/>
      <c r="SZJ47" s="1318"/>
      <c r="SZK47" s="1373"/>
      <c r="SZL47" s="1318"/>
      <c r="SZM47" s="1318"/>
      <c r="SZN47" s="1318"/>
      <c r="SZO47" s="1318"/>
      <c r="SZP47" s="1318"/>
      <c r="SZQ47" s="1318"/>
      <c r="SZR47" s="1318"/>
      <c r="SZS47" s="1318"/>
      <c r="SZT47" s="1318"/>
      <c r="SZU47" s="1318"/>
      <c r="SZV47" s="1373"/>
      <c r="SZW47" s="1318"/>
      <c r="SZX47" s="1318"/>
      <c r="SZY47" s="1318"/>
      <c r="SZZ47" s="1318"/>
      <c r="TAA47" s="1318"/>
      <c r="TAB47" s="1318"/>
      <c r="TAC47" s="1318"/>
      <c r="TAD47" s="1318"/>
      <c r="TAE47" s="1318"/>
      <c r="TAF47" s="1318"/>
      <c r="TAG47" s="1373"/>
      <c r="TAH47" s="1318"/>
      <c r="TAI47" s="1318"/>
      <c r="TAJ47" s="1318"/>
      <c r="TAK47" s="1318"/>
      <c r="TAL47" s="1318"/>
      <c r="TAM47" s="1318"/>
      <c r="TAN47" s="1318"/>
      <c r="TAO47" s="1318"/>
      <c r="TAP47" s="1318"/>
      <c r="TAQ47" s="1318"/>
      <c r="TAR47" s="1373"/>
      <c r="TAS47" s="1318"/>
      <c r="TAT47" s="1318"/>
      <c r="TAU47" s="1318"/>
      <c r="TAV47" s="1318"/>
      <c r="TAW47" s="1318"/>
      <c r="TAX47" s="1318"/>
      <c r="TAY47" s="1318"/>
      <c r="TAZ47" s="1318"/>
      <c r="TBA47" s="1318"/>
      <c r="TBB47" s="1318"/>
      <c r="TBC47" s="1373"/>
      <c r="TBD47" s="1318"/>
      <c r="TBE47" s="1318"/>
      <c r="TBF47" s="1318"/>
      <c r="TBG47" s="1318"/>
      <c r="TBH47" s="1318"/>
      <c r="TBI47" s="1318"/>
      <c r="TBJ47" s="1318"/>
      <c r="TBK47" s="1318"/>
      <c r="TBL47" s="1318"/>
      <c r="TBM47" s="1318"/>
      <c r="TBN47" s="1373"/>
      <c r="TBO47" s="1318"/>
      <c r="TBP47" s="1318"/>
      <c r="TBQ47" s="1318"/>
      <c r="TBR47" s="1318"/>
      <c r="TBS47" s="1318"/>
      <c r="TBT47" s="1318"/>
      <c r="TBU47" s="1318"/>
      <c r="TBV47" s="1318"/>
      <c r="TBW47" s="1318"/>
      <c r="TBX47" s="1318"/>
      <c r="TBY47" s="1373"/>
      <c r="TBZ47" s="1318"/>
      <c r="TCA47" s="1318"/>
      <c r="TCB47" s="1318"/>
      <c r="TCC47" s="1318"/>
      <c r="TCD47" s="1318"/>
      <c r="TCE47" s="1318"/>
      <c r="TCF47" s="1318"/>
      <c r="TCG47" s="1318"/>
      <c r="TCH47" s="1318"/>
      <c r="TCI47" s="1318"/>
      <c r="TCJ47" s="1373"/>
      <c r="TCK47" s="1318"/>
      <c r="TCL47" s="1318"/>
      <c r="TCM47" s="1318"/>
      <c r="TCN47" s="1318"/>
      <c r="TCO47" s="1318"/>
      <c r="TCP47" s="1318"/>
      <c r="TCQ47" s="1318"/>
      <c r="TCR47" s="1318"/>
      <c r="TCS47" s="1318"/>
      <c r="TCT47" s="1318"/>
      <c r="TCU47" s="1373"/>
      <c r="TCV47" s="1318"/>
      <c r="TCW47" s="1318"/>
      <c r="TCX47" s="1318"/>
      <c r="TCY47" s="1318"/>
      <c r="TCZ47" s="1318"/>
      <c r="TDA47" s="1318"/>
      <c r="TDB47" s="1318"/>
      <c r="TDC47" s="1318"/>
      <c r="TDD47" s="1318"/>
      <c r="TDE47" s="1318"/>
      <c r="TDF47" s="1373"/>
      <c r="TDG47" s="1318"/>
      <c r="TDH47" s="1318"/>
      <c r="TDI47" s="1318"/>
      <c r="TDJ47" s="1318"/>
      <c r="TDK47" s="1318"/>
      <c r="TDL47" s="1318"/>
      <c r="TDM47" s="1318"/>
      <c r="TDN47" s="1318"/>
      <c r="TDO47" s="1318"/>
      <c r="TDP47" s="1318"/>
      <c r="TDQ47" s="1373"/>
      <c r="TDR47" s="1318"/>
      <c r="TDS47" s="1318"/>
      <c r="TDT47" s="1318"/>
      <c r="TDU47" s="1318"/>
      <c r="TDV47" s="1318"/>
      <c r="TDW47" s="1318"/>
      <c r="TDX47" s="1318"/>
      <c r="TDY47" s="1318"/>
      <c r="TDZ47" s="1318"/>
      <c r="TEA47" s="1318"/>
      <c r="TEB47" s="1373"/>
      <c r="TEC47" s="1318"/>
      <c r="TED47" s="1318"/>
      <c r="TEE47" s="1318"/>
      <c r="TEF47" s="1318"/>
      <c r="TEG47" s="1318"/>
      <c r="TEH47" s="1318"/>
      <c r="TEI47" s="1318"/>
      <c r="TEJ47" s="1318"/>
      <c r="TEK47" s="1318"/>
      <c r="TEL47" s="1318"/>
      <c r="TEM47" s="1373"/>
      <c r="TEN47" s="1318"/>
      <c r="TEO47" s="1318"/>
      <c r="TEP47" s="1318"/>
      <c r="TEQ47" s="1318"/>
      <c r="TER47" s="1318"/>
      <c r="TES47" s="1318"/>
      <c r="TET47" s="1318"/>
      <c r="TEU47" s="1318"/>
      <c r="TEV47" s="1318"/>
      <c r="TEW47" s="1318"/>
      <c r="TEX47" s="1373"/>
      <c r="TEY47" s="1318"/>
      <c r="TEZ47" s="1318"/>
      <c r="TFA47" s="1318"/>
      <c r="TFB47" s="1318"/>
      <c r="TFC47" s="1318"/>
      <c r="TFD47" s="1318"/>
      <c r="TFE47" s="1318"/>
      <c r="TFF47" s="1318"/>
      <c r="TFG47" s="1318"/>
      <c r="TFH47" s="1318"/>
      <c r="TFI47" s="1373"/>
      <c r="TFJ47" s="1318"/>
      <c r="TFK47" s="1318"/>
      <c r="TFL47" s="1318"/>
      <c r="TFM47" s="1318"/>
      <c r="TFN47" s="1318"/>
      <c r="TFO47" s="1318"/>
      <c r="TFP47" s="1318"/>
      <c r="TFQ47" s="1318"/>
      <c r="TFR47" s="1318"/>
      <c r="TFS47" s="1318"/>
      <c r="TFT47" s="1373"/>
      <c r="TFU47" s="1318"/>
      <c r="TFV47" s="1318"/>
      <c r="TFW47" s="1318"/>
      <c r="TFX47" s="1318"/>
      <c r="TFY47" s="1318"/>
      <c r="TFZ47" s="1318"/>
      <c r="TGA47" s="1318"/>
      <c r="TGB47" s="1318"/>
      <c r="TGC47" s="1318"/>
      <c r="TGD47" s="1318"/>
      <c r="TGE47" s="1373"/>
      <c r="TGF47" s="1318"/>
      <c r="TGG47" s="1318"/>
      <c r="TGH47" s="1318"/>
      <c r="TGI47" s="1318"/>
      <c r="TGJ47" s="1318"/>
      <c r="TGK47" s="1318"/>
      <c r="TGL47" s="1318"/>
      <c r="TGM47" s="1318"/>
      <c r="TGN47" s="1318"/>
      <c r="TGO47" s="1318"/>
      <c r="TGP47" s="1373"/>
      <c r="TGQ47" s="1318"/>
      <c r="TGR47" s="1318"/>
      <c r="TGS47" s="1318"/>
      <c r="TGT47" s="1318"/>
      <c r="TGU47" s="1318"/>
      <c r="TGV47" s="1318"/>
      <c r="TGW47" s="1318"/>
      <c r="TGX47" s="1318"/>
      <c r="TGY47" s="1318"/>
      <c r="TGZ47" s="1318"/>
      <c r="THA47" s="1373"/>
      <c r="THB47" s="1318"/>
      <c r="THC47" s="1318"/>
      <c r="THD47" s="1318"/>
      <c r="THE47" s="1318"/>
      <c r="THF47" s="1318"/>
      <c r="THG47" s="1318"/>
      <c r="THH47" s="1318"/>
      <c r="THI47" s="1318"/>
      <c r="THJ47" s="1318"/>
      <c r="THK47" s="1318"/>
      <c r="THL47" s="1373"/>
      <c r="THM47" s="1318"/>
      <c r="THN47" s="1318"/>
      <c r="THO47" s="1318"/>
      <c r="THP47" s="1318"/>
      <c r="THQ47" s="1318"/>
      <c r="THR47" s="1318"/>
      <c r="THS47" s="1318"/>
      <c r="THT47" s="1318"/>
      <c r="THU47" s="1318"/>
      <c r="THV47" s="1318"/>
      <c r="THW47" s="1373"/>
      <c r="THX47" s="1318"/>
      <c r="THY47" s="1318"/>
      <c r="THZ47" s="1318"/>
      <c r="TIA47" s="1318"/>
      <c r="TIB47" s="1318"/>
      <c r="TIC47" s="1318"/>
      <c r="TID47" s="1318"/>
      <c r="TIE47" s="1318"/>
      <c r="TIF47" s="1318"/>
      <c r="TIG47" s="1318"/>
      <c r="TIH47" s="1373"/>
      <c r="TII47" s="1318"/>
      <c r="TIJ47" s="1318"/>
      <c r="TIK47" s="1318"/>
      <c r="TIL47" s="1318"/>
      <c r="TIM47" s="1318"/>
      <c r="TIN47" s="1318"/>
      <c r="TIO47" s="1318"/>
      <c r="TIP47" s="1318"/>
      <c r="TIQ47" s="1318"/>
      <c r="TIR47" s="1318"/>
      <c r="TIS47" s="1373"/>
      <c r="TIT47" s="1318"/>
      <c r="TIU47" s="1318"/>
      <c r="TIV47" s="1318"/>
      <c r="TIW47" s="1318"/>
      <c r="TIX47" s="1318"/>
      <c r="TIY47" s="1318"/>
      <c r="TIZ47" s="1318"/>
      <c r="TJA47" s="1318"/>
      <c r="TJB47" s="1318"/>
      <c r="TJC47" s="1318"/>
      <c r="TJD47" s="1373"/>
      <c r="TJE47" s="1318"/>
      <c r="TJF47" s="1318"/>
      <c r="TJG47" s="1318"/>
      <c r="TJH47" s="1318"/>
      <c r="TJI47" s="1318"/>
      <c r="TJJ47" s="1318"/>
      <c r="TJK47" s="1318"/>
      <c r="TJL47" s="1318"/>
      <c r="TJM47" s="1318"/>
      <c r="TJN47" s="1318"/>
      <c r="TJO47" s="1373"/>
      <c r="TJP47" s="1318"/>
      <c r="TJQ47" s="1318"/>
      <c r="TJR47" s="1318"/>
      <c r="TJS47" s="1318"/>
      <c r="TJT47" s="1318"/>
      <c r="TJU47" s="1318"/>
      <c r="TJV47" s="1318"/>
      <c r="TJW47" s="1318"/>
      <c r="TJX47" s="1318"/>
      <c r="TJY47" s="1318"/>
      <c r="TJZ47" s="1373"/>
      <c r="TKA47" s="1318"/>
      <c r="TKB47" s="1318"/>
      <c r="TKC47" s="1318"/>
      <c r="TKD47" s="1318"/>
      <c r="TKE47" s="1318"/>
      <c r="TKF47" s="1318"/>
      <c r="TKG47" s="1318"/>
      <c r="TKH47" s="1318"/>
      <c r="TKI47" s="1318"/>
      <c r="TKJ47" s="1318"/>
      <c r="TKK47" s="1373"/>
      <c r="TKL47" s="1318"/>
      <c r="TKM47" s="1318"/>
      <c r="TKN47" s="1318"/>
      <c r="TKO47" s="1318"/>
      <c r="TKP47" s="1318"/>
      <c r="TKQ47" s="1318"/>
      <c r="TKR47" s="1318"/>
      <c r="TKS47" s="1318"/>
      <c r="TKT47" s="1318"/>
      <c r="TKU47" s="1318"/>
      <c r="TKV47" s="1373"/>
      <c r="TKW47" s="1318"/>
      <c r="TKX47" s="1318"/>
      <c r="TKY47" s="1318"/>
      <c r="TKZ47" s="1318"/>
      <c r="TLA47" s="1318"/>
      <c r="TLB47" s="1318"/>
      <c r="TLC47" s="1318"/>
      <c r="TLD47" s="1318"/>
      <c r="TLE47" s="1318"/>
      <c r="TLF47" s="1318"/>
      <c r="TLG47" s="1373"/>
      <c r="TLH47" s="1318"/>
      <c r="TLI47" s="1318"/>
      <c r="TLJ47" s="1318"/>
      <c r="TLK47" s="1318"/>
      <c r="TLL47" s="1318"/>
      <c r="TLM47" s="1318"/>
      <c r="TLN47" s="1318"/>
      <c r="TLO47" s="1318"/>
      <c r="TLP47" s="1318"/>
      <c r="TLQ47" s="1318"/>
      <c r="TLR47" s="1373"/>
      <c r="TLS47" s="1318"/>
      <c r="TLT47" s="1318"/>
      <c r="TLU47" s="1318"/>
      <c r="TLV47" s="1318"/>
      <c r="TLW47" s="1318"/>
      <c r="TLX47" s="1318"/>
      <c r="TLY47" s="1318"/>
      <c r="TLZ47" s="1318"/>
      <c r="TMA47" s="1318"/>
      <c r="TMB47" s="1318"/>
      <c r="TMC47" s="1373"/>
      <c r="TMD47" s="1318"/>
      <c r="TME47" s="1318"/>
      <c r="TMF47" s="1318"/>
      <c r="TMG47" s="1318"/>
      <c r="TMH47" s="1318"/>
      <c r="TMI47" s="1318"/>
      <c r="TMJ47" s="1318"/>
      <c r="TMK47" s="1318"/>
      <c r="TML47" s="1318"/>
      <c r="TMM47" s="1318"/>
      <c r="TMN47" s="1373"/>
      <c r="TMO47" s="1318"/>
      <c r="TMP47" s="1318"/>
      <c r="TMQ47" s="1318"/>
      <c r="TMR47" s="1318"/>
      <c r="TMS47" s="1318"/>
      <c r="TMT47" s="1318"/>
      <c r="TMU47" s="1318"/>
      <c r="TMV47" s="1318"/>
      <c r="TMW47" s="1318"/>
      <c r="TMX47" s="1318"/>
      <c r="TMY47" s="1373"/>
      <c r="TMZ47" s="1318"/>
      <c r="TNA47" s="1318"/>
      <c r="TNB47" s="1318"/>
      <c r="TNC47" s="1318"/>
      <c r="TND47" s="1318"/>
      <c r="TNE47" s="1318"/>
      <c r="TNF47" s="1318"/>
      <c r="TNG47" s="1318"/>
      <c r="TNH47" s="1318"/>
      <c r="TNI47" s="1318"/>
      <c r="TNJ47" s="1373"/>
      <c r="TNK47" s="1318"/>
      <c r="TNL47" s="1318"/>
      <c r="TNM47" s="1318"/>
      <c r="TNN47" s="1318"/>
      <c r="TNO47" s="1318"/>
      <c r="TNP47" s="1318"/>
      <c r="TNQ47" s="1318"/>
      <c r="TNR47" s="1318"/>
      <c r="TNS47" s="1318"/>
      <c r="TNT47" s="1318"/>
      <c r="TNU47" s="1373"/>
      <c r="TNV47" s="1318"/>
      <c r="TNW47" s="1318"/>
      <c r="TNX47" s="1318"/>
      <c r="TNY47" s="1318"/>
      <c r="TNZ47" s="1318"/>
      <c r="TOA47" s="1318"/>
      <c r="TOB47" s="1318"/>
      <c r="TOC47" s="1318"/>
      <c r="TOD47" s="1318"/>
      <c r="TOE47" s="1318"/>
      <c r="TOF47" s="1373"/>
      <c r="TOG47" s="1318"/>
      <c r="TOH47" s="1318"/>
      <c r="TOI47" s="1318"/>
      <c r="TOJ47" s="1318"/>
      <c r="TOK47" s="1318"/>
      <c r="TOL47" s="1318"/>
      <c r="TOM47" s="1318"/>
      <c r="TON47" s="1318"/>
      <c r="TOO47" s="1318"/>
      <c r="TOP47" s="1318"/>
      <c r="TOQ47" s="1373"/>
      <c r="TOR47" s="1318"/>
      <c r="TOS47" s="1318"/>
      <c r="TOT47" s="1318"/>
      <c r="TOU47" s="1318"/>
      <c r="TOV47" s="1318"/>
      <c r="TOW47" s="1318"/>
      <c r="TOX47" s="1318"/>
      <c r="TOY47" s="1318"/>
      <c r="TOZ47" s="1318"/>
      <c r="TPA47" s="1318"/>
      <c r="TPB47" s="1373"/>
      <c r="TPC47" s="1318"/>
      <c r="TPD47" s="1318"/>
      <c r="TPE47" s="1318"/>
      <c r="TPF47" s="1318"/>
      <c r="TPG47" s="1318"/>
      <c r="TPH47" s="1318"/>
      <c r="TPI47" s="1318"/>
      <c r="TPJ47" s="1318"/>
      <c r="TPK47" s="1318"/>
      <c r="TPL47" s="1318"/>
      <c r="TPM47" s="1373"/>
      <c r="TPN47" s="1318"/>
      <c r="TPO47" s="1318"/>
      <c r="TPP47" s="1318"/>
      <c r="TPQ47" s="1318"/>
      <c r="TPR47" s="1318"/>
      <c r="TPS47" s="1318"/>
      <c r="TPT47" s="1318"/>
      <c r="TPU47" s="1318"/>
      <c r="TPV47" s="1318"/>
      <c r="TPW47" s="1318"/>
      <c r="TPX47" s="1373"/>
      <c r="TPY47" s="1318"/>
      <c r="TPZ47" s="1318"/>
      <c r="TQA47" s="1318"/>
      <c r="TQB47" s="1318"/>
      <c r="TQC47" s="1318"/>
      <c r="TQD47" s="1318"/>
      <c r="TQE47" s="1318"/>
      <c r="TQF47" s="1318"/>
      <c r="TQG47" s="1318"/>
      <c r="TQH47" s="1318"/>
      <c r="TQI47" s="1373"/>
      <c r="TQJ47" s="1318"/>
      <c r="TQK47" s="1318"/>
      <c r="TQL47" s="1318"/>
      <c r="TQM47" s="1318"/>
      <c r="TQN47" s="1318"/>
      <c r="TQO47" s="1318"/>
      <c r="TQP47" s="1318"/>
      <c r="TQQ47" s="1318"/>
      <c r="TQR47" s="1318"/>
      <c r="TQS47" s="1318"/>
      <c r="TQT47" s="1373"/>
      <c r="TQU47" s="1318"/>
      <c r="TQV47" s="1318"/>
      <c r="TQW47" s="1318"/>
      <c r="TQX47" s="1318"/>
      <c r="TQY47" s="1318"/>
      <c r="TQZ47" s="1318"/>
      <c r="TRA47" s="1318"/>
      <c r="TRB47" s="1318"/>
      <c r="TRC47" s="1318"/>
      <c r="TRD47" s="1318"/>
      <c r="TRE47" s="1373"/>
      <c r="TRF47" s="1318"/>
      <c r="TRG47" s="1318"/>
      <c r="TRH47" s="1318"/>
      <c r="TRI47" s="1318"/>
      <c r="TRJ47" s="1318"/>
      <c r="TRK47" s="1318"/>
      <c r="TRL47" s="1318"/>
      <c r="TRM47" s="1318"/>
      <c r="TRN47" s="1318"/>
      <c r="TRO47" s="1318"/>
      <c r="TRP47" s="1373"/>
      <c r="TRQ47" s="1318"/>
      <c r="TRR47" s="1318"/>
      <c r="TRS47" s="1318"/>
      <c r="TRT47" s="1318"/>
      <c r="TRU47" s="1318"/>
      <c r="TRV47" s="1318"/>
      <c r="TRW47" s="1318"/>
      <c r="TRX47" s="1318"/>
      <c r="TRY47" s="1318"/>
      <c r="TRZ47" s="1318"/>
      <c r="TSA47" s="1373"/>
      <c r="TSB47" s="1318"/>
      <c r="TSC47" s="1318"/>
      <c r="TSD47" s="1318"/>
      <c r="TSE47" s="1318"/>
      <c r="TSF47" s="1318"/>
      <c r="TSG47" s="1318"/>
      <c r="TSH47" s="1318"/>
      <c r="TSI47" s="1318"/>
      <c r="TSJ47" s="1318"/>
      <c r="TSK47" s="1318"/>
      <c r="TSL47" s="1373"/>
      <c r="TSM47" s="1318"/>
      <c r="TSN47" s="1318"/>
      <c r="TSO47" s="1318"/>
      <c r="TSP47" s="1318"/>
      <c r="TSQ47" s="1318"/>
      <c r="TSR47" s="1318"/>
      <c r="TSS47" s="1318"/>
      <c r="TST47" s="1318"/>
      <c r="TSU47" s="1318"/>
      <c r="TSV47" s="1318"/>
      <c r="TSW47" s="1373"/>
      <c r="TSX47" s="1318"/>
      <c r="TSY47" s="1318"/>
      <c r="TSZ47" s="1318"/>
      <c r="TTA47" s="1318"/>
      <c r="TTB47" s="1318"/>
      <c r="TTC47" s="1318"/>
      <c r="TTD47" s="1318"/>
      <c r="TTE47" s="1318"/>
      <c r="TTF47" s="1318"/>
      <c r="TTG47" s="1318"/>
      <c r="TTH47" s="1373"/>
      <c r="TTI47" s="1318"/>
      <c r="TTJ47" s="1318"/>
      <c r="TTK47" s="1318"/>
      <c r="TTL47" s="1318"/>
      <c r="TTM47" s="1318"/>
      <c r="TTN47" s="1318"/>
      <c r="TTO47" s="1318"/>
      <c r="TTP47" s="1318"/>
      <c r="TTQ47" s="1318"/>
      <c r="TTR47" s="1318"/>
      <c r="TTS47" s="1373"/>
      <c r="TTT47" s="1318"/>
      <c r="TTU47" s="1318"/>
      <c r="TTV47" s="1318"/>
      <c r="TTW47" s="1318"/>
      <c r="TTX47" s="1318"/>
      <c r="TTY47" s="1318"/>
      <c r="TTZ47" s="1318"/>
      <c r="TUA47" s="1318"/>
      <c r="TUB47" s="1318"/>
      <c r="TUC47" s="1318"/>
      <c r="TUD47" s="1373"/>
      <c r="TUE47" s="1318"/>
      <c r="TUF47" s="1318"/>
      <c r="TUG47" s="1318"/>
      <c r="TUH47" s="1318"/>
      <c r="TUI47" s="1318"/>
      <c r="TUJ47" s="1318"/>
      <c r="TUK47" s="1318"/>
      <c r="TUL47" s="1318"/>
      <c r="TUM47" s="1318"/>
      <c r="TUN47" s="1318"/>
      <c r="TUO47" s="1373"/>
      <c r="TUP47" s="1318"/>
      <c r="TUQ47" s="1318"/>
      <c r="TUR47" s="1318"/>
      <c r="TUS47" s="1318"/>
      <c r="TUT47" s="1318"/>
      <c r="TUU47" s="1318"/>
      <c r="TUV47" s="1318"/>
      <c r="TUW47" s="1318"/>
      <c r="TUX47" s="1318"/>
      <c r="TUY47" s="1318"/>
      <c r="TUZ47" s="1373"/>
      <c r="TVA47" s="1318"/>
      <c r="TVB47" s="1318"/>
      <c r="TVC47" s="1318"/>
      <c r="TVD47" s="1318"/>
      <c r="TVE47" s="1318"/>
      <c r="TVF47" s="1318"/>
      <c r="TVG47" s="1318"/>
      <c r="TVH47" s="1318"/>
      <c r="TVI47" s="1318"/>
      <c r="TVJ47" s="1318"/>
      <c r="TVK47" s="1373"/>
      <c r="TVL47" s="1318"/>
      <c r="TVM47" s="1318"/>
      <c r="TVN47" s="1318"/>
      <c r="TVO47" s="1318"/>
      <c r="TVP47" s="1318"/>
      <c r="TVQ47" s="1318"/>
      <c r="TVR47" s="1318"/>
      <c r="TVS47" s="1318"/>
      <c r="TVT47" s="1318"/>
      <c r="TVU47" s="1318"/>
      <c r="TVV47" s="1373"/>
      <c r="TVW47" s="1318"/>
      <c r="TVX47" s="1318"/>
      <c r="TVY47" s="1318"/>
      <c r="TVZ47" s="1318"/>
      <c r="TWA47" s="1318"/>
      <c r="TWB47" s="1318"/>
      <c r="TWC47" s="1318"/>
      <c r="TWD47" s="1318"/>
      <c r="TWE47" s="1318"/>
      <c r="TWF47" s="1318"/>
      <c r="TWG47" s="1373"/>
      <c r="TWH47" s="1318"/>
      <c r="TWI47" s="1318"/>
      <c r="TWJ47" s="1318"/>
      <c r="TWK47" s="1318"/>
      <c r="TWL47" s="1318"/>
      <c r="TWM47" s="1318"/>
      <c r="TWN47" s="1318"/>
      <c r="TWO47" s="1318"/>
      <c r="TWP47" s="1318"/>
      <c r="TWQ47" s="1318"/>
      <c r="TWR47" s="1373"/>
      <c r="TWS47" s="1318"/>
      <c r="TWT47" s="1318"/>
      <c r="TWU47" s="1318"/>
      <c r="TWV47" s="1318"/>
      <c r="TWW47" s="1318"/>
      <c r="TWX47" s="1318"/>
      <c r="TWY47" s="1318"/>
      <c r="TWZ47" s="1318"/>
      <c r="TXA47" s="1318"/>
      <c r="TXB47" s="1318"/>
      <c r="TXC47" s="1373"/>
      <c r="TXD47" s="1318"/>
      <c r="TXE47" s="1318"/>
      <c r="TXF47" s="1318"/>
      <c r="TXG47" s="1318"/>
      <c r="TXH47" s="1318"/>
      <c r="TXI47" s="1318"/>
      <c r="TXJ47" s="1318"/>
      <c r="TXK47" s="1318"/>
      <c r="TXL47" s="1318"/>
      <c r="TXM47" s="1318"/>
      <c r="TXN47" s="1373"/>
      <c r="TXO47" s="1318"/>
      <c r="TXP47" s="1318"/>
      <c r="TXQ47" s="1318"/>
      <c r="TXR47" s="1318"/>
      <c r="TXS47" s="1318"/>
      <c r="TXT47" s="1318"/>
      <c r="TXU47" s="1318"/>
      <c r="TXV47" s="1318"/>
      <c r="TXW47" s="1318"/>
      <c r="TXX47" s="1318"/>
      <c r="TXY47" s="1373"/>
      <c r="TXZ47" s="1318"/>
      <c r="TYA47" s="1318"/>
      <c r="TYB47" s="1318"/>
      <c r="TYC47" s="1318"/>
      <c r="TYD47" s="1318"/>
      <c r="TYE47" s="1318"/>
      <c r="TYF47" s="1318"/>
      <c r="TYG47" s="1318"/>
      <c r="TYH47" s="1318"/>
      <c r="TYI47" s="1318"/>
      <c r="TYJ47" s="1373"/>
      <c r="TYK47" s="1318"/>
      <c r="TYL47" s="1318"/>
      <c r="TYM47" s="1318"/>
      <c r="TYN47" s="1318"/>
      <c r="TYO47" s="1318"/>
      <c r="TYP47" s="1318"/>
      <c r="TYQ47" s="1318"/>
      <c r="TYR47" s="1318"/>
      <c r="TYS47" s="1318"/>
      <c r="TYT47" s="1318"/>
      <c r="TYU47" s="1373"/>
      <c r="TYV47" s="1318"/>
      <c r="TYW47" s="1318"/>
      <c r="TYX47" s="1318"/>
      <c r="TYY47" s="1318"/>
      <c r="TYZ47" s="1318"/>
      <c r="TZA47" s="1318"/>
      <c r="TZB47" s="1318"/>
      <c r="TZC47" s="1318"/>
      <c r="TZD47" s="1318"/>
      <c r="TZE47" s="1318"/>
      <c r="TZF47" s="1373"/>
      <c r="TZG47" s="1318"/>
      <c r="TZH47" s="1318"/>
      <c r="TZI47" s="1318"/>
      <c r="TZJ47" s="1318"/>
      <c r="TZK47" s="1318"/>
      <c r="TZL47" s="1318"/>
      <c r="TZM47" s="1318"/>
      <c r="TZN47" s="1318"/>
      <c r="TZO47" s="1318"/>
      <c r="TZP47" s="1318"/>
      <c r="TZQ47" s="1373"/>
      <c r="TZR47" s="1318"/>
      <c r="TZS47" s="1318"/>
      <c r="TZT47" s="1318"/>
      <c r="TZU47" s="1318"/>
      <c r="TZV47" s="1318"/>
      <c r="TZW47" s="1318"/>
      <c r="TZX47" s="1318"/>
      <c r="TZY47" s="1318"/>
      <c r="TZZ47" s="1318"/>
      <c r="UAA47" s="1318"/>
      <c r="UAB47" s="1373"/>
      <c r="UAC47" s="1318"/>
      <c r="UAD47" s="1318"/>
      <c r="UAE47" s="1318"/>
      <c r="UAF47" s="1318"/>
      <c r="UAG47" s="1318"/>
      <c r="UAH47" s="1318"/>
      <c r="UAI47" s="1318"/>
      <c r="UAJ47" s="1318"/>
      <c r="UAK47" s="1318"/>
      <c r="UAL47" s="1318"/>
      <c r="UAM47" s="1373"/>
      <c r="UAN47" s="1318"/>
      <c r="UAO47" s="1318"/>
      <c r="UAP47" s="1318"/>
      <c r="UAQ47" s="1318"/>
      <c r="UAR47" s="1318"/>
      <c r="UAS47" s="1318"/>
      <c r="UAT47" s="1318"/>
      <c r="UAU47" s="1318"/>
      <c r="UAV47" s="1318"/>
      <c r="UAW47" s="1318"/>
      <c r="UAX47" s="1373"/>
      <c r="UAY47" s="1318"/>
      <c r="UAZ47" s="1318"/>
      <c r="UBA47" s="1318"/>
      <c r="UBB47" s="1318"/>
      <c r="UBC47" s="1318"/>
      <c r="UBD47" s="1318"/>
      <c r="UBE47" s="1318"/>
      <c r="UBF47" s="1318"/>
      <c r="UBG47" s="1318"/>
      <c r="UBH47" s="1318"/>
      <c r="UBI47" s="1373"/>
      <c r="UBJ47" s="1318"/>
      <c r="UBK47" s="1318"/>
      <c r="UBL47" s="1318"/>
      <c r="UBM47" s="1318"/>
      <c r="UBN47" s="1318"/>
      <c r="UBO47" s="1318"/>
      <c r="UBP47" s="1318"/>
      <c r="UBQ47" s="1318"/>
      <c r="UBR47" s="1318"/>
      <c r="UBS47" s="1318"/>
      <c r="UBT47" s="1373"/>
      <c r="UBU47" s="1318"/>
      <c r="UBV47" s="1318"/>
      <c r="UBW47" s="1318"/>
      <c r="UBX47" s="1318"/>
      <c r="UBY47" s="1318"/>
      <c r="UBZ47" s="1318"/>
      <c r="UCA47" s="1318"/>
      <c r="UCB47" s="1318"/>
      <c r="UCC47" s="1318"/>
      <c r="UCD47" s="1318"/>
      <c r="UCE47" s="1373"/>
      <c r="UCF47" s="1318"/>
      <c r="UCG47" s="1318"/>
      <c r="UCH47" s="1318"/>
      <c r="UCI47" s="1318"/>
      <c r="UCJ47" s="1318"/>
      <c r="UCK47" s="1318"/>
      <c r="UCL47" s="1318"/>
      <c r="UCM47" s="1318"/>
      <c r="UCN47" s="1318"/>
      <c r="UCO47" s="1318"/>
      <c r="UCP47" s="1373"/>
      <c r="UCQ47" s="1318"/>
      <c r="UCR47" s="1318"/>
      <c r="UCS47" s="1318"/>
      <c r="UCT47" s="1318"/>
      <c r="UCU47" s="1318"/>
      <c r="UCV47" s="1318"/>
      <c r="UCW47" s="1318"/>
      <c r="UCX47" s="1318"/>
      <c r="UCY47" s="1318"/>
      <c r="UCZ47" s="1318"/>
      <c r="UDA47" s="1373"/>
      <c r="UDB47" s="1318"/>
      <c r="UDC47" s="1318"/>
      <c r="UDD47" s="1318"/>
      <c r="UDE47" s="1318"/>
      <c r="UDF47" s="1318"/>
      <c r="UDG47" s="1318"/>
      <c r="UDH47" s="1318"/>
      <c r="UDI47" s="1318"/>
      <c r="UDJ47" s="1318"/>
      <c r="UDK47" s="1318"/>
      <c r="UDL47" s="1373"/>
      <c r="UDM47" s="1318"/>
      <c r="UDN47" s="1318"/>
      <c r="UDO47" s="1318"/>
      <c r="UDP47" s="1318"/>
      <c r="UDQ47" s="1318"/>
      <c r="UDR47" s="1318"/>
      <c r="UDS47" s="1318"/>
      <c r="UDT47" s="1318"/>
      <c r="UDU47" s="1318"/>
      <c r="UDV47" s="1318"/>
      <c r="UDW47" s="1373"/>
      <c r="UDX47" s="1318"/>
      <c r="UDY47" s="1318"/>
      <c r="UDZ47" s="1318"/>
      <c r="UEA47" s="1318"/>
      <c r="UEB47" s="1318"/>
      <c r="UEC47" s="1318"/>
      <c r="UED47" s="1318"/>
      <c r="UEE47" s="1318"/>
      <c r="UEF47" s="1318"/>
      <c r="UEG47" s="1318"/>
      <c r="UEH47" s="1373"/>
      <c r="UEI47" s="1318"/>
      <c r="UEJ47" s="1318"/>
      <c r="UEK47" s="1318"/>
      <c r="UEL47" s="1318"/>
      <c r="UEM47" s="1318"/>
      <c r="UEN47" s="1318"/>
      <c r="UEO47" s="1318"/>
      <c r="UEP47" s="1318"/>
      <c r="UEQ47" s="1318"/>
      <c r="UER47" s="1318"/>
      <c r="UES47" s="1373"/>
      <c r="UET47" s="1318"/>
      <c r="UEU47" s="1318"/>
      <c r="UEV47" s="1318"/>
      <c r="UEW47" s="1318"/>
      <c r="UEX47" s="1318"/>
      <c r="UEY47" s="1318"/>
      <c r="UEZ47" s="1318"/>
      <c r="UFA47" s="1318"/>
      <c r="UFB47" s="1318"/>
      <c r="UFC47" s="1318"/>
      <c r="UFD47" s="1373"/>
      <c r="UFE47" s="1318"/>
      <c r="UFF47" s="1318"/>
      <c r="UFG47" s="1318"/>
      <c r="UFH47" s="1318"/>
      <c r="UFI47" s="1318"/>
      <c r="UFJ47" s="1318"/>
      <c r="UFK47" s="1318"/>
      <c r="UFL47" s="1318"/>
      <c r="UFM47" s="1318"/>
      <c r="UFN47" s="1318"/>
      <c r="UFO47" s="1373"/>
      <c r="UFP47" s="1318"/>
      <c r="UFQ47" s="1318"/>
      <c r="UFR47" s="1318"/>
      <c r="UFS47" s="1318"/>
      <c r="UFT47" s="1318"/>
      <c r="UFU47" s="1318"/>
      <c r="UFV47" s="1318"/>
      <c r="UFW47" s="1318"/>
      <c r="UFX47" s="1318"/>
      <c r="UFY47" s="1318"/>
      <c r="UFZ47" s="1373"/>
      <c r="UGA47" s="1318"/>
      <c r="UGB47" s="1318"/>
      <c r="UGC47" s="1318"/>
      <c r="UGD47" s="1318"/>
      <c r="UGE47" s="1318"/>
      <c r="UGF47" s="1318"/>
      <c r="UGG47" s="1318"/>
      <c r="UGH47" s="1318"/>
      <c r="UGI47" s="1318"/>
      <c r="UGJ47" s="1318"/>
      <c r="UGK47" s="1373"/>
      <c r="UGL47" s="1318"/>
      <c r="UGM47" s="1318"/>
      <c r="UGN47" s="1318"/>
      <c r="UGO47" s="1318"/>
      <c r="UGP47" s="1318"/>
      <c r="UGQ47" s="1318"/>
      <c r="UGR47" s="1318"/>
      <c r="UGS47" s="1318"/>
      <c r="UGT47" s="1318"/>
      <c r="UGU47" s="1318"/>
      <c r="UGV47" s="1373"/>
      <c r="UGW47" s="1318"/>
      <c r="UGX47" s="1318"/>
      <c r="UGY47" s="1318"/>
      <c r="UGZ47" s="1318"/>
      <c r="UHA47" s="1318"/>
      <c r="UHB47" s="1318"/>
      <c r="UHC47" s="1318"/>
      <c r="UHD47" s="1318"/>
      <c r="UHE47" s="1318"/>
      <c r="UHF47" s="1318"/>
      <c r="UHG47" s="1373"/>
      <c r="UHH47" s="1318"/>
      <c r="UHI47" s="1318"/>
      <c r="UHJ47" s="1318"/>
      <c r="UHK47" s="1318"/>
      <c r="UHL47" s="1318"/>
      <c r="UHM47" s="1318"/>
      <c r="UHN47" s="1318"/>
      <c r="UHO47" s="1318"/>
      <c r="UHP47" s="1318"/>
      <c r="UHQ47" s="1318"/>
      <c r="UHR47" s="1373"/>
      <c r="UHS47" s="1318"/>
      <c r="UHT47" s="1318"/>
      <c r="UHU47" s="1318"/>
      <c r="UHV47" s="1318"/>
      <c r="UHW47" s="1318"/>
      <c r="UHX47" s="1318"/>
      <c r="UHY47" s="1318"/>
      <c r="UHZ47" s="1318"/>
      <c r="UIA47" s="1318"/>
      <c r="UIB47" s="1318"/>
      <c r="UIC47" s="1373"/>
      <c r="UID47" s="1318"/>
      <c r="UIE47" s="1318"/>
      <c r="UIF47" s="1318"/>
      <c r="UIG47" s="1318"/>
      <c r="UIH47" s="1318"/>
      <c r="UII47" s="1318"/>
      <c r="UIJ47" s="1318"/>
      <c r="UIK47" s="1318"/>
      <c r="UIL47" s="1318"/>
      <c r="UIM47" s="1318"/>
      <c r="UIN47" s="1373"/>
      <c r="UIO47" s="1318"/>
      <c r="UIP47" s="1318"/>
      <c r="UIQ47" s="1318"/>
      <c r="UIR47" s="1318"/>
      <c r="UIS47" s="1318"/>
      <c r="UIT47" s="1318"/>
      <c r="UIU47" s="1318"/>
      <c r="UIV47" s="1318"/>
      <c r="UIW47" s="1318"/>
      <c r="UIX47" s="1318"/>
      <c r="UIY47" s="1373"/>
      <c r="UIZ47" s="1318"/>
      <c r="UJA47" s="1318"/>
      <c r="UJB47" s="1318"/>
      <c r="UJC47" s="1318"/>
      <c r="UJD47" s="1318"/>
      <c r="UJE47" s="1318"/>
      <c r="UJF47" s="1318"/>
      <c r="UJG47" s="1318"/>
      <c r="UJH47" s="1318"/>
      <c r="UJI47" s="1318"/>
      <c r="UJJ47" s="1373"/>
      <c r="UJK47" s="1318"/>
      <c r="UJL47" s="1318"/>
      <c r="UJM47" s="1318"/>
      <c r="UJN47" s="1318"/>
      <c r="UJO47" s="1318"/>
      <c r="UJP47" s="1318"/>
      <c r="UJQ47" s="1318"/>
      <c r="UJR47" s="1318"/>
      <c r="UJS47" s="1318"/>
      <c r="UJT47" s="1318"/>
      <c r="UJU47" s="1373"/>
      <c r="UJV47" s="1318"/>
      <c r="UJW47" s="1318"/>
      <c r="UJX47" s="1318"/>
      <c r="UJY47" s="1318"/>
      <c r="UJZ47" s="1318"/>
      <c r="UKA47" s="1318"/>
      <c r="UKB47" s="1318"/>
      <c r="UKC47" s="1318"/>
      <c r="UKD47" s="1318"/>
      <c r="UKE47" s="1318"/>
      <c r="UKF47" s="1373"/>
      <c r="UKG47" s="1318"/>
      <c r="UKH47" s="1318"/>
      <c r="UKI47" s="1318"/>
      <c r="UKJ47" s="1318"/>
      <c r="UKK47" s="1318"/>
      <c r="UKL47" s="1318"/>
      <c r="UKM47" s="1318"/>
      <c r="UKN47" s="1318"/>
      <c r="UKO47" s="1318"/>
      <c r="UKP47" s="1318"/>
      <c r="UKQ47" s="1373"/>
      <c r="UKR47" s="1318"/>
      <c r="UKS47" s="1318"/>
      <c r="UKT47" s="1318"/>
      <c r="UKU47" s="1318"/>
      <c r="UKV47" s="1318"/>
      <c r="UKW47" s="1318"/>
      <c r="UKX47" s="1318"/>
      <c r="UKY47" s="1318"/>
      <c r="UKZ47" s="1318"/>
      <c r="ULA47" s="1318"/>
      <c r="ULB47" s="1373"/>
      <c r="ULC47" s="1318"/>
      <c r="ULD47" s="1318"/>
      <c r="ULE47" s="1318"/>
      <c r="ULF47" s="1318"/>
      <c r="ULG47" s="1318"/>
      <c r="ULH47" s="1318"/>
      <c r="ULI47" s="1318"/>
      <c r="ULJ47" s="1318"/>
      <c r="ULK47" s="1318"/>
      <c r="ULL47" s="1318"/>
      <c r="ULM47" s="1373"/>
      <c r="ULN47" s="1318"/>
      <c r="ULO47" s="1318"/>
      <c r="ULP47" s="1318"/>
      <c r="ULQ47" s="1318"/>
      <c r="ULR47" s="1318"/>
      <c r="ULS47" s="1318"/>
      <c r="ULT47" s="1318"/>
      <c r="ULU47" s="1318"/>
      <c r="ULV47" s="1318"/>
      <c r="ULW47" s="1318"/>
      <c r="ULX47" s="1373"/>
      <c r="ULY47" s="1318"/>
      <c r="ULZ47" s="1318"/>
      <c r="UMA47" s="1318"/>
      <c r="UMB47" s="1318"/>
      <c r="UMC47" s="1318"/>
      <c r="UMD47" s="1318"/>
      <c r="UME47" s="1318"/>
      <c r="UMF47" s="1318"/>
      <c r="UMG47" s="1318"/>
      <c r="UMH47" s="1318"/>
      <c r="UMI47" s="1373"/>
      <c r="UMJ47" s="1318"/>
      <c r="UMK47" s="1318"/>
      <c r="UML47" s="1318"/>
      <c r="UMM47" s="1318"/>
      <c r="UMN47" s="1318"/>
      <c r="UMO47" s="1318"/>
      <c r="UMP47" s="1318"/>
      <c r="UMQ47" s="1318"/>
      <c r="UMR47" s="1318"/>
      <c r="UMS47" s="1318"/>
      <c r="UMT47" s="1373"/>
      <c r="UMU47" s="1318"/>
      <c r="UMV47" s="1318"/>
      <c r="UMW47" s="1318"/>
      <c r="UMX47" s="1318"/>
      <c r="UMY47" s="1318"/>
      <c r="UMZ47" s="1318"/>
      <c r="UNA47" s="1318"/>
      <c r="UNB47" s="1318"/>
      <c r="UNC47" s="1318"/>
      <c r="UND47" s="1318"/>
      <c r="UNE47" s="1373"/>
      <c r="UNF47" s="1318"/>
      <c r="UNG47" s="1318"/>
      <c r="UNH47" s="1318"/>
      <c r="UNI47" s="1318"/>
      <c r="UNJ47" s="1318"/>
      <c r="UNK47" s="1318"/>
      <c r="UNL47" s="1318"/>
      <c r="UNM47" s="1318"/>
      <c r="UNN47" s="1318"/>
      <c r="UNO47" s="1318"/>
      <c r="UNP47" s="1373"/>
      <c r="UNQ47" s="1318"/>
      <c r="UNR47" s="1318"/>
      <c r="UNS47" s="1318"/>
      <c r="UNT47" s="1318"/>
      <c r="UNU47" s="1318"/>
      <c r="UNV47" s="1318"/>
      <c r="UNW47" s="1318"/>
      <c r="UNX47" s="1318"/>
      <c r="UNY47" s="1318"/>
      <c r="UNZ47" s="1318"/>
      <c r="UOA47" s="1373"/>
      <c r="UOB47" s="1318"/>
      <c r="UOC47" s="1318"/>
      <c r="UOD47" s="1318"/>
      <c r="UOE47" s="1318"/>
      <c r="UOF47" s="1318"/>
      <c r="UOG47" s="1318"/>
      <c r="UOH47" s="1318"/>
      <c r="UOI47" s="1318"/>
      <c r="UOJ47" s="1318"/>
      <c r="UOK47" s="1318"/>
      <c r="UOL47" s="1373"/>
      <c r="UOM47" s="1318"/>
      <c r="UON47" s="1318"/>
      <c r="UOO47" s="1318"/>
      <c r="UOP47" s="1318"/>
      <c r="UOQ47" s="1318"/>
      <c r="UOR47" s="1318"/>
      <c r="UOS47" s="1318"/>
      <c r="UOT47" s="1318"/>
      <c r="UOU47" s="1318"/>
      <c r="UOV47" s="1318"/>
      <c r="UOW47" s="1373"/>
      <c r="UOX47" s="1318"/>
      <c r="UOY47" s="1318"/>
      <c r="UOZ47" s="1318"/>
      <c r="UPA47" s="1318"/>
      <c r="UPB47" s="1318"/>
      <c r="UPC47" s="1318"/>
      <c r="UPD47" s="1318"/>
      <c r="UPE47" s="1318"/>
      <c r="UPF47" s="1318"/>
      <c r="UPG47" s="1318"/>
      <c r="UPH47" s="1373"/>
      <c r="UPI47" s="1318"/>
      <c r="UPJ47" s="1318"/>
      <c r="UPK47" s="1318"/>
      <c r="UPL47" s="1318"/>
      <c r="UPM47" s="1318"/>
      <c r="UPN47" s="1318"/>
      <c r="UPO47" s="1318"/>
      <c r="UPP47" s="1318"/>
      <c r="UPQ47" s="1318"/>
      <c r="UPR47" s="1318"/>
      <c r="UPS47" s="1373"/>
      <c r="UPT47" s="1318"/>
      <c r="UPU47" s="1318"/>
      <c r="UPV47" s="1318"/>
      <c r="UPW47" s="1318"/>
      <c r="UPX47" s="1318"/>
      <c r="UPY47" s="1318"/>
      <c r="UPZ47" s="1318"/>
      <c r="UQA47" s="1318"/>
      <c r="UQB47" s="1318"/>
      <c r="UQC47" s="1318"/>
      <c r="UQD47" s="1373"/>
      <c r="UQE47" s="1318"/>
      <c r="UQF47" s="1318"/>
      <c r="UQG47" s="1318"/>
      <c r="UQH47" s="1318"/>
      <c r="UQI47" s="1318"/>
      <c r="UQJ47" s="1318"/>
      <c r="UQK47" s="1318"/>
      <c r="UQL47" s="1318"/>
      <c r="UQM47" s="1318"/>
      <c r="UQN47" s="1318"/>
      <c r="UQO47" s="1373"/>
      <c r="UQP47" s="1318"/>
      <c r="UQQ47" s="1318"/>
      <c r="UQR47" s="1318"/>
      <c r="UQS47" s="1318"/>
      <c r="UQT47" s="1318"/>
      <c r="UQU47" s="1318"/>
      <c r="UQV47" s="1318"/>
      <c r="UQW47" s="1318"/>
      <c r="UQX47" s="1318"/>
      <c r="UQY47" s="1318"/>
      <c r="UQZ47" s="1373"/>
      <c r="URA47" s="1318"/>
      <c r="URB47" s="1318"/>
      <c r="URC47" s="1318"/>
      <c r="URD47" s="1318"/>
      <c r="URE47" s="1318"/>
      <c r="URF47" s="1318"/>
      <c r="URG47" s="1318"/>
      <c r="URH47" s="1318"/>
      <c r="URI47" s="1318"/>
      <c r="URJ47" s="1318"/>
      <c r="URK47" s="1373"/>
      <c r="URL47" s="1318"/>
      <c r="URM47" s="1318"/>
      <c r="URN47" s="1318"/>
      <c r="URO47" s="1318"/>
      <c r="URP47" s="1318"/>
      <c r="URQ47" s="1318"/>
      <c r="URR47" s="1318"/>
      <c r="URS47" s="1318"/>
      <c r="URT47" s="1318"/>
      <c r="URU47" s="1318"/>
      <c r="URV47" s="1373"/>
      <c r="URW47" s="1318"/>
      <c r="URX47" s="1318"/>
      <c r="URY47" s="1318"/>
      <c r="URZ47" s="1318"/>
      <c r="USA47" s="1318"/>
      <c r="USB47" s="1318"/>
      <c r="USC47" s="1318"/>
      <c r="USD47" s="1318"/>
      <c r="USE47" s="1318"/>
      <c r="USF47" s="1318"/>
      <c r="USG47" s="1373"/>
      <c r="USH47" s="1318"/>
      <c r="USI47" s="1318"/>
      <c r="USJ47" s="1318"/>
      <c r="USK47" s="1318"/>
      <c r="USL47" s="1318"/>
      <c r="USM47" s="1318"/>
      <c r="USN47" s="1318"/>
      <c r="USO47" s="1318"/>
      <c r="USP47" s="1318"/>
      <c r="USQ47" s="1318"/>
      <c r="USR47" s="1373"/>
      <c r="USS47" s="1318"/>
      <c r="UST47" s="1318"/>
      <c r="USU47" s="1318"/>
      <c r="USV47" s="1318"/>
      <c r="USW47" s="1318"/>
      <c r="USX47" s="1318"/>
      <c r="USY47" s="1318"/>
      <c r="USZ47" s="1318"/>
      <c r="UTA47" s="1318"/>
      <c r="UTB47" s="1318"/>
      <c r="UTC47" s="1373"/>
      <c r="UTD47" s="1318"/>
      <c r="UTE47" s="1318"/>
      <c r="UTF47" s="1318"/>
      <c r="UTG47" s="1318"/>
      <c r="UTH47" s="1318"/>
      <c r="UTI47" s="1318"/>
      <c r="UTJ47" s="1318"/>
      <c r="UTK47" s="1318"/>
      <c r="UTL47" s="1318"/>
      <c r="UTM47" s="1318"/>
      <c r="UTN47" s="1373"/>
      <c r="UTO47" s="1318"/>
      <c r="UTP47" s="1318"/>
      <c r="UTQ47" s="1318"/>
      <c r="UTR47" s="1318"/>
      <c r="UTS47" s="1318"/>
      <c r="UTT47" s="1318"/>
      <c r="UTU47" s="1318"/>
      <c r="UTV47" s="1318"/>
      <c r="UTW47" s="1318"/>
      <c r="UTX47" s="1318"/>
      <c r="UTY47" s="1373"/>
      <c r="UTZ47" s="1318"/>
      <c r="UUA47" s="1318"/>
      <c r="UUB47" s="1318"/>
      <c r="UUC47" s="1318"/>
      <c r="UUD47" s="1318"/>
      <c r="UUE47" s="1318"/>
      <c r="UUF47" s="1318"/>
      <c r="UUG47" s="1318"/>
      <c r="UUH47" s="1318"/>
      <c r="UUI47" s="1318"/>
      <c r="UUJ47" s="1373"/>
      <c r="UUK47" s="1318"/>
      <c r="UUL47" s="1318"/>
      <c r="UUM47" s="1318"/>
      <c r="UUN47" s="1318"/>
      <c r="UUO47" s="1318"/>
      <c r="UUP47" s="1318"/>
      <c r="UUQ47" s="1318"/>
      <c r="UUR47" s="1318"/>
      <c r="UUS47" s="1318"/>
      <c r="UUT47" s="1318"/>
      <c r="UUU47" s="1373"/>
      <c r="UUV47" s="1318"/>
      <c r="UUW47" s="1318"/>
      <c r="UUX47" s="1318"/>
      <c r="UUY47" s="1318"/>
      <c r="UUZ47" s="1318"/>
      <c r="UVA47" s="1318"/>
      <c r="UVB47" s="1318"/>
      <c r="UVC47" s="1318"/>
      <c r="UVD47" s="1318"/>
      <c r="UVE47" s="1318"/>
      <c r="UVF47" s="1373"/>
      <c r="UVG47" s="1318"/>
      <c r="UVH47" s="1318"/>
      <c r="UVI47" s="1318"/>
      <c r="UVJ47" s="1318"/>
      <c r="UVK47" s="1318"/>
      <c r="UVL47" s="1318"/>
      <c r="UVM47" s="1318"/>
      <c r="UVN47" s="1318"/>
      <c r="UVO47" s="1318"/>
      <c r="UVP47" s="1318"/>
      <c r="UVQ47" s="1373"/>
      <c r="UVR47" s="1318"/>
      <c r="UVS47" s="1318"/>
      <c r="UVT47" s="1318"/>
      <c r="UVU47" s="1318"/>
      <c r="UVV47" s="1318"/>
      <c r="UVW47" s="1318"/>
      <c r="UVX47" s="1318"/>
      <c r="UVY47" s="1318"/>
      <c r="UVZ47" s="1318"/>
      <c r="UWA47" s="1318"/>
      <c r="UWB47" s="1373"/>
      <c r="UWC47" s="1318"/>
      <c r="UWD47" s="1318"/>
      <c r="UWE47" s="1318"/>
      <c r="UWF47" s="1318"/>
      <c r="UWG47" s="1318"/>
      <c r="UWH47" s="1318"/>
      <c r="UWI47" s="1318"/>
      <c r="UWJ47" s="1318"/>
      <c r="UWK47" s="1318"/>
      <c r="UWL47" s="1318"/>
      <c r="UWM47" s="1373"/>
      <c r="UWN47" s="1318"/>
      <c r="UWO47" s="1318"/>
      <c r="UWP47" s="1318"/>
      <c r="UWQ47" s="1318"/>
      <c r="UWR47" s="1318"/>
      <c r="UWS47" s="1318"/>
      <c r="UWT47" s="1318"/>
      <c r="UWU47" s="1318"/>
      <c r="UWV47" s="1318"/>
      <c r="UWW47" s="1318"/>
      <c r="UWX47" s="1373"/>
      <c r="UWY47" s="1318"/>
      <c r="UWZ47" s="1318"/>
      <c r="UXA47" s="1318"/>
      <c r="UXB47" s="1318"/>
      <c r="UXC47" s="1318"/>
      <c r="UXD47" s="1318"/>
      <c r="UXE47" s="1318"/>
      <c r="UXF47" s="1318"/>
      <c r="UXG47" s="1318"/>
      <c r="UXH47" s="1318"/>
      <c r="UXI47" s="1373"/>
      <c r="UXJ47" s="1318"/>
      <c r="UXK47" s="1318"/>
      <c r="UXL47" s="1318"/>
      <c r="UXM47" s="1318"/>
      <c r="UXN47" s="1318"/>
      <c r="UXO47" s="1318"/>
      <c r="UXP47" s="1318"/>
      <c r="UXQ47" s="1318"/>
      <c r="UXR47" s="1318"/>
      <c r="UXS47" s="1318"/>
      <c r="UXT47" s="1373"/>
      <c r="UXU47" s="1318"/>
      <c r="UXV47" s="1318"/>
      <c r="UXW47" s="1318"/>
      <c r="UXX47" s="1318"/>
      <c r="UXY47" s="1318"/>
      <c r="UXZ47" s="1318"/>
      <c r="UYA47" s="1318"/>
      <c r="UYB47" s="1318"/>
      <c r="UYC47" s="1318"/>
      <c r="UYD47" s="1318"/>
      <c r="UYE47" s="1373"/>
      <c r="UYF47" s="1318"/>
      <c r="UYG47" s="1318"/>
      <c r="UYH47" s="1318"/>
      <c r="UYI47" s="1318"/>
      <c r="UYJ47" s="1318"/>
      <c r="UYK47" s="1318"/>
      <c r="UYL47" s="1318"/>
      <c r="UYM47" s="1318"/>
      <c r="UYN47" s="1318"/>
      <c r="UYO47" s="1318"/>
      <c r="UYP47" s="1373"/>
      <c r="UYQ47" s="1318"/>
      <c r="UYR47" s="1318"/>
      <c r="UYS47" s="1318"/>
      <c r="UYT47" s="1318"/>
      <c r="UYU47" s="1318"/>
      <c r="UYV47" s="1318"/>
      <c r="UYW47" s="1318"/>
      <c r="UYX47" s="1318"/>
      <c r="UYY47" s="1318"/>
      <c r="UYZ47" s="1318"/>
      <c r="UZA47" s="1373"/>
      <c r="UZB47" s="1318"/>
      <c r="UZC47" s="1318"/>
      <c r="UZD47" s="1318"/>
      <c r="UZE47" s="1318"/>
      <c r="UZF47" s="1318"/>
      <c r="UZG47" s="1318"/>
      <c r="UZH47" s="1318"/>
      <c r="UZI47" s="1318"/>
      <c r="UZJ47" s="1318"/>
      <c r="UZK47" s="1318"/>
      <c r="UZL47" s="1373"/>
      <c r="UZM47" s="1318"/>
      <c r="UZN47" s="1318"/>
      <c r="UZO47" s="1318"/>
      <c r="UZP47" s="1318"/>
      <c r="UZQ47" s="1318"/>
      <c r="UZR47" s="1318"/>
      <c r="UZS47" s="1318"/>
      <c r="UZT47" s="1318"/>
      <c r="UZU47" s="1318"/>
      <c r="UZV47" s="1318"/>
      <c r="UZW47" s="1373"/>
      <c r="UZX47" s="1318"/>
      <c r="UZY47" s="1318"/>
      <c r="UZZ47" s="1318"/>
      <c r="VAA47" s="1318"/>
      <c r="VAB47" s="1318"/>
      <c r="VAC47" s="1318"/>
      <c r="VAD47" s="1318"/>
      <c r="VAE47" s="1318"/>
      <c r="VAF47" s="1318"/>
      <c r="VAG47" s="1318"/>
      <c r="VAH47" s="1373"/>
      <c r="VAI47" s="1318"/>
      <c r="VAJ47" s="1318"/>
      <c r="VAK47" s="1318"/>
      <c r="VAL47" s="1318"/>
      <c r="VAM47" s="1318"/>
      <c r="VAN47" s="1318"/>
      <c r="VAO47" s="1318"/>
      <c r="VAP47" s="1318"/>
      <c r="VAQ47" s="1318"/>
      <c r="VAR47" s="1318"/>
      <c r="VAS47" s="1373"/>
      <c r="VAT47" s="1318"/>
      <c r="VAU47" s="1318"/>
      <c r="VAV47" s="1318"/>
      <c r="VAW47" s="1318"/>
      <c r="VAX47" s="1318"/>
      <c r="VAY47" s="1318"/>
      <c r="VAZ47" s="1318"/>
      <c r="VBA47" s="1318"/>
      <c r="VBB47" s="1318"/>
      <c r="VBC47" s="1318"/>
      <c r="VBD47" s="1373"/>
      <c r="VBE47" s="1318"/>
      <c r="VBF47" s="1318"/>
      <c r="VBG47" s="1318"/>
      <c r="VBH47" s="1318"/>
      <c r="VBI47" s="1318"/>
      <c r="VBJ47" s="1318"/>
      <c r="VBK47" s="1318"/>
      <c r="VBL47" s="1318"/>
      <c r="VBM47" s="1318"/>
      <c r="VBN47" s="1318"/>
      <c r="VBO47" s="1373"/>
      <c r="VBP47" s="1318"/>
      <c r="VBQ47" s="1318"/>
      <c r="VBR47" s="1318"/>
      <c r="VBS47" s="1318"/>
      <c r="VBT47" s="1318"/>
      <c r="VBU47" s="1318"/>
      <c r="VBV47" s="1318"/>
      <c r="VBW47" s="1318"/>
      <c r="VBX47" s="1318"/>
      <c r="VBY47" s="1318"/>
      <c r="VBZ47" s="1373"/>
      <c r="VCA47" s="1318"/>
      <c r="VCB47" s="1318"/>
      <c r="VCC47" s="1318"/>
      <c r="VCD47" s="1318"/>
      <c r="VCE47" s="1318"/>
      <c r="VCF47" s="1318"/>
      <c r="VCG47" s="1318"/>
      <c r="VCH47" s="1318"/>
      <c r="VCI47" s="1318"/>
      <c r="VCJ47" s="1318"/>
      <c r="VCK47" s="1373"/>
      <c r="VCL47" s="1318"/>
      <c r="VCM47" s="1318"/>
      <c r="VCN47" s="1318"/>
      <c r="VCO47" s="1318"/>
      <c r="VCP47" s="1318"/>
      <c r="VCQ47" s="1318"/>
      <c r="VCR47" s="1318"/>
      <c r="VCS47" s="1318"/>
      <c r="VCT47" s="1318"/>
      <c r="VCU47" s="1318"/>
      <c r="VCV47" s="1373"/>
      <c r="VCW47" s="1318"/>
      <c r="VCX47" s="1318"/>
      <c r="VCY47" s="1318"/>
      <c r="VCZ47" s="1318"/>
      <c r="VDA47" s="1318"/>
      <c r="VDB47" s="1318"/>
      <c r="VDC47" s="1318"/>
      <c r="VDD47" s="1318"/>
      <c r="VDE47" s="1318"/>
      <c r="VDF47" s="1318"/>
      <c r="VDG47" s="1373"/>
      <c r="VDH47" s="1318"/>
      <c r="VDI47" s="1318"/>
      <c r="VDJ47" s="1318"/>
      <c r="VDK47" s="1318"/>
      <c r="VDL47" s="1318"/>
      <c r="VDM47" s="1318"/>
      <c r="VDN47" s="1318"/>
      <c r="VDO47" s="1318"/>
      <c r="VDP47" s="1318"/>
      <c r="VDQ47" s="1318"/>
      <c r="VDR47" s="1373"/>
      <c r="VDS47" s="1318"/>
      <c r="VDT47" s="1318"/>
      <c r="VDU47" s="1318"/>
      <c r="VDV47" s="1318"/>
      <c r="VDW47" s="1318"/>
      <c r="VDX47" s="1318"/>
      <c r="VDY47" s="1318"/>
      <c r="VDZ47" s="1318"/>
      <c r="VEA47" s="1318"/>
      <c r="VEB47" s="1318"/>
      <c r="VEC47" s="1373"/>
      <c r="VED47" s="1318"/>
      <c r="VEE47" s="1318"/>
      <c r="VEF47" s="1318"/>
      <c r="VEG47" s="1318"/>
      <c r="VEH47" s="1318"/>
      <c r="VEI47" s="1318"/>
      <c r="VEJ47" s="1318"/>
      <c r="VEK47" s="1318"/>
      <c r="VEL47" s="1318"/>
      <c r="VEM47" s="1318"/>
      <c r="VEN47" s="1373"/>
      <c r="VEO47" s="1318"/>
      <c r="VEP47" s="1318"/>
      <c r="VEQ47" s="1318"/>
      <c r="VER47" s="1318"/>
      <c r="VES47" s="1318"/>
      <c r="VET47" s="1318"/>
      <c r="VEU47" s="1318"/>
      <c r="VEV47" s="1318"/>
      <c r="VEW47" s="1318"/>
      <c r="VEX47" s="1318"/>
      <c r="VEY47" s="1373"/>
      <c r="VEZ47" s="1318"/>
      <c r="VFA47" s="1318"/>
      <c r="VFB47" s="1318"/>
      <c r="VFC47" s="1318"/>
      <c r="VFD47" s="1318"/>
      <c r="VFE47" s="1318"/>
      <c r="VFF47" s="1318"/>
      <c r="VFG47" s="1318"/>
      <c r="VFH47" s="1318"/>
      <c r="VFI47" s="1318"/>
      <c r="VFJ47" s="1373"/>
      <c r="VFK47" s="1318"/>
      <c r="VFL47" s="1318"/>
      <c r="VFM47" s="1318"/>
      <c r="VFN47" s="1318"/>
      <c r="VFO47" s="1318"/>
      <c r="VFP47" s="1318"/>
      <c r="VFQ47" s="1318"/>
      <c r="VFR47" s="1318"/>
      <c r="VFS47" s="1318"/>
      <c r="VFT47" s="1318"/>
      <c r="VFU47" s="1373"/>
      <c r="VFV47" s="1318"/>
      <c r="VFW47" s="1318"/>
      <c r="VFX47" s="1318"/>
      <c r="VFY47" s="1318"/>
      <c r="VFZ47" s="1318"/>
      <c r="VGA47" s="1318"/>
      <c r="VGB47" s="1318"/>
      <c r="VGC47" s="1318"/>
      <c r="VGD47" s="1318"/>
      <c r="VGE47" s="1318"/>
      <c r="VGF47" s="1373"/>
      <c r="VGG47" s="1318"/>
      <c r="VGH47" s="1318"/>
      <c r="VGI47" s="1318"/>
      <c r="VGJ47" s="1318"/>
      <c r="VGK47" s="1318"/>
      <c r="VGL47" s="1318"/>
      <c r="VGM47" s="1318"/>
      <c r="VGN47" s="1318"/>
      <c r="VGO47" s="1318"/>
      <c r="VGP47" s="1318"/>
      <c r="VGQ47" s="1373"/>
      <c r="VGR47" s="1318"/>
      <c r="VGS47" s="1318"/>
      <c r="VGT47" s="1318"/>
      <c r="VGU47" s="1318"/>
      <c r="VGV47" s="1318"/>
      <c r="VGW47" s="1318"/>
      <c r="VGX47" s="1318"/>
      <c r="VGY47" s="1318"/>
      <c r="VGZ47" s="1318"/>
      <c r="VHA47" s="1318"/>
      <c r="VHB47" s="1373"/>
      <c r="VHC47" s="1318"/>
      <c r="VHD47" s="1318"/>
      <c r="VHE47" s="1318"/>
      <c r="VHF47" s="1318"/>
      <c r="VHG47" s="1318"/>
      <c r="VHH47" s="1318"/>
      <c r="VHI47" s="1318"/>
      <c r="VHJ47" s="1318"/>
      <c r="VHK47" s="1318"/>
      <c r="VHL47" s="1318"/>
      <c r="VHM47" s="1373"/>
      <c r="VHN47" s="1318"/>
      <c r="VHO47" s="1318"/>
      <c r="VHP47" s="1318"/>
      <c r="VHQ47" s="1318"/>
      <c r="VHR47" s="1318"/>
      <c r="VHS47" s="1318"/>
      <c r="VHT47" s="1318"/>
      <c r="VHU47" s="1318"/>
      <c r="VHV47" s="1318"/>
      <c r="VHW47" s="1318"/>
      <c r="VHX47" s="1373"/>
      <c r="VHY47" s="1318"/>
      <c r="VHZ47" s="1318"/>
      <c r="VIA47" s="1318"/>
      <c r="VIB47" s="1318"/>
      <c r="VIC47" s="1318"/>
      <c r="VID47" s="1318"/>
      <c r="VIE47" s="1318"/>
      <c r="VIF47" s="1318"/>
      <c r="VIG47" s="1318"/>
      <c r="VIH47" s="1318"/>
      <c r="VII47" s="1373"/>
      <c r="VIJ47" s="1318"/>
      <c r="VIK47" s="1318"/>
      <c r="VIL47" s="1318"/>
      <c r="VIM47" s="1318"/>
      <c r="VIN47" s="1318"/>
      <c r="VIO47" s="1318"/>
      <c r="VIP47" s="1318"/>
      <c r="VIQ47" s="1318"/>
      <c r="VIR47" s="1318"/>
      <c r="VIS47" s="1318"/>
      <c r="VIT47" s="1373"/>
      <c r="VIU47" s="1318"/>
      <c r="VIV47" s="1318"/>
      <c r="VIW47" s="1318"/>
      <c r="VIX47" s="1318"/>
      <c r="VIY47" s="1318"/>
      <c r="VIZ47" s="1318"/>
      <c r="VJA47" s="1318"/>
      <c r="VJB47" s="1318"/>
      <c r="VJC47" s="1318"/>
      <c r="VJD47" s="1318"/>
      <c r="VJE47" s="1373"/>
      <c r="VJF47" s="1318"/>
      <c r="VJG47" s="1318"/>
      <c r="VJH47" s="1318"/>
      <c r="VJI47" s="1318"/>
      <c r="VJJ47" s="1318"/>
      <c r="VJK47" s="1318"/>
      <c r="VJL47" s="1318"/>
      <c r="VJM47" s="1318"/>
      <c r="VJN47" s="1318"/>
      <c r="VJO47" s="1318"/>
      <c r="VJP47" s="1373"/>
      <c r="VJQ47" s="1318"/>
      <c r="VJR47" s="1318"/>
      <c r="VJS47" s="1318"/>
      <c r="VJT47" s="1318"/>
      <c r="VJU47" s="1318"/>
      <c r="VJV47" s="1318"/>
      <c r="VJW47" s="1318"/>
      <c r="VJX47" s="1318"/>
      <c r="VJY47" s="1318"/>
      <c r="VJZ47" s="1318"/>
      <c r="VKA47" s="1373"/>
      <c r="VKB47" s="1318"/>
      <c r="VKC47" s="1318"/>
      <c r="VKD47" s="1318"/>
      <c r="VKE47" s="1318"/>
      <c r="VKF47" s="1318"/>
      <c r="VKG47" s="1318"/>
      <c r="VKH47" s="1318"/>
      <c r="VKI47" s="1318"/>
      <c r="VKJ47" s="1318"/>
      <c r="VKK47" s="1318"/>
      <c r="VKL47" s="1373"/>
      <c r="VKM47" s="1318"/>
      <c r="VKN47" s="1318"/>
      <c r="VKO47" s="1318"/>
      <c r="VKP47" s="1318"/>
      <c r="VKQ47" s="1318"/>
      <c r="VKR47" s="1318"/>
      <c r="VKS47" s="1318"/>
      <c r="VKT47" s="1318"/>
      <c r="VKU47" s="1318"/>
      <c r="VKV47" s="1318"/>
      <c r="VKW47" s="1373"/>
      <c r="VKX47" s="1318"/>
      <c r="VKY47" s="1318"/>
      <c r="VKZ47" s="1318"/>
      <c r="VLA47" s="1318"/>
      <c r="VLB47" s="1318"/>
      <c r="VLC47" s="1318"/>
      <c r="VLD47" s="1318"/>
      <c r="VLE47" s="1318"/>
      <c r="VLF47" s="1318"/>
      <c r="VLG47" s="1318"/>
      <c r="VLH47" s="1373"/>
      <c r="VLI47" s="1318"/>
      <c r="VLJ47" s="1318"/>
      <c r="VLK47" s="1318"/>
      <c r="VLL47" s="1318"/>
      <c r="VLM47" s="1318"/>
      <c r="VLN47" s="1318"/>
      <c r="VLO47" s="1318"/>
      <c r="VLP47" s="1318"/>
      <c r="VLQ47" s="1318"/>
      <c r="VLR47" s="1318"/>
      <c r="VLS47" s="1373"/>
      <c r="VLT47" s="1318"/>
      <c r="VLU47" s="1318"/>
      <c r="VLV47" s="1318"/>
      <c r="VLW47" s="1318"/>
      <c r="VLX47" s="1318"/>
      <c r="VLY47" s="1318"/>
      <c r="VLZ47" s="1318"/>
      <c r="VMA47" s="1318"/>
      <c r="VMB47" s="1318"/>
      <c r="VMC47" s="1318"/>
      <c r="VMD47" s="1373"/>
      <c r="VME47" s="1318"/>
      <c r="VMF47" s="1318"/>
      <c r="VMG47" s="1318"/>
      <c r="VMH47" s="1318"/>
      <c r="VMI47" s="1318"/>
      <c r="VMJ47" s="1318"/>
      <c r="VMK47" s="1318"/>
      <c r="VML47" s="1318"/>
      <c r="VMM47" s="1318"/>
      <c r="VMN47" s="1318"/>
      <c r="VMO47" s="1373"/>
      <c r="VMP47" s="1318"/>
      <c r="VMQ47" s="1318"/>
      <c r="VMR47" s="1318"/>
      <c r="VMS47" s="1318"/>
      <c r="VMT47" s="1318"/>
      <c r="VMU47" s="1318"/>
      <c r="VMV47" s="1318"/>
      <c r="VMW47" s="1318"/>
      <c r="VMX47" s="1318"/>
      <c r="VMY47" s="1318"/>
      <c r="VMZ47" s="1373"/>
      <c r="VNA47" s="1318"/>
      <c r="VNB47" s="1318"/>
      <c r="VNC47" s="1318"/>
      <c r="VND47" s="1318"/>
      <c r="VNE47" s="1318"/>
      <c r="VNF47" s="1318"/>
      <c r="VNG47" s="1318"/>
      <c r="VNH47" s="1318"/>
      <c r="VNI47" s="1318"/>
      <c r="VNJ47" s="1318"/>
      <c r="VNK47" s="1373"/>
      <c r="VNL47" s="1318"/>
      <c r="VNM47" s="1318"/>
      <c r="VNN47" s="1318"/>
      <c r="VNO47" s="1318"/>
      <c r="VNP47" s="1318"/>
      <c r="VNQ47" s="1318"/>
      <c r="VNR47" s="1318"/>
      <c r="VNS47" s="1318"/>
      <c r="VNT47" s="1318"/>
      <c r="VNU47" s="1318"/>
      <c r="VNV47" s="1373"/>
      <c r="VNW47" s="1318"/>
      <c r="VNX47" s="1318"/>
      <c r="VNY47" s="1318"/>
      <c r="VNZ47" s="1318"/>
      <c r="VOA47" s="1318"/>
      <c r="VOB47" s="1318"/>
      <c r="VOC47" s="1318"/>
      <c r="VOD47" s="1318"/>
      <c r="VOE47" s="1318"/>
      <c r="VOF47" s="1318"/>
      <c r="VOG47" s="1373"/>
      <c r="VOH47" s="1318"/>
      <c r="VOI47" s="1318"/>
      <c r="VOJ47" s="1318"/>
      <c r="VOK47" s="1318"/>
      <c r="VOL47" s="1318"/>
      <c r="VOM47" s="1318"/>
      <c r="VON47" s="1318"/>
      <c r="VOO47" s="1318"/>
      <c r="VOP47" s="1318"/>
      <c r="VOQ47" s="1318"/>
      <c r="VOR47" s="1373"/>
      <c r="VOS47" s="1318"/>
      <c r="VOT47" s="1318"/>
      <c r="VOU47" s="1318"/>
      <c r="VOV47" s="1318"/>
      <c r="VOW47" s="1318"/>
      <c r="VOX47" s="1318"/>
      <c r="VOY47" s="1318"/>
      <c r="VOZ47" s="1318"/>
      <c r="VPA47" s="1318"/>
      <c r="VPB47" s="1318"/>
      <c r="VPC47" s="1373"/>
      <c r="VPD47" s="1318"/>
      <c r="VPE47" s="1318"/>
      <c r="VPF47" s="1318"/>
      <c r="VPG47" s="1318"/>
      <c r="VPH47" s="1318"/>
      <c r="VPI47" s="1318"/>
      <c r="VPJ47" s="1318"/>
      <c r="VPK47" s="1318"/>
      <c r="VPL47" s="1318"/>
      <c r="VPM47" s="1318"/>
      <c r="VPN47" s="1373"/>
      <c r="VPO47" s="1318"/>
      <c r="VPP47" s="1318"/>
      <c r="VPQ47" s="1318"/>
      <c r="VPR47" s="1318"/>
      <c r="VPS47" s="1318"/>
      <c r="VPT47" s="1318"/>
      <c r="VPU47" s="1318"/>
      <c r="VPV47" s="1318"/>
      <c r="VPW47" s="1318"/>
      <c r="VPX47" s="1318"/>
      <c r="VPY47" s="1373"/>
      <c r="VPZ47" s="1318"/>
      <c r="VQA47" s="1318"/>
      <c r="VQB47" s="1318"/>
      <c r="VQC47" s="1318"/>
      <c r="VQD47" s="1318"/>
      <c r="VQE47" s="1318"/>
      <c r="VQF47" s="1318"/>
      <c r="VQG47" s="1318"/>
      <c r="VQH47" s="1318"/>
      <c r="VQI47" s="1318"/>
      <c r="VQJ47" s="1373"/>
      <c r="VQK47" s="1318"/>
      <c r="VQL47" s="1318"/>
      <c r="VQM47" s="1318"/>
      <c r="VQN47" s="1318"/>
      <c r="VQO47" s="1318"/>
      <c r="VQP47" s="1318"/>
      <c r="VQQ47" s="1318"/>
      <c r="VQR47" s="1318"/>
      <c r="VQS47" s="1318"/>
      <c r="VQT47" s="1318"/>
      <c r="VQU47" s="1373"/>
      <c r="VQV47" s="1318"/>
      <c r="VQW47" s="1318"/>
      <c r="VQX47" s="1318"/>
      <c r="VQY47" s="1318"/>
      <c r="VQZ47" s="1318"/>
      <c r="VRA47" s="1318"/>
      <c r="VRB47" s="1318"/>
      <c r="VRC47" s="1318"/>
      <c r="VRD47" s="1318"/>
      <c r="VRE47" s="1318"/>
      <c r="VRF47" s="1373"/>
      <c r="VRG47" s="1318"/>
      <c r="VRH47" s="1318"/>
      <c r="VRI47" s="1318"/>
      <c r="VRJ47" s="1318"/>
      <c r="VRK47" s="1318"/>
      <c r="VRL47" s="1318"/>
      <c r="VRM47" s="1318"/>
      <c r="VRN47" s="1318"/>
      <c r="VRO47" s="1318"/>
      <c r="VRP47" s="1318"/>
      <c r="VRQ47" s="1373"/>
      <c r="VRR47" s="1318"/>
      <c r="VRS47" s="1318"/>
      <c r="VRT47" s="1318"/>
      <c r="VRU47" s="1318"/>
      <c r="VRV47" s="1318"/>
      <c r="VRW47" s="1318"/>
      <c r="VRX47" s="1318"/>
      <c r="VRY47" s="1318"/>
      <c r="VRZ47" s="1318"/>
      <c r="VSA47" s="1318"/>
      <c r="VSB47" s="1373"/>
      <c r="VSC47" s="1318"/>
      <c r="VSD47" s="1318"/>
      <c r="VSE47" s="1318"/>
      <c r="VSF47" s="1318"/>
      <c r="VSG47" s="1318"/>
      <c r="VSH47" s="1318"/>
      <c r="VSI47" s="1318"/>
      <c r="VSJ47" s="1318"/>
      <c r="VSK47" s="1318"/>
      <c r="VSL47" s="1318"/>
      <c r="VSM47" s="1373"/>
      <c r="VSN47" s="1318"/>
      <c r="VSO47" s="1318"/>
      <c r="VSP47" s="1318"/>
      <c r="VSQ47" s="1318"/>
      <c r="VSR47" s="1318"/>
      <c r="VSS47" s="1318"/>
      <c r="VST47" s="1318"/>
      <c r="VSU47" s="1318"/>
      <c r="VSV47" s="1318"/>
      <c r="VSW47" s="1318"/>
      <c r="VSX47" s="1373"/>
      <c r="VSY47" s="1318"/>
      <c r="VSZ47" s="1318"/>
      <c r="VTA47" s="1318"/>
      <c r="VTB47" s="1318"/>
      <c r="VTC47" s="1318"/>
      <c r="VTD47" s="1318"/>
      <c r="VTE47" s="1318"/>
      <c r="VTF47" s="1318"/>
      <c r="VTG47" s="1318"/>
      <c r="VTH47" s="1318"/>
      <c r="VTI47" s="1373"/>
      <c r="VTJ47" s="1318"/>
      <c r="VTK47" s="1318"/>
      <c r="VTL47" s="1318"/>
      <c r="VTM47" s="1318"/>
      <c r="VTN47" s="1318"/>
      <c r="VTO47" s="1318"/>
      <c r="VTP47" s="1318"/>
      <c r="VTQ47" s="1318"/>
      <c r="VTR47" s="1318"/>
      <c r="VTS47" s="1318"/>
      <c r="VTT47" s="1373"/>
      <c r="VTU47" s="1318"/>
      <c r="VTV47" s="1318"/>
      <c r="VTW47" s="1318"/>
      <c r="VTX47" s="1318"/>
      <c r="VTY47" s="1318"/>
      <c r="VTZ47" s="1318"/>
      <c r="VUA47" s="1318"/>
      <c r="VUB47" s="1318"/>
      <c r="VUC47" s="1318"/>
      <c r="VUD47" s="1318"/>
      <c r="VUE47" s="1373"/>
      <c r="VUF47" s="1318"/>
      <c r="VUG47" s="1318"/>
      <c r="VUH47" s="1318"/>
      <c r="VUI47" s="1318"/>
      <c r="VUJ47" s="1318"/>
      <c r="VUK47" s="1318"/>
      <c r="VUL47" s="1318"/>
      <c r="VUM47" s="1318"/>
      <c r="VUN47" s="1318"/>
      <c r="VUO47" s="1318"/>
      <c r="VUP47" s="1373"/>
      <c r="VUQ47" s="1318"/>
      <c r="VUR47" s="1318"/>
      <c r="VUS47" s="1318"/>
      <c r="VUT47" s="1318"/>
      <c r="VUU47" s="1318"/>
      <c r="VUV47" s="1318"/>
      <c r="VUW47" s="1318"/>
      <c r="VUX47" s="1318"/>
      <c r="VUY47" s="1318"/>
      <c r="VUZ47" s="1318"/>
      <c r="VVA47" s="1373"/>
      <c r="VVB47" s="1318"/>
      <c r="VVC47" s="1318"/>
      <c r="VVD47" s="1318"/>
      <c r="VVE47" s="1318"/>
      <c r="VVF47" s="1318"/>
      <c r="VVG47" s="1318"/>
      <c r="VVH47" s="1318"/>
      <c r="VVI47" s="1318"/>
      <c r="VVJ47" s="1318"/>
      <c r="VVK47" s="1318"/>
      <c r="VVL47" s="1373"/>
      <c r="VVM47" s="1318"/>
      <c r="VVN47" s="1318"/>
      <c r="VVO47" s="1318"/>
      <c r="VVP47" s="1318"/>
      <c r="VVQ47" s="1318"/>
      <c r="VVR47" s="1318"/>
      <c r="VVS47" s="1318"/>
      <c r="VVT47" s="1318"/>
      <c r="VVU47" s="1318"/>
      <c r="VVV47" s="1318"/>
      <c r="VVW47" s="1373"/>
      <c r="VVX47" s="1318"/>
      <c r="VVY47" s="1318"/>
      <c r="VVZ47" s="1318"/>
      <c r="VWA47" s="1318"/>
      <c r="VWB47" s="1318"/>
      <c r="VWC47" s="1318"/>
      <c r="VWD47" s="1318"/>
      <c r="VWE47" s="1318"/>
      <c r="VWF47" s="1318"/>
      <c r="VWG47" s="1318"/>
      <c r="VWH47" s="1373"/>
      <c r="VWI47" s="1318"/>
      <c r="VWJ47" s="1318"/>
      <c r="VWK47" s="1318"/>
      <c r="VWL47" s="1318"/>
      <c r="VWM47" s="1318"/>
      <c r="VWN47" s="1318"/>
      <c r="VWO47" s="1318"/>
      <c r="VWP47" s="1318"/>
      <c r="VWQ47" s="1318"/>
      <c r="VWR47" s="1318"/>
      <c r="VWS47" s="1373"/>
      <c r="VWT47" s="1318"/>
      <c r="VWU47" s="1318"/>
      <c r="VWV47" s="1318"/>
      <c r="VWW47" s="1318"/>
      <c r="VWX47" s="1318"/>
      <c r="VWY47" s="1318"/>
      <c r="VWZ47" s="1318"/>
      <c r="VXA47" s="1318"/>
      <c r="VXB47" s="1318"/>
      <c r="VXC47" s="1318"/>
      <c r="VXD47" s="1373"/>
      <c r="VXE47" s="1318"/>
      <c r="VXF47" s="1318"/>
      <c r="VXG47" s="1318"/>
      <c r="VXH47" s="1318"/>
      <c r="VXI47" s="1318"/>
      <c r="VXJ47" s="1318"/>
      <c r="VXK47" s="1318"/>
      <c r="VXL47" s="1318"/>
      <c r="VXM47" s="1318"/>
      <c r="VXN47" s="1318"/>
      <c r="VXO47" s="1373"/>
      <c r="VXP47" s="1318"/>
      <c r="VXQ47" s="1318"/>
      <c r="VXR47" s="1318"/>
      <c r="VXS47" s="1318"/>
      <c r="VXT47" s="1318"/>
      <c r="VXU47" s="1318"/>
      <c r="VXV47" s="1318"/>
      <c r="VXW47" s="1318"/>
      <c r="VXX47" s="1318"/>
      <c r="VXY47" s="1318"/>
      <c r="VXZ47" s="1373"/>
      <c r="VYA47" s="1318"/>
      <c r="VYB47" s="1318"/>
      <c r="VYC47" s="1318"/>
      <c r="VYD47" s="1318"/>
      <c r="VYE47" s="1318"/>
      <c r="VYF47" s="1318"/>
      <c r="VYG47" s="1318"/>
      <c r="VYH47" s="1318"/>
      <c r="VYI47" s="1318"/>
      <c r="VYJ47" s="1318"/>
      <c r="VYK47" s="1373"/>
      <c r="VYL47" s="1318"/>
      <c r="VYM47" s="1318"/>
      <c r="VYN47" s="1318"/>
      <c r="VYO47" s="1318"/>
      <c r="VYP47" s="1318"/>
      <c r="VYQ47" s="1318"/>
      <c r="VYR47" s="1318"/>
      <c r="VYS47" s="1318"/>
      <c r="VYT47" s="1318"/>
      <c r="VYU47" s="1318"/>
      <c r="VYV47" s="1373"/>
      <c r="VYW47" s="1318"/>
      <c r="VYX47" s="1318"/>
      <c r="VYY47" s="1318"/>
      <c r="VYZ47" s="1318"/>
      <c r="VZA47" s="1318"/>
      <c r="VZB47" s="1318"/>
      <c r="VZC47" s="1318"/>
      <c r="VZD47" s="1318"/>
      <c r="VZE47" s="1318"/>
      <c r="VZF47" s="1318"/>
      <c r="VZG47" s="1373"/>
      <c r="VZH47" s="1318"/>
      <c r="VZI47" s="1318"/>
      <c r="VZJ47" s="1318"/>
      <c r="VZK47" s="1318"/>
      <c r="VZL47" s="1318"/>
      <c r="VZM47" s="1318"/>
      <c r="VZN47" s="1318"/>
      <c r="VZO47" s="1318"/>
      <c r="VZP47" s="1318"/>
      <c r="VZQ47" s="1318"/>
      <c r="VZR47" s="1373"/>
      <c r="VZS47" s="1318"/>
      <c r="VZT47" s="1318"/>
      <c r="VZU47" s="1318"/>
      <c r="VZV47" s="1318"/>
      <c r="VZW47" s="1318"/>
      <c r="VZX47" s="1318"/>
      <c r="VZY47" s="1318"/>
      <c r="VZZ47" s="1318"/>
      <c r="WAA47" s="1318"/>
      <c r="WAB47" s="1318"/>
      <c r="WAC47" s="1373"/>
      <c r="WAD47" s="1318"/>
      <c r="WAE47" s="1318"/>
      <c r="WAF47" s="1318"/>
      <c r="WAG47" s="1318"/>
      <c r="WAH47" s="1318"/>
      <c r="WAI47" s="1318"/>
      <c r="WAJ47" s="1318"/>
      <c r="WAK47" s="1318"/>
      <c r="WAL47" s="1318"/>
      <c r="WAM47" s="1318"/>
      <c r="WAN47" s="1373"/>
      <c r="WAO47" s="1318"/>
      <c r="WAP47" s="1318"/>
      <c r="WAQ47" s="1318"/>
      <c r="WAR47" s="1318"/>
      <c r="WAS47" s="1318"/>
      <c r="WAT47" s="1318"/>
      <c r="WAU47" s="1318"/>
      <c r="WAV47" s="1318"/>
      <c r="WAW47" s="1318"/>
      <c r="WAX47" s="1318"/>
      <c r="WAY47" s="1373"/>
      <c r="WAZ47" s="1318"/>
      <c r="WBA47" s="1318"/>
      <c r="WBB47" s="1318"/>
      <c r="WBC47" s="1318"/>
      <c r="WBD47" s="1318"/>
      <c r="WBE47" s="1318"/>
      <c r="WBF47" s="1318"/>
      <c r="WBG47" s="1318"/>
      <c r="WBH47" s="1318"/>
      <c r="WBI47" s="1318"/>
      <c r="WBJ47" s="1373"/>
      <c r="WBK47" s="1318"/>
      <c r="WBL47" s="1318"/>
      <c r="WBM47" s="1318"/>
      <c r="WBN47" s="1318"/>
      <c r="WBO47" s="1318"/>
      <c r="WBP47" s="1318"/>
      <c r="WBQ47" s="1318"/>
      <c r="WBR47" s="1318"/>
      <c r="WBS47" s="1318"/>
      <c r="WBT47" s="1318"/>
      <c r="WBU47" s="1373"/>
      <c r="WBV47" s="1318"/>
      <c r="WBW47" s="1318"/>
      <c r="WBX47" s="1318"/>
      <c r="WBY47" s="1318"/>
      <c r="WBZ47" s="1318"/>
      <c r="WCA47" s="1318"/>
      <c r="WCB47" s="1318"/>
      <c r="WCC47" s="1318"/>
      <c r="WCD47" s="1318"/>
      <c r="WCE47" s="1318"/>
      <c r="WCF47" s="1373"/>
      <c r="WCG47" s="1318"/>
      <c r="WCH47" s="1318"/>
      <c r="WCI47" s="1318"/>
      <c r="WCJ47" s="1318"/>
      <c r="WCK47" s="1318"/>
      <c r="WCL47" s="1318"/>
      <c r="WCM47" s="1318"/>
      <c r="WCN47" s="1318"/>
      <c r="WCO47" s="1318"/>
      <c r="WCP47" s="1318"/>
      <c r="WCQ47" s="1373"/>
      <c r="WCR47" s="1318"/>
      <c r="WCS47" s="1318"/>
      <c r="WCT47" s="1318"/>
      <c r="WCU47" s="1318"/>
      <c r="WCV47" s="1318"/>
      <c r="WCW47" s="1318"/>
      <c r="WCX47" s="1318"/>
      <c r="WCY47" s="1318"/>
      <c r="WCZ47" s="1318"/>
      <c r="WDA47" s="1318"/>
      <c r="WDB47" s="1373"/>
      <c r="WDC47" s="1318"/>
      <c r="WDD47" s="1318"/>
      <c r="WDE47" s="1318"/>
      <c r="WDF47" s="1318"/>
      <c r="WDG47" s="1318"/>
      <c r="WDH47" s="1318"/>
      <c r="WDI47" s="1318"/>
      <c r="WDJ47" s="1318"/>
      <c r="WDK47" s="1318"/>
      <c r="WDL47" s="1318"/>
      <c r="WDM47" s="1373"/>
      <c r="WDN47" s="1318"/>
      <c r="WDO47" s="1318"/>
      <c r="WDP47" s="1318"/>
      <c r="WDQ47" s="1318"/>
      <c r="WDR47" s="1318"/>
      <c r="WDS47" s="1318"/>
      <c r="WDT47" s="1318"/>
      <c r="WDU47" s="1318"/>
      <c r="WDV47" s="1318"/>
      <c r="WDW47" s="1318"/>
      <c r="WDX47" s="1373"/>
      <c r="WDY47" s="1318"/>
      <c r="WDZ47" s="1318"/>
      <c r="WEA47" s="1318"/>
      <c r="WEB47" s="1318"/>
      <c r="WEC47" s="1318"/>
      <c r="WED47" s="1318"/>
      <c r="WEE47" s="1318"/>
      <c r="WEF47" s="1318"/>
      <c r="WEG47" s="1318"/>
      <c r="WEH47" s="1318"/>
      <c r="WEI47" s="1373"/>
      <c r="WEJ47" s="1318"/>
      <c r="WEK47" s="1318"/>
      <c r="WEL47" s="1318"/>
      <c r="WEM47" s="1318"/>
      <c r="WEN47" s="1318"/>
      <c r="WEO47" s="1318"/>
      <c r="WEP47" s="1318"/>
      <c r="WEQ47" s="1318"/>
      <c r="WER47" s="1318"/>
      <c r="WES47" s="1318"/>
      <c r="WET47" s="1373"/>
      <c r="WEU47" s="1318"/>
      <c r="WEV47" s="1318"/>
      <c r="WEW47" s="1318"/>
      <c r="WEX47" s="1318"/>
      <c r="WEY47" s="1318"/>
      <c r="WEZ47" s="1318"/>
      <c r="WFA47" s="1318"/>
      <c r="WFB47" s="1318"/>
      <c r="WFC47" s="1318"/>
      <c r="WFD47" s="1318"/>
      <c r="WFE47" s="1373"/>
      <c r="WFF47" s="1318"/>
      <c r="WFG47" s="1318"/>
      <c r="WFH47" s="1318"/>
      <c r="WFI47" s="1318"/>
      <c r="WFJ47" s="1318"/>
      <c r="WFK47" s="1318"/>
      <c r="WFL47" s="1318"/>
      <c r="WFM47" s="1318"/>
      <c r="WFN47" s="1318"/>
      <c r="WFO47" s="1318"/>
      <c r="WFP47" s="1373"/>
      <c r="WFQ47" s="1318"/>
      <c r="WFR47" s="1318"/>
      <c r="WFS47" s="1318"/>
      <c r="WFT47" s="1318"/>
      <c r="WFU47" s="1318"/>
      <c r="WFV47" s="1318"/>
      <c r="WFW47" s="1318"/>
      <c r="WFX47" s="1318"/>
      <c r="WFY47" s="1318"/>
      <c r="WFZ47" s="1318"/>
      <c r="WGA47" s="1373"/>
      <c r="WGB47" s="1318"/>
      <c r="WGC47" s="1318"/>
      <c r="WGD47" s="1318"/>
      <c r="WGE47" s="1318"/>
      <c r="WGF47" s="1318"/>
      <c r="WGG47" s="1318"/>
      <c r="WGH47" s="1318"/>
      <c r="WGI47" s="1318"/>
      <c r="WGJ47" s="1318"/>
      <c r="WGK47" s="1318"/>
      <c r="WGL47" s="1373"/>
      <c r="WGM47" s="1318"/>
      <c r="WGN47" s="1318"/>
      <c r="WGO47" s="1318"/>
      <c r="WGP47" s="1318"/>
      <c r="WGQ47" s="1318"/>
      <c r="WGR47" s="1318"/>
      <c r="WGS47" s="1318"/>
      <c r="WGT47" s="1318"/>
      <c r="WGU47" s="1318"/>
      <c r="WGV47" s="1318"/>
      <c r="WGW47" s="1373"/>
      <c r="WGX47" s="1318"/>
      <c r="WGY47" s="1318"/>
      <c r="WGZ47" s="1318"/>
      <c r="WHA47" s="1318"/>
      <c r="WHB47" s="1318"/>
      <c r="WHC47" s="1318"/>
      <c r="WHD47" s="1318"/>
      <c r="WHE47" s="1318"/>
      <c r="WHF47" s="1318"/>
      <c r="WHG47" s="1318"/>
      <c r="WHH47" s="1373"/>
      <c r="WHI47" s="1318"/>
      <c r="WHJ47" s="1318"/>
      <c r="WHK47" s="1318"/>
      <c r="WHL47" s="1318"/>
      <c r="WHM47" s="1318"/>
      <c r="WHN47" s="1318"/>
      <c r="WHO47" s="1318"/>
      <c r="WHP47" s="1318"/>
      <c r="WHQ47" s="1318"/>
      <c r="WHR47" s="1318"/>
      <c r="WHS47" s="1373"/>
      <c r="WHT47" s="1318"/>
      <c r="WHU47" s="1318"/>
      <c r="WHV47" s="1318"/>
      <c r="WHW47" s="1318"/>
      <c r="WHX47" s="1318"/>
      <c r="WHY47" s="1318"/>
      <c r="WHZ47" s="1318"/>
      <c r="WIA47" s="1318"/>
      <c r="WIB47" s="1318"/>
      <c r="WIC47" s="1318"/>
      <c r="WID47" s="1373"/>
      <c r="WIE47" s="1318"/>
      <c r="WIF47" s="1318"/>
      <c r="WIG47" s="1318"/>
      <c r="WIH47" s="1318"/>
      <c r="WII47" s="1318"/>
      <c r="WIJ47" s="1318"/>
      <c r="WIK47" s="1318"/>
      <c r="WIL47" s="1318"/>
      <c r="WIM47" s="1318"/>
      <c r="WIN47" s="1318"/>
      <c r="WIO47" s="1373"/>
      <c r="WIP47" s="1318"/>
      <c r="WIQ47" s="1318"/>
      <c r="WIR47" s="1318"/>
      <c r="WIS47" s="1318"/>
      <c r="WIT47" s="1318"/>
      <c r="WIU47" s="1318"/>
      <c r="WIV47" s="1318"/>
      <c r="WIW47" s="1318"/>
      <c r="WIX47" s="1318"/>
      <c r="WIY47" s="1318"/>
      <c r="WIZ47" s="1373"/>
      <c r="WJA47" s="1318"/>
      <c r="WJB47" s="1318"/>
      <c r="WJC47" s="1318"/>
      <c r="WJD47" s="1318"/>
      <c r="WJE47" s="1318"/>
      <c r="WJF47" s="1318"/>
      <c r="WJG47" s="1318"/>
      <c r="WJH47" s="1318"/>
      <c r="WJI47" s="1318"/>
      <c r="WJJ47" s="1318"/>
      <c r="WJK47" s="1373"/>
      <c r="WJL47" s="1318"/>
      <c r="WJM47" s="1318"/>
      <c r="WJN47" s="1318"/>
      <c r="WJO47" s="1318"/>
      <c r="WJP47" s="1318"/>
      <c r="WJQ47" s="1318"/>
      <c r="WJR47" s="1318"/>
      <c r="WJS47" s="1318"/>
      <c r="WJT47" s="1318"/>
      <c r="WJU47" s="1318"/>
      <c r="WJV47" s="1373"/>
      <c r="WJW47" s="1318"/>
      <c r="WJX47" s="1318"/>
      <c r="WJY47" s="1318"/>
      <c r="WJZ47" s="1318"/>
      <c r="WKA47" s="1318"/>
      <c r="WKB47" s="1318"/>
      <c r="WKC47" s="1318"/>
      <c r="WKD47" s="1318"/>
      <c r="WKE47" s="1318"/>
      <c r="WKF47" s="1318"/>
      <c r="WKG47" s="1373"/>
      <c r="WKH47" s="1318"/>
      <c r="WKI47" s="1318"/>
      <c r="WKJ47" s="1318"/>
      <c r="WKK47" s="1318"/>
      <c r="WKL47" s="1318"/>
      <c r="WKM47" s="1318"/>
      <c r="WKN47" s="1318"/>
      <c r="WKO47" s="1318"/>
      <c r="WKP47" s="1318"/>
      <c r="WKQ47" s="1318"/>
      <c r="WKR47" s="1373"/>
      <c r="WKS47" s="1318"/>
      <c r="WKT47" s="1318"/>
      <c r="WKU47" s="1318"/>
      <c r="WKV47" s="1318"/>
      <c r="WKW47" s="1318"/>
      <c r="WKX47" s="1318"/>
      <c r="WKY47" s="1318"/>
      <c r="WKZ47" s="1318"/>
      <c r="WLA47" s="1318"/>
      <c r="WLB47" s="1318"/>
      <c r="WLC47" s="1373"/>
      <c r="WLD47" s="1318"/>
      <c r="WLE47" s="1318"/>
      <c r="WLF47" s="1318"/>
      <c r="WLG47" s="1318"/>
      <c r="WLH47" s="1318"/>
      <c r="WLI47" s="1318"/>
      <c r="WLJ47" s="1318"/>
      <c r="WLK47" s="1318"/>
      <c r="WLL47" s="1318"/>
      <c r="WLM47" s="1318"/>
      <c r="WLN47" s="1373"/>
      <c r="WLO47" s="1318"/>
      <c r="WLP47" s="1318"/>
      <c r="WLQ47" s="1318"/>
      <c r="WLR47" s="1318"/>
      <c r="WLS47" s="1318"/>
      <c r="WLT47" s="1318"/>
      <c r="WLU47" s="1318"/>
      <c r="WLV47" s="1318"/>
      <c r="WLW47" s="1318"/>
      <c r="WLX47" s="1318"/>
      <c r="WLY47" s="1373"/>
      <c r="WLZ47" s="1318"/>
      <c r="WMA47" s="1318"/>
      <c r="WMB47" s="1318"/>
      <c r="WMC47" s="1318"/>
      <c r="WMD47" s="1318"/>
      <c r="WME47" s="1318"/>
      <c r="WMF47" s="1318"/>
      <c r="WMG47" s="1318"/>
      <c r="WMH47" s="1318"/>
      <c r="WMI47" s="1318"/>
      <c r="WMJ47" s="1373"/>
      <c r="WMK47" s="1318"/>
      <c r="WML47" s="1318"/>
      <c r="WMM47" s="1318"/>
      <c r="WMN47" s="1318"/>
      <c r="WMO47" s="1318"/>
      <c r="WMP47" s="1318"/>
      <c r="WMQ47" s="1318"/>
      <c r="WMR47" s="1318"/>
      <c r="WMS47" s="1318"/>
      <c r="WMT47" s="1318"/>
      <c r="WMU47" s="1373"/>
      <c r="WMV47" s="1318"/>
      <c r="WMW47" s="1318"/>
      <c r="WMX47" s="1318"/>
      <c r="WMY47" s="1318"/>
      <c r="WMZ47" s="1318"/>
      <c r="WNA47" s="1318"/>
      <c r="WNB47" s="1318"/>
      <c r="WNC47" s="1318"/>
      <c r="WND47" s="1318"/>
      <c r="WNE47" s="1318"/>
      <c r="WNF47" s="1373"/>
      <c r="WNG47" s="1318"/>
      <c r="WNH47" s="1318"/>
      <c r="WNI47" s="1318"/>
      <c r="WNJ47" s="1318"/>
      <c r="WNK47" s="1318"/>
      <c r="WNL47" s="1318"/>
      <c r="WNM47" s="1318"/>
      <c r="WNN47" s="1318"/>
      <c r="WNO47" s="1318"/>
      <c r="WNP47" s="1318"/>
      <c r="WNQ47" s="1373"/>
      <c r="WNR47" s="1318"/>
      <c r="WNS47" s="1318"/>
      <c r="WNT47" s="1318"/>
      <c r="WNU47" s="1318"/>
      <c r="WNV47" s="1318"/>
      <c r="WNW47" s="1318"/>
      <c r="WNX47" s="1318"/>
      <c r="WNY47" s="1318"/>
      <c r="WNZ47" s="1318"/>
      <c r="WOA47" s="1318"/>
      <c r="WOB47" s="1373"/>
      <c r="WOC47" s="1318"/>
      <c r="WOD47" s="1318"/>
      <c r="WOE47" s="1318"/>
      <c r="WOF47" s="1318"/>
      <c r="WOG47" s="1318"/>
      <c r="WOH47" s="1318"/>
      <c r="WOI47" s="1318"/>
      <c r="WOJ47" s="1318"/>
      <c r="WOK47" s="1318"/>
      <c r="WOL47" s="1318"/>
      <c r="WOM47" s="1373"/>
      <c r="WON47" s="1318"/>
      <c r="WOO47" s="1318"/>
      <c r="WOP47" s="1318"/>
      <c r="WOQ47" s="1318"/>
      <c r="WOR47" s="1318"/>
      <c r="WOS47" s="1318"/>
      <c r="WOT47" s="1318"/>
      <c r="WOU47" s="1318"/>
      <c r="WOV47" s="1318"/>
      <c r="WOW47" s="1318"/>
      <c r="WOX47" s="1373"/>
      <c r="WOY47" s="1318"/>
      <c r="WOZ47" s="1318"/>
      <c r="WPA47" s="1318"/>
      <c r="WPB47" s="1318"/>
      <c r="WPC47" s="1318"/>
      <c r="WPD47" s="1318"/>
      <c r="WPE47" s="1318"/>
      <c r="WPF47" s="1318"/>
      <c r="WPG47" s="1318"/>
      <c r="WPH47" s="1318"/>
      <c r="WPI47" s="1373"/>
      <c r="WPJ47" s="1318"/>
      <c r="WPK47" s="1318"/>
      <c r="WPL47" s="1318"/>
      <c r="WPM47" s="1318"/>
      <c r="WPN47" s="1318"/>
      <c r="WPO47" s="1318"/>
      <c r="WPP47" s="1318"/>
      <c r="WPQ47" s="1318"/>
      <c r="WPR47" s="1318"/>
      <c r="WPS47" s="1318"/>
      <c r="WPT47" s="1373"/>
      <c r="WPU47" s="1318"/>
      <c r="WPV47" s="1318"/>
      <c r="WPW47" s="1318"/>
      <c r="WPX47" s="1318"/>
      <c r="WPY47" s="1318"/>
      <c r="WPZ47" s="1318"/>
      <c r="WQA47" s="1318"/>
      <c r="WQB47" s="1318"/>
      <c r="WQC47" s="1318"/>
      <c r="WQD47" s="1318"/>
      <c r="WQE47" s="1373"/>
      <c r="WQF47" s="1318"/>
      <c r="WQG47" s="1318"/>
      <c r="WQH47" s="1318"/>
      <c r="WQI47" s="1318"/>
      <c r="WQJ47" s="1318"/>
      <c r="WQK47" s="1318"/>
      <c r="WQL47" s="1318"/>
      <c r="WQM47" s="1318"/>
      <c r="WQN47" s="1318"/>
      <c r="WQO47" s="1318"/>
      <c r="WQP47" s="1373"/>
      <c r="WQQ47" s="1318"/>
      <c r="WQR47" s="1318"/>
      <c r="WQS47" s="1318"/>
      <c r="WQT47" s="1318"/>
      <c r="WQU47" s="1318"/>
      <c r="WQV47" s="1318"/>
      <c r="WQW47" s="1318"/>
      <c r="WQX47" s="1318"/>
      <c r="WQY47" s="1318"/>
      <c r="WQZ47" s="1318"/>
      <c r="WRA47" s="1373"/>
      <c r="WRB47" s="1318"/>
      <c r="WRC47" s="1318"/>
      <c r="WRD47" s="1318"/>
      <c r="WRE47" s="1318"/>
      <c r="WRF47" s="1318"/>
      <c r="WRG47" s="1318"/>
      <c r="WRH47" s="1318"/>
      <c r="WRI47" s="1318"/>
      <c r="WRJ47" s="1318"/>
      <c r="WRK47" s="1318"/>
      <c r="WRL47" s="1373"/>
      <c r="WRM47" s="1318"/>
      <c r="WRN47" s="1318"/>
      <c r="WRO47" s="1318"/>
      <c r="WRP47" s="1318"/>
      <c r="WRQ47" s="1318"/>
      <c r="WRR47" s="1318"/>
      <c r="WRS47" s="1318"/>
      <c r="WRT47" s="1318"/>
      <c r="WRU47" s="1318"/>
      <c r="WRV47" s="1318"/>
      <c r="WRW47" s="1373"/>
      <c r="WRX47" s="1318"/>
      <c r="WRY47" s="1318"/>
      <c r="WRZ47" s="1318"/>
      <c r="WSA47" s="1318"/>
      <c r="WSB47" s="1318"/>
      <c r="WSC47" s="1318"/>
      <c r="WSD47" s="1318"/>
      <c r="WSE47" s="1318"/>
      <c r="WSF47" s="1318"/>
      <c r="WSG47" s="1318"/>
      <c r="WSH47" s="1373"/>
      <c r="WSI47" s="1318"/>
      <c r="WSJ47" s="1318"/>
      <c r="WSK47" s="1318"/>
      <c r="WSL47" s="1318"/>
      <c r="WSM47" s="1318"/>
      <c r="WSN47" s="1318"/>
      <c r="WSO47" s="1318"/>
      <c r="WSP47" s="1318"/>
      <c r="WSQ47" s="1318"/>
      <c r="WSR47" s="1318"/>
      <c r="WSS47" s="1373"/>
      <c r="WST47" s="1318"/>
      <c r="WSU47" s="1318"/>
      <c r="WSV47" s="1318"/>
      <c r="WSW47" s="1318"/>
      <c r="WSX47" s="1318"/>
      <c r="WSY47" s="1318"/>
      <c r="WSZ47" s="1318"/>
      <c r="WTA47" s="1318"/>
      <c r="WTB47" s="1318"/>
      <c r="WTC47" s="1318"/>
      <c r="WTD47" s="1373"/>
      <c r="WTE47" s="1318"/>
      <c r="WTF47" s="1318"/>
      <c r="WTG47" s="1318"/>
      <c r="WTH47" s="1318"/>
      <c r="WTI47" s="1318"/>
      <c r="WTJ47" s="1318"/>
      <c r="WTK47" s="1318"/>
      <c r="WTL47" s="1318"/>
      <c r="WTM47" s="1318"/>
      <c r="WTN47" s="1318"/>
      <c r="WTO47" s="1373"/>
      <c r="WTP47" s="1318"/>
      <c r="WTQ47" s="1318"/>
      <c r="WTR47" s="1318"/>
      <c r="WTS47" s="1318"/>
      <c r="WTT47" s="1318"/>
      <c r="WTU47" s="1318"/>
      <c r="WTV47" s="1318"/>
      <c r="WTW47" s="1318"/>
      <c r="WTX47" s="1318"/>
      <c r="WTY47" s="1318"/>
      <c r="WTZ47" s="1373"/>
      <c r="WUA47" s="1318"/>
      <c r="WUB47" s="1318"/>
      <c r="WUC47" s="1318"/>
      <c r="WUD47" s="1318"/>
      <c r="WUE47" s="1318"/>
      <c r="WUF47" s="1318"/>
      <c r="WUG47" s="1318"/>
      <c r="WUH47" s="1318"/>
      <c r="WUI47" s="1318"/>
      <c r="WUJ47" s="1318"/>
      <c r="WUK47" s="1373"/>
      <c r="WUL47" s="1318"/>
      <c r="WUM47" s="1318"/>
      <c r="WUN47" s="1318"/>
      <c r="WUO47" s="1318"/>
      <c r="WUP47" s="1318"/>
      <c r="WUQ47" s="1318"/>
      <c r="WUR47" s="1318"/>
      <c r="WUS47" s="1318"/>
      <c r="WUT47" s="1318"/>
      <c r="WUU47" s="1318"/>
      <c r="WUV47" s="1373"/>
      <c r="WUW47" s="1318"/>
      <c r="WUX47" s="1318"/>
      <c r="WUY47" s="1318"/>
      <c r="WUZ47" s="1318"/>
      <c r="WVA47" s="1318"/>
      <c r="WVB47" s="1318"/>
      <c r="WVC47" s="1318"/>
      <c r="WVD47" s="1318"/>
      <c r="WVE47" s="1318"/>
      <c r="WVF47" s="1318"/>
      <c r="WVG47" s="1373"/>
      <c r="WVH47" s="1318"/>
      <c r="WVI47" s="1318"/>
      <c r="WVJ47" s="1318"/>
      <c r="WVK47" s="1318"/>
      <c r="WVL47" s="1318"/>
      <c r="WVM47" s="1318"/>
      <c r="WVN47" s="1318"/>
      <c r="WVO47" s="1318"/>
      <c r="WVP47" s="1318"/>
      <c r="WVQ47" s="1318"/>
      <c r="WVR47" s="1373"/>
      <c r="WVS47" s="1318"/>
      <c r="WVT47" s="1318"/>
      <c r="WVU47" s="1318"/>
      <c r="WVV47" s="1318"/>
      <c r="WVW47" s="1318"/>
      <c r="WVX47" s="1318"/>
      <c r="WVY47" s="1318"/>
      <c r="WVZ47" s="1318"/>
      <c r="WWA47" s="1318"/>
      <c r="WWB47" s="1318"/>
      <c r="WWC47" s="1373"/>
      <c r="WWD47" s="1318"/>
      <c r="WWE47" s="1318"/>
      <c r="WWF47" s="1318"/>
      <c r="WWG47" s="1318"/>
      <c r="WWH47" s="1318"/>
      <c r="WWI47" s="1318"/>
      <c r="WWJ47" s="1318"/>
      <c r="WWK47" s="1318"/>
      <c r="WWL47" s="1318"/>
      <c r="WWM47" s="1318"/>
      <c r="WWN47" s="1373"/>
      <c r="WWO47" s="1318"/>
      <c r="WWP47" s="1318"/>
      <c r="WWQ47" s="1318"/>
      <c r="WWR47" s="1318"/>
      <c r="WWS47" s="1318"/>
      <c r="WWT47" s="1318"/>
      <c r="WWU47" s="1318"/>
      <c r="WWV47" s="1318"/>
      <c r="WWW47" s="1318"/>
      <c r="WWX47" s="1318"/>
      <c r="WWY47" s="1373"/>
      <c r="WWZ47" s="1318"/>
      <c r="WXA47" s="1318"/>
      <c r="WXB47" s="1318"/>
      <c r="WXC47" s="1318"/>
      <c r="WXD47" s="1318"/>
      <c r="WXE47" s="1318"/>
      <c r="WXF47" s="1318"/>
      <c r="WXG47" s="1318"/>
      <c r="WXH47" s="1318"/>
      <c r="WXI47" s="1318"/>
      <c r="WXJ47" s="1373"/>
      <c r="WXK47" s="1318"/>
      <c r="WXL47" s="1318"/>
      <c r="WXM47" s="1318"/>
      <c r="WXN47" s="1318"/>
      <c r="WXO47" s="1318"/>
      <c r="WXP47" s="1318"/>
      <c r="WXQ47" s="1318"/>
      <c r="WXR47" s="1318"/>
      <c r="WXS47" s="1318"/>
      <c r="WXT47" s="1318"/>
      <c r="WXU47" s="1373"/>
      <c r="WXV47" s="1318"/>
      <c r="WXW47" s="1318"/>
      <c r="WXX47" s="1318"/>
      <c r="WXY47" s="1318"/>
      <c r="WXZ47" s="1318"/>
      <c r="WYA47" s="1318"/>
      <c r="WYB47" s="1318"/>
      <c r="WYC47" s="1318"/>
      <c r="WYD47" s="1318"/>
      <c r="WYE47" s="1318"/>
      <c r="WYF47" s="1373"/>
      <c r="WYG47" s="1318"/>
      <c r="WYH47" s="1318"/>
      <c r="WYI47" s="1318"/>
      <c r="WYJ47" s="1318"/>
      <c r="WYK47" s="1318"/>
      <c r="WYL47" s="1318"/>
      <c r="WYM47" s="1318"/>
      <c r="WYN47" s="1318"/>
      <c r="WYO47" s="1318"/>
      <c r="WYP47" s="1318"/>
      <c r="WYQ47" s="1373"/>
      <c r="WYR47" s="1318"/>
      <c r="WYS47" s="1318"/>
      <c r="WYT47" s="1318"/>
      <c r="WYU47" s="1318"/>
      <c r="WYV47" s="1318"/>
      <c r="WYW47" s="1318"/>
      <c r="WYX47" s="1318"/>
      <c r="WYY47" s="1318"/>
      <c r="WYZ47" s="1318"/>
      <c r="WZA47" s="1318"/>
      <c r="WZB47" s="1373"/>
      <c r="WZC47" s="1318"/>
      <c r="WZD47" s="1318"/>
      <c r="WZE47" s="1318"/>
      <c r="WZF47" s="1318"/>
      <c r="WZG47" s="1318"/>
      <c r="WZH47" s="1318"/>
      <c r="WZI47" s="1318"/>
      <c r="WZJ47" s="1318"/>
      <c r="WZK47" s="1318"/>
      <c r="WZL47" s="1318"/>
      <c r="WZM47" s="1373"/>
      <c r="WZN47" s="1318"/>
      <c r="WZO47" s="1318"/>
      <c r="WZP47" s="1318"/>
      <c r="WZQ47" s="1318"/>
      <c r="WZR47" s="1318"/>
      <c r="WZS47" s="1318"/>
      <c r="WZT47" s="1318"/>
      <c r="WZU47" s="1318"/>
      <c r="WZV47" s="1318"/>
      <c r="WZW47" s="1318"/>
      <c r="WZX47" s="1373"/>
      <c r="WZY47" s="1318"/>
      <c r="WZZ47" s="1318"/>
      <c r="XAA47" s="1318"/>
      <c r="XAB47" s="1318"/>
      <c r="XAC47" s="1318"/>
      <c r="XAD47" s="1318"/>
      <c r="XAE47" s="1318"/>
      <c r="XAF47" s="1318"/>
      <c r="XAG47" s="1318"/>
      <c r="XAH47" s="1318"/>
      <c r="XAI47" s="1373"/>
      <c r="XAJ47" s="1318"/>
      <c r="XAK47" s="1318"/>
      <c r="XAL47" s="1318"/>
      <c r="XAM47" s="1318"/>
      <c r="XAN47" s="1318"/>
      <c r="XAO47" s="1318"/>
      <c r="XAP47" s="1318"/>
      <c r="XAQ47" s="1318"/>
      <c r="XAR47" s="1318"/>
      <c r="XAS47" s="1318"/>
      <c r="XAT47" s="1373"/>
      <c r="XAU47" s="1318"/>
      <c r="XAV47" s="1318"/>
      <c r="XAW47" s="1318"/>
      <c r="XAX47" s="1318"/>
      <c r="XAY47" s="1318"/>
      <c r="XAZ47" s="1318"/>
      <c r="XBA47" s="1318"/>
      <c r="XBB47" s="1318"/>
      <c r="XBC47" s="1318"/>
      <c r="XBD47" s="1318"/>
      <c r="XBE47" s="1373"/>
      <c r="XBF47" s="1318"/>
      <c r="XBG47" s="1318"/>
      <c r="XBH47" s="1318"/>
      <c r="XBI47" s="1318"/>
      <c r="XBJ47" s="1318"/>
      <c r="XBK47" s="1318"/>
      <c r="XBL47" s="1318"/>
      <c r="XBM47" s="1318"/>
      <c r="XBN47" s="1318"/>
      <c r="XBO47" s="1318"/>
      <c r="XBP47" s="1373"/>
      <c r="XBQ47" s="1318"/>
      <c r="XBR47" s="1318"/>
      <c r="XBS47" s="1318"/>
      <c r="XBT47" s="1318"/>
      <c r="XBU47" s="1318"/>
      <c r="XBV47" s="1318"/>
      <c r="XBW47" s="1318"/>
      <c r="XBX47" s="1318"/>
      <c r="XBY47" s="1318"/>
      <c r="XBZ47" s="1318"/>
      <c r="XCA47" s="1373"/>
      <c r="XCB47" s="1318"/>
      <c r="XCC47" s="1318"/>
      <c r="XCD47" s="1318"/>
      <c r="XCE47" s="1318"/>
      <c r="XCF47" s="1318"/>
      <c r="XCG47" s="1318"/>
      <c r="XCH47" s="1318"/>
      <c r="XCI47" s="1318"/>
      <c r="XCJ47" s="1318"/>
      <c r="XCK47" s="1318"/>
      <c r="XCL47" s="1373"/>
      <c r="XCM47" s="1318"/>
      <c r="XCN47" s="1318"/>
      <c r="XCO47" s="1318"/>
      <c r="XCP47" s="1318"/>
      <c r="XCQ47" s="1318"/>
      <c r="XCR47" s="1318"/>
      <c r="XCS47" s="1318"/>
      <c r="XCT47" s="1318"/>
      <c r="XCU47" s="1318"/>
      <c r="XCV47" s="1318"/>
      <c r="XCW47" s="1373"/>
      <c r="XCX47" s="1318"/>
      <c r="XCY47" s="1318"/>
      <c r="XCZ47" s="1318"/>
      <c r="XDA47" s="1318"/>
      <c r="XDB47" s="1318"/>
      <c r="XDC47" s="1318"/>
      <c r="XDD47" s="1318"/>
      <c r="XDE47" s="1318"/>
      <c r="XDF47" s="1318"/>
      <c r="XDG47" s="1318"/>
      <c r="XDH47" s="1373"/>
      <c r="XDI47" s="1318"/>
      <c r="XDJ47" s="1318"/>
      <c r="XDK47" s="1318"/>
      <c r="XDL47" s="1318"/>
      <c r="XDM47" s="1318"/>
      <c r="XDN47" s="1318"/>
      <c r="XDO47" s="1318"/>
      <c r="XDP47" s="1318"/>
      <c r="XDQ47" s="1318"/>
      <c r="XDR47" s="1318"/>
      <c r="XDS47" s="1373"/>
      <c r="XDT47" s="1318"/>
      <c r="XDU47" s="1318"/>
      <c r="XDV47" s="1318"/>
      <c r="XDW47" s="1318"/>
      <c r="XDX47" s="1318"/>
      <c r="XDY47" s="1318"/>
      <c r="XDZ47" s="1318"/>
      <c r="XEA47" s="1318"/>
      <c r="XEB47" s="1318"/>
      <c r="XEC47" s="1318"/>
      <c r="XED47" s="1373"/>
      <c r="XEE47" s="1318"/>
      <c r="XEF47" s="1318"/>
      <c r="XEG47" s="1318"/>
      <c r="XEH47" s="1318"/>
      <c r="XEI47" s="1318"/>
      <c r="XEJ47" s="1318"/>
      <c r="XEK47" s="1318"/>
      <c r="XEL47" s="1318"/>
      <c r="XEM47" s="1318"/>
      <c r="XEN47" s="1318"/>
      <c r="XEO47" s="1373"/>
      <c r="XEP47" s="1318"/>
      <c r="XEQ47" s="1318"/>
      <c r="XER47" s="1318"/>
      <c r="XES47" s="1318"/>
      <c r="XET47" s="1318"/>
      <c r="XEU47" s="1318"/>
      <c r="XEV47" s="1318"/>
      <c r="XEW47" s="1318"/>
      <c r="XEX47" s="1318"/>
      <c r="XEY47" s="1318"/>
      <c r="XEZ47" s="1373"/>
      <c r="XFA47" s="1318"/>
      <c r="XFB47" s="1318"/>
      <c r="XFC47" s="1318"/>
      <c r="XFD47" s="1318"/>
    </row>
    <row r="48" spans="1:16384" x14ac:dyDescent="0.2">
      <c r="J48" s="43"/>
      <c r="K48" s="43"/>
      <c r="L48" s="43"/>
      <c r="M48" s="43"/>
      <c r="N48" s="43"/>
      <c r="O48" s="43"/>
      <c r="P48" s="43"/>
      <c r="Q48" s="43"/>
    </row>
    <row r="49" spans="10:17" x14ac:dyDescent="0.2">
      <c r="J49" s="43"/>
      <c r="K49" s="43"/>
      <c r="L49" s="43"/>
      <c r="M49" s="43"/>
      <c r="N49" s="43"/>
      <c r="O49" s="43"/>
      <c r="P49" s="43"/>
      <c r="Q49" s="43"/>
    </row>
    <row r="50" spans="10:17" x14ac:dyDescent="0.2">
      <c r="J50" s="43"/>
      <c r="K50" s="43"/>
      <c r="L50" s="43"/>
      <c r="M50" s="43"/>
      <c r="N50" s="43"/>
      <c r="O50" s="43"/>
      <c r="P50" s="43"/>
      <c r="Q50" s="43"/>
    </row>
    <row r="51" spans="10:17" x14ac:dyDescent="0.2">
      <c r="L51" s="43"/>
      <c r="M51" s="43"/>
      <c r="N51" s="43"/>
      <c r="O51" s="43"/>
      <c r="P51" s="43"/>
      <c r="Q51" s="43"/>
    </row>
    <row r="52" spans="10:17" x14ac:dyDescent="0.2">
      <c r="L52" s="43"/>
      <c r="M52" s="43"/>
      <c r="N52" s="43"/>
      <c r="O52" s="43"/>
      <c r="P52" s="43"/>
      <c r="Q52" s="43"/>
    </row>
    <row r="53" spans="10:17" x14ac:dyDescent="0.2">
      <c r="L53" s="43"/>
      <c r="M53" s="43"/>
      <c r="N53" s="43"/>
      <c r="O53" s="43"/>
      <c r="P53" s="43"/>
      <c r="Q53" s="43"/>
    </row>
    <row r="54" spans="10:17" x14ac:dyDescent="0.2">
      <c r="L54" s="43"/>
      <c r="M54" s="43"/>
      <c r="N54" s="43"/>
      <c r="O54" s="43"/>
      <c r="P54" s="43"/>
      <c r="Q54" s="43"/>
    </row>
    <row r="55" spans="10:17" x14ac:dyDescent="0.2">
      <c r="L55" s="43"/>
      <c r="M55" s="43"/>
      <c r="N55" s="43"/>
      <c r="O55" s="43"/>
      <c r="P55" s="43"/>
      <c r="Q55" s="43"/>
    </row>
    <row r="56" spans="10:17" x14ac:dyDescent="0.2">
      <c r="L56" s="43"/>
      <c r="M56" s="43"/>
      <c r="N56" s="43"/>
      <c r="O56" s="43"/>
      <c r="P56" s="43"/>
      <c r="Q56" s="43"/>
    </row>
    <row r="57" spans="10:17" x14ac:dyDescent="0.2">
      <c r="L57" s="43"/>
      <c r="M57" s="43"/>
      <c r="N57" s="43"/>
      <c r="O57" s="43"/>
      <c r="P57" s="43"/>
      <c r="Q57" s="43"/>
    </row>
  </sheetData>
  <sheetProtection password="CA39" sheet="1" objects="1" scenarios="1"/>
  <customSheetViews>
    <customSheetView guid="{52EB1485-ECFC-4D16-B893-125E4D85986E}" scale="86" showPageBreaks="1" showGridLines="0" printArea="1" showRuler="0" topLeftCell="A2">
      <selection activeCell="E33" sqref="E33"/>
      <pageMargins left="0.39370078740157483" right="0.39370078740157483" top="0.19685039370078741" bottom="0.19685039370078741" header="3.937007874015748E-2" footer="0.11811023622047245"/>
      <pageSetup paperSize="9" orientation="landscape" horizontalDpi="1200" verticalDpi="1200" r:id="rId1"/>
      <headerFooter alignWithMargins="0"/>
    </customSheetView>
  </customSheetViews>
  <mergeCells count="1555">
    <mergeCell ref="XDH47:XDR47"/>
    <mergeCell ref="XDS47:XEC47"/>
    <mergeCell ref="XED47:XEN47"/>
    <mergeCell ref="XEO47:XEY47"/>
    <mergeCell ref="XEZ47:XFD47"/>
    <mergeCell ref="XBE47:XBO47"/>
    <mergeCell ref="XBP47:XBZ47"/>
    <mergeCell ref="XCA47:XCK47"/>
    <mergeCell ref="XCL47:XCV47"/>
    <mergeCell ref="XCW47:XDG47"/>
    <mergeCell ref="WZB47:WZL47"/>
    <mergeCell ref="WZM47:WZW47"/>
    <mergeCell ref="WZX47:XAH47"/>
    <mergeCell ref="XAI47:XAS47"/>
    <mergeCell ref="XAT47:XBD47"/>
    <mergeCell ref="WWY47:WXI47"/>
    <mergeCell ref="WXJ47:WXT47"/>
    <mergeCell ref="WXU47:WYE47"/>
    <mergeCell ref="WYF47:WYP47"/>
    <mergeCell ref="WYQ47:WZA47"/>
    <mergeCell ref="WUV47:WVF47"/>
    <mergeCell ref="WVG47:WVQ47"/>
    <mergeCell ref="WVR47:WWB47"/>
    <mergeCell ref="WWC47:WWM47"/>
    <mergeCell ref="WWN47:WWX47"/>
    <mergeCell ref="WSS47:WTC47"/>
    <mergeCell ref="WTD47:WTN47"/>
    <mergeCell ref="WTO47:WTY47"/>
    <mergeCell ref="WTZ47:WUJ47"/>
    <mergeCell ref="WUK47:WUU47"/>
    <mergeCell ref="WQP47:WQZ47"/>
    <mergeCell ref="WRA47:WRK47"/>
    <mergeCell ref="WRL47:WRV47"/>
    <mergeCell ref="WRW47:WSG47"/>
    <mergeCell ref="WSH47:WSR47"/>
    <mergeCell ref="WOM47:WOW47"/>
    <mergeCell ref="WOX47:WPH47"/>
    <mergeCell ref="WPI47:WPS47"/>
    <mergeCell ref="WPT47:WQD47"/>
    <mergeCell ref="WQE47:WQO47"/>
    <mergeCell ref="WMJ47:WMT47"/>
    <mergeCell ref="WMU47:WNE47"/>
    <mergeCell ref="WNF47:WNP47"/>
    <mergeCell ref="WNQ47:WOA47"/>
    <mergeCell ref="WOB47:WOL47"/>
    <mergeCell ref="WKG47:WKQ47"/>
    <mergeCell ref="WKR47:WLB47"/>
    <mergeCell ref="WLC47:WLM47"/>
    <mergeCell ref="WLN47:WLX47"/>
    <mergeCell ref="WLY47:WMI47"/>
    <mergeCell ref="WID47:WIN47"/>
    <mergeCell ref="WIO47:WIY47"/>
    <mergeCell ref="WIZ47:WJJ47"/>
    <mergeCell ref="WJK47:WJU47"/>
    <mergeCell ref="WJV47:WKF47"/>
    <mergeCell ref="WGA47:WGK47"/>
    <mergeCell ref="WGL47:WGV47"/>
    <mergeCell ref="WGW47:WHG47"/>
    <mergeCell ref="WHH47:WHR47"/>
    <mergeCell ref="WHS47:WIC47"/>
    <mergeCell ref="WDX47:WEH47"/>
    <mergeCell ref="WEI47:WES47"/>
    <mergeCell ref="WET47:WFD47"/>
    <mergeCell ref="WFE47:WFO47"/>
    <mergeCell ref="WFP47:WFZ47"/>
    <mergeCell ref="WBU47:WCE47"/>
    <mergeCell ref="WCF47:WCP47"/>
    <mergeCell ref="WCQ47:WDA47"/>
    <mergeCell ref="WDB47:WDL47"/>
    <mergeCell ref="WDM47:WDW47"/>
    <mergeCell ref="VZR47:WAB47"/>
    <mergeCell ref="WAC47:WAM47"/>
    <mergeCell ref="WAN47:WAX47"/>
    <mergeCell ref="WAY47:WBI47"/>
    <mergeCell ref="WBJ47:WBT47"/>
    <mergeCell ref="VXO47:VXY47"/>
    <mergeCell ref="VXZ47:VYJ47"/>
    <mergeCell ref="VYK47:VYU47"/>
    <mergeCell ref="VYV47:VZF47"/>
    <mergeCell ref="VZG47:VZQ47"/>
    <mergeCell ref="VVL47:VVV47"/>
    <mergeCell ref="VVW47:VWG47"/>
    <mergeCell ref="VWH47:VWR47"/>
    <mergeCell ref="VWS47:VXC47"/>
    <mergeCell ref="VXD47:VXN47"/>
    <mergeCell ref="VTI47:VTS47"/>
    <mergeCell ref="VTT47:VUD47"/>
    <mergeCell ref="VUE47:VUO47"/>
    <mergeCell ref="VUP47:VUZ47"/>
    <mergeCell ref="VVA47:VVK47"/>
    <mergeCell ref="VRF47:VRP47"/>
    <mergeCell ref="VRQ47:VSA47"/>
    <mergeCell ref="VSB47:VSL47"/>
    <mergeCell ref="VSM47:VSW47"/>
    <mergeCell ref="VSX47:VTH47"/>
    <mergeCell ref="VPC47:VPM47"/>
    <mergeCell ref="VPN47:VPX47"/>
    <mergeCell ref="VPY47:VQI47"/>
    <mergeCell ref="VQJ47:VQT47"/>
    <mergeCell ref="VQU47:VRE47"/>
    <mergeCell ref="VMZ47:VNJ47"/>
    <mergeCell ref="VNK47:VNU47"/>
    <mergeCell ref="VNV47:VOF47"/>
    <mergeCell ref="VOG47:VOQ47"/>
    <mergeCell ref="VOR47:VPB47"/>
    <mergeCell ref="VKW47:VLG47"/>
    <mergeCell ref="VLH47:VLR47"/>
    <mergeCell ref="VLS47:VMC47"/>
    <mergeCell ref="VMD47:VMN47"/>
    <mergeCell ref="VMO47:VMY47"/>
    <mergeCell ref="VIT47:VJD47"/>
    <mergeCell ref="VJE47:VJO47"/>
    <mergeCell ref="VJP47:VJZ47"/>
    <mergeCell ref="VKA47:VKK47"/>
    <mergeCell ref="VKL47:VKV47"/>
    <mergeCell ref="VGQ47:VHA47"/>
    <mergeCell ref="VHB47:VHL47"/>
    <mergeCell ref="VHM47:VHW47"/>
    <mergeCell ref="VHX47:VIH47"/>
    <mergeCell ref="VII47:VIS47"/>
    <mergeCell ref="VEN47:VEX47"/>
    <mergeCell ref="VEY47:VFI47"/>
    <mergeCell ref="VFJ47:VFT47"/>
    <mergeCell ref="VFU47:VGE47"/>
    <mergeCell ref="VGF47:VGP47"/>
    <mergeCell ref="VCK47:VCU47"/>
    <mergeCell ref="VCV47:VDF47"/>
    <mergeCell ref="VDG47:VDQ47"/>
    <mergeCell ref="VDR47:VEB47"/>
    <mergeCell ref="VEC47:VEM47"/>
    <mergeCell ref="VAH47:VAR47"/>
    <mergeCell ref="VAS47:VBC47"/>
    <mergeCell ref="VBD47:VBN47"/>
    <mergeCell ref="VBO47:VBY47"/>
    <mergeCell ref="VBZ47:VCJ47"/>
    <mergeCell ref="UYE47:UYO47"/>
    <mergeCell ref="UYP47:UYZ47"/>
    <mergeCell ref="UZA47:UZK47"/>
    <mergeCell ref="UZL47:UZV47"/>
    <mergeCell ref="UZW47:VAG47"/>
    <mergeCell ref="UWB47:UWL47"/>
    <mergeCell ref="UWM47:UWW47"/>
    <mergeCell ref="UWX47:UXH47"/>
    <mergeCell ref="UXI47:UXS47"/>
    <mergeCell ref="UXT47:UYD47"/>
    <mergeCell ref="UTY47:UUI47"/>
    <mergeCell ref="UUJ47:UUT47"/>
    <mergeCell ref="UUU47:UVE47"/>
    <mergeCell ref="UVF47:UVP47"/>
    <mergeCell ref="UVQ47:UWA47"/>
    <mergeCell ref="URV47:USF47"/>
    <mergeCell ref="USG47:USQ47"/>
    <mergeCell ref="USR47:UTB47"/>
    <mergeCell ref="UTC47:UTM47"/>
    <mergeCell ref="UTN47:UTX47"/>
    <mergeCell ref="UPS47:UQC47"/>
    <mergeCell ref="UQD47:UQN47"/>
    <mergeCell ref="UQO47:UQY47"/>
    <mergeCell ref="UQZ47:URJ47"/>
    <mergeCell ref="URK47:URU47"/>
    <mergeCell ref="UNP47:UNZ47"/>
    <mergeCell ref="UOA47:UOK47"/>
    <mergeCell ref="UOL47:UOV47"/>
    <mergeCell ref="UOW47:UPG47"/>
    <mergeCell ref="UPH47:UPR47"/>
    <mergeCell ref="ULM47:ULW47"/>
    <mergeCell ref="ULX47:UMH47"/>
    <mergeCell ref="UMI47:UMS47"/>
    <mergeCell ref="UMT47:UND47"/>
    <mergeCell ref="UNE47:UNO47"/>
    <mergeCell ref="UJJ47:UJT47"/>
    <mergeCell ref="UJU47:UKE47"/>
    <mergeCell ref="UKF47:UKP47"/>
    <mergeCell ref="UKQ47:ULA47"/>
    <mergeCell ref="ULB47:ULL47"/>
    <mergeCell ref="UHG47:UHQ47"/>
    <mergeCell ref="UHR47:UIB47"/>
    <mergeCell ref="UIC47:UIM47"/>
    <mergeCell ref="UIN47:UIX47"/>
    <mergeCell ref="UIY47:UJI47"/>
    <mergeCell ref="UFD47:UFN47"/>
    <mergeCell ref="UFO47:UFY47"/>
    <mergeCell ref="UFZ47:UGJ47"/>
    <mergeCell ref="UGK47:UGU47"/>
    <mergeCell ref="UGV47:UHF47"/>
    <mergeCell ref="UDA47:UDK47"/>
    <mergeCell ref="UDL47:UDV47"/>
    <mergeCell ref="UDW47:UEG47"/>
    <mergeCell ref="UEH47:UER47"/>
    <mergeCell ref="UES47:UFC47"/>
    <mergeCell ref="UAX47:UBH47"/>
    <mergeCell ref="UBI47:UBS47"/>
    <mergeCell ref="UBT47:UCD47"/>
    <mergeCell ref="UCE47:UCO47"/>
    <mergeCell ref="UCP47:UCZ47"/>
    <mergeCell ref="TYU47:TZE47"/>
    <mergeCell ref="TZF47:TZP47"/>
    <mergeCell ref="TZQ47:UAA47"/>
    <mergeCell ref="UAB47:UAL47"/>
    <mergeCell ref="UAM47:UAW47"/>
    <mergeCell ref="TWR47:TXB47"/>
    <mergeCell ref="TXC47:TXM47"/>
    <mergeCell ref="TXN47:TXX47"/>
    <mergeCell ref="TXY47:TYI47"/>
    <mergeCell ref="TYJ47:TYT47"/>
    <mergeCell ref="TUO47:TUY47"/>
    <mergeCell ref="TUZ47:TVJ47"/>
    <mergeCell ref="TVK47:TVU47"/>
    <mergeCell ref="TVV47:TWF47"/>
    <mergeCell ref="TWG47:TWQ47"/>
    <mergeCell ref="TSL47:TSV47"/>
    <mergeCell ref="TSW47:TTG47"/>
    <mergeCell ref="TTH47:TTR47"/>
    <mergeCell ref="TTS47:TUC47"/>
    <mergeCell ref="TUD47:TUN47"/>
    <mergeCell ref="TQI47:TQS47"/>
    <mergeCell ref="TQT47:TRD47"/>
    <mergeCell ref="TRE47:TRO47"/>
    <mergeCell ref="TRP47:TRZ47"/>
    <mergeCell ref="TSA47:TSK47"/>
    <mergeCell ref="TOF47:TOP47"/>
    <mergeCell ref="TOQ47:TPA47"/>
    <mergeCell ref="TPB47:TPL47"/>
    <mergeCell ref="TPM47:TPW47"/>
    <mergeCell ref="TPX47:TQH47"/>
    <mergeCell ref="TMC47:TMM47"/>
    <mergeCell ref="TMN47:TMX47"/>
    <mergeCell ref="TMY47:TNI47"/>
    <mergeCell ref="TNJ47:TNT47"/>
    <mergeCell ref="TNU47:TOE47"/>
    <mergeCell ref="TJZ47:TKJ47"/>
    <mergeCell ref="TKK47:TKU47"/>
    <mergeCell ref="TKV47:TLF47"/>
    <mergeCell ref="TLG47:TLQ47"/>
    <mergeCell ref="TLR47:TMB47"/>
    <mergeCell ref="THW47:TIG47"/>
    <mergeCell ref="TIH47:TIR47"/>
    <mergeCell ref="TIS47:TJC47"/>
    <mergeCell ref="TJD47:TJN47"/>
    <mergeCell ref="TJO47:TJY47"/>
    <mergeCell ref="TFT47:TGD47"/>
    <mergeCell ref="TGE47:TGO47"/>
    <mergeCell ref="TGP47:TGZ47"/>
    <mergeCell ref="THA47:THK47"/>
    <mergeCell ref="THL47:THV47"/>
    <mergeCell ref="TDQ47:TEA47"/>
    <mergeCell ref="TEB47:TEL47"/>
    <mergeCell ref="TEM47:TEW47"/>
    <mergeCell ref="TEX47:TFH47"/>
    <mergeCell ref="TFI47:TFS47"/>
    <mergeCell ref="TBN47:TBX47"/>
    <mergeCell ref="TBY47:TCI47"/>
    <mergeCell ref="TCJ47:TCT47"/>
    <mergeCell ref="TCU47:TDE47"/>
    <mergeCell ref="TDF47:TDP47"/>
    <mergeCell ref="SZK47:SZU47"/>
    <mergeCell ref="SZV47:TAF47"/>
    <mergeCell ref="TAG47:TAQ47"/>
    <mergeCell ref="TAR47:TBB47"/>
    <mergeCell ref="TBC47:TBM47"/>
    <mergeCell ref="SXH47:SXR47"/>
    <mergeCell ref="SXS47:SYC47"/>
    <mergeCell ref="SYD47:SYN47"/>
    <mergeCell ref="SYO47:SYY47"/>
    <mergeCell ref="SYZ47:SZJ47"/>
    <mergeCell ref="SVE47:SVO47"/>
    <mergeCell ref="SVP47:SVZ47"/>
    <mergeCell ref="SWA47:SWK47"/>
    <mergeCell ref="SWL47:SWV47"/>
    <mergeCell ref="SWW47:SXG47"/>
    <mergeCell ref="STB47:STL47"/>
    <mergeCell ref="STM47:STW47"/>
    <mergeCell ref="STX47:SUH47"/>
    <mergeCell ref="SUI47:SUS47"/>
    <mergeCell ref="SUT47:SVD47"/>
    <mergeCell ref="SQY47:SRI47"/>
    <mergeCell ref="SRJ47:SRT47"/>
    <mergeCell ref="SRU47:SSE47"/>
    <mergeCell ref="SSF47:SSP47"/>
    <mergeCell ref="SSQ47:STA47"/>
    <mergeCell ref="SOV47:SPF47"/>
    <mergeCell ref="SPG47:SPQ47"/>
    <mergeCell ref="SPR47:SQB47"/>
    <mergeCell ref="SQC47:SQM47"/>
    <mergeCell ref="SQN47:SQX47"/>
    <mergeCell ref="SMS47:SNC47"/>
    <mergeCell ref="SND47:SNN47"/>
    <mergeCell ref="SNO47:SNY47"/>
    <mergeCell ref="SNZ47:SOJ47"/>
    <mergeCell ref="SOK47:SOU47"/>
    <mergeCell ref="SKP47:SKZ47"/>
    <mergeCell ref="SLA47:SLK47"/>
    <mergeCell ref="SLL47:SLV47"/>
    <mergeCell ref="SLW47:SMG47"/>
    <mergeCell ref="SMH47:SMR47"/>
    <mergeCell ref="SIM47:SIW47"/>
    <mergeCell ref="SIX47:SJH47"/>
    <mergeCell ref="SJI47:SJS47"/>
    <mergeCell ref="SJT47:SKD47"/>
    <mergeCell ref="SKE47:SKO47"/>
    <mergeCell ref="SGJ47:SGT47"/>
    <mergeCell ref="SGU47:SHE47"/>
    <mergeCell ref="SHF47:SHP47"/>
    <mergeCell ref="SHQ47:SIA47"/>
    <mergeCell ref="SIB47:SIL47"/>
    <mergeCell ref="SEG47:SEQ47"/>
    <mergeCell ref="SER47:SFB47"/>
    <mergeCell ref="SFC47:SFM47"/>
    <mergeCell ref="SFN47:SFX47"/>
    <mergeCell ref="SFY47:SGI47"/>
    <mergeCell ref="SCD47:SCN47"/>
    <mergeCell ref="SCO47:SCY47"/>
    <mergeCell ref="SCZ47:SDJ47"/>
    <mergeCell ref="SDK47:SDU47"/>
    <mergeCell ref="SDV47:SEF47"/>
    <mergeCell ref="SAA47:SAK47"/>
    <mergeCell ref="SAL47:SAV47"/>
    <mergeCell ref="SAW47:SBG47"/>
    <mergeCell ref="SBH47:SBR47"/>
    <mergeCell ref="SBS47:SCC47"/>
    <mergeCell ref="RXX47:RYH47"/>
    <mergeCell ref="RYI47:RYS47"/>
    <mergeCell ref="RYT47:RZD47"/>
    <mergeCell ref="RZE47:RZO47"/>
    <mergeCell ref="RZP47:RZZ47"/>
    <mergeCell ref="RVU47:RWE47"/>
    <mergeCell ref="RWF47:RWP47"/>
    <mergeCell ref="RWQ47:RXA47"/>
    <mergeCell ref="RXB47:RXL47"/>
    <mergeCell ref="RXM47:RXW47"/>
    <mergeCell ref="RTR47:RUB47"/>
    <mergeCell ref="RUC47:RUM47"/>
    <mergeCell ref="RUN47:RUX47"/>
    <mergeCell ref="RUY47:RVI47"/>
    <mergeCell ref="RVJ47:RVT47"/>
    <mergeCell ref="RRO47:RRY47"/>
    <mergeCell ref="RRZ47:RSJ47"/>
    <mergeCell ref="RSK47:RSU47"/>
    <mergeCell ref="RSV47:RTF47"/>
    <mergeCell ref="RTG47:RTQ47"/>
    <mergeCell ref="RPL47:RPV47"/>
    <mergeCell ref="RPW47:RQG47"/>
    <mergeCell ref="RQH47:RQR47"/>
    <mergeCell ref="RQS47:RRC47"/>
    <mergeCell ref="RRD47:RRN47"/>
    <mergeCell ref="RNI47:RNS47"/>
    <mergeCell ref="RNT47:ROD47"/>
    <mergeCell ref="ROE47:ROO47"/>
    <mergeCell ref="ROP47:ROZ47"/>
    <mergeCell ref="RPA47:RPK47"/>
    <mergeCell ref="RLF47:RLP47"/>
    <mergeCell ref="RLQ47:RMA47"/>
    <mergeCell ref="RMB47:RML47"/>
    <mergeCell ref="RMM47:RMW47"/>
    <mergeCell ref="RMX47:RNH47"/>
    <mergeCell ref="RJC47:RJM47"/>
    <mergeCell ref="RJN47:RJX47"/>
    <mergeCell ref="RJY47:RKI47"/>
    <mergeCell ref="RKJ47:RKT47"/>
    <mergeCell ref="RKU47:RLE47"/>
    <mergeCell ref="RGZ47:RHJ47"/>
    <mergeCell ref="RHK47:RHU47"/>
    <mergeCell ref="RHV47:RIF47"/>
    <mergeCell ref="RIG47:RIQ47"/>
    <mergeCell ref="RIR47:RJB47"/>
    <mergeCell ref="REW47:RFG47"/>
    <mergeCell ref="RFH47:RFR47"/>
    <mergeCell ref="RFS47:RGC47"/>
    <mergeCell ref="RGD47:RGN47"/>
    <mergeCell ref="RGO47:RGY47"/>
    <mergeCell ref="RCT47:RDD47"/>
    <mergeCell ref="RDE47:RDO47"/>
    <mergeCell ref="RDP47:RDZ47"/>
    <mergeCell ref="REA47:REK47"/>
    <mergeCell ref="REL47:REV47"/>
    <mergeCell ref="RAQ47:RBA47"/>
    <mergeCell ref="RBB47:RBL47"/>
    <mergeCell ref="RBM47:RBW47"/>
    <mergeCell ref="RBX47:RCH47"/>
    <mergeCell ref="RCI47:RCS47"/>
    <mergeCell ref="QYN47:QYX47"/>
    <mergeCell ref="QYY47:QZI47"/>
    <mergeCell ref="QZJ47:QZT47"/>
    <mergeCell ref="QZU47:RAE47"/>
    <mergeCell ref="RAF47:RAP47"/>
    <mergeCell ref="QWK47:QWU47"/>
    <mergeCell ref="QWV47:QXF47"/>
    <mergeCell ref="QXG47:QXQ47"/>
    <mergeCell ref="QXR47:QYB47"/>
    <mergeCell ref="QYC47:QYM47"/>
    <mergeCell ref="QUH47:QUR47"/>
    <mergeCell ref="QUS47:QVC47"/>
    <mergeCell ref="QVD47:QVN47"/>
    <mergeCell ref="QVO47:QVY47"/>
    <mergeCell ref="QVZ47:QWJ47"/>
    <mergeCell ref="QSE47:QSO47"/>
    <mergeCell ref="QSP47:QSZ47"/>
    <mergeCell ref="QTA47:QTK47"/>
    <mergeCell ref="QTL47:QTV47"/>
    <mergeCell ref="QTW47:QUG47"/>
    <mergeCell ref="QQB47:QQL47"/>
    <mergeCell ref="QQM47:QQW47"/>
    <mergeCell ref="QQX47:QRH47"/>
    <mergeCell ref="QRI47:QRS47"/>
    <mergeCell ref="QRT47:QSD47"/>
    <mergeCell ref="QNY47:QOI47"/>
    <mergeCell ref="QOJ47:QOT47"/>
    <mergeCell ref="QOU47:QPE47"/>
    <mergeCell ref="QPF47:QPP47"/>
    <mergeCell ref="QPQ47:QQA47"/>
    <mergeCell ref="QLV47:QMF47"/>
    <mergeCell ref="QMG47:QMQ47"/>
    <mergeCell ref="QMR47:QNB47"/>
    <mergeCell ref="QNC47:QNM47"/>
    <mergeCell ref="QNN47:QNX47"/>
    <mergeCell ref="QJS47:QKC47"/>
    <mergeCell ref="QKD47:QKN47"/>
    <mergeCell ref="QKO47:QKY47"/>
    <mergeCell ref="QKZ47:QLJ47"/>
    <mergeCell ref="QLK47:QLU47"/>
    <mergeCell ref="QHP47:QHZ47"/>
    <mergeCell ref="QIA47:QIK47"/>
    <mergeCell ref="QIL47:QIV47"/>
    <mergeCell ref="QIW47:QJG47"/>
    <mergeCell ref="QJH47:QJR47"/>
    <mergeCell ref="QFM47:QFW47"/>
    <mergeCell ref="QFX47:QGH47"/>
    <mergeCell ref="QGI47:QGS47"/>
    <mergeCell ref="QGT47:QHD47"/>
    <mergeCell ref="QHE47:QHO47"/>
    <mergeCell ref="QDJ47:QDT47"/>
    <mergeCell ref="QDU47:QEE47"/>
    <mergeCell ref="QEF47:QEP47"/>
    <mergeCell ref="QEQ47:QFA47"/>
    <mergeCell ref="QFB47:QFL47"/>
    <mergeCell ref="QBG47:QBQ47"/>
    <mergeCell ref="QBR47:QCB47"/>
    <mergeCell ref="QCC47:QCM47"/>
    <mergeCell ref="QCN47:QCX47"/>
    <mergeCell ref="QCY47:QDI47"/>
    <mergeCell ref="PZD47:PZN47"/>
    <mergeCell ref="PZO47:PZY47"/>
    <mergeCell ref="PZZ47:QAJ47"/>
    <mergeCell ref="QAK47:QAU47"/>
    <mergeCell ref="QAV47:QBF47"/>
    <mergeCell ref="PXA47:PXK47"/>
    <mergeCell ref="PXL47:PXV47"/>
    <mergeCell ref="PXW47:PYG47"/>
    <mergeCell ref="PYH47:PYR47"/>
    <mergeCell ref="PYS47:PZC47"/>
    <mergeCell ref="PUX47:PVH47"/>
    <mergeCell ref="PVI47:PVS47"/>
    <mergeCell ref="PVT47:PWD47"/>
    <mergeCell ref="PWE47:PWO47"/>
    <mergeCell ref="PWP47:PWZ47"/>
    <mergeCell ref="PSU47:PTE47"/>
    <mergeCell ref="PTF47:PTP47"/>
    <mergeCell ref="PTQ47:PUA47"/>
    <mergeCell ref="PUB47:PUL47"/>
    <mergeCell ref="PUM47:PUW47"/>
    <mergeCell ref="PQR47:PRB47"/>
    <mergeCell ref="PRC47:PRM47"/>
    <mergeCell ref="PRN47:PRX47"/>
    <mergeCell ref="PRY47:PSI47"/>
    <mergeCell ref="PSJ47:PST47"/>
    <mergeCell ref="POO47:POY47"/>
    <mergeCell ref="POZ47:PPJ47"/>
    <mergeCell ref="PPK47:PPU47"/>
    <mergeCell ref="PPV47:PQF47"/>
    <mergeCell ref="PQG47:PQQ47"/>
    <mergeCell ref="PML47:PMV47"/>
    <mergeCell ref="PMW47:PNG47"/>
    <mergeCell ref="PNH47:PNR47"/>
    <mergeCell ref="PNS47:POC47"/>
    <mergeCell ref="POD47:PON47"/>
    <mergeCell ref="PKI47:PKS47"/>
    <mergeCell ref="PKT47:PLD47"/>
    <mergeCell ref="PLE47:PLO47"/>
    <mergeCell ref="PLP47:PLZ47"/>
    <mergeCell ref="PMA47:PMK47"/>
    <mergeCell ref="PIF47:PIP47"/>
    <mergeCell ref="PIQ47:PJA47"/>
    <mergeCell ref="PJB47:PJL47"/>
    <mergeCell ref="PJM47:PJW47"/>
    <mergeCell ref="PJX47:PKH47"/>
    <mergeCell ref="PGC47:PGM47"/>
    <mergeCell ref="PGN47:PGX47"/>
    <mergeCell ref="PGY47:PHI47"/>
    <mergeCell ref="PHJ47:PHT47"/>
    <mergeCell ref="PHU47:PIE47"/>
    <mergeCell ref="PDZ47:PEJ47"/>
    <mergeCell ref="PEK47:PEU47"/>
    <mergeCell ref="PEV47:PFF47"/>
    <mergeCell ref="PFG47:PFQ47"/>
    <mergeCell ref="PFR47:PGB47"/>
    <mergeCell ref="PBW47:PCG47"/>
    <mergeCell ref="PCH47:PCR47"/>
    <mergeCell ref="PCS47:PDC47"/>
    <mergeCell ref="PDD47:PDN47"/>
    <mergeCell ref="PDO47:PDY47"/>
    <mergeCell ref="OZT47:PAD47"/>
    <mergeCell ref="PAE47:PAO47"/>
    <mergeCell ref="PAP47:PAZ47"/>
    <mergeCell ref="PBA47:PBK47"/>
    <mergeCell ref="PBL47:PBV47"/>
    <mergeCell ref="OXQ47:OYA47"/>
    <mergeCell ref="OYB47:OYL47"/>
    <mergeCell ref="OYM47:OYW47"/>
    <mergeCell ref="OYX47:OZH47"/>
    <mergeCell ref="OZI47:OZS47"/>
    <mergeCell ref="OVN47:OVX47"/>
    <mergeCell ref="OVY47:OWI47"/>
    <mergeCell ref="OWJ47:OWT47"/>
    <mergeCell ref="OWU47:OXE47"/>
    <mergeCell ref="OXF47:OXP47"/>
    <mergeCell ref="OTK47:OTU47"/>
    <mergeCell ref="OTV47:OUF47"/>
    <mergeCell ref="OUG47:OUQ47"/>
    <mergeCell ref="OUR47:OVB47"/>
    <mergeCell ref="OVC47:OVM47"/>
    <mergeCell ref="ORH47:ORR47"/>
    <mergeCell ref="ORS47:OSC47"/>
    <mergeCell ref="OSD47:OSN47"/>
    <mergeCell ref="OSO47:OSY47"/>
    <mergeCell ref="OSZ47:OTJ47"/>
    <mergeCell ref="OPE47:OPO47"/>
    <mergeCell ref="OPP47:OPZ47"/>
    <mergeCell ref="OQA47:OQK47"/>
    <mergeCell ref="OQL47:OQV47"/>
    <mergeCell ref="OQW47:ORG47"/>
    <mergeCell ref="ONB47:ONL47"/>
    <mergeCell ref="ONM47:ONW47"/>
    <mergeCell ref="ONX47:OOH47"/>
    <mergeCell ref="OOI47:OOS47"/>
    <mergeCell ref="OOT47:OPD47"/>
    <mergeCell ref="OKY47:OLI47"/>
    <mergeCell ref="OLJ47:OLT47"/>
    <mergeCell ref="OLU47:OME47"/>
    <mergeCell ref="OMF47:OMP47"/>
    <mergeCell ref="OMQ47:ONA47"/>
    <mergeCell ref="OIV47:OJF47"/>
    <mergeCell ref="OJG47:OJQ47"/>
    <mergeCell ref="OJR47:OKB47"/>
    <mergeCell ref="OKC47:OKM47"/>
    <mergeCell ref="OKN47:OKX47"/>
    <mergeCell ref="OGS47:OHC47"/>
    <mergeCell ref="OHD47:OHN47"/>
    <mergeCell ref="OHO47:OHY47"/>
    <mergeCell ref="OHZ47:OIJ47"/>
    <mergeCell ref="OIK47:OIU47"/>
    <mergeCell ref="OEP47:OEZ47"/>
    <mergeCell ref="OFA47:OFK47"/>
    <mergeCell ref="OFL47:OFV47"/>
    <mergeCell ref="OFW47:OGG47"/>
    <mergeCell ref="OGH47:OGR47"/>
    <mergeCell ref="OCM47:OCW47"/>
    <mergeCell ref="OCX47:ODH47"/>
    <mergeCell ref="ODI47:ODS47"/>
    <mergeCell ref="ODT47:OED47"/>
    <mergeCell ref="OEE47:OEO47"/>
    <mergeCell ref="OAJ47:OAT47"/>
    <mergeCell ref="OAU47:OBE47"/>
    <mergeCell ref="OBF47:OBP47"/>
    <mergeCell ref="OBQ47:OCA47"/>
    <mergeCell ref="OCB47:OCL47"/>
    <mergeCell ref="NYG47:NYQ47"/>
    <mergeCell ref="NYR47:NZB47"/>
    <mergeCell ref="NZC47:NZM47"/>
    <mergeCell ref="NZN47:NZX47"/>
    <mergeCell ref="NZY47:OAI47"/>
    <mergeCell ref="NWD47:NWN47"/>
    <mergeCell ref="NWO47:NWY47"/>
    <mergeCell ref="NWZ47:NXJ47"/>
    <mergeCell ref="NXK47:NXU47"/>
    <mergeCell ref="NXV47:NYF47"/>
    <mergeCell ref="NUA47:NUK47"/>
    <mergeCell ref="NUL47:NUV47"/>
    <mergeCell ref="NUW47:NVG47"/>
    <mergeCell ref="NVH47:NVR47"/>
    <mergeCell ref="NVS47:NWC47"/>
    <mergeCell ref="NRX47:NSH47"/>
    <mergeCell ref="NSI47:NSS47"/>
    <mergeCell ref="NST47:NTD47"/>
    <mergeCell ref="NTE47:NTO47"/>
    <mergeCell ref="NTP47:NTZ47"/>
    <mergeCell ref="NPU47:NQE47"/>
    <mergeCell ref="NQF47:NQP47"/>
    <mergeCell ref="NQQ47:NRA47"/>
    <mergeCell ref="NRB47:NRL47"/>
    <mergeCell ref="NRM47:NRW47"/>
    <mergeCell ref="NNR47:NOB47"/>
    <mergeCell ref="NOC47:NOM47"/>
    <mergeCell ref="NON47:NOX47"/>
    <mergeCell ref="NOY47:NPI47"/>
    <mergeCell ref="NPJ47:NPT47"/>
    <mergeCell ref="NLO47:NLY47"/>
    <mergeCell ref="NLZ47:NMJ47"/>
    <mergeCell ref="NMK47:NMU47"/>
    <mergeCell ref="NMV47:NNF47"/>
    <mergeCell ref="NNG47:NNQ47"/>
    <mergeCell ref="NJL47:NJV47"/>
    <mergeCell ref="NJW47:NKG47"/>
    <mergeCell ref="NKH47:NKR47"/>
    <mergeCell ref="NKS47:NLC47"/>
    <mergeCell ref="NLD47:NLN47"/>
    <mergeCell ref="NHI47:NHS47"/>
    <mergeCell ref="NHT47:NID47"/>
    <mergeCell ref="NIE47:NIO47"/>
    <mergeCell ref="NIP47:NIZ47"/>
    <mergeCell ref="NJA47:NJK47"/>
    <mergeCell ref="NFF47:NFP47"/>
    <mergeCell ref="NFQ47:NGA47"/>
    <mergeCell ref="NGB47:NGL47"/>
    <mergeCell ref="NGM47:NGW47"/>
    <mergeCell ref="NGX47:NHH47"/>
    <mergeCell ref="NDC47:NDM47"/>
    <mergeCell ref="NDN47:NDX47"/>
    <mergeCell ref="NDY47:NEI47"/>
    <mergeCell ref="NEJ47:NET47"/>
    <mergeCell ref="NEU47:NFE47"/>
    <mergeCell ref="NAZ47:NBJ47"/>
    <mergeCell ref="NBK47:NBU47"/>
    <mergeCell ref="NBV47:NCF47"/>
    <mergeCell ref="NCG47:NCQ47"/>
    <mergeCell ref="NCR47:NDB47"/>
    <mergeCell ref="MYW47:MZG47"/>
    <mergeCell ref="MZH47:MZR47"/>
    <mergeCell ref="MZS47:NAC47"/>
    <mergeCell ref="NAD47:NAN47"/>
    <mergeCell ref="NAO47:NAY47"/>
    <mergeCell ref="MWT47:MXD47"/>
    <mergeCell ref="MXE47:MXO47"/>
    <mergeCell ref="MXP47:MXZ47"/>
    <mergeCell ref="MYA47:MYK47"/>
    <mergeCell ref="MYL47:MYV47"/>
    <mergeCell ref="MUQ47:MVA47"/>
    <mergeCell ref="MVB47:MVL47"/>
    <mergeCell ref="MVM47:MVW47"/>
    <mergeCell ref="MVX47:MWH47"/>
    <mergeCell ref="MWI47:MWS47"/>
    <mergeCell ref="MSN47:MSX47"/>
    <mergeCell ref="MSY47:MTI47"/>
    <mergeCell ref="MTJ47:MTT47"/>
    <mergeCell ref="MTU47:MUE47"/>
    <mergeCell ref="MUF47:MUP47"/>
    <mergeCell ref="MQK47:MQU47"/>
    <mergeCell ref="MQV47:MRF47"/>
    <mergeCell ref="MRG47:MRQ47"/>
    <mergeCell ref="MRR47:MSB47"/>
    <mergeCell ref="MSC47:MSM47"/>
    <mergeCell ref="MOH47:MOR47"/>
    <mergeCell ref="MOS47:MPC47"/>
    <mergeCell ref="MPD47:MPN47"/>
    <mergeCell ref="MPO47:MPY47"/>
    <mergeCell ref="MPZ47:MQJ47"/>
    <mergeCell ref="MME47:MMO47"/>
    <mergeCell ref="MMP47:MMZ47"/>
    <mergeCell ref="MNA47:MNK47"/>
    <mergeCell ref="MNL47:MNV47"/>
    <mergeCell ref="MNW47:MOG47"/>
    <mergeCell ref="MKB47:MKL47"/>
    <mergeCell ref="MKM47:MKW47"/>
    <mergeCell ref="MKX47:MLH47"/>
    <mergeCell ref="MLI47:MLS47"/>
    <mergeCell ref="MLT47:MMD47"/>
    <mergeCell ref="MHY47:MII47"/>
    <mergeCell ref="MIJ47:MIT47"/>
    <mergeCell ref="MIU47:MJE47"/>
    <mergeCell ref="MJF47:MJP47"/>
    <mergeCell ref="MJQ47:MKA47"/>
    <mergeCell ref="MFV47:MGF47"/>
    <mergeCell ref="MGG47:MGQ47"/>
    <mergeCell ref="MGR47:MHB47"/>
    <mergeCell ref="MHC47:MHM47"/>
    <mergeCell ref="MHN47:MHX47"/>
    <mergeCell ref="MDS47:MEC47"/>
    <mergeCell ref="MED47:MEN47"/>
    <mergeCell ref="MEO47:MEY47"/>
    <mergeCell ref="MEZ47:MFJ47"/>
    <mergeCell ref="MFK47:MFU47"/>
    <mergeCell ref="MBP47:MBZ47"/>
    <mergeCell ref="MCA47:MCK47"/>
    <mergeCell ref="MCL47:MCV47"/>
    <mergeCell ref="MCW47:MDG47"/>
    <mergeCell ref="MDH47:MDR47"/>
    <mergeCell ref="LZM47:LZW47"/>
    <mergeCell ref="LZX47:MAH47"/>
    <mergeCell ref="MAI47:MAS47"/>
    <mergeCell ref="MAT47:MBD47"/>
    <mergeCell ref="MBE47:MBO47"/>
    <mergeCell ref="LXJ47:LXT47"/>
    <mergeCell ref="LXU47:LYE47"/>
    <mergeCell ref="LYF47:LYP47"/>
    <mergeCell ref="LYQ47:LZA47"/>
    <mergeCell ref="LZB47:LZL47"/>
    <mergeCell ref="LVG47:LVQ47"/>
    <mergeCell ref="LVR47:LWB47"/>
    <mergeCell ref="LWC47:LWM47"/>
    <mergeCell ref="LWN47:LWX47"/>
    <mergeCell ref="LWY47:LXI47"/>
    <mergeCell ref="LTD47:LTN47"/>
    <mergeCell ref="LTO47:LTY47"/>
    <mergeCell ref="LTZ47:LUJ47"/>
    <mergeCell ref="LUK47:LUU47"/>
    <mergeCell ref="LUV47:LVF47"/>
    <mergeCell ref="LRA47:LRK47"/>
    <mergeCell ref="LRL47:LRV47"/>
    <mergeCell ref="LRW47:LSG47"/>
    <mergeCell ref="LSH47:LSR47"/>
    <mergeCell ref="LSS47:LTC47"/>
    <mergeCell ref="LOX47:LPH47"/>
    <mergeCell ref="LPI47:LPS47"/>
    <mergeCell ref="LPT47:LQD47"/>
    <mergeCell ref="LQE47:LQO47"/>
    <mergeCell ref="LQP47:LQZ47"/>
    <mergeCell ref="LMU47:LNE47"/>
    <mergeCell ref="LNF47:LNP47"/>
    <mergeCell ref="LNQ47:LOA47"/>
    <mergeCell ref="LOB47:LOL47"/>
    <mergeCell ref="LOM47:LOW47"/>
    <mergeCell ref="LKR47:LLB47"/>
    <mergeCell ref="LLC47:LLM47"/>
    <mergeCell ref="LLN47:LLX47"/>
    <mergeCell ref="LLY47:LMI47"/>
    <mergeCell ref="LMJ47:LMT47"/>
    <mergeCell ref="LIO47:LIY47"/>
    <mergeCell ref="LIZ47:LJJ47"/>
    <mergeCell ref="LJK47:LJU47"/>
    <mergeCell ref="LJV47:LKF47"/>
    <mergeCell ref="LKG47:LKQ47"/>
    <mergeCell ref="LGL47:LGV47"/>
    <mergeCell ref="LGW47:LHG47"/>
    <mergeCell ref="LHH47:LHR47"/>
    <mergeCell ref="LHS47:LIC47"/>
    <mergeCell ref="LID47:LIN47"/>
    <mergeCell ref="LEI47:LES47"/>
    <mergeCell ref="LET47:LFD47"/>
    <mergeCell ref="LFE47:LFO47"/>
    <mergeCell ref="LFP47:LFZ47"/>
    <mergeCell ref="LGA47:LGK47"/>
    <mergeCell ref="LCF47:LCP47"/>
    <mergeCell ref="LCQ47:LDA47"/>
    <mergeCell ref="LDB47:LDL47"/>
    <mergeCell ref="LDM47:LDW47"/>
    <mergeCell ref="LDX47:LEH47"/>
    <mergeCell ref="LAC47:LAM47"/>
    <mergeCell ref="LAN47:LAX47"/>
    <mergeCell ref="LAY47:LBI47"/>
    <mergeCell ref="LBJ47:LBT47"/>
    <mergeCell ref="LBU47:LCE47"/>
    <mergeCell ref="KXZ47:KYJ47"/>
    <mergeCell ref="KYK47:KYU47"/>
    <mergeCell ref="KYV47:KZF47"/>
    <mergeCell ref="KZG47:KZQ47"/>
    <mergeCell ref="KZR47:LAB47"/>
    <mergeCell ref="KVW47:KWG47"/>
    <mergeCell ref="KWH47:KWR47"/>
    <mergeCell ref="KWS47:KXC47"/>
    <mergeCell ref="KXD47:KXN47"/>
    <mergeCell ref="KXO47:KXY47"/>
    <mergeCell ref="KTT47:KUD47"/>
    <mergeCell ref="KUE47:KUO47"/>
    <mergeCell ref="KUP47:KUZ47"/>
    <mergeCell ref="KVA47:KVK47"/>
    <mergeCell ref="KVL47:KVV47"/>
    <mergeCell ref="KRQ47:KSA47"/>
    <mergeCell ref="KSB47:KSL47"/>
    <mergeCell ref="KSM47:KSW47"/>
    <mergeCell ref="KSX47:KTH47"/>
    <mergeCell ref="KTI47:KTS47"/>
    <mergeCell ref="KPN47:KPX47"/>
    <mergeCell ref="KPY47:KQI47"/>
    <mergeCell ref="KQJ47:KQT47"/>
    <mergeCell ref="KQU47:KRE47"/>
    <mergeCell ref="KRF47:KRP47"/>
    <mergeCell ref="KNK47:KNU47"/>
    <mergeCell ref="KNV47:KOF47"/>
    <mergeCell ref="KOG47:KOQ47"/>
    <mergeCell ref="KOR47:KPB47"/>
    <mergeCell ref="KPC47:KPM47"/>
    <mergeCell ref="KLH47:KLR47"/>
    <mergeCell ref="KLS47:KMC47"/>
    <mergeCell ref="KMD47:KMN47"/>
    <mergeCell ref="KMO47:KMY47"/>
    <mergeCell ref="KMZ47:KNJ47"/>
    <mergeCell ref="KJE47:KJO47"/>
    <mergeCell ref="KJP47:KJZ47"/>
    <mergeCell ref="KKA47:KKK47"/>
    <mergeCell ref="KKL47:KKV47"/>
    <mergeCell ref="KKW47:KLG47"/>
    <mergeCell ref="KHB47:KHL47"/>
    <mergeCell ref="KHM47:KHW47"/>
    <mergeCell ref="KHX47:KIH47"/>
    <mergeCell ref="KII47:KIS47"/>
    <mergeCell ref="KIT47:KJD47"/>
    <mergeCell ref="KEY47:KFI47"/>
    <mergeCell ref="KFJ47:KFT47"/>
    <mergeCell ref="KFU47:KGE47"/>
    <mergeCell ref="KGF47:KGP47"/>
    <mergeCell ref="KGQ47:KHA47"/>
    <mergeCell ref="KCV47:KDF47"/>
    <mergeCell ref="KDG47:KDQ47"/>
    <mergeCell ref="KDR47:KEB47"/>
    <mergeCell ref="KEC47:KEM47"/>
    <mergeCell ref="KEN47:KEX47"/>
    <mergeCell ref="KAS47:KBC47"/>
    <mergeCell ref="KBD47:KBN47"/>
    <mergeCell ref="KBO47:KBY47"/>
    <mergeCell ref="KBZ47:KCJ47"/>
    <mergeCell ref="KCK47:KCU47"/>
    <mergeCell ref="JYP47:JYZ47"/>
    <mergeCell ref="JZA47:JZK47"/>
    <mergeCell ref="JZL47:JZV47"/>
    <mergeCell ref="JZW47:KAG47"/>
    <mergeCell ref="KAH47:KAR47"/>
    <mergeCell ref="JWM47:JWW47"/>
    <mergeCell ref="JWX47:JXH47"/>
    <mergeCell ref="JXI47:JXS47"/>
    <mergeCell ref="JXT47:JYD47"/>
    <mergeCell ref="JYE47:JYO47"/>
    <mergeCell ref="JUJ47:JUT47"/>
    <mergeCell ref="JUU47:JVE47"/>
    <mergeCell ref="JVF47:JVP47"/>
    <mergeCell ref="JVQ47:JWA47"/>
    <mergeCell ref="JWB47:JWL47"/>
    <mergeCell ref="JSG47:JSQ47"/>
    <mergeCell ref="JSR47:JTB47"/>
    <mergeCell ref="JTC47:JTM47"/>
    <mergeCell ref="JTN47:JTX47"/>
    <mergeCell ref="JTY47:JUI47"/>
    <mergeCell ref="JQD47:JQN47"/>
    <mergeCell ref="JQO47:JQY47"/>
    <mergeCell ref="JQZ47:JRJ47"/>
    <mergeCell ref="JRK47:JRU47"/>
    <mergeCell ref="JRV47:JSF47"/>
    <mergeCell ref="JOA47:JOK47"/>
    <mergeCell ref="JOL47:JOV47"/>
    <mergeCell ref="JOW47:JPG47"/>
    <mergeCell ref="JPH47:JPR47"/>
    <mergeCell ref="JPS47:JQC47"/>
    <mergeCell ref="JLX47:JMH47"/>
    <mergeCell ref="JMI47:JMS47"/>
    <mergeCell ref="JMT47:JND47"/>
    <mergeCell ref="JNE47:JNO47"/>
    <mergeCell ref="JNP47:JNZ47"/>
    <mergeCell ref="JJU47:JKE47"/>
    <mergeCell ref="JKF47:JKP47"/>
    <mergeCell ref="JKQ47:JLA47"/>
    <mergeCell ref="JLB47:JLL47"/>
    <mergeCell ref="JLM47:JLW47"/>
    <mergeCell ref="JHR47:JIB47"/>
    <mergeCell ref="JIC47:JIM47"/>
    <mergeCell ref="JIN47:JIX47"/>
    <mergeCell ref="JIY47:JJI47"/>
    <mergeCell ref="JJJ47:JJT47"/>
    <mergeCell ref="JFO47:JFY47"/>
    <mergeCell ref="JFZ47:JGJ47"/>
    <mergeCell ref="JGK47:JGU47"/>
    <mergeCell ref="JGV47:JHF47"/>
    <mergeCell ref="JHG47:JHQ47"/>
    <mergeCell ref="JDL47:JDV47"/>
    <mergeCell ref="JDW47:JEG47"/>
    <mergeCell ref="JEH47:JER47"/>
    <mergeCell ref="JES47:JFC47"/>
    <mergeCell ref="JFD47:JFN47"/>
    <mergeCell ref="JBI47:JBS47"/>
    <mergeCell ref="JBT47:JCD47"/>
    <mergeCell ref="JCE47:JCO47"/>
    <mergeCell ref="JCP47:JCZ47"/>
    <mergeCell ref="JDA47:JDK47"/>
    <mergeCell ref="IZF47:IZP47"/>
    <mergeCell ref="IZQ47:JAA47"/>
    <mergeCell ref="JAB47:JAL47"/>
    <mergeCell ref="JAM47:JAW47"/>
    <mergeCell ref="JAX47:JBH47"/>
    <mergeCell ref="IXC47:IXM47"/>
    <mergeCell ref="IXN47:IXX47"/>
    <mergeCell ref="IXY47:IYI47"/>
    <mergeCell ref="IYJ47:IYT47"/>
    <mergeCell ref="IYU47:IZE47"/>
    <mergeCell ref="IUZ47:IVJ47"/>
    <mergeCell ref="IVK47:IVU47"/>
    <mergeCell ref="IVV47:IWF47"/>
    <mergeCell ref="IWG47:IWQ47"/>
    <mergeCell ref="IWR47:IXB47"/>
    <mergeCell ref="ISW47:ITG47"/>
    <mergeCell ref="ITH47:ITR47"/>
    <mergeCell ref="ITS47:IUC47"/>
    <mergeCell ref="IUD47:IUN47"/>
    <mergeCell ref="IUO47:IUY47"/>
    <mergeCell ref="IQT47:IRD47"/>
    <mergeCell ref="IRE47:IRO47"/>
    <mergeCell ref="IRP47:IRZ47"/>
    <mergeCell ref="ISA47:ISK47"/>
    <mergeCell ref="ISL47:ISV47"/>
    <mergeCell ref="IOQ47:IPA47"/>
    <mergeCell ref="IPB47:IPL47"/>
    <mergeCell ref="IPM47:IPW47"/>
    <mergeCell ref="IPX47:IQH47"/>
    <mergeCell ref="IQI47:IQS47"/>
    <mergeCell ref="IMN47:IMX47"/>
    <mergeCell ref="IMY47:INI47"/>
    <mergeCell ref="INJ47:INT47"/>
    <mergeCell ref="INU47:IOE47"/>
    <mergeCell ref="IOF47:IOP47"/>
    <mergeCell ref="IKK47:IKU47"/>
    <mergeCell ref="IKV47:ILF47"/>
    <mergeCell ref="ILG47:ILQ47"/>
    <mergeCell ref="ILR47:IMB47"/>
    <mergeCell ref="IMC47:IMM47"/>
    <mergeCell ref="IIH47:IIR47"/>
    <mergeCell ref="IIS47:IJC47"/>
    <mergeCell ref="IJD47:IJN47"/>
    <mergeCell ref="IJO47:IJY47"/>
    <mergeCell ref="IJZ47:IKJ47"/>
    <mergeCell ref="IGE47:IGO47"/>
    <mergeCell ref="IGP47:IGZ47"/>
    <mergeCell ref="IHA47:IHK47"/>
    <mergeCell ref="IHL47:IHV47"/>
    <mergeCell ref="IHW47:IIG47"/>
    <mergeCell ref="IEB47:IEL47"/>
    <mergeCell ref="IEM47:IEW47"/>
    <mergeCell ref="IEX47:IFH47"/>
    <mergeCell ref="IFI47:IFS47"/>
    <mergeCell ref="IFT47:IGD47"/>
    <mergeCell ref="IBY47:ICI47"/>
    <mergeCell ref="ICJ47:ICT47"/>
    <mergeCell ref="ICU47:IDE47"/>
    <mergeCell ref="IDF47:IDP47"/>
    <mergeCell ref="IDQ47:IEA47"/>
    <mergeCell ref="HZV47:IAF47"/>
    <mergeCell ref="IAG47:IAQ47"/>
    <mergeCell ref="IAR47:IBB47"/>
    <mergeCell ref="IBC47:IBM47"/>
    <mergeCell ref="IBN47:IBX47"/>
    <mergeCell ref="HXS47:HYC47"/>
    <mergeCell ref="HYD47:HYN47"/>
    <mergeCell ref="HYO47:HYY47"/>
    <mergeCell ref="HYZ47:HZJ47"/>
    <mergeCell ref="HZK47:HZU47"/>
    <mergeCell ref="HVP47:HVZ47"/>
    <mergeCell ref="HWA47:HWK47"/>
    <mergeCell ref="HWL47:HWV47"/>
    <mergeCell ref="HWW47:HXG47"/>
    <mergeCell ref="HXH47:HXR47"/>
    <mergeCell ref="HTM47:HTW47"/>
    <mergeCell ref="HTX47:HUH47"/>
    <mergeCell ref="HUI47:HUS47"/>
    <mergeCell ref="HUT47:HVD47"/>
    <mergeCell ref="HVE47:HVO47"/>
    <mergeCell ref="HRJ47:HRT47"/>
    <mergeCell ref="HRU47:HSE47"/>
    <mergeCell ref="HSF47:HSP47"/>
    <mergeCell ref="HSQ47:HTA47"/>
    <mergeCell ref="HTB47:HTL47"/>
    <mergeCell ref="HPG47:HPQ47"/>
    <mergeCell ref="HPR47:HQB47"/>
    <mergeCell ref="HQC47:HQM47"/>
    <mergeCell ref="HQN47:HQX47"/>
    <mergeCell ref="HQY47:HRI47"/>
    <mergeCell ref="HND47:HNN47"/>
    <mergeCell ref="HNO47:HNY47"/>
    <mergeCell ref="HNZ47:HOJ47"/>
    <mergeCell ref="HOK47:HOU47"/>
    <mergeCell ref="HOV47:HPF47"/>
    <mergeCell ref="HLA47:HLK47"/>
    <mergeCell ref="HLL47:HLV47"/>
    <mergeCell ref="HLW47:HMG47"/>
    <mergeCell ref="HMH47:HMR47"/>
    <mergeCell ref="HMS47:HNC47"/>
    <mergeCell ref="HIX47:HJH47"/>
    <mergeCell ref="HJI47:HJS47"/>
    <mergeCell ref="HJT47:HKD47"/>
    <mergeCell ref="HKE47:HKO47"/>
    <mergeCell ref="HKP47:HKZ47"/>
    <mergeCell ref="HGU47:HHE47"/>
    <mergeCell ref="HHF47:HHP47"/>
    <mergeCell ref="HHQ47:HIA47"/>
    <mergeCell ref="HIB47:HIL47"/>
    <mergeCell ref="HIM47:HIW47"/>
    <mergeCell ref="HER47:HFB47"/>
    <mergeCell ref="HFC47:HFM47"/>
    <mergeCell ref="HFN47:HFX47"/>
    <mergeCell ref="HFY47:HGI47"/>
    <mergeCell ref="HGJ47:HGT47"/>
    <mergeCell ref="HCO47:HCY47"/>
    <mergeCell ref="HCZ47:HDJ47"/>
    <mergeCell ref="HDK47:HDU47"/>
    <mergeCell ref="HDV47:HEF47"/>
    <mergeCell ref="HEG47:HEQ47"/>
    <mergeCell ref="HAL47:HAV47"/>
    <mergeCell ref="HAW47:HBG47"/>
    <mergeCell ref="HBH47:HBR47"/>
    <mergeCell ref="HBS47:HCC47"/>
    <mergeCell ref="HCD47:HCN47"/>
    <mergeCell ref="GYI47:GYS47"/>
    <mergeCell ref="GYT47:GZD47"/>
    <mergeCell ref="GZE47:GZO47"/>
    <mergeCell ref="GZP47:GZZ47"/>
    <mergeCell ref="HAA47:HAK47"/>
    <mergeCell ref="GWF47:GWP47"/>
    <mergeCell ref="GWQ47:GXA47"/>
    <mergeCell ref="GXB47:GXL47"/>
    <mergeCell ref="GXM47:GXW47"/>
    <mergeCell ref="GXX47:GYH47"/>
    <mergeCell ref="GUC47:GUM47"/>
    <mergeCell ref="GUN47:GUX47"/>
    <mergeCell ref="GUY47:GVI47"/>
    <mergeCell ref="GVJ47:GVT47"/>
    <mergeCell ref="GVU47:GWE47"/>
    <mergeCell ref="GRZ47:GSJ47"/>
    <mergeCell ref="GSK47:GSU47"/>
    <mergeCell ref="GSV47:GTF47"/>
    <mergeCell ref="GTG47:GTQ47"/>
    <mergeCell ref="GTR47:GUB47"/>
    <mergeCell ref="GPW47:GQG47"/>
    <mergeCell ref="GQH47:GQR47"/>
    <mergeCell ref="GQS47:GRC47"/>
    <mergeCell ref="GRD47:GRN47"/>
    <mergeCell ref="GRO47:GRY47"/>
    <mergeCell ref="GNT47:GOD47"/>
    <mergeCell ref="GOE47:GOO47"/>
    <mergeCell ref="GOP47:GOZ47"/>
    <mergeCell ref="GPA47:GPK47"/>
    <mergeCell ref="GPL47:GPV47"/>
    <mergeCell ref="GLQ47:GMA47"/>
    <mergeCell ref="GMB47:GML47"/>
    <mergeCell ref="GMM47:GMW47"/>
    <mergeCell ref="GMX47:GNH47"/>
    <mergeCell ref="GNI47:GNS47"/>
    <mergeCell ref="GJN47:GJX47"/>
    <mergeCell ref="GJY47:GKI47"/>
    <mergeCell ref="GKJ47:GKT47"/>
    <mergeCell ref="GKU47:GLE47"/>
    <mergeCell ref="GLF47:GLP47"/>
    <mergeCell ref="GHK47:GHU47"/>
    <mergeCell ref="GHV47:GIF47"/>
    <mergeCell ref="GIG47:GIQ47"/>
    <mergeCell ref="GIR47:GJB47"/>
    <mergeCell ref="GJC47:GJM47"/>
    <mergeCell ref="GFH47:GFR47"/>
    <mergeCell ref="GFS47:GGC47"/>
    <mergeCell ref="GGD47:GGN47"/>
    <mergeCell ref="GGO47:GGY47"/>
    <mergeCell ref="GGZ47:GHJ47"/>
    <mergeCell ref="GDE47:GDO47"/>
    <mergeCell ref="GDP47:GDZ47"/>
    <mergeCell ref="GEA47:GEK47"/>
    <mergeCell ref="GEL47:GEV47"/>
    <mergeCell ref="GEW47:GFG47"/>
    <mergeCell ref="GBB47:GBL47"/>
    <mergeCell ref="GBM47:GBW47"/>
    <mergeCell ref="GBX47:GCH47"/>
    <mergeCell ref="GCI47:GCS47"/>
    <mergeCell ref="GCT47:GDD47"/>
    <mergeCell ref="FYY47:FZI47"/>
    <mergeCell ref="FZJ47:FZT47"/>
    <mergeCell ref="FZU47:GAE47"/>
    <mergeCell ref="GAF47:GAP47"/>
    <mergeCell ref="GAQ47:GBA47"/>
    <mergeCell ref="FWV47:FXF47"/>
    <mergeCell ref="FXG47:FXQ47"/>
    <mergeCell ref="FXR47:FYB47"/>
    <mergeCell ref="FYC47:FYM47"/>
    <mergeCell ref="FYN47:FYX47"/>
    <mergeCell ref="FUS47:FVC47"/>
    <mergeCell ref="FVD47:FVN47"/>
    <mergeCell ref="FVO47:FVY47"/>
    <mergeCell ref="FVZ47:FWJ47"/>
    <mergeCell ref="FWK47:FWU47"/>
    <mergeCell ref="FSP47:FSZ47"/>
    <mergeCell ref="FTA47:FTK47"/>
    <mergeCell ref="FTL47:FTV47"/>
    <mergeCell ref="FTW47:FUG47"/>
    <mergeCell ref="FUH47:FUR47"/>
    <mergeCell ref="FQM47:FQW47"/>
    <mergeCell ref="FQX47:FRH47"/>
    <mergeCell ref="FRI47:FRS47"/>
    <mergeCell ref="FRT47:FSD47"/>
    <mergeCell ref="FSE47:FSO47"/>
    <mergeCell ref="FOJ47:FOT47"/>
    <mergeCell ref="FOU47:FPE47"/>
    <mergeCell ref="FPF47:FPP47"/>
    <mergeCell ref="FPQ47:FQA47"/>
    <mergeCell ref="FQB47:FQL47"/>
    <mergeCell ref="FMG47:FMQ47"/>
    <mergeCell ref="FMR47:FNB47"/>
    <mergeCell ref="FNC47:FNM47"/>
    <mergeCell ref="FNN47:FNX47"/>
    <mergeCell ref="FNY47:FOI47"/>
    <mergeCell ref="FKD47:FKN47"/>
    <mergeCell ref="FKO47:FKY47"/>
    <mergeCell ref="FKZ47:FLJ47"/>
    <mergeCell ref="FLK47:FLU47"/>
    <mergeCell ref="FLV47:FMF47"/>
    <mergeCell ref="FIA47:FIK47"/>
    <mergeCell ref="FIL47:FIV47"/>
    <mergeCell ref="FIW47:FJG47"/>
    <mergeCell ref="FJH47:FJR47"/>
    <mergeCell ref="FJS47:FKC47"/>
    <mergeCell ref="FFX47:FGH47"/>
    <mergeCell ref="FGI47:FGS47"/>
    <mergeCell ref="FGT47:FHD47"/>
    <mergeCell ref="FHE47:FHO47"/>
    <mergeCell ref="FHP47:FHZ47"/>
    <mergeCell ref="FDU47:FEE47"/>
    <mergeCell ref="FEF47:FEP47"/>
    <mergeCell ref="FEQ47:FFA47"/>
    <mergeCell ref="FFB47:FFL47"/>
    <mergeCell ref="FFM47:FFW47"/>
    <mergeCell ref="FBR47:FCB47"/>
    <mergeCell ref="FCC47:FCM47"/>
    <mergeCell ref="FCN47:FCX47"/>
    <mergeCell ref="FCY47:FDI47"/>
    <mergeCell ref="FDJ47:FDT47"/>
    <mergeCell ref="EZO47:EZY47"/>
    <mergeCell ref="EZZ47:FAJ47"/>
    <mergeCell ref="FAK47:FAU47"/>
    <mergeCell ref="FAV47:FBF47"/>
    <mergeCell ref="FBG47:FBQ47"/>
    <mergeCell ref="EXL47:EXV47"/>
    <mergeCell ref="EXW47:EYG47"/>
    <mergeCell ref="EYH47:EYR47"/>
    <mergeCell ref="EYS47:EZC47"/>
    <mergeCell ref="EZD47:EZN47"/>
    <mergeCell ref="EVI47:EVS47"/>
    <mergeCell ref="EVT47:EWD47"/>
    <mergeCell ref="EWE47:EWO47"/>
    <mergeCell ref="EWP47:EWZ47"/>
    <mergeCell ref="EXA47:EXK47"/>
    <mergeCell ref="ETF47:ETP47"/>
    <mergeCell ref="ETQ47:EUA47"/>
    <mergeCell ref="EUB47:EUL47"/>
    <mergeCell ref="EUM47:EUW47"/>
    <mergeCell ref="EUX47:EVH47"/>
    <mergeCell ref="ERC47:ERM47"/>
    <mergeCell ref="ERN47:ERX47"/>
    <mergeCell ref="ERY47:ESI47"/>
    <mergeCell ref="ESJ47:EST47"/>
    <mergeCell ref="ESU47:ETE47"/>
    <mergeCell ref="EOZ47:EPJ47"/>
    <mergeCell ref="EPK47:EPU47"/>
    <mergeCell ref="EPV47:EQF47"/>
    <mergeCell ref="EQG47:EQQ47"/>
    <mergeCell ref="EQR47:ERB47"/>
    <mergeCell ref="EMW47:ENG47"/>
    <mergeCell ref="ENH47:ENR47"/>
    <mergeCell ref="ENS47:EOC47"/>
    <mergeCell ref="EOD47:EON47"/>
    <mergeCell ref="EOO47:EOY47"/>
    <mergeCell ref="EKT47:ELD47"/>
    <mergeCell ref="ELE47:ELO47"/>
    <mergeCell ref="ELP47:ELZ47"/>
    <mergeCell ref="EMA47:EMK47"/>
    <mergeCell ref="EML47:EMV47"/>
    <mergeCell ref="EIQ47:EJA47"/>
    <mergeCell ref="EJB47:EJL47"/>
    <mergeCell ref="EJM47:EJW47"/>
    <mergeCell ref="EJX47:EKH47"/>
    <mergeCell ref="EKI47:EKS47"/>
    <mergeCell ref="EGN47:EGX47"/>
    <mergeCell ref="EGY47:EHI47"/>
    <mergeCell ref="EHJ47:EHT47"/>
    <mergeCell ref="EHU47:EIE47"/>
    <mergeCell ref="EIF47:EIP47"/>
    <mergeCell ref="EEK47:EEU47"/>
    <mergeCell ref="EEV47:EFF47"/>
    <mergeCell ref="EFG47:EFQ47"/>
    <mergeCell ref="EFR47:EGB47"/>
    <mergeCell ref="EGC47:EGM47"/>
    <mergeCell ref="ECH47:ECR47"/>
    <mergeCell ref="ECS47:EDC47"/>
    <mergeCell ref="EDD47:EDN47"/>
    <mergeCell ref="EDO47:EDY47"/>
    <mergeCell ref="EDZ47:EEJ47"/>
    <mergeCell ref="EAE47:EAO47"/>
    <mergeCell ref="EAP47:EAZ47"/>
    <mergeCell ref="EBA47:EBK47"/>
    <mergeCell ref="EBL47:EBV47"/>
    <mergeCell ref="EBW47:ECG47"/>
    <mergeCell ref="DYB47:DYL47"/>
    <mergeCell ref="DYM47:DYW47"/>
    <mergeCell ref="DYX47:DZH47"/>
    <mergeCell ref="DZI47:DZS47"/>
    <mergeCell ref="DZT47:EAD47"/>
    <mergeCell ref="DVY47:DWI47"/>
    <mergeCell ref="DWJ47:DWT47"/>
    <mergeCell ref="DWU47:DXE47"/>
    <mergeCell ref="DXF47:DXP47"/>
    <mergeCell ref="DXQ47:DYA47"/>
    <mergeCell ref="DTV47:DUF47"/>
    <mergeCell ref="DUG47:DUQ47"/>
    <mergeCell ref="DUR47:DVB47"/>
    <mergeCell ref="DVC47:DVM47"/>
    <mergeCell ref="DVN47:DVX47"/>
    <mergeCell ref="DRS47:DSC47"/>
    <mergeCell ref="DSD47:DSN47"/>
    <mergeCell ref="DSO47:DSY47"/>
    <mergeCell ref="DSZ47:DTJ47"/>
    <mergeCell ref="DTK47:DTU47"/>
    <mergeCell ref="DPP47:DPZ47"/>
    <mergeCell ref="DQA47:DQK47"/>
    <mergeCell ref="DQL47:DQV47"/>
    <mergeCell ref="DQW47:DRG47"/>
    <mergeCell ref="DRH47:DRR47"/>
    <mergeCell ref="DNM47:DNW47"/>
    <mergeCell ref="DNX47:DOH47"/>
    <mergeCell ref="DOI47:DOS47"/>
    <mergeCell ref="DOT47:DPD47"/>
    <mergeCell ref="DPE47:DPO47"/>
    <mergeCell ref="DLJ47:DLT47"/>
    <mergeCell ref="DLU47:DME47"/>
    <mergeCell ref="DMF47:DMP47"/>
    <mergeCell ref="DMQ47:DNA47"/>
    <mergeCell ref="DNB47:DNL47"/>
    <mergeCell ref="DJG47:DJQ47"/>
    <mergeCell ref="DJR47:DKB47"/>
    <mergeCell ref="DKC47:DKM47"/>
    <mergeCell ref="DKN47:DKX47"/>
    <mergeCell ref="DKY47:DLI47"/>
    <mergeCell ref="DHD47:DHN47"/>
    <mergeCell ref="DHO47:DHY47"/>
    <mergeCell ref="DHZ47:DIJ47"/>
    <mergeCell ref="DIK47:DIU47"/>
    <mergeCell ref="DIV47:DJF47"/>
    <mergeCell ref="DFA47:DFK47"/>
    <mergeCell ref="DFL47:DFV47"/>
    <mergeCell ref="DFW47:DGG47"/>
    <mergeCell ref="DGH47:DGR47"/>
    <mergeCell ref="DGS47:DHC47"/>
    <mergeCell ref="DCX47:DDH47"/>
    <mergeCell ref="DDI47:DDS47"/>
    <mergeCell ref="DDT47:DED47"/>
    <mergeCell ref="DEE47:DEO47"/>
    <mergeCell ref="DEP47:DEZ47"/>
    <mergeCell ref="DAU47:DBE47"/>
    <mergeCell ref="DBF47:DBP47"/>
    <mergeCell ref="DBQ47:DCA47"/>
    <mergeCell ref="DCB47:DCL47"/>
    <mergeCell ref="DCM47:DCW47"/>
    <mergeCell ref="CYR47:CZB47"/>
    <mergeCell ref="CZC47:CZM47"/>
    <mergeCell ref="CZN47:CZX47"/>
    <mergeCell ref="CZY47:DAI47"/>
    <mergeCell ref="DAJ47:DAT47"/>
    <mergeCell ref="CWO47:CWY47"/>
    <mergeCell ref="CWZ47:CXJ47"/>
    <mergeCell ref="CXK47:CXU47"/>
    <mergeCell ref="CXV47:CYF47"/>
    <mergeCell ref="CYG47:CYQ47"/>
    <mergeCell ref="CUL47:CUV47"/>
    <mergeCell ref="CUW47:CVG47"/>
    <mergeCell ref="CVH47:CVR47"/>
    <mergeCell ref="CVS47:CWC47"/>
    <mergeCell ref="CWD47:CWN47"/>
    <mergeCell ref="CSI47:CSS47"/>
    <mergeCell ref="CST47:CTD47"/>
    <mergeCell ref="CTE47:CTO47"/>
    <mergeCell ref="CTP47:CTZ47"/>
    <mergeCell ref="CUA47:CUK47"/>
    <mergeCell ref="CQF47:CQP47"/>
    <mergeCell ref="CQQ47:CRA47"/>
    <mergeCell ref="CRB47:CRL47"/>
    <mergeCell ref="CRM47:CRW47"/>
    <mergeCell ref="CRX47:CSH47"/>
    <mergeCell ref="COC47:COM47"/>
    <mergeCell ref="CON47:COX47"/>
    <mergeCell ref="COY47:CPI47"/>
    <mergeCell ref="CPJ47:CPT47"/>
    <mergeCell ref="CPU47:CQE47"/>
    <mergeCell ref="CLZ47:CMJ47"/>
    <mergeCell ref="CMK47:CMU47"/>
    <mergeCell ref="CMV47:CNF47"/>
    <mergeCell ref="CNG47:CNQ47"/>
    <mergeCell ref="CNR47:COB47"/>
    <mergeCell ref="CJW47:CKG47"/>
    <mergeCell ref="CKH47:CKR47"/>
    <mergeCell ref="CKS47:CLC47"/>
    <mergeCell ref="CLD47:CLN47"/>
    <mergeCell ref="CLO47:CLY47"/>
    <mergeCell ref="CHT47:CID47"/>
    <mergeCell ref="CIE47:CIO47"/>
    <mergeCell ref="CIP47:CIZ47"/>
    <mergeCell ref="CJA47:CJK47"/>
    <mergeCell ref="CJL47:CJV47"/>
    <mergeCell ref="CFQ47:CGA47"/>
    <mergeCell ref="CGB47:CGL47"/>
    <mergeCell ref="CGM47:CGW47"/>
    <mergeCell ref="CGX47:CHH47"/>
    <mergeCell ref="CHI47:CHS47"/>
    <mergeCell ref="CDN47:CDX47"/>
    <mergeCell ref="CDY47:CEI47"/>
    <mergeCell ref="CEJ47:CET47"/>
    <mergeCell ref="CEU47:CFE47"/>
    <mergeCell ref="CFF47:CFP47"/>
    <mergeCell ref="CBK47:CBU47"/>
    <mergeCell ref="CBV47:CCF47"/>
    <mergeCell ref="CCG47:CCQ47"/>
    <mergeCell ref="CCR47:CDB47"/>
    <mergeCell ref="CDC47:CDM47"/>
    <mergeCell ref="BZH47:BZR47"/>
    <mergeCell ref="BZS47:CAC47"/>
    <mergeCell ref="CAD47:CAN47"/>
    <mergeCell ref="CAO47:CAY47"/>
    <mergeCell ref="CAZ47:CBJ47"/>
    <mergeCell ref="BXE47:BXO47"/>
    <mergeCell ref="BXP47:BXZ47"/>
    <mergeCell ref="BYA47:BYK47"/>
    <mergeCell ref="BYL47:BYV47"/>
    <mergeCell ref="BYW47:BZG47"/>
    <mergeCell ref="BVB47:BVL47"/>
    <mergeCell ref="BVM47:BVW47"/>
    <mergeCell ref="BVX47:BWH47"/>
    <mergeCell ref="BWI47:BWS47"/>
    <mergeCell ref="BWT47:BXD47"/>
    <mergeCell ref="BSY47:BTI47"/>
    <mergeCell ref="BTJ47:BTT47"/>
    <mergeCell ref="BTU47:BUE47"/>
    <mergeCell ref="BUF47:BUP47"/>
    <mergeCell ref="BUQ47:BVA47"/>
    <mergeCell ref="BQV47:BRF47"/>
    <mergeCell ref="BRG47:BRQ47"/>
    <mergeCell ref="BRR47:BSB47"/>
    <mergeCell ref="BSC47:BSM47"/>
    <mergeCell ref="BSN47:BSX47"/>
    <mergeCell ref="BOS47:BPC47"/>
    <mergeCell ref="BPD47:BPN47"/>
    <mergeCell ref="BPO47:BPY47"/>
    <mergeCell ref="BPZ47:BQJ47"/>
    <mergeCell ref="BQK47:BQU47"/>
    <mergeCell ref="BMP47:BMZ47"/>
    <mergeCell ref="BNA47:BNK47"/>
    <mergeCell ref="BNL47:BNV47"/>
    <mergeCell ref="BNW47:BOG47"/>
    <mergeCell ref="BOH47:BOR47"/>
    <mergeCell ref="BKM47:BKW47"/>
    <mergeCell ref="BKX47:BLH47"/>
    <mergeCell ref="BLI47:BLS47"/>
    <mergeCell ref="BLT47:BMD47"/>
    <mergeCell ref="BME47:BMO47"/>
    <mergeCell ref="BIJ47:BIT47"/>
    <mergeCell ref="BIU47:BJE47"/>
    <mergeCell ref="BJF47:BJP47"/>
    <mergeCell ref="BJQ47:BKA47"/>
    <mergeCell ref="BKB47:BKL47"/>
    <mergeCell ref="BGG47:BGQ47"/>
    <mergeCell ref="BGR47:BHB47"/>
    <mergeCell ref="BHC47:BHM47"/>
    <mergeCell ref="BHN47:BHX47"/>
    <mergeCell ref="BHY47:BII47"/>
    <mergeCell ref="BED47:BEN47"/>
    <mergeCell ref="BEO47:BEY47"/>
    <mergeCell ref="BEZ47:BFJ47"/>
    <mergeCell ref="BFK47:BFU47"/>
    <mergeCell ref="BFV47:BGF47"/>
    <mergeCell ref="BCA47:BCK47"/>
    <mergeCell ref="BCL47:BCV47"/>
    <mergeCell ref="BCW47:BDG47"/>
    <mergeCell ref="BDH47:BDR47"/>
    <mergeCell ref="BDS47:BEC47"/>
    <mergeCell ref="AZX47:BAH47"/>
    <mergeCell ref="BAI47:BAS47"/>
    <mergeCell ref="BAT47:BBD47"/>
    <mergeCell ref="BBE47:BBO47"/>
    <mergeCell ref="BBP47:BBZ47"/>
    <mergeCell ref="AXU47:AYE47"/>
    <mergeCell ref="AYF47:AYP47"/>
    <mergeCell ref="AYQ47:AZA47"/>
    <mergeCell ref="AZB47:AZL47"/>
    <mergeCell ref="AZM47:AZW47"/>
    <mergeCell ref="AVR47:AWB47"/>
    <mergeCell ref="AWC47:AWM47"/>
    <mergeCell ref="AWN47:AWX47"/>
    <mergeCell ref="AWY47:AXI47"/>
    <mergeCell ref="AXJ47:AXT47"/>
    <mergeCell ref="ATO47:ATY47"/>
    <mergeCell ref="ATZ47:AUJ47"/>
    <mergeCell ref="AUK47:AUU47"/>
    <mergeCell ref="AUV47:AVF47"/>
    <mergeCell ref="AVG47:AVQ47"/>
    <mergeCell ref="ARL47:ARV47"/>
    <mergeCell ref="ARW47:ASG47"/>
    <mergeCell ref="ASH47:ASR47"/>
    <mergeCell ref="ASS47:ATC47"/>
    <mergeCell ref="ATD47:ATN47"/>
    <mergeCell ref="API47:APS47"/>
    <mergeCell ref="APT47:AQD47"/>
    <mergeCell ref="AQE47:AQO47"/>
    <mergeCell ref="AQP47:AQZ47"/>
    <mergeCell ref="ARA47:ARK47"/>
    <mergeCell ref="ANF47:ANP47"/>
    <mergeCell ref="ANQ47:AOA47"/>
    <mergeCell ref="AOB47:AOL47"/>
    <mergeCell ref="AOM47:AOW47"/>
    <mergeCell ref="AOX47:APH47"/>
    <mergeCell ref="ALC47:ALM47"/>
    <mergeCell ref="ALN47:ALX47"/>
    <mergeCell ref="ALY47:AMI47"/>
    <mergeCell ref="AMJ47:AMT47"/>
    <mergeCell ref="AMU47:ANE47"/>
    <mergeCell ref="AIZ47:AJJ47"/>
    <mergeCell ref="AJK47:AJU47"/>
    <mergeCell ref="AJV47:AKF47"/>
    <mergeCell ref="AKG47:AKQ47"/>
    <mergeCell ref="AKR47:ALB47"/>
    <mergeCell ref="AGW47:AHG47"/>
    <mergeCell ref="AHH47:AHR47"/>
    <mergeCell ref="AHS47:AIC47"/>
    <mergeCell ref="AID47:AIN47"/>
    <mergeCell ref="AIO47:AIY47"/>
    <mergeCell ref="AET47:AFD47"/>
    <mergeCell ref="AFE47:AFO47"/>
    <mergeCell ref="AFP47:AFZ47"/>
    <mergeCell ref="AGA47:AGK47"/>
    <mergeCell ref="AGL47:AGV47"/>
    <mergeCell ref="ACQ47:ADA47"/>
    <mergeCell ref="ADB47:ADL47"/>
    <mergeCell ref="ADM47:ADW47"/>
    <mergeCell ref="ADX47:AEH47"/>
    <mergeCell ref="AEI47:AES47"/>
    <mergeCell ref="AAN47:AAX47"/>
    <mergeCell ref="AAY47:ABI47"/>
    <mergeCell ref="ABJ47:ABT47"/>
    <mergeCell ref="ABU47:ACE47"/>
    <mergeCell ref="ACF47:ACP47"/>
    <mergeCell ref="YK47:YU47"/>
    <mergeCell ref="YV47:ZF47"/>
    <mergeCell ref="ZG47:ZQ47"/>
    <mergeCell ref="ZR47:AAB47"/>
    <mergeCell ref="AAC47:AAM47"/>
    <mergeCell ref="WH47:WR47"/>
    <mergeCell ref="WS47:XC47"/>
    <mergeCell ref="XD47:XN47"/>
    <mergeCell ref="XO47:XY47"/>
    <mergeCell ref="XZ47:YJ47"/>
    <mergeCell ref="UE47:UO47"/>
    <mergeCell ref="UP47:UZ47"/>
    <mergeCell ref="VA47:VK47"/>
    <mergeCell ref="VL47:VV47"/>
    <mergeCell ref="VW47:WG47"/>
    <mergeCell ref="SB47:SL47"/>
    <mergeCell ref="SM47:SW47"/>
    <mergeCell ref="SX47:TH47"/>
    <mergeCell ref="TI47:TS47"/>
    <mergeCell ref="TT47:UD47"/>
    <mergeCell ref="PY47:QI47"/>
    <mergeCell ref="QJ47:QT47"/>
    <mergeCell ref="QU47:RE47"/>
    <mergeCell ref="RF47:RP47"/>
    <mergeCell ref="RQ47:SA47"/>
    <mergeCell ref="NV47:OF47"/>
    <mergeCell ref="OG47:OQ47"/>
    <mergeCell ref="OR47:PB47"/>
    <mergeCell ref="PC47:PM47"/>
    <mergeCell ref="PN47:PX47"/>
    <mergeCell ref="LS47:MC47"/>
    <mergeCell ref="MD47:MN47"/>
    <mergeCell ref="MO47:MY47"/>
    <mergeCell ref="MZ47:NJ47"/>
    <mergeCell ref="NK47:NU47"/>
    <mergeCell ref="D13:E13"/>
    <mergeCell ref="A20:P22"/>
    <mergeCell ref="M6:N7"/>
    <mergeCell ref="O6:P7"/>
    <mergeCell ref="O9:P9"/>
    <mergeCell ref="O11:P11"/>
    <mergeCell ref="O12:P12"/>
    <mergeCell ref="O13:P13"/>
    <mergeCell ref="O14:P14"/>
    <mergeCell ref="J16:K16"/>
    <mergeCell ref="JP47:JZ47"/>
    <mergeCell ref="KA47:KK47"/>
    <mergeCell ref="KL47:KV47"/>
    <mergeCell ref="KW47:LG47"/>
    <mergeCell ref="LH47:LR47"/>
    <mergeCell ref="HM47:HW47"/>
    <mergeCell ref="HX47:IH47"/>
    <mergeCell ref="II47:IS47"/>
    <mergeCell ref="IT47:JD47"/>
    <mergeCell ref="JE47:JO47"/>
    <mergeCell ref="FJ47:FT47"/>
    <mergeCell ref="FU47:GE47"/>
    <mergeCell ref="GF47:GP47"/>
    <mergeCell ref="GQ47:HA47"/>
    <mergeCell ref="HB47:HL47"/>
    <mergeCell ref="DG47:DQ47"/>
    <mergeCell ref="DR47:EB47"/>
    <mergeCell ref="EC47:EM47"/>
    <mergeCell ref="EN47:EX47"/>
    <mergeCell ref="EY47:FI47"/>
    <mergeCell ref="D15:E15"/>
    <mergeCell ref="H15:I15"/>
    <mergeCell ref="M25:P46"/>
    <mergeCell ref="M24:P24"/>
    <mergeCell ref="B30:C30"/>
    <mergeCell ref="B29:C29"/>
    <mergeCell ref="D9:E9"/>
    <mergeCell ref="D10:E10"/>
    <mergeCell ref="D11:E11"/>
    <mergeCell ref="D12:E12"/>
    <mergeCell ref="A3:D3"/>
    <mergeCell ref="H13:I13"/>
    <mergeCell ref="H14:I14"/>
    <mergeCell ref="F9:G9"/>
    <mergeCell ref="F10:G10"/>
    <mergeCell ref="H9:I9"/>
    <mergeCell ref="H10:I10"/>
    <mergeCell ref="H11:I11"/>
    <mergeCell ref="H12:I12"/>
    <mergeCell ref="B6:B7"/>
    <mergeCell ref="C6:C7"/>
    <mergeCell ref="H6:I7"/>
    <mergeCell ref="F11:G11"/>
    <mergeCell ref="F12:G12"/>
    <mergeCell ref="D6:E7"/>
    <mergeCell ref="F6:G7"/>
    <mergeCell ref="I25:I27"/>
    <mergeCell ref="G25:G27"/>
    <mergeCell ref="H25:H27"/>
    <mergeCell ref="D25:D27"/>
    <mergeCell ref="F14:G14"/>
    <mergeCell ref="J6:K7"/>
    <mergeCell ref="D14:E14"/>
    <mergeCell ref="J9:K9"/>
    <mergeCell ref="J10:K10"/>
    <mergeCell ref="J11:K11"/>
    <mergeCell ref="J12:K12"/>
    <mergeCell ref="J13:K13"/>
    <mergeCell ref="M15:P18"/>
    <mergeCell ref="J18:K18"/>
    <mergeCell ref="J17:K17"/>
    <mergeCell ref="J14:K14"/>
    <mergeCell ref="J15:K15"/>
    <mergeCell ref="BD47:BN47"/>
    <mergeCell ref="BO47:BY47"/>
    <mergeCell ref="BZ47:CJ47"/>
    <mergeCell ref="CK47:CU47"/>
    <mergeCell ref="CV47:DF47"/>
    <mergeCell ref="A47:K47"/>
    <mergeCell ref="L47:V47"/>
    <mergeCell ref="W47:AG47"/>
    <mergeCell ref="AH47:AR47"/>
    <mergeCell ref="AS47:BC47"/>
    <mergeCell ref="A37:K37"/>
    <mergeCell ref="J25:J27"/>
    <mergeCell ref="K25:K27"/>
    <mergeCell ref="A32:K34"/>
    <mergeCell ref="A31:K31"/>
    <mergeCell ref="M9:N9"/>
    <mergeCell ref="M11:N11"/>
    <mergeCell ref="M12:N12"/>
    <mergeCell ref="M13:N13"/>
    <mergeCell ref="M14:N14"/>
    <mergeCell ref="F13:G13"/>
    <mergeCell ref="F15:G15"/>
  </mergeCells>
  <phoneticPr fontId="12" type="noConversion"/>
  <conditionalFormatting sqref="A3">
    <cfRule type="cellIs" dxfId="43" priority="8" stopIfTrue="1" operator="equal">
      <formula>"Vul het Nza-nummer in op het voorblad"</formula>
    </cfRule>
  </conditionalFormatting>
  <conditionalFormatting sqref="D9:I15 J17:K17 I29:J30 D29:G30">
    <cfRule type="expression" dxfId="42" priority="9" stopIfTrue="1">
      <formula>$E$3=TRUE</formula>
    </cfRule>
  </conditionalFormatting>
  <conditionalFormatting sqref="O9:P9">
    <cfRule type="expression" dxfId="41" priority="7" stopIfTrue="1">
      <formula>$E$3=TRUE</formula>
    </cfRule>
  </conditionalFormatting>
  <conditionalFormatting sqref="O11:P11">
    <cfRule type="expression" dxfId="40" priority="6" stopIfTrue="1">
      <formula>$E$3=TRUE</formula>
    </cfRule>
  </conditionalFormatting>
  <conditionalFormatting sqref="O12:P12">
    <cfRule type="expression" dxfId="39" priority="5" stopIfTrue="1">
      <formula>$E$3=TRUE</formula>
    </cfRule>
  </conditionalFormatting>
  <conditionalFormatting sqref="O13:P13">
    <cfRule type="expression" dxfId="38" priority="4" stopIfTrue="1">
      <formula>$E$3=TRUE</formula>
    </cfRule>
  </conditionalFormatting>
  <conditionalFormatting sqref="O14:P14">
    <cfRule type="expression" dxfId="37" priority="3" stopIfTrue="1">
      <formula>$E$3=TRUE</formula>
    </cfRule>
  </conditionalFormatting>
  <conditionalFormatting sqref="A31">
    <cfRule type="cellIs" dxfId="36" priority="2" operator="equal">
      <formula>"LET OP: Negatieve waarde Jaarlijkse instandhouding investeringsruimte ulitimo 2012"</formula>
    </cfRule>
  </conditionalFormatting>
  <conditionalFormatting sqref="M25:N25">
    <cfRule type="expression" dxfId="35" priority="1" stopIfTrue="1">
      <formula>$E$3=TRUE</formula>
    </cfRule>
  </conditionalFormatting>
  <dataValidations count="2">
    <dataValidation type="custom" operator="lessThan" allowBlank="1" showInputMessage="1" showErrorMessage="1" sqref="H30">
      <formula1>IF(+D30+E30-F30-G30&lt;0,"negatief",+D30+E30-F30-G30)</formula1>
    </dataValidation>
    <dataValidation errorStyle="warning" allowBlank="1" showErrorMessage="1" errorTitle="Let op" error="Investeringsruimte ultimo 2012 mag niet kleiner zijn dan 0" prompt="Investeringsruimte ultimo 2012 mag niet kleiner zijn dan 0" sqref="H29"/>
  </dataValidations>
  <pageMargins left="0.39370078740157483" right="0.39370078740157483" top="0.39370078740157483" bottom="0.39370078740157483" header="0.51181102362204722" footer="0.51181102362204722"/>
  <pageSetup paperSize="9" scale="72" orientation="landscape" cellComments="asDisplayed" horizontalDpi="1200" verticalDpi="1200" r:id="rId2"/>
  <headerFooter alignWithMargins="0"/>
  <drawing r:id="rId3"/>
  <legacyDrawing r:id="rId4"/>
  <oleObjects>
    <mc:AlternateContent xmlns:mc="http://schemas.openxmlformats.org/markup-compatibility/2006">
      <mc:Choice Requires="x14">
        <oleObject progId="MSPhotoEd.3" shapeId="74802" r:id="rId5">
          <objectPr defaultSize="0" autoPict="0" r:id="rId6">
            <anchor moveWithCells="1" sizeWithCells="1">
              <from>
                <xdr:col>12</xdr:col>
                <xdr:colOff>428625</xdr:colOff>
                <xdr:row>1</xdr:row>
                <xdr:rowOff>0</xdr:rowOff>
              </from>
              <to>
                <xdr:col>14</xdr:col>
                <xdr:colOff>561975</xdr:colOff>
                <xdr:row>1</xdr:row>
                <xdr:rowOff>161925</xdr:rowOff>
              </to>
            </anchor>
          </objectPr>
        </oleObject>
      </mc:Choice>
      <mc:Fallback>
        <oleObject progId="MSPhotoEd.3" shapeId="74802" r:id="rId5"/>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Hoofdtekst xmlns="e126ea53-4662-4235-a709-fb88537df135" xsi:nil="true"/>
    <j85cec29e8c24b8a90feb8db203ff7e2 xmlns="e126ea53-4662-4235-a709-fb88537df135">
      <Terms xmlns="http://schemas.microsoft.com/office/infopath/2007/PartnerControls">
        <TermInfo xmlns="http://schemas.microsoft.com/office/infopath/2007/PartnerControls">
          <TermName xmlns="http://schemas.microsoft.com/office/infopath/2007/PartnerControls">Ziekenhuiszorg</TermName>
          <TermId xmlns="http://schemas.microsoft.com/office/infopath/2007/PartnerControls">1a957709-959b-40c0-9640-61f1bd5d07a0</TermId>
        </TermInfo>
      </Terms>
    </j85cec29e8c24b8a90feb8db203ff7e2>
    <VoorgangersMetadata xmlns="f154f381-dfad-4e4d-b243-610b51701648" xsi:nil="true"/>
    <BBesluitMetadata xmlns="f154f381-dfad-4e4d-b243-610b51701648" xsi:nil="true"/>
    <VerzondenAanMetadata xmlns="f154f381-dfad-4e4d-b243-610b51701648" xsi:nil="true"/>
    <NZa-documentnummer xmlns="f154f381-dfad-4e4d-b243-610b51701648" xsi:nil="true"/>
    <Eind-datum xmlns="f154f381-dfad-4e4d-b243-610b51701648" xsi:nil="true"/>
    <BTariefMetadata xmlns="f154f381-dfad-4e4d-b243-610b51701648" xsi:nil="true"/>
    <DocumentTypeMetadata xmlns="f154f381-dfad-4e4d-b243-610b51701648">Regels:Formulier|4bc40415-667d-4fea-816d-9688ca6ffa69</DocumentTypeMetadata>
    <Ingetrokken_x003f_ xmlns="f154f381-dfad-4e4d-b243-610b51701648">Nee</Ingetrokken_x003f_>
    <me0f0aaf77cd4640acf557f58a1d2cc0 xmlns="e126ea53-4662-4235-a709-fb88537df135">
      <Terms xmlns="http://schemas.microsoft.com/office/infopath/2007/PartnerControls">
        <TermInfo xmlns="http://schemas.microsoft.com/office/infopath/2007/PartnerControls">
          <TermName xmlns="http://schemas.microsoft.com/office/infopath/2007/PartnerControls">Formulier</TermName>
          <TermId xmlns="http://schemas.microsoft.com/office/infopath/2007/PartnerControls">4bc40415-667d-4fea-816d-9688ca6ffa69</TermId>
        </TermInfo>
      </Terms>
    </me0f0aaf77cd4640acf557f58a1d2cc0>
    <BBijlageMetadata xmlns="f154f381-dfad-4e4d-b243-610b51701648" xsi:nil="true"/>
    <Verzonden_x0020_aan xmlns="f154f381-dfad-4e4d-b243-610b51701648"/>
    <NZa-zoekwoordenMetadata xmlns="f154f381-dfad-4e4d-b243-610b51701648" xsi:nil="true"/>
    <_dlc_DocId xmlns="e126ea53-4662-4235-a709-fb88537df135">THRFR6N5WDQ4-17-3428</_dlc_DocId>
    <Sector_x0028_en_x0029_Metadata xmlns="f154f381-dfad-4e4d-b243-610b51701648">Alle:Ziekenhuiszorg|1a957709-959b-40c0-9640-61f1bd5d07a0</Sector_x0028_en_x0029_Metadata>
    <TaxCatchAll xmlns="e126ea53-4662-4235-a709-fb88537df135">
      <Value>103</Value>
      <Value>134</Value>
    </TaxCatchAll>
    <l24ea505ea8d4be1bd84e8204c620c6c xmlns="e126ea53-4662-4235-a709-fb88537df135">
      <Terms xmlns="http://schemas.microsoft.com/office/infopath/2007/PartnerControls"/>
    </l24ea505ea8d4be1bd84e8204c620c6c>
    <Ingangsdatum xmlns="f154f381-dfad-4e4d-b243-610b51701648" xsi:nil="true"/>
    <BVergaderstukMetadata xmlns="f154f381-dfad-4e4d-b243-610b51701648" xsi:nil="true"/>
    <BPrestatiebeschrijvingMetadata xmlns="f154f381-dfad-4e4d-b243-610b51701648" xsi:nil="true"/>
    <Publicatiedatum xmlns="e126ea53-4662-4235-a709-fb88537df135">2014-05-26T22:00:00+00:00</Publicatiedatum>
    <ExtraZoekwoordenMetadata xmlns="f154f381-dfad-4e4d-b243-610b51701648" xsi:nil="true"/>
    <Intro xmlns="e126ea53-4662-4235-a709-fb88537df135" xsi:nil="true"/>
    <BBeleidsregelMetadata xmlns="f154f381-dfad-4e4d-b243-610b51701648" xsi:nil="true"/>
    <BCirculaireMetadata xmlns="f154f381-dfad-4e4d-b243-610b51701648" xsi:nil="true"/>
    <BFormulierMetadata xmlns="f154f381-dfad-4e4d-b243-610b51701648" xsi:nil="true"/>
    <BNadereRegelMetadata xmlns="f154f381-dfad-4e4d-b243-610b51701648" xsi:nil="true"/>
    <Heeft_x0020_dit_x0020_stuk_x0020_bijlage_x0028_n_x0029__x003f_ xmlns="f154f381-dfad-4e4d-b243-610b51701648">false</Heeft_x0020_dit_x0020_stuk_x0020_bijlage_x0028_n_x0029__x003f_>
    <n407de7a4204433984b2eeeaba786d56 xmlns="e126ea53-4662-4235-a709-fb88537df135">
      <Terms xmlns="http://schemas.microsoft.com/office/infopath/2007/PartnerControls"/>
    </n407de7a4204433984b2eeeaba786d56>
    <_dlc_DocIdUrl xmlns="e126ea53-4662-4235-a709-fb88537df135">
      <Url>http://kennisnet.nza.nl/publicaties/Aanleveren/_layouts/DocIdRedir.aspx?ID=THRFR6N5WDQ4-17-3428</Url>
      <Description>THRFR6N5WDQ4-17-3428</Description>
    </_dlc_DocIdUrl>
    <BPublicatieMetadata xmlns="f154f381-dfad-4e4d-b243-610b5170164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websiteDocument" ma:contentTypeID="0x010100B6451C8D6A13DD45B391E9C3BB9525E5010060EC15E99145D14EAEBC6EA0A3BA6CCE" ma:contentTypeVersion="103" ma:contentTypeDescription="" ma:contentTypeScope="" ma:versionID="6ff2b9bdf209e11db4016fe1eedcf227">
  <xsd:schema xmlns:xsd="http://www.w3.org/2001/XMLSchema" xmlns:xs="http://www.w3.org/2001/XMLSchema" xmlns:p="http://schemas.microsoft.com/office/2006/metadata/properties" xmlns:ns2="f154f381-dfad-4e4d-b243-610b51701648" xmlns:ns3="e126ea53-4662-4235-a709-fb88537df135" targetNamespace="http://schemas.microsoft.com/office/2006/metadata/properties" ma:root="true" ma:fieldsID="39dbe4b42bd0f92740a630ca64f46ab5" ns2:_="" ns3:_="">
    <xsd:import namespace="f154f381-dfad-4e4d-b243-610b51701648"/>
    <xsd:import namespace="e126ea53-4662-4235-a709-fb88537df135"/>
    <xsd:element name="properties">
      <xsd:complexType>
        <xsd:sequence>
          <xsd:element name="documentManagement">
            <xsd:complexType>
              <xsd:all>
                <xsd:element ref="ns2:NZa-documentnummer" minOccurs="0"/>
                <xsd:element ref="ns3:Intro" minOccurs="0"/>
                <xsd:element ref="ns3:Hoofdtekst" minOccurs="0"/>
                <xsd:element ref="ns3:Publicatiedatum" minOccurs="0"/>
                <xsd:element ref="ns2:Ingangsdatum" minOccurs="0"/>
                <xsd:element ref="ns2:Eind-datum" minOccurs="0"/>
                <xsd:element ref="ns2:Ingetrokken_x003f_" minOccurs="0"/>
                <xsd:element ref="ns2:Verzonden_x0020_aan" minOccurs="0"/>
                <xsd:element ref="ns2:Heeft_x0020_dit_x0020_stuk_x0020_bijlage_x0028_n_x0029__x003f_" minOccurs="0"/>
                <xsd:element ref="ns2:Sector_x0028_en_x0029_Metadata" minOccurs="0"/>
                <xsd:element ref="ns2:NZa-zoekwoordenMetadata" minOccurs="0"/>
                <xsd:element ref="ns2:DocumentTypeMetadata" minOccurs="0"/>
                <xsd:element ref="ns2:VerzondenAanMetadata" minOccurs="0"/>
                <xsd:element ref="ns2:BNadereRegelMetadata" minOccurs="0"/>
                <xsd:element ref="ns2:BCirculaireMetadata" minOccurs="0"/>
                <xsd:element ref="ns2:BTariefMetadata" minOccurs="0"/>
                <xsd:element ref="ns2:BPublicatieMetadata" minOccurs="0"/>
                <xsd:element ref="ns2:BBesluitMetadata" minOccurs="0"/>
                <xsd:element ref="ns2:BFormulierMetadata" minOccurs="0"/>
                <xsd:element ref="ns2:BPrestatiebeschrijvingMetadata" minOccurs="0"/>
                <xsd:element ref="ns2:BVergaderstukMetadata" minOccurs="0"/>
                <xsd:element ref="ns2:VoorgangersMetadata" minOccurs="0"/>
                <xsd:element ref="ns2:BBijlageMetadata" minOccurs="0"/>
                <xsd:element ref="ns2:BBeleidsregelMetadata" minOccurs="0"/>
                <xsd:element ref="ns2:ExtraZoekwoordenMetadata" minOccurs="0"/>
                <xsd:element ref="ns3:l24ea505ea8d4be1bd84e8204c620c6c" minOccurs="0"/>
                <xsd:element ref="ns3:_dlc_DocId" minOccurs="0"/>
                <xsd:element ref="ns3:_dlc_DocIdUrl" minOccurs="0"/>
                <xsd:element ref="ns3:_dlc_DocIdPersistId" minOccurs="0"/>
                <xsd:element ref="ns3:j85cec29e8c24b8a90feb8db203ff7e2" minOccurs="0"/>
                <xsd:element ref="ns3:TaxCatchAll" minOccurs="0"/>
                <xsd:element ref="ns3:TaxCatchAllLabel" minOccurs="0"/>
                <xsd:element ref="ns3:me0f0aaf77cd4640acf557f58a1d2cc0" minOccurs="0"/>
                <xsd:element ref="ns3:n407de7a4204433984b2eeeaba786d56"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54f381-dfad-4e4d-b243-610b51701648" elementFormDefault="qualified">
    <xsd:import namespace="http://schemas.microsoft.com/office/2006/documentManagement/types"/>
    <xsd:import namespace="http://schemas.microsoft.com/office/infopath/2007/PartnerControls"/>
    <xsd:element name="NZa-documentnummer" ma:index="2" nillable="true" ma:displayName="NZa-documentnummer" ma:description="Nummer vh circulaire/beleidsregel/Tarief e.d. LET OP: zet hier NIET de titel in." ma:hidden="true" ma:indexed="true" ma:internalName="NZa_x002d_documentnummer" ma:readOnly="false">
      <xsd:simpleType>
        <xsd:restriction base="dms:Text">
          <xsd:maxLength value="255"/>
        </xsd:restriction>
      </xsd:simpleType>
    </xsd:element>
    <xsd:element name="Ingangsdatum" ma:index="10" nillable="true" ma:displayName="Ingangsdatum" ma:description="Let op: ingangs-en einddatum alleen gebruiken voor beleidsstukken. Dus voor beleidsregels, nadere regels en tarief en -prestatiebeschrijvingen." ma:format="DateOnly" ma:internalName="Ingangsdatum" ma:readOnly="false">
      <xsd:simpleType>
        <xsd:restriction base="dms:DateTime"/>
      </xsd:simpleType>
    </xsd:element>
    <xsd:element name="Eind-datum" ma:index="11" nillable="true" ma:displayName="Eind-datum" ma:format="DateOnly" ma:hidden="true" ma:internalName="Eind_x002d_datum" ma:readOnly="false">
      <xsd:simpleType>
        <xsd:restriction base="dms:DateTime"/>
      </xsd:simpleType>
    </xsd:element>
    <xsd:element name="Ingetrokken_x003f_" ma:index="12" nillable="true" ma:displayName="Ingetrokken?" ma:default="Nee" ma:description="Op 'ja' zetten als dit beleidsstuk nooit in werking is getreden, omdat het vooraf/naderhand is ingetrokken." ma:format="RadioButtons" ma:hidden="true" ma:internalName="Ingetrokken_x003F_" ma:readOnly="false">
      <xsd:simpleType>
        <xsd:restriction base="dms:Choice">
          <xsd:enumeration value="Nee"/>
          <xsd:enumeration value="Ja"/>
        </xsd:restriction>
      </xsd:simpleType>
    </xsd:element>
    <xsd:element name="Verzonden_x0020_aan" ma:index="13" nillable="true" ma:displayName="Verzonden aan" ma:description="Let op: gebruik dit veld alleen bij circulaires" ma:hidden="true" ma:list="{a637abec-76d2-407c-9cd4-a9f294342d94}" ma:internalName="Verzonden_x0020_aan" ma:readOnly="false" ma:showField="Title" ma:web="f154f381-dfad-4e4d-b243-610b51701648">
      <xsd:complexType>
        <xsd:complexContent>
          <xsd:extension base="dms:MultiChoiceLookup">
            <xsd:sequence>
              <xsd:element name="Value" type="dms:Lookup" maxOccurs="unbounded" minOccurs="0" nillable="true"/>
            </xsd:sequence>
          </xsd:extension>
        </xsd:complexContent>
      </xsd:complexType>
    </xsd:element>
    <xsd:element name="Heeft_x0020_dit_x0020_stuk_x0020_bijlage_x0028_n_x0029__x003f_" ma:index="14" nillable="true" ma:displayName="Heeft dit stuk bijlage(n)?" ma:default="0" ma:description="Aanvinken als er bijlagen aan dit stuk gekoppeld moeten worden. &#10;&#10;Voeg de bijlagen hierna apart toe in de lijst 'Koppelen bijlagen'." ma:internalName="Heeft_x0020_dit_x0020_stuk_x0020_bijlage_x0028_n_x0029__x003F_" ma:readOnly="false">
      <xsd:simpleType>
        <xsd:restriction base="dms:Boolean"/>
      </xsd:simpleType>
    </xsd:element>
    <xsd:element name="Sector_x0028_en_x0029_Metadata" ma:index="15" nillable="true" ma:displayName="Sector(en)Metadata" ma:internalName="Sector_x0028_en_x0029_Metadata" ma:readOnly="false">
      <xsd:simpleType>
        <xsd:restriction base="dms:Note"/>
      </xsd:simpleType>
    </xsd:element>
    <xsd:element name="NZa-zoekwoordenMetadata" ma:index="16" nillable="true" ma:displayName="NZa-zoekwoordenMetadata" ma:internalName="NZa_x002d_zoekwoordenMetadata" ma:readOnly="false">
      <xsd:simpleType>
        <xsd:restriction base="dms:Note"/>
      </xsd:simpleType>
    </xsd:element>
    <xsd:element name="DocumentTypeMetadata" ma:index="17" nillable="true" ma:displayName="DocumentTypeMetadata" ma:internalName="DocumentTypeMetadata">
      <xsd:simpleType>
        <xsd:restriction base="dms:Note"/>
      </xsd:simpleType>
    </xsd:element>
    <xsd:element name="VerzondenAanMetadata" ma:index="18" nillable="true" ma:displayName="VerzondenAanMetadata" ma:internalName="VerzondenAanMetadata">
      <xsd:simpleType>
        <xsd:restriction base="dms:Note"/>
      </xsd:simpleType>
    </xsd:element>
    <xsd:element name="BNadereRegelMetadata" ma:index="19" nillable="true" ma:displayName="BNadereRegelMetadata" ma:internalName="BNadereRegelMetadata">
      <xsd:simpleType>
        <xsd:restriction base="dms:Note"/>
      </xsd:simpleType>
    </xsd:element>
    <xsd:element name="BCirculaireMetadata" ma:index="20" nillable="true" ma:displayName="BCirculaireMetadata" ma:internalName="BCirculaireMetadata">
      <xsd:simpleType>
        <xsd:restriction base="dms:Note"/>
      </xsd:simpleType>
    </xsd:element>
    <xsd:element name="BTariefMetadata" ma:index="21" nillable="true" ma:displayName="BTariefMetadata" ma:internalName="BTariefMetadata">
      <xsd:simpleType>
        <xsd:restriction base="dms:Note"/>
      </xsd:simpleType>
    </xsd:element>
    <xsd:element name="BPublicatieMetadata" ma:index="22" nillable="true" ma:displayName="BPublicatieMetadata" ma:internalName="BPublicatieMetadata">
      <xsd:simpleType>
        <xsd:restriction base="dms:Note"/>
      </xsd:simpleType>
    </xsd:element>
    <xsd:element name="BBesluitMetadata" ma:index="23" nillable="true" ma:displayName="BBesluitMetadata" ma:internalName="BBesluitMetadata">
      <xsd:simpleType>
        <xsd:restriction base="dms:Note"/>
      </xsd:simpleType>
    </xsd:element>
    <xsd:element name="BFormulierMetadata" ma:index="24" nillable="true" ma:displayName="BFormulierMetadata" ma:internalName="BFormulierMetadata">
      <xsd:simpleType>
        <xsd:restriction base="dms:Note"/>
      </xsd:simpleType>
    </xsd:element>
    <xsd:element name="BPrestatiebeschrijvingMetadata" ma:index="25" nillable="true" ma:displayName="BPrestatiebeschrijvingMetadata" ma:internalName="BPrestatiebeschrijvingMetadata">
      <xsd:simpleType>
        <xsd:restriction base="dms:Note"/>
      </xsd:simpleType>
    </xsd:element>
    <xsd:element name="BVergaderstukMetadata" ma:index="26" nillable="true" ma:displayName="BVergaderstukMetadata" ma:internalName="BVergaderstukMetadata">
      <xsd:simpleType>
        <xsd:restriction base="dms:Note"/>
      </xsd:simpleType>
    </xsd:element>
    <xsd:element name="VoorgangersMetadata" ma:index="27" nillable="true" ma:displayName="VoorgangersMetadata" ma:internalName="VoorgangersMetadata">
      <xsd:simpleType>
        <xsd:restriction base="dms:Note"/>
      </xsd:simpleType>
    </xsd:element>
    <xsd:element name="BBijlageMetadata" ma:index="28" nillable="true" ma:displayName="BBijlageMetadata" ma:internalName="BBijlageMetadata">
      <xsd:simpleType>
        <xsd:restriction base="dms:Note"/>
      </xsd:simpleType>
    </xsd:element>
    <xsd:element name="BBeleidsregelMetadata" ma:index="29" nillable="true" ma:displayName="BBeleidsregelMetadata" ma:internalName="BBeleidsregelMetadata">
      <xsd:simpleType>
        <xsd:restriction base="dms:Note"/>
      </xsd:simpleType>
    </xsd:element>
    <xsd:element name="ExtraZoekwoordenMetadata" ma:index="30" nillable="true" ma:displayName="ExtraZoekwoordenMetadata" ma:internalName="ExtraZoekwoordenMeta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26ea53-4662-4235-a709-fb88537df135" elementFormDefault="qualified">
    <xsd:import namespace="http://schemas.microsoft.com/office/2006/documentManagement/types"/>
    <xsd:import namespace="http://schemas.microsoft.com/office/infopath/2007/PartnerControls"/>
    <xsd:element name="Intro" ma:index="4" nillable="true" ma:displayName="Intro" ma:hidden="true" ma:internalName="Intro" ma:readOnly="false">
      <xsd:simpleType>
        <xsd:restriction base="dms:Note"/>
      </xsd:simpleType>
    </xsd:element>
    <xsd:element name="Hoofdtekst" ma:index="5" nillable="true" ma:displayName="Hoofdtekst" ma:internalName="Hoofdtekst" ma:readOnly="false">
      <xsd:simpleType>
        <xsd:restriction base="dms:Note"/>
      </xsd:simpleType>
    </xsd:element>
    <xsd:element name="Publicatiedatum" ma:index="9" nillable="true" ma:displayName="Publicatiedatum" ma:default="[today]" ma:format="DateTime" ma:internalName="Publicatiedatum">
      <xsd:simpleType>
        <xsd:restriction base="dms:DateTime"/>
      </xsd:simpleType>
    </xsd:element>
    <xsd:element name="l24ea505ea8d4be1bd84e8204c620c6c" ma:index="32" nillable="true" ma:taxonomy="true" ma:internalName="l24ea505ea8d4be1bd84e8204c620c6c" ma:taxonomyFieldName="Extra_x0020_zoekwoorden" ma:displayName="Extra zoekwoorden" ma:default="" ma:fieldId="{524ea505-ea8d-4be1-bd84-e8204c620c6c}" ma:taxonomyMulti="true" ma:sspId="0bafc880-4007-42b7-80a0-dc11803b6bcc" ma:termSetId="ac45f7d4-31f1-4cdf-9307-3fd2bade2b77" ma:anchorId="00000000-0000-0000-0000-000000000000" ma:open="true" ma:isKeyword="false">
      <xsd:complexType>
        <xsd:sequence>
          <xsd:element ref="pc:Terms" minOccurs="0" maxOccurs="1"/>
        </xsd:sequence>
      </xsd:complexType>
    </xsd:element>
    <xsd:element name="_dlc_DocId" ma:index="35" nillable="true" ma:displayName="Waarde van de document-id" ma:description="De waarde van de document-id die aan dit item is toegewezen." ma:internalName="_dlc_DocId" ma:readOnly="true">
      <xsd:simpleType>
        <xsd:restriction base="dms:Text"/>
      </xsd:simpleType>
    </xsd:element>
    <xsd:element name="_dlc_DocIdUrl" ma:index="37"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8" nillable="true" ma:displayName="Id blijven behouden" ma:description="Id behouden tijdens toevoegen." ma:hidden="true" ma:internalName="_dlc_DocIdPersistId" ma:readOnly="true">
      <xsd:simpleType>
        <xsd:restriction base="dms:Boolean"/>
      </xsd:simpleType>
    </xsd:element>
    <xsd:element name="j85cec29e8c24b8a90feb8db203ff7e2" ma:index="41" ma:taxonomy="true" ma:internalName="j85cec29e8c24b8a90feb8db203ff7e2" ma:taxonomyFieldName="Sector_x0028_en_x0029_" ma:displayName="Sector(en)" ma:readOnly="false" ma:default="" ma:fieldId="{385cec29-e8c2-4b8a-90fe-b8db203ff7e2}" ma:taxonomyMulti="true" ma:sspId="0bafc880-4007-42b7-80a0-dc11803b6bcc" ma:termSetId="e2c5b29b-4c42-4fa1-a198-ae61d4887d83" ma:anchorId="00000000-0000-0000-0000-000000000000" ma:open="false" ma:isKeyword="false">
      <xsd:complexType>
        <xsd:sequence>
          <xsd:element ref="pc:Terms" minOccurs="0" maxOccurs="1"/>
        </xsd:sequence>
      </xsd:complexType>
    </xsd:element>
    <xsd:element name="TaxCatchAll" ma:index="42" nillable="true" ma:displayName="Catch-all-kolom van taxonomie" ma:hidden="true" ma:list="{fbf5cb43-e374-4e52-adea-141ce05dc66f}" ma:internalName="TaxCatchAll" ma:showField="CatchAllData" ma:web="e126ea53-4662-4235-a709-fb88537df135">
      <xsd:complexType>
        <xsd:complexContent>
          <xsd:extension base="dms:MultiChoiceLookup">
            <xsd:sequence>
              <xsd:element name="Value" type="dms:Lookup" maxOccurs="unbounded" minOccurs="0" nillable="true"/>
            </xsd:sequence>
          </xsd:extension>
        </xsd:complexContent>
      </xsd:complexType>
    </xsd:element>
    <xsd:element name="TaxCatchAllLabel" ma:index="44" nillable="true" ma:displayName="Catch-all-kolom van taxonomie1" ma:hidden="true" ma:list="{fbf5cb43-e374-4e52-adea-141ce05dc66f}" ma:internalName="TaxCatchAllLabel" ma:readOnly="true" ma:showField="CatchAllDataLabel" ma:web="e126ea53-4662-4235-a709-fb88537df135">
      <xsd:complexType>
        <xsd:complexContent>
          <xsd:extension base="dms:MultiChoiceLookup">
            <xsd:sequence>
              <xsd:element name="Value" type="dms:Lookup" maxOccurs="unbounded" minOccurs="0" nillable="true"/>
            </xsd:sequence>
          </xsd:extension>
        </xsd:complexContent>
      </xsd:complexType>
    </xsd:element>
    <xsd:element name="me0f0aaf77cd4640acf557f58a1d2cc0" ma:index="46" ma:taxonomy="true" ma:internalName="me0f0aaf77cd4640acf557f58a1d2cc0" ma:taxonomyFieldName="DocumentTypen" ma:displayName="DocumentTypen" ma:readOnly="false" ma:default="103;#Formulier|4bc40415-667d-4fea-816d-9688ca6ffa69" ma:fieldId="{6e0f0aaf-77cd-4640-acf5-57f58a1d2cc0}" ma:sspId="0bafc880-4007-42b7-80a0-dc11803b6bcc" ma:termSetId="3cba99df-974b-4bf6-bb98-3d60ec91d299" ma:anchorId="00000000-0000-0000-0000-000000000000" ma:open="false" ma:isKeyword="false">
      <xsd:complexType>
        <xsd:sequence>
          <xsd:element ref="pc:Terms" minOccurs="0" maxOccurs="1"/>
        </xsd:sequence>
      </xsd:complexType>
    </xsd:element>
    <xsd:element name="n407de7a4204433984b2eeeaba786d56" ma:index="47" nillable="true" ma:taxonomy="true" ma:internalName="n407de7a4204433984b2eeeaba786d56" ma:taxonomyFieldName="NZa_x002d_zoekwoorden" ma:displayName="NZa-zoekwoorden" ma:default="" ma:fieldId="{7407de7a-4204-4339-84b2-eeeaba786d56}" ma:taxonomyMulti="true" ma:sspId="0bafc880-4007-42b7-80a0-dc11803b6bcc" ma:termSetId="2ed7b941-494b-4072-8b9b-38151fa45d22"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9" ma:displayName="Inhou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E2274D7-28D3-47DA-BFC5-14C55CF441CB}"/>
</file>

<file path=customXml/itemProps2.xml><?xml version="1.0" encoding="utf-8"?>
<ds:datastoreItem xmlns:ds="http://schemas.openxmlformats.org/officeDocument/2006/customXml" ds:itemID="{44BA2910-DC53-49FA-8F73-DEFB14B6284D}"/>
</file>

<file path=customXml/itemProps3.xml><?xml version="1.0" encoding="utf-8"?>
<ds:datastoreItem xmlns:ds="http://schemas.openxmlformats.org/officeDocument/2006/customXml" ds:itemID="{B63822C9-4BCA-4298-919A-2265C04F887D}"/>
</file>

<file path=customXml/itemProps4.xml><?xml version="1.0" encoding="utf-8"?>
<ds:datastoreItem xmlns:ds="http://schemas.openxmlformats.org/officeDocument/2006/customXml" ds:itemID="{A1C0B00F-D8CC-43CB-901F-F1482946A1C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24</vt:i4>
      </vt:variant>
      <vt:variant>
        <vt:lpstr>Benoemde bereiken</vt:lpstr>
      </vt:variant>
      <vt:variant>
        <vt:i4>29</vt:i4>
      </vt:variant>
    </vt:vector>
  </HeadingPairs>
  <TitlesOfParts>
    <vt:vector size="53" baseType="lpstr">
      <vt:lpstr>Voorblad</vt:lpstr>
      <vt:lpstr>inhoud</vt:lpstr>
      <vt:lpstr>instructie</vt:lpstr>
      <vt:lpstr>1.1  realisatie</vt:lpstr>
      <vt:lpstr>1.3 Diverse aanvaardbare kosten</vt:lpstr>
      <vt:lpstr>1.4 dure geneesmiddelen</vt:lpstr>
      <vt:lpstr>1.5 opnamen, epb, extra opl.</vt:lpstr>
      <vt:lpstr>1.7 specialisten</vt:lpstr>
      <vt:lpstr>2 afschrijv. instandhoud. </vt:lpstr>
      <vt:lpstr>2.3 inventaris </vt:lpstr>
      <vt:lpstr>NZa verwerking</vt:lpstr>
      <vt:lpstr>3 opbrengsten</vt:lpstr>
      <vt:lpstr>4 overzicht mutaties</vt:lpstr>
      <vt:lpstr>Overige mutaties</vt:lpstr>
      <vt:lpstr>5 voorschot verrekenbedrag 2012</vt:lpstr>
      <vt:lpstr>vragen</vt:lpstr>
      <vt:lpstr>beleidsregelwaarden</vt:lpstr>
      <vt:lpstr>rentenormeringsbalans</vt:lpstr>
      <vt:lpstr>toelicht. rentenormeringsbalans</vt:lpstr>
      <vt:lpstr>Overzicht rente</vt:lpstr>
      <vt:lpstr>A-G</vt:lpstr>
      <vt:lpstr>H</vt:lpstr>
      <vt:lpstr>I-J</vt:lpstr>
      <vt:lpstr>versiebeheer</vt:lpstr>
      <vt:lpstr>beleidsregelwaarden!_ftn1</vt:lpstr>
      <vt:lpstr>beleidsregelwaarden!_ftn2</vt:lpstr>
      <vt:lpstr>beleidsregelwaarden!_ftn3</vt:lpstr>
      <vt:lpstr>beleidsregelwaarden!_ftn4</vt:lpstr>
      <vt:lpstr>beleidsregelwaarden!_ftn5</vt:lpstr>
      <vt:lpstr>'1.1  realisatie'!Afdrukbereik</vt:lpstr>
      <vt:lpstr>'1.3 Diverse aanvaardbare kosten'!Afdrukbereik</vt:lpstr>
      <vt:lpstr>'1.4 dure geneesmiddelen'!Afdrukbereik</vt:lpstr>
      <vt:lpstr>'1.5 opnamen, epb, extra opl.'!Afdrukbereik</vt:lpstr>
      <vt:lpstr>'1.7 specialisten'!Afdrukbereik</vt:lpstr>
      <vt:lpstr>'2 afschrijv. instandhoud. '!Afdrukbereik</vt:lpstr>
      <vt:lpstr>'2.3 inventaris '!Afdrukbereik</vt:lpstr>
      <vt:lpstr>'3 opbrengsten'!Afdrukbereik</vt:lpstr>
      <vt:lpstr>'4 overzicht mutaties'!Afdrukbereik</vt:lpstr>
      <vt:lpstr>'A-G'!Afdrukbereik</vt:lpstr>
      <vt:lpstr>beleidsregelwaarden!Afdrukbereik</vt:lpstr>
      <vt:lpstr>H!Afdrukbereik</vt:lpstr>
      <vt:lpstr>'I-J'!Afdrukbereik</vt:lpstr>
      <vt:lpstr>instructie!Afdrukbereik</vt:lpstr>
      <vt:lpstr>'NZa verwerking'!Afdrukbereik</vt:lpstr>
      <vt:lpstr>'Overzicht rente'!Afdrukbereik</vt:lpstr>
      <vt:lpstr>rentenormeringsbalans!Afdrukbereik</vt:lpstr>
      <vt:lpstr>'toelicht. rentenormeringsbalans'!Afdrukbereik</vt:lpstr>
      <vt:lpstr>versiebeheer!Afdrukbereik</vt:lpstr>
      <vt:lpstr>Voorblad!Afdrukbereik</vt:lpstr>
      <vt:lpstr>vragen!Afdrukbereik</vt:lpstr>
      <vt:lpstr>'Overzicht rente'!Afdruktitels</vt:lpstr>
      <vt:lpstr>rentenormeringsbalans!Afdruktitels</vt:lpstr>
      <vt:lpstr>Voorblad!Afdruktitels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Definitieve vaststelling transitiebedrag 2012 (algemene ziekenhuizen, categorie 010)</dc:title>
  <dc:creator>Admin95</dc:creator>
  <cp:lastModifiedBy>Griek, Esther</cp:lastModifiedBy>
  <cp:lastPrinted>2014-03-04T08:33:42Z</cp:lastPrinted>
  <dcterms:created xsi:type="dcterms:W3CDTF">2000-02-23T15:17:24Z</dcterms:created>
  <dcterms:modified xsi:type="dcterms:W3CDTF">2014-06-02T11:49:20Z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ector(en)">
    <vt:lpwstr>134;#Ziekenhuiszorg|1a957709-959b-40c0-9640-61f1bd5d07a0</vt:lpwstr>
  </property>
  <property fmtid="{D5CDD505-2E9C-101B-9397-08002B2CF9AE}" pid="3" name="Extra zoekwoorden">
    <vt:lpwstr/>
  </property>
  <property fmtid="{D5CDD505-2E9C-101B-9397-08002B2CF9AE}" pid="4" name="ContentTypeId">
    <vt:lpwstr>0x010100B6451C8D6A13DD45B391E9C3BB9525E5010060EC15E99145D14EAEBC6EA0A3BA6CCE</vt:lpwstr>
  </property>
  <property fmtid="{D5CDD505-2E9C-101B-9397-08002B2CF9AE}" pid="5" name="NZa-zoekwoorden">
    <vt:lpwstr/>
  </property>
  <property fmtid="{D5CDD505-2E9C-101B-9397-08002B2CF9AE}" pid="6" name="DocumentTypen">
    <vt:lpwstr>103;#Formulier|4bc40415-667d-4fea-816d-9688ca6ffa69</vt:lpwstr>
  </property>
  <property fmtid="{D5CDD505-2E9C-101B-9397-08002B2CF9AE}" pid="7" name="ff74c6b610ef44f49114c43de1676156">
    <vt:lpwstr/>
  </property>
  <property fmtid="{D5CDD505-2E9C-101B-9397-08002B2CF9AE}" pid="8" name="_dlc_DocIdItemGuid">
    <vt:lpwstr>7577db25-c1e4-4920-9552-2b33e1999662</vt:lpwstr>
  </property>
  <property fmtid="{D5CDD505-2E9C-101B-9397-08002B2CF9AE}" pid="9" name="DocumentType">
    <vt:lpwstr/>
  </property>
  <property fmtid="{D5CDD505-2E9C-101B-9397-08002B2CF9AE}" pid="10" name="WorkflowChangePath">
    <vt:lpwstr>5dd26274-7450-4d13-b077-7382865cccce,5;5dd26274-7450-4d13-b077-7382865cccce,5;5dd26274-7450-4d13-b077-7382865cccce,5;5dd26274-7450-4d13-b077-7382865cccce,5;5dd26274-7450-4d13-b077-7382865cccce,5;5dd26274-7450-4d13-b077-7382865cccce,10;5dd26274-7450-4d13-b077-7382865cccce,10;5dd26274-7450-4d13-b077-7382865cccce,10;5dd26274-7450-4d13-b077-7382865cccce,10;5dd26274-7450-4d13-b077-7382865cccce,10;5dd26274-7450-4d13-b077-7382865cccce,16;5dd26274-7450-4d13-b077-7382865cccce,16;5dd26274-7450-4d13-b077-7382865cccce,16;5dd26274-7450-4d13-b077-7382865cccce,16;5dd26274-7450-4d13-b077-7382865cccce,16;</vt:lpwstr>
  </property>
</Properties>
</file>