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940" windowHeight="12750" activeTab="0"/>
  </bookViews>
  <sheets>
    <sheet name="Berekening" sheetId="1" r:id="rId1"/>
    <sheet name="Uitgangspunten" sheetId="2" r:id="rId2"/>
    <sheet name="Restpost uren &amp; nachtopvang" sheetId="3" r:id="rId3"/>
    <sheet name="Toelichting bij het invullen" sheetId="4" r:id="rId4"/>
    <sheet name="Versiebeheer" sheetId="5" r:id="rId5"/>
  </sheets>
  <definedNames>
    <definedName name="_xlnm.Print_Area" localSheetId="0">'Berekening'!$A$3:$J$114</definedName>
    <definedName name="_xlnm.Print_Area" localSheetId="2">'Restpost uren &amp; nachtopvang'!$A$1:$L$55</definedName>
    <definedName name="_xlnm.Print_Area" localSheetId="3">'Toelichting bij het invullen'!$A$1:$K$92</definedName>
    <definedName name="_xlnm.Print_Area" localSheetId="1">'Uitgangspunten'!$A$1:$I$26</definedName>
    <definedName name="_xlnm.Print_Area" localSheetId="4">'Versiebeheer'!$A$1:$K$55</definedName>
  </definedNames>
  <calcPr fullCalcOnLoad="1"/>
</workbook>
</file>

<file path=xl/sharedStrings.xml><?xml version="1.0" encoding="utf-8"?>
<sst xmlns="http://schemas.openxmlformats.org/spreadsheetml/2006/main" count="311" uniqueCount="223">
  <si>
    <t>Gedragswetenschapper</t>
  </si>
  <si>
    <t>psychiater</t>
  </si>
  <si>
    <t>Overige msw/paramed.</t>
  </si>
  <si>
    <t>Dagbesteding</t>
  </si>
  <si>
    <t>Woondienst</t>
  </si>
  <si>
    <t>van</t>
  </si>
  <si>
    <t>tot</t>
  </si>
  <si>
    <t>op</t>
  </si>
  <si>
    <t>aantal uren</t>
  </si>
  <si>
    <t>maandag t/m vrijdag</t>
  </si>
  <si>
    <t>(bv 1 op 1;  2 op 1; 0,5 op 1)</t>
  </si>
  <si>
    <t>aantal pers.leden per cliënt</t>
  </si>
  <si>
    <t>Zaterdag &amp; Zondag</t>
  </si>
  <si>
    <t>maandag</t>
  </si>
  <si>
    <t>dinsdag</t>
  </si>
  <si>
    <t>woensdag</t>
  </si>
  <si>
    <t>donderdag</t>
  </si>
  <si>
    <t>vrijdag</t>
  </si>
  <si>
    <t>zaterdag</t>
  </si>
  <si>
    <t>zondag</t>
  </si>
  <si>
    <t>periode 1</t>
  </si>
  <si>
    <t>periode 2</t>
  </si>
  <si>
    <t>periode 3</t>
  </si>
  <si>
    <t>Totaal uren per week</t>
  </si>
  <si>
    <t>(betreft afwijkingen van bovengenoemd rooster)</t>
  </si>
  <si>
    <t>Arts</t>
  </si>
  <si>
    <t>Cliënturen</t>
  </si>
  <si>
    <t>formatie-uren</t>
  </si>
  <si>
    <t>schaal</t>
  </si>
  <si>
    <t xml:space="preserve"> aantal uren</t>
  </si>
  <si>
    <t>uren per week</t>
  </si>
  <si>
    <t>Omschrijving</t>
  </si>
  <si>
    <t>Pagina 1</t>
  </si>
  <si>
    <t>Naam cliënt:</t>
  </si>
  <si>
    <t>Dag</t>
  </si>
  <si>
    <t>Totaal</t>
  </si>
  <si>
    <t>MSW &amp; (para)medisch personeel</t>
  </si>
  <si>
    <t>Pagina 3</t>
  </si>
  <si>
    <t>Subtotaal ma t/m vr (per dag)</t>
  </si>
  <si>
    <t>subtotaal za &amp; zo (per dag)</t>
  </si>
  <si>
    <t>periode 4</t>
  </si>
  <si>
    <t>periode 5</t>
  </si>
  <si>
    <t>periode 6</t>
  </si>
  <si>
    <t xml:space="preserve">Toelichting bij het invullen van het berekeningenformulier  </t>
  </si>
  <si>
    <t>Pagina 4</t>
  </si>
  <si>
    <t xml:space="preserve">Voor de woondienst is de week verdeeld in 2 blokken: het weekeind en de doordeweekse dagen. Per blok zijn </t>
  </si>
  <si>
    <t>moment ingezet wordt vermeld te worden. Deze personeelsinzet wordt uitgedrukt in "aantal personeelsleden</t>
  </si>
  <si>
    <t xml:space="preserve">er 6 periodes gedefinieerd waarbinnen de client de zorg ontvangt. De uren van de zorgverlening in de </t>
  </si>
  <si>
    <t>van 15 minuten te werken. Een begintijd van 0:00 én een periode waarbinnen het tijdstip 0:00 voorkomt geeft</t>
  </si>
  <si>
    <t xml:space="preserve">Uren </t>
  </si>
  <si>
    <t>Restpost uren per week *)</t>
  </si>
  <si>
    <t xml:space="preserve">uren </t>
  </si>
  <si>
    <t>Nza registratienummer</t>
  </si>
  <si>
    <t>Totaal uren</t>
  </si>
  <si>
    <t>Uren per week</t>
  </si>
  <si>
    <t>SGLVG</t>
  </si>
  <si>
    <t>ob</t>
  </si>
  <si>
    <t>pv</t>
  </si>
  <si>
    <t>vp</t>
  </si>
  <si>
    <t>ab</t>
  </si>
  <si>
    <t>bh</t>
  </si>
  <si>
    <t>Woonzorg</t>
  </si>
  <si>
    <t>VG 7</t>
  </si>
  <si>
    <t>LG 7</t>
  </si>
  <si>
    <t>ZG 3 aud</t>
  </si>
  <si>
    <t>ZG 5 vis</t>
  </si>
  <si>
    <t>LVG 4</t>
  </si>
  <si>
    <t>Functie</t>
  </si>
  <si>
    <t>Subtotaal woonzorg</t>
  </si>
  <si>
    <t>Subtotaal dagbesteding</t>
  </si>
  <si>
    <t>Behandeling</t>
  </si>
  <si>
    <t>verschil</t>
  </si>
  <si>
    <t>Subtotaal behandeling</t>
  </si>
  <si>
    <t>De dagbesteding kan ingevuld worden in het hiervoor bestemde blok. In tegenstelling tot de woondienst is er</t>
  </si>
  <si>
    <t>echter maar 1 periode per dag beschikbaar om in te vullen. Mocht het voorkomen dat een cliënt in de ochtend</t>
  </si>
  <si>
    <t>en in de middag dagbesteding krijgt, en voor de tussenliggend periode weer door de woondienst begeleid wordt,</t>
  </si>
  <si>
    <t>dan kunnen de totale uren per dag ingevuld worden als ware er sprake van een aaneengesloten periode.</t>
  </si>
  <si>
    <t xml:space="preserve">In het blok 'BEHANDELING' kan de inzet van de medisch sociaal wetenschappelijke staf en het  </t>
  </si>
  <si>
    <t>(para)medisch hulppersoneel opgegeven worden. Indien een specefieke behandelaar niet vermeld staat</t>
  </si>
  <si>
    <t>Algemeen:</t>
  </si>
  <si>
    <t>problemen bij de invoer. Mocht dit voorkomen dan dient u een andere begin- en eindtijd te kiezen, waarbij de</t>
  </si>
  <si>
    <t>tijdspanne van deze periode overigens niet wijzigt, zodat de foutmelding niet meer voorkomt.</t>
  </si>
  <si>
    <t>Woondienst:</t>
  </si>
  <si>
    <t xml:space="preserve">Waar mogelijk wordt gewerkt met een pull-down menu voor het invoeren van gegevens. Waar dit niet mogelijk is </t>
  </si>
  <si>
    <t>Berekening totaal uren zorg</t>
  </si>
  <si>
    <t>Alle in te vullen gegevens staan in een blauw gekleurde cel.</t>
  </si>
  <si>
    <t xml:space="preserve">Bij het invullen van de periode's mogen de uren van elke periode geen overlap vertonen met de andere periode's. </t>
  </si>
  <si>
    <t>Dagbesteding:</t>
  </si>
  <si>
    <t>Behandeling:</t>
  </si>
  <si>
    <t>Voor zover er gevraagd wordt om de begin- en eindtijden van de zorgverlening in te vullen dient u gebruik te</t>
  </si>
  <si>
    <t>maken van het pull-down menu wat aan de betreffende invoercel verbonden is. Gekozen is om met blokken</t>
  </si>
  <si>
    <r>
      <t xml:space="preserve">woondienst mogen </t>
    </r>
    <r>
      <rPr>
        <u val="single"/>
        <sz val="10"/>
        <rFont val="Arial"/>
        <family val="2"/>
      </rPr>
      <t>niet</t>
    </r>
    <r>
      <rPr>
        <sz val="10"/>
        <rFont val="Arial"/>
        <family val="0"/>
      </rPr>
      <t xml:space="preserve"> samenvallen met de uren van de andere periode's binnen de woondienst of de uren </t>
    </r>
  </si>
  <si>
    <t xml:space="preserve">waarin een cliënt dagbesteding ontvangt. In deze 6 periodes kan het reguliere schema ingevuld worden. </t>
  </si>
  <si>
    <t>Toelichting op de berekening restpost uren:</t>
  </si>
  <si>
    <t>(uren slaap/waakdienst, restpost uren per week en de uren in het blok 'Behandeling') moeten de uren ingevuld</t>
  </si>
  <si>
    <t>worden in het het formaat uu:mm (bv: 1 uur = 1:00).</t>
  </si>
  <si>
    <t xml:space="preserve">Ook is het niet toegestaan dat er een overlap is tussen de uren woondienst en dagbesteding. </t>
  </si>
  <si>
    <t>Onderverdeling in functies</t>
  </si>
  <si>
    <t>Ondersteunende begeleiding</t>
  </si>
  <si>
    <t>Persoonlijke verzorging</t>
  </si>
  <si>
    <t>Totaal uren per week woondienst</t>
  </si>
  <si>
    <t>Totaal uren per week dagbesteding</t>
  </si>
  <si>
    <t>per functie</t>
  </si>
  <si>
    <t>totaal</t>
  </si>
  <si>
    <t>Activerende begeleiding</t>
  </si>
  <si>
    <t xml:space="preserve">Het totaal aantal uren directe zorgverlening dient uitgesplitst te worden naar 4 functies. Het berekende </t>
  </si>
  <si>
    <t xml:space="preserve">Het totaal aantal uren directe zorgverlening dient uitgesplitst te worden naar 2 functies. Het berekende </t>
  </si>
  <si>
    <t>Totaal bedrag zorgverlening</t>
  </si>
  <si>
    <t>Drempelbedrag</t>
  </si>
  <si>
    <t>Drempel</t>
  </si>
  <si>
    <t>Werkelijke uren p/w</t>
  </si>
  <si>
    <t>-</t>
  </si>
  <si>
    <t>Allereerst moet de naam van de cliënt en het Nza-nummer waaronder de instelling bekend staat</t>
  </si>
  <si>
    <t>ZZP max:</t>
  </si>
  <si>
    <t>VG 5</t>
  </si>
  <si>
    <t>Totaal uren directe woondienst per week</t>
  </si>
  <si>
    <t>Totaal uren dagbesteding per week</t>
  </si>
  <si>
    <t>Totaal uren msw &amp; (para)medisch personeel (betreft uren behandeling)</t>
  </si>
  <si>
    <t>Eigen score</t>
  </si>
  <si>
    <t>CIZ-indicatie</t>
  </si>
  <si>
    <t>Verpleging</t>
  </si>
  <si>
    <t>ingevuld worden. Daarnaast wordt gevraagd naar de opnamedatum in de instelling, de datum waarop de zorg</t>
  </si>
  <si>
    <t>conform het sjabloon daadwerkelijk is begonnen en de datum waarop de geldigheid van de CCE-verklaring afloopt.</t>
  </si>
  <si>
    <t>Ook moet aangegeven worden of de cliënt over een CIZ-indicatie beschikt, of dat de ZZP door de zorgaanbieder</t>
  </si>
  <si>
    <t>LVG 5</t>
  </si>
  <si>
    <t>blok worden opgegeven worden toegerekend aan de functie behandeling.</t>
  </si>
  <si>
    <t>kunt u de inzet onderbrengen in een andere categorie met dezelfde functieschaal. Alle uren die in dit</t>
  </si>
  <si>
    <t>Toelichting op de berekening uren nachtopvang:</t>
  </si>
  <si>
    <t>Uren nachtopvang</t>
  </si>
  <si>
    <t>Uitgangspunten</t>
  </si>
  <si>
    <t>ZZP</t>
  </si>
  <si>
    <t>Uren per functie</t>
  </si>
  <si>
    <t>Drempel-berekening</t>
  </si>
  <si>
    <t>Naam Cliënt</t>
  </si>
  <si>
    <t>Nza-registratienummer</t>
  </si>
  <si>
    <t>Uitsplising totaal aantal uren tbv de drempelberekening naar AWBZ-functies</t>
  </si>
  <si>
    <t>In te calculeren toeslag extreme zorgzwaarte</t>
  </si>
  <si>
    <t>Berekening drempelbedrag &amp; in te calculeren toeslag extreme zorgzwaarte</t>
  </si>
  <si>
    <t>ZZP-prijs</t>
  </si>
  <si>
    <t>Pagina 2</t>
  </si>
  <si>
    <t>behandeling. Uren die gerelateerd zijn aan bv dienstoverdracht, schrijven van rapportages, scholing of andere</t>
  </si>
  <si>
    <t xml:space="preserve">De basis voor de berekeningen is gelegen in de opgave van de directe uren voor de woondienst, dagbesteding en </t>
  </si>
  <si>
    <t xml:space="preserve">indirecte uren mogen derhalve niet worden opgegeven. </t>
  </si>
  <si>
    <t>Naast de periode waarin de zorg verleend wordt dient ook het aantal personeelsleden dat op dat betreffende</t>
  </si>
  <si>
    <t>per cliënt".  Als voorbeeld: 1 personeelslid op 1 cliënt of 2 personeelsleden op 1 cliënt. Indien er 3 cliënten</t>
  </si>
  <si>
    <t>tegelijk geholpen worden door 1 personeelslid dient er 0,33 personeelslid op 1 cliënt ingevuld te worden.</t>
  </si>
  <si>
    <t>regel "Restpost uren per week". Deze restpost dient separaat toegelicht te worden.</t>
  </si>
  <si>
    <t xml:space="preserve">Totale opgave </t>
  </si>
  <si>
    <t>Toeslag-berekening</t>
  </si>
  <si>
    <t>Uren in ZZP</t>
  </si>
  <si>
    <t>Pagina 5</t>
  </si>
  <si>
    <r>
      <t xml:space="preserve">Komt </t>
    </r>
    <r>
      <rPr>
        <b/>
        <sz val="10"/>
        <color indexed="10"/>
        <rFont val="Arial"/>
        <family val="2"/>
      </rPr>
      <t>mogelijk</t>
    </r>
    <r>
      <rPr>
        <b/>
        <sz val="10"/>
        <rFont val="Arial"/>
        <family val="2"/>
      </rPr>
      <t xml:space="preserve"> in aanmerking voor toeslag extreme zorgzwaarte ?</t>
    </r>
  </si>
  <si>
    <t>LG 5</t>
  </si>
  <si>
    <t>Mogelijke Nza-categorieën:</t>
  </si>
  <si>
    <t xml:space="preserve">Geindiceerde ZZP: </t>
  </si>
  <si>
    <t>Mogelijke toeslagen</t>
  </si>
  <si>
    <t>Tijdelijke toeslag tracheostomale beademing</t>
  </si>
  <si>
    <t>Toeslag gespecialiseerde epilepsiezorg</t>
  </si>
  <si>
    <t>Ademhaling</t>
  </si>
  <si>
    <t>Epilepsie</t>
  </si>
  <si>
    <t>Epilepsie midden</t>
  </si>
  <si>
    <t>Epilepsie hoog</t>
  </si>
  <si>
    <t>bedrag</t>
  </si>
  <si>
    <t>VG 8</t>
  </si>
  <si>
    <t>Aftrek toegekende toeslagen</t>
  </si>
  <si>
    <t>In te calculeren toeslag extreme zorgzwaarte obv uren meerzorg tov ingecalculeerde ZZP</t>
  </si>
  <si>
    <t>Berekening totaal ingecalculeerde toeslagen</t>
  </si>
  <si>
    <t>Keuze</t>
  </si>
  <si>
    <t>Toeslag</t>
  </si>
  <si>
    <t>Sjabloon berekening toeslag extreme zorgzwaarte 2011</t>
  </si>
  <si>
    <t>Behoort bij budgetformulier 2011   (GHZ, V&amp;V, GGZ)</t>
  </si>
  <si>
    <t>ZZP-prijs p/d</t>
  </si>
  <si>
    <t>(pp def 2010)</t>
  </si>
  <si>
    <t xml:space="preserve">    uurtarief </t>
  </si>
  <si>
    <t>Versie:</t>
  </si>
  <si>
    <t>Datum:</t>
  </si>
  <si>
    <t>Uurtarief AWBZ pp def. 2010</t>
  </si>
  <si>
    <t>Uurtarief incl. korting overhead</t>
  </si>
  <si>
    <t>Kind</t>
  </si>
  <si>
    <t>Jeugd</t>
  </si>
  <si>
    <t>Jong volwassene</t>
  </si>
  <si>
    <t>Toeslag Woonzorg GHZ</t>
  </si>
  <si>
    <t>Woonzorg K/J</t>
  </si>
  <si>
    <t xml:space="preserve">volledige beleidsregel </t>
  </si>
  <si>
    <t>42 % korting</t>
  </si>
  <si>
    <t>100 % korting</t>
  </si>
  <si>
    <t>kind/jeugd</t>
  </si>
  <si>
    <t>epilepsie</t>
  </si>
  <si>
    <t>Invas. ademh.</t>
  </si>
  <si>
    <t>Br 2011</t>
  </si>
  <si>
    <t>Ex voorl. Index 2011</t>
  </si>
  <si>
    <t>Pagina 6</t>
  </si>
  <si>
    <t>Versie</t>
  </si>
  <si>
    <t>Omschrijving wijzigingen</t>
  </si>
  <si>
    <t xml:space="preserve">Controle op opgave functie-uren </t>
  </si>
  <si>
    <t>Betreft de opgegeven ZZP een indicatie door het CIZ of een eigen score ?</t>
  </si>
  <si>
    <t>Bijbehorende CCE-verklaring geldig tot:</t>
  </si>
  <si>
    <r>
      <t>Beoogde</t>
    </r>
    <r>
      <rPr>
        <sz val="10"/>
        <rFont val="Arial"/>
        <family val="0"/>
      </rPr>
      <t xml:space="preserve"> datum ingang zorgverlening cf </t>
    </r>
    <r>
      <rPr>
        <b/>
        <sz val="10"/>
        <color indexed="10"/>
        <rFont val="Arial"/>
        <family val="2"/>
      </rPr>
      <t>ONDERSTAAND</t>
    </r>
    <r>
      <rPr>
        <sz val="10"/>
        <rFont val="Arial"/>
        <family val="0"/>
      </rPr>
      <t xml:space="preserve"> Nza-sjabloon:</t>
    </r>
  </si>
  <si>
    <t>Datum opname cliënt in instelling:</t>
  </si>
  <si>
    <t>Incidentele afwijkingen ten opzicht van het reguliere schema kunnen kunnen ingevuld worden (op weekbasis) op de</t>
  </si>
  <si>
    <t>De uren die verband houden met eventuele nachtopvang dienen bij voorkeur niet in de opgave van de periodes</t>
  </si>
  <si>
    <t xml:space="preserve">opgenomen te worden. De totale uren per nacht moeten ingevuld worden in de regel nachtopvang. </t>
  </si>
  <si>
    <t>aantal uren dient gelijk te zijn aan de opgegeven aantal uren. Het formulier controleert hierop en geeft</t>
  </si>
  <si>
    <t>een foutmelding bij een afwijking van meer dan 1 minuut.</t>
  </si>
  <si>
    <t>aantal uren dient gelijk te zijn aan het opgegeven aantal uren. Het formulier controleert hierop en geeft</t>
  </si>
  <si>
    <t>foutmelding als één van de betreffende velden niet ingevuld is.</t>
  </si>
  <si>
    <t>Aantal dagen</t>
  </si>
  <si>
    <t>Controle op invullen:</t>
  </si>
  <si>
    <t>Iets ingevuld:</t>
  </si>
  <si>
    <t>zelf gescoord is. Het formulier controleert op een volledige invoer van de algemene gegevens en geeft een</t>
  </si>
  <si>
    <t>Indien voor de betreffende cliënt één van de ZZP-toeslagen ademhalingsondersteuning, woonzorg kind/jeugd of</t>
  </si>
  <si>
    <t xml:space="preserve">In dit blok wordt de toeslag extreme zorgzwaarte berekend. Eventuele foutmeldingen dienen opgelost te </t>
  </si>
  <si>
    <t xml:space="preserve">worden voordat het sjabloon een (mogelijke) toeslag berekend.  </t>
  </si>
  <si>
    <t>epilepsie wordt afgesproken moeten deze gegevens in het daarvoor bestemde blok worden opgegeven. In de kolom</t>
  </si>
  <si>
    <t xml:space="preserve">"Keuze" kunt u via een pull-down menu aangeven welke (deel)categorie voor deze cliënt van toepassing is. In de </t>
  </si>
  <si>
    <t>kolom ernaast kunt u dan aangeven hoeveel toeslagen (dagen) er voor deze cliënt afgesproken zijn.</t>
  </si>
  <si>
    <t>Controle op het invullen van de toelichting op de aangevraagde uren nachtopvang/restpost uren.</t>
  </si>
  <si>
    <t>Controle op het gelijk zijn van het aantal uren zorg en onderverdeling ervan naar de diverse AWBZ-functies.</t>
  </si>
  <si>
    <t>Controle op volledige invoer algemene gegevens.</t>
  </si>
  <si>
    <t>Invoer 300-nummers mogelijk gemaakt.</t>
  </si>
  <si>
    <t>Basisversie Nza-sjabloon extreme zorgzwaarte 2011.</t>
  </si>
  <si>
    <t>bhkxghfgj</t>
  </si>
  <si>
    <t>Enkele formules beveiligd tegen ongewenste aanpassingen.</t>
  </si>
</sst>
</file>

<file path=xl/styles.xml><?xml version="1.0" encoding="utf-8"?>
<styleSheet xmlns="http://schemas.openxmlformats.org/spreadsheetml/2006/main">
  <numFmts count="4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_-* #,##0.0\-;_-* &quot;-&quot;??_-;_-@_-"/>
    <numFmt numFmtId="173" formatCode="_-* #,##0_-;_-* #,##0\-;_-* &quot;-&quot;??_-;_-@_-"/>
    <numFmt numFmtId="174" formatCode="_-* #,##0.000_-;_-* #,##0.000\-;_-* &quot;-&quot;??_-;_-@_-"/>
    <numFmt numFmtId="175" formatCode="_-* #,##0.0000_-;_-* #,##0.0000\-;_-* &quot;-&quot;??_-;_-@_-"/>
    <numFmt numFmtId="176" formatCode="h:mm;@"/>
    <numFmt numFmtId="177" formatCode="[$-413]dddd\ d\ mmmm\ yyyy"/>
    <numFmt numFmtId="178" formatCode="[h]:mm:ss;@"/>
    <numFmt numFmtId="179" formatCode="[h]:mm;@"/>
    <numFmt numFmtId="180" formatCode="#,##0.0"/>
    <numFmt numFmtId="181" formatCode="0.0%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-[$€-2]\ * #,##0.00_-;_-[$€-2]\ * #,##0.00\-;_-[$€-2]\ * &quot;-&quot;??_-"/>
    <numFmt numFmtId="190" formatCode="0.000000000"/>
    <numFmt numFmtId="191" formatCode="0.0000000000"/>
    <numFmt numFmtId="192" formatCode="_-&quot;€&quot;\ * #,##0.0_-;_-&quot;€&quot;\ * #,##0.0\-;_-&quot;€&quot;\ * &quot;-&quot;??_-;_-@_-"/>
    <numFmt numFmtId="193" formatCode="_-&quot;€&quot;\ * #,##0_-;_-&quot;€&quot;\ * #,##0\-;_-&quot;€&quot;\ * &quot;-&quot;??_-;_-@_-"/>
    <numFmt numFmtId="194" formatCode="_-[$€-2]\ * #,##0.00_-;_-[$€-2]\ * #,##0.00\-;_-[$€-2]\ * &quot;-&quot;??_-;_-@_-"/>
    <numFmt numFmtId="195" formatCode="_-[$€-2]\ * #,##0.0_-;_-[$€-2]\ * #,##0.0\-;_-[$€-2]\ * &quot;-&quot;??_-"/>
    <numFmt numFmtId="196" formatCode="_-&quot;€&quot;\ * #,##0.000_-;_-&quot;€&quot;\ * #,##0.000\-;_-&quot;€&quot;\ * &quot;-&quot;??_-;_-@_-"/>
    <numFmt numFmtId="197" formatCode="_-&quot;€&quot;\ * #,##0.0000_-;_-&quot;€&quot;\ * #,##0.0000\-;_-&quot;€&quot;\ * &quot;-&quot;??_-;_-@_-"/>
    <numFmt numFmtId="198" formatCode="d/mm/yy;@"/>
    <numFmt numFmtId="199" formatCode="_-&quot;€&quot;\ * #,##0.00_-;_-&quot;€&quot;\ * #,##0.00\-;_-&quot;€&quot;\ * &quot;-&quot;????_-;_-@_-"/>
    <numFmt numFmtId="200" formatCode="[$-413]d/mmm/yyyy;@"/>
    <numFmt numFmtId="201" formatCode="dd/mm/yy;@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176" fontId="0" fillId="2" borderId="3" xfId="0" applyNumberFormat="1" applyFill="1" applyBorder="1" applyAlignment="1" applyProtection="1">
      <alignment/>
      <protection locked="0"/>
    </xf>
    <xf numFmtId="176" fontId="0" fillId="2" borderId="4" xfId="0" applyNumberForma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176" fontId="0" fillId="2" borderId="6" xfId="0" applyNumberFormat="1" applyFill="1" applyBorder="1" applyAlignment="1" applyProtection="1">
      <alignment/>
      <protection locked="0"/>
    </xf>
    <xf numFmtId="20" fontId="0" fillId="2" borderId="7" xfId="0" applyNumberForma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176" fontId="0" fillId="2" borderId="7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76" fontId="0" fillId="2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9" fontId="0" fillId="2" borderId="11" xfId="0" applyNumberFormat="1" applyFill="1" applyBorder="1" applyAlignment="1" applyProtection="1">
      <alignment/>
      <protection locked="0"/>
    </xf>
    <xf numFmtId="179" fontId="0" fillId="2" borderId="12" xfId="0" applyNumberFormat="1" applyFill="1" applyBorder="1" applyAlignment="1" applyProtection="1">
      <alignment/>
      <protection locked="0"/>
    </xf>
    <xf numFmtId="179" fontId="0" fillId="2" borderId="13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43" fontId="0" fillId="0" borderId="16" xfId="17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3" fontId="0" fillId="0" borderId="16" xfId="17" applyBorder="1" applyAlignment="1" applyProtection="1">
      <alignment/>
      <protection/>
    </xf>
    <xf numFmtId="43" fontId="0" fillId="0" borderId="18" xfId="17" applyBorder="1" applyAlignment="1" applyProtection="1">
      <alignment/>
      <protection/>
    </xf>
    <xf numFmtId="43" fontId="0" fillId="0" borderId="17" xfId="17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43" fontId="0" fillId="0" borderId="21" xfId="17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179" fontId="0" fillId="0" borderId="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7" xfId="0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0" fontId="0" fillId="0" borderId="23" xfId="0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/>
    </xf>
    <xf numFmtId="179" fontId="0" fillId="0" borderId="25" xfId="0" applyNumberFormat="1" applyBorder="1" applyAlignment="1" applyProtection="1">
      <alignment/>
      <protection/>
    </xf>
    <xf numFmtId="179" fontId="0" fillId="0" borderId="24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27" xfId="0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179" fontId="0" fillId="0" borderId="27" xfId="0" applyNumberFormat="1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9" fontId="0" fillId="0" borderId="4" xfId="0" applyNumberFormat="1" applyBorder="1" applyAlignment="1" applyProtection="1" quotePrefix="1">
      <alignment/>
      <protection/>
    </xf>
    <xf numFmtId="179" fontId="0" fillId="0" borderId="0" xfId="0" applyNumberFormat="1" applyAlignment="1" applyProtection="1">
      <alignment/>
      <protection/>
    </xf>
    <xf numFmtId="189" fontId="2" fillId="0" borderId="0" xfId="0" applyNumberFormat="1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3" fontId="0" fillId="0" borderId="16" xfId="17" applyBorder="1" applyAlignment="1" applyProtection="1">
      <alignment horizontal="left"/>
      <protection/>
    </xf>
    <xf numFmtId="0" fontId="0" fillId="0" borderId="1" xfId="0" applyBorder="1" applyAlignment="1" applyProtection="1">
      <alignment vertical="top"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29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79" fontId="2" fillId="0" borderId="0" xfId="0" applyNumberFormat="1" applyFont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3" fontId="0" fillId="0" borderId="0" xfId="17" applyAlignment="1" applyProtection="1">
      <alignment/>
      <protection/>
    </xf>
    <xf numFmtId="43" fontId="0" fillId="0" borderId="29" xfId="17" applyFont="1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/>
      <protection/>
    </xf>
    <xf numFmtId="43" fontId="0" fillId="0" borderId="30" xfId="17" applyBorder="1" applyAlignment="1" applyProtection="1">
      <alignment horizontal="right" vertical="top"/>
      <protection/>
    </xf>
    <xf numFmtId="0" fontId="0" fillId="0" borderId="14" xfId="0" applyBorder="1" applyAlignment="1" applyProtection="1">
      <alignment vertical="top" wrapText="1"/>
      <protection/>
    </xf>
    <xf numFmtId="43" fontId="0" fillId="0" borderId="14" xfId="17" applyBorder="1" applyAlignment="1" applyProtection="1">
      <alignment horizontal="right" vertical="top"/>
      <protection/>
    </xf>
    <xf numFmtId="173" fontId="0" fillId="0" borderId="8" xfId="17" applyNumberFormat="1" applyFont="1" applyBorder="1" applyAlignment="1" applyProtection="1">
      <alignment horizontal="center"/>
      <protection/>
    </xf>
    <xf numFmtId="43" fontId="0" fillId="0" borderId="7" xfId="17" applyNumberFormat="1" applyFont="1" applyBorder="1" applyAlignment="1" applyProtection="1">
      <alignment/>
      <protection/>
    </xf>
    <xf numFmtId="173" fontId="0" fillId="0" borderId="0" xfId="17" applyNumberFormat="1" applyBorder="1" applyAlignment="1" applyProtection="1">
      <alignment/>
      <protection/>
    </xf>
    <xf numFmtId="173" fontId="0" fillId="0" borderId="1" xfId="17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43" fontId="0" fillId="0" borderId="20" xfId="17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3" fontId="0" fillId="0" borderId="0" xfId="17" applyBorder="1" applyAlignment="1" applyProtection="1">
      <alignment horizontal="right"/>
      <protection/>
    </xf>
    <xf numFmtId="173" fontId="2" fillId="0" borderId="0" xfId="0" applyNumberFormat="1" applyFont="1" applyBorder="1" applyAlignment="1" applyProtection="1">
      <alignment/>
      <protection/>
    </xf>
    <xf numFmtId="9" fontId="0" fillId="0" borderId="15" xfId="0" applyNumberFormat="1" applyBorder="1" applyAlignment="1" applyProtection="1">
      <alignment horizontal="left"/>
      <protection/>
    </xf>
    <xf numFmtId="43" fontId="0" fillId="0" borderId="15" xfId="17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9" fontId="0" fillId="0" borderId="0" xfId="0" applyNumberFormat="1" applyBorder="1" applyAlignment="1" applyProtection="1">
      <alignment horizontal="left"/>
      <protection/>
    </xf>
    <xf numFmtId="43" fontId="0" fillId="0" borderId="0" xfId="17" applyFont="1" applyBorder="1" applyAlignment="1" applyProtection="1">
      <alignment horizontal="right"/>
      <protection/>
    </xf>
    <xf numFmtId="43" fontId="0" fillId="0" borderId="0" xfId="17" applyAlignment="1" applyProtection="1">
      <alignment horizontal="right"/>
      <protection/>
    </xf>
    <xf numFmtId="2" fontId="0" fillId="0" borderId="12" xfId="0" applyNumberFormat="1" applyFill="1" applyBorder="1" applyAlignment="1" applyProtection="1">
      <alignment/>
      <protection/>
    </xf>
    <xf numFmtId="44" fontId="0" fillId="0" borderId="0" xfId="20" applyBorder="1" applyAlignment="1" applyProtection="1">
      <alignment/>
      <protection/>
    </xf>
    <xf numFmtId="193" fontId="0" fillId="0" borderId="12" xfId="2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2" fontId="0" fillId="0" borderId="31" xfId="0" applyNumberFormat="1" applyFill="1" applyBorder="1" applyAlignment="1" applyProtection="1">
      <alignment/>
      <protection/>
    </xf>
    <xf numFmtId="44" fontId="0" fillId="0" borderId="2" xfId="20" applyBorder="1" applyAlignment="1" applyProtection="1">
      <alignment/>
      <protection/>
    </xf>
    <xf numFmtId="193" fontId="0" fillId="0" borderId="31" xfId="2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79" fontId="0" fillId="0" borderId="15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189" fontId="2" fillId="0" borderId="0" xfId="0" applyNumberFormat="1" applyFont="1" applyBorder="1" applyAlignment="1" applyProtection="1">
      <alignment/>
      <protection/>
    </xf>
    <xf numFmtId="189" fontId="0" fillId="0" borderId="0" xfId="0" applyNumberFormat="1" applyFont="1" applyBorder="1" applyAlignment="1" applyProtection="1">
      <alignment/>
      <protection/>
    </xf>
    <xf numFmtId="189" fontId="0" fillId="0" borderId="8" xfId="0" applyNumberFormat="1" applyFont="1" applyBorder="1" applyAlignment="1" applyProtection="1">
      <alignment/>
      <protection/>
    </xf>
    <xf numFmtId="189" fontId="0" fillId="0" borderId="26" xfId="0" applyNumberFormat="1" applyFont="1" applyBorder="1" applyAlignment="1" applyProtection="1">
      <alignment/>
      <protection/>
    </xf>
    <xf numFmtId="179" fontId="0" fillId="2" borderId="31" xfId="0" applyNumberFormat="1" applyFill="1" applyBorder="1" applyAlignment="1" applyProtection="1">
      <alignment/>
      <protection locked="0"/>
    </xf>
    <xf numFmtId="195" fontId="2" fillId="0" borderId="0" xfId="0" applyNumberFormat="1" applyFont="1" applyFill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79" fontId="0" fillId="0" borderId="30" xfId="0" applyNumberFormat="1" applyBorder="1" applyAlignment="1" applyProtection="1" quotePrefix="1">
      <alignment/>
      <protection/>
    </xf>
    <xf numFmtId="179" fontId="0" fillId="0" borderId="12" xfId="0" applyNumberFormat="1" applyBorder="1" applyAlignment="1" applyProtection="1" quotePrefix="1">
      <alignment/>
      <protection/>
    </xf>
    <xf numFmtId="179" fontId="0" fillId="0" borderId="13" xfId="0" applyNumberFormat="1" applyBorder="1" applyAlignment="1" applyProtection="1" quotePrefix="1">
      <alignment/>
      <protection/>
    </xf>
    <xf numFmtId="179" fontId="0" fillId="0" borderId="7" xfId="0" applyNumberFormat="1" applyBorder="1" applyAlignment="1" applyProtection="1" quotePrefix="1">
      <alignment/>
      <protection/>
    </xf>
    <xf numFmtId="179" fontId="0" fillId="0" borderId="20" xfId="0" applyNumberFormat="1" applyBorder="1" applyAlignment="1" applyProtection="1" quotePrefix="1">
      <alignment/>
      <protection/>
    </xf>
    <xf numFmtId="0" fontId="0" fillId="0" borderId="14" xfId="0" applyFill="1" applyBorder="1" applyAlignment="1" applyProtection="1">
      <alignment/>
      <protection/>
    </xf>
    <xf numFmtId="189" fontId="0" fillId="0" borderId="16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30" xfId="0" applyBorder="1" applyAlignment="1" applyProtection="1">
      <alignment horizontal="right"/>
      <protection/>
    </xf>
    <xf numFmtId="43" fontId="0" fillId="0" borderId="14" xfId="17" applyFont="1" applyBorder="1" applyAlignment="1" applyProtection="1">
      <alignment horizontal="right"/>
      <protection/>
    </xf>
    <xf numFmtId="179" fontId="0" fillId="0" borderId="0" xfId="17" applyNumberFormat="1" applyBorder="1" applyAlignment="1" applyProtection="1">
      <alignment horizontal="right"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44" fontId="0" fillId="0" borderId="0" xfId="20" applyFont="1" applyFill="1" applyBorder="1" applyAlignment="1" applyProtection="1">
      <alignment/>
      <protection/>
    </xf>
    <xf numFmtId="193" fontId="0" fillId="0" borderId="12" xfId="2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/>
      <protection/>
    </xf>
    <xf numFmtId="193" fontId="0" fillId="0" borderId="14" xfId="2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2" fontId="0" fillId="0" borderId="31" xfId="0" applyNumberFormat="1" applyFont="1" applyFill="1" applyBorder="1" applyAlignment="1" applyProtection="1">
      <alignment/>
      <protection/>
    </xf>
    <xf numFmtId="44" fontId="0" fillId="0" borderId="2" xfId="20" applyFont="1" applyFill="1" applyBorder="1" applyAlignment="1" applyProtection="1">
      <alignment/>
      <protection/>
    </xf>
    <xf numFmtId="193" fontId="0" fillId="0" borderId="31" xfId="20" applyNumberFormat="1" applyFont="1" applyFill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3" fontId="0" fillId="0" borderId="15" xfId="17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89" fontId="2" fillId="0" borderId="29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 vertical="top"/>
      <protection/>
    </xf>
    <xf numFmtId="0" fontId="0" fillId="0" borderId="5" xfId="0" applyFont="1" applyFill="1" applyBorder="1" applyAlignment="1" applyProtection="1">
      <alignment/>
      <protection/>
    </xf>
    <xf numFmtId="193" fontId="0" fillId="0" borderId="11" xfId="20" applyNumberFormat="1" applyFont="1" applyBorder="1" applyAlignment="1" applyProtection="1" quotePrefix="1">
      <alignment/>
      <protection/>
    </xf>
    <xf numFmtId="178" fontId="8" fillId="0" borderId="21" xfId="0" applyNumberFormat="1" applyFont="1" applyFill="1" applyBorder="1" applyAlignment="1" applyProtection="1">
      <alignment/>
      <protection/>
    </xf>
    <xf numFmtId="193" fontId="0" fillId="0" borderId="13" xfId="20" applyNumberFormat="1" applyFont="1" applyBorder="1" applyAlignment="1" applyProtection="1" quotePrefix="1">
      <alignment/>
      <protection/>
    </xf>
    <xf numFmtId="0" fontId="0" fillId="0" borderId="15" xfId="0" applyBorder="1" applyAlignment="1" applyProtection="1">
      <alignment wrapText="1"/>
      <protection/>
    </xf>
    <xf numFmtId="176" fontId="0" fillId="0" borderId="15" xfId="0" applyNumberFormat="1" applyBorder="1" applyAlignment="1" applyProtection="1">
      <alignment/>
      <protection/>
    </xf>
    <xf numFmtId="20" fontId="0" fillId="0" borderId="15" xfId="0" applyNumberFormat="1" applyBorder="1" applyAlignment="1" applyProtection="1">
      <alignment/>
      <protection/>
    </xf>
    <xf numFmtId="179" fontId="0" fillId="0" borderId="15" xfId="0" applyNumberFormat="1" applyBorder="1" applyAlignment="1" applyProtection="1">
      <alignment/>
      <protection/>
    </xf>
    <xf numFmtId="179" fontId="0" fillId="0" borderId="30" xfId="0" applyNumberFormat="1" applyBorder="1" applyAlignment="1" applyProtection="1">
      <alignment/>
      <protection/>
    </xf>
    <xf numFmtId="193" fontId="0" fillId="0" borderId="14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top"/>
      <protection/>
    </xf>
    <xf numFmtId="0" fontId="0" fillId="0" borderId="29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9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3" fillId="0" borderId="5" xfId="0" applyFont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 vertical="top"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 vertical="top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vertical="center"/>
      <protection/>
    </xf>
    <xf numFmtId="0" fontId="0" fillId="0" borderId="8" xfId="0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0" fillId="2" borderId="14" xfId="0" applyFont="1" applyFill="1" applyBorder="1" applyAlignment="1" applyProtection="1">
      <alignment horizontal="center" vertical="center"/>
      <protection locked="0"/>
    </xf>
    <xf numFmtId="179" fontId="0" fillId="0" borderId="14" xfId="0" applyNumberFormat="1" applyFont="1" applyFill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1" xfId="0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ill="1" applyAlignment="1" applyProtection="1">
      <alignment/>
      <protection/>
    </xf>
    <xf numFmtId="0" fontId="0" fillId="0" borderId="13" xfId="0" applyBorder="1" applyAlignment="1">
      <alignment horizontal="right" vertical="top" wrapText="1"/>
    </xf>
    <xf numFmtId="178" fontId="8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/>
    </xf>
    <xf numFmtId="2" fontId="0" fillId="0" borderId="8" xfId="0" applyNumberForma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 vertical="top"/>
      <protection/>
    </xf>
    <xf numFmtId="0" fontId="0" fillId="0" borderId="13" xfId="0" applyFont="1" applyBorder="1" applyAlignment="1" applyProtection="1">
      <alignment horizontal="right" vertical="top"/>
      <protection/>
    </xf>
    <xf numFmtId="2" fontId="0" fillId="0" borderId="0" xfId="0" applyNumberFormat="1" applyFont="1" applyBorder="1" applyAlignment="1" applyProtection="1" quotePrefix="1">
      <alignment/>
      <protection/>
    </xf>
    <xf numFmtId="2" fontId="0" fillId="0" borderId="2" xfId="0" applyNumberFormat="1" applyFont="1" applyFill="1" applyBorder="1" applyAlignment="1" applyProtection="1" quotePrefix="1">
      <alignment/>
      <protection/>
    </xf>
    <xf numFmtId="2" fontId="0" fillId="0" borderId="27" xfId="0" applyNumberFormat="1" applyFont="1" applyFill="1" applyBorder="1" applyAlignment="1" applyProtection="1" quotePrefix="1">
      <alignment/>
      <protection/>
    </xf>
    <xf numFmtId="2" fontId="0" fillId="0" borderId="2" xfId="0" applyNumberFormat="1" applyFont="1" applyBorder="1" applyAlignment="1" applyProtection="1" quotePrefix="1">
      <alignment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2" fontId="0" fillId="0" borderId="29" xfId="0" applyNumberFormat="1" applyFont="1" applyFill="1" applyBorder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left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Border="1" applyAlignment="1" applyProtection="1" quotePrefix="1">
      <alignment/>
      <protection/>
    </xf>
    <xf numFmtId="0" fontId="1" fillId="0" borderId="2" xfId="0" applyFont="1" applyBorder="1" applyAlignment="1">
      <alignment horizontal="right" vertical="center"/>
    </xf>
    <xf numFmtId="0" fontId="2" fillId="0" borderId="29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 locked="0"/>
    </xf>
    <xf numFmtId="20" fontId="0" fillId="0" borderId="5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0" fontId="1" fillId="0" borderId="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Border="1" applyAlignment="1">
      <alignment/>
    </xf>
    <xf numFmtId="193" fontId="0" fillId="0" borderId="14" xfId="20" applyNumberFormat="1" applyFont="1" applyBorder="1" applyAlignment="1" applyProtection="1" quotePrefix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193" fontId="0" fillId="0" borderId="21" xfId="20" applyNumberFormat="1" applyFont="1" applyBorder="1" applyAlignment="1" applyProtection="1" quotePrefix="1">
      <alignment/>
      <protection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173" fontId="0" fillId="0" borderId="0" xfId="17" applyNumberFormat="1" applyAlignment="1" applyProtection="1">
      <alignment/>
      <protection/>
    </xf>
    <xf numFmtId="43" fontId="0" fillId="0" borderId="0" xfId="17" applyNumberFormat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179" fontId="0" fillId="2" borderId="14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right" vertical="top" wrapText="1"/>
      <protection/>
    </xf>
    <xf numFmtId="0" fontId="0" fillId="2" borderId="14" xfId="0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/>
    </xf>
    <xf numFmtId="199" fontId="13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/>
    </xf>
    <xf numFmtId="179" fontId="0" fillId="0" borderId="14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14" fontId="1" fillId="0" borderId="0" xfId="0" applyNumberFormat="1" applyFont="1" applyBorder="1" applyAlignment="1" applyProtection="1">
      <alignment horizontal="right"/>
      <protection/>
    </xf>
    <xf numFmtId="14" fontId="1" fillId="0" borderId="0" xfId="0" applyNumberFormat="1" applyFont="1" applyBorder="1" applyAlignment="1" applyProtection="1">
      <alignment/>
      <protection/>
    </xf>
    <xf numFmtId="0" fontId="0" fillId="0" borderId="1" xfId="0" applyFill="1" applyBorder="1" applyAlignment="1">
      <alignment/>
    </xf>
    <xf numFmtId="2" fontId="0" fillId="0" borderId="22" xfId="0" applyNumberFormat="1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0" borderId="16" xfId="0" applyFill="1" applyBorder="1" applyAlignment="1">
      <alignment/>
    </xf>
    <xf numFmtId="0" fontId="0" fillId="0" borderId="32" xfId="0" applyBorder="1" applyAlignment="1">
      <alignment/>
    </xf>
    <xf numFmtId="2" fontId="0" fillId="0" borderId="18" xfId="0" applyNumberFormat="1" applyFill="1" applyBorder="1" applyAlignment="1" applyProtection="1">
      <alignment/>
      <protection/>
    </xf>
    <xf numFmtId="2" fontId="0" fillId="0" borderId="16" xfId="0" applyNumberFormat="1" applyBorder="1" applyAlignment="1">
      <alignment/>
    </xf>
    <xf numFmtId="2" fontId="0" fillId="0" borderId="32" xfId="0" applyNumberFormat="1" applyFill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7" xfId="0" applyNumberFormat="1" applyFill="1" applyBorder="1" applyAlignment="1" applyProtection="1">
      <alignment/>
      <protection/>
    </xf>
    <xf numFmtId="2" fontId="0" fillId="0" borderId="38" xfId="0" applyNumberFormat="1" applyBorder="1" applyAlignment="1" applyProtection="1">
      <alignment/>
      <protection/>
    </xf>
    <xf numFmtId="2" fontId="0" fillId="0" borderId="38" xfId="0" applyNumberForma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/>
      <protection/>
    </xf>
    <xf numFmtId="2" fontId="0" fillId="0" borderId="40" xfId="0" applyNumberFormat="1" applyFill="1" applyBorder="1" applyAlignment="1" applyProtection="1">
      <alignment/>
      <protection/>
    </xf>
    <xf numFmtId="2" fontId="0" fillId="0" borderId="39" xfId="0" applyNumberFormat="1" applyBorder="1" applyAlignment="1">
      <alignment/>
    </xf>
    <xf numFmtId="0" fontId="0" fillId="0" borderId="41" xfId="0" applyBorder="1" applyAlignment="1" applyProtection="1">
      <alignment horizontal="right"/>
      <protection/>
    </xf>
    <xf numFmtId="0" fontId="0" fillId="0" borderId="42" xfId="0" applyBorder="1" applyAlignment="1" applyProtection="1">
      <alignment horizontal="right"/>
      <protection/>
    </xf>
    <xf numFmtId="2" fontId="0" fillId="0" borderId="43" xfId="0" applyNumberFormat="1" applyBorder="1" applyAlignment="1" applyProtection="1">
      <alignment/>
      <protection/>
    </xf>
    <xf numFmtId="2" fontId="0" fillId="0" borderId="44" xfId="0" applyNumberFormat="1" applyBorder="1" applyAlignment="1" applyProtection="1">
      <alignment/>
      <protection/>
    </xf>
    <xf numFmtId="2" fontId="0" fillId="0" borderId="36" xfId="0" applyNumberFormat="1" applyBorder="1" applyAlignment="1" applyProtection="1">
      <alignment/>
      <protection/>
    </xf>
    <xf numFmtId="2" fontId="0" fillId="0" borderId="45" xfId="0" applyNumberFormat="1" applyFill="1" applyBorder="1" applyAlignment="1" applyProtection="1">
      <alignment/>
      <protection/>
    </xf>
    <xf numFmtId="2" fontId="0" fillId="0" borderId="36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1" xfId="0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22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79" fontId="14" fillId="0" borderId="0" xfId="0" applyNumberFormat="1" applyFont="1" applyBorder="1" applyAlignment="1" applyProtection="1">
      <alignment/>
      <protection/>
    </xf>
    <xf numFmtId="201" fontId="0" fillId="0" borderId="0" xfId="0" applyNumberFormat="1" applyAlignment="1">
      <alignment horizontal="left"/>
    </xf>
    <xf numFmtId="201" fontId="0" fillId="0" borderId="0" xfId="0" applyNumberFormat="1" applyAlignment="1">
      <alignment/>
    </xf>
    <xf numFmtId="0" fontId="0" fillId="0" borderId="46" xfId="0" applyBorder="1" applyAlignment="1" applyProtection="1">
      <alignment horizontal="center"/>
      <protection/>
    </xf>
    <xf numFmtId="189" fontId="11" fillId="0" borderId="0" xfId="0" applyNumberFormat="1" applyFont="1" applyAlignment="1" applyProtection="1" quotePrefix="1">
      <alignment/>
      <protection/>
    </xf>
    <xf numFmtId="179" fontId="0" fillId="0" borderId="11" xfId="0" applyNumberFormat="1" applyFill="1" applyBorder="1" applyAlignment="1" applyProtection="1">
      <alignment/>
      <protection/>
    </xf>
    <xf numFmtId="179" fontId="0" fillId="0" borderId="31" xfId="0" applyNumberFormat="1" applyFill="1" applyBorder="1" applyAlignment="1" applyProtection="1">
      <alignment/>
      <protection/>
    </xf>
    <xf numFmtId="179" fontId="0" fillId="0" borderId="12" xfId="0" applyNumberForma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1" xfId="0" applyBorder="1" applyAlignment="1" applyProtection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14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14" fontId="0" fillId="2" borderId="29" xfId="0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 applyProtection="1">
      <alignment vertical="top" wrapText="1"/>
      <protection/>
    </xf>
    <xf numFmtId="0" fontId="0" fillId="0" borderId="15" xfId="0" applyBorder="1" applyAlignment="1">
      <alignment wrapText="1"/>
    </xf>
    <xf numFmtId="43" fontId="0" fillId="0" borderId="29" xfId="17" applyFont="1" applyBorder="1" applyAlignment="1" applyProtection="1">
      <alignment horizontal="left" vertical="top" wrapText="1"/>
      <protection/>
    </xf>
    <xf numFmtId="43" fontId="0" fillId="0" borderId="30" xfId="17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ill>
        <patternFill>
          <bgColor rgb="FFCCFFCC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114300</xdr:rowOff>
    </xdr:from>
    <xdr:to>
      <xdr:col>5</xdr:col>
      <xdr:colOff>657225</xdr:colOff>
      <xdr:row>3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9525" y="600075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57150</xdr:rowOff>
    </xdr:from>
    <xdr:to>
      <xdr:col>5</xdr:col>
      <xdr:colOff>657225</xdr:colOff>
      <xdr:row>5</xdr:row>
      <xdr:rowOff>57150</xdr:rowOff>
    </xdr:to>
    <xdr:sp>
      <xdr:nvSpPr>
        <xdr:cNvPr id="2" name="Line 3"/>
        <xdr:cNvSpPr>
          <a:spLocks/>
        </xdr:cNvSpPr>
      </xdr:nvSpPr>
      <xdr:spPr>
        <a:xfrm flipH="1">
          <a:off x="9525" y="866775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66675</xdr:rowOff>
    </xdr:from>
    <xdr:to>
      <xdr:col>10</xdr:col>
      <xdr:colOff>0</xdr:colOff>
      <xdr:row>7</xdr:row>
      <xdr:rowOff>66675</xdr:rowOff>
    </xdr:to>
    <xdr:sp>
      <xdr:nvSpPr>
        <xdr:cNvPr id="3" name="Line 4"/>
        <xdr:cNvSpPr>
          <a:spLocks/>
        </xdr:cNvSpPr>
      </xdr:nvSpPr>
      <xdr:spPr>
        <a:xfrm flipH="1">
          <a:off x="0" y="1200150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152400</xdr:rowOff>
    </xdr:from>
    <xdr:to>
      <xdr:col>10</xdr:col>
      <xdr:colOff>0</xdr:colOff>
      <xdr:row>7</xdr:row>
      <xdr:rowOff>152400</xdr:rowOff>
    </xdr:to>
    <xdr:sp>
      <xdr:nvSpPr>
        <xdr:cNvPr id="4" name="Line 5"/>
        <xdr:cNvSpPr>
          <a:spLocks/>
        </xdr:cNvSpPr>
      </xdr:nvSpPr>
      <xdr:spPr>
        <a:xfrm flipH="1">
          <a:off x="0" y="1285875"/>
          <a:ext cx="674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2</xdr:row>
      <xdr:rowOff>28575</xdr:rowOff>
    </xdr:from>
    <xdr:to>
      <xdr:col>8</xdr:col>
      <xdr:colOff>190500</xdr:colOff>
      <xdr:row>6</xdr:row>
      <xdr:rowOff>133350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52425"/>
          <a:ext cx="1790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19050</xdr:rowOff>
    </xdr:from>
    <xdr:to>
      <xdr:col>7</xdr:col>
      <xdr:colOff>485775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9050"/>
          <a:ext cx="1409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3</xdr:col>
      <xdr:colOff>381000</xdr:colOff>
      <xdr:row>0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0" y="9525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3</xdr:col>
      <xdr:colOff>381000</xdr:colOff>
      <xdr:row>2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0" y="38100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8</xdr:col>
      <xdr:colOff>723900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0" y="895350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97155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38100</xdr:rowOff>
    </xdr:from>
    <xdr:to>
      <xdr:col>9</xdr:col>
      <xdr:colOff>1171575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8100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200025</xdr:rowOff>
    </xdr:from>
    <xdr:to>
      <xdr:col>5</xdr:col>
      <xdr:colOff>276225</xdr:colOff>
      <xdr:row>0</xdr:row>
      <xdr:rowOff>200025</xdr:rowOff>
    </xdr:to>
    <xdr:sp>
      <xdr:nvSpPr>
        <xdr:cNvPr id="1" name="Line 2"/>
        <xdr:cNvSpPr>
          <a:spLocks/>
        </xdr:cNvSpPr>
      </xdr:nvSpPr>
      <xdr:spPr>
        <a:xfrm flipH="1">
          <a:off x="0" y="200025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57150</xdr:rowOff>
    </xdr:from>
    <xdr:to>
      <xdr:col>5</xdr:col>
      <xdr:colOff>285750</xdr:colOff>
      <xdr:row>2</xdr:row>
      <xdr:rowOff>57150</xdr:rowOff>
    </xdr:to>
    <xdr:sp>
      <xdr:nvSpPr>
        <xdr:cNvPr id="2" name="Line 3"/>
        <xdr:cNvSpPr>
          <a:spLocks/>
        </xdr:cNvSpPr>
      </xdr:nvSpPr>
      <xdr:spPr>
        <a:xfrm flipH="1">
          <a:off x="9525" y="495300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10</xdr:col>
      <xdr:colOff>0</xdr:colOff>
      <xdr:row>4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0" y="8572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19050</xdr:rowOff>
    </xdr:from>
    <xdr:to>
      <xdr:col>8</xdr:col>
      <xdr:colOff>285750</xdr:colOff>
      <xdr:row>4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9050"/>
          <a:ext cx="1524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19050</xdr:rowOff>
    </xdr:from>
    <xdr:to>
      <xdr:col>9</xdr:col>
      <xdr:colOff>781050</xdr:colOff>
      <xdr:row>5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0" y="942975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114300</xdr:rowOff>
    </xdr:from>
    <xdr:to>
      <xdr:col>2</xdr:col>
      <xdr:colOff>485775</xdr:colOff>
      <xdr:row>3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9525" y="60007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57150</xdr:rowOff>
    </xdr:from>
    <xdr:to>
      <xdr:col>2</xdr:col>
      <xdr:colOff>495300</xdr:colOff>
      <xdr:row>5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9525" y="86677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66675</xdr:rowOff>
    </xdr:from>
    <xdr:to>
      <xdr:col>8</xdr:col>
      <xdr:colOff>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0" y="1200150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8</xdr:col>
      <xdr:colOff>9525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1295400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</xdr:row>
      <xdr:rowOff>0</xdr:rowOff>
    </xdr:from>
    <xdr:to>
      <xdr:col>4</xdr:col>
      <xdr:colOff>590550</xdr:colOff>
      <xdr:row>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23850"/>
          <a:ext cx="1409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A122"/>
  <sheetViews>
    <sheetView showGridLines="0" tabSelected="1" zoomScaleSheetLayoutView="100" workbookViewId="0" topLeftCell="A1">
      <selection activeCell="F16" sqref="F16"/>
    </sheetView>
  </sheetViews>
  <sheetFormatPr defaultColWidth="9.140625" defaultRowHeight="12.75" zeroHeight="1"/>
  <cols>
    <col min="1" max="1" width="3.7109375" style="27" customWidth="1"/>
    <col min="2" max="2" width="1.28515625" style="27" customWidth="1"/>
    <col min="3" max="3" width="20.57421875" style="27" customWidth="1"/>
    <col min="4" max="4" width="7.57421875" style="27" customWidth="1"/>
    <col min="5" max="5" width="9.7109375" style="27" customWidth="1"/>
    <col min="6" max="6" width="10.8515625" style="27" customWidth="1"/>
    <col min="7" max="7" width="10.7109375" style="27" customWidth="1"/>
    <col min="8" max="8" width="12.421875" style="27" customWidth="1"/>
    <col min="9" max="9" width="12.28125" style="27" customWidth="1"/>
    <col min="10" max="10" width="12.00390625" style="27" customWidth="1"/>
    <col min="11" max="11" width="5.28125" style="27" customWidth="1"/>
    <col min="12" max="12" width="11.28125" style="27" hidden="1" customWidth="1"/>
    <col min="13" max="13" width="11.7109375" style="27" hidden="1" customWidth="1"/>
    <col min="14" max="14" width="12.57421875" style="27" hidden="1" customWidth="1"/>
    <col min="15" max="15" width="12.421875" style="27" hidden="1" customWidth="1"/>
    <col min="16" max="16" width="13.00390625" style="27" hidden="1" customWidth="1"/>
    <col min="17" max="19" width="11.28125" style="27" hidden="1" customWidth="1"/>
    <col min="20" max="21" width="10.28125" style="27" hidden="1" customWidth="1"/>
    <col min="22" max="22" width="11.28125" style="27" hidden="1" customWidth="1"/>
    <col min="23" max="23" width="14.7109375" style="27" hidden="1" customWidth="1"/>
    <col min="24" max="24" width="9.140625" style="27" hidden="1" customWidth="1"/>
    <col min="25" max="25" width="9.57421875" style="27" hidden="1" customWidth="1"/>
    <col min="26" max="26" width="9.140625" style="27" hidden="1" customWidth="1"/>
    <col min="27" max="27" width="11.57421875" style="27" hidden="1" customWidth="1"/>
    <col min="28" max="110" width="9.140625" style="27" hidden="1" customWidth="1"/>
    <col min="111" max="113" width="9.421875" style="27" hidden="1" customWidth="1"/>
    <col min="114" max="118" width="9.140625" style="27" hidden="1" customWidth="1"/>
    <col min="119" max="119" width="10.8515625" style="27" hidden="1" customWidth="1"/>
    <col min="120" max="16384" width="9.140625" style="27" hidden="1" customWidth="1"/>
  </cols>
  <sheetData>
    <row r="1" ht="12.75"/>
    <row r="2" ht="12.75"/>
    <row r="3" spans="1:9" ht="12.75">
      <c r="A3" s="26" t="s">
        <v>170</v>
      </c>
      <c r="B3" s="26"/>
      <c r="C3" s="26"/>
      <c r="I3" s="72"/>
    </row>
    <row r="4" spans="9:10" ht="12.75">
      <c r="I4" s="72"/>
      <c r="J4" s="28" t="s">
        <v>32</v>
      </c>
    </row>
    <row r="5" ht="12.75">
      <c r="A5" s="27" t="s">
        <v>169</v>
      </c>
    </row>
    <row r="6" spans="9:10" ht="12.75">
      <c r="I6" s="286" t="s">
        <v>174</v>
      </c>
      <c r="J6" s="288">
        <v>40738</v>
      </c>
    </row>
    <row r="7" spans="9:24" ht="12.75">
      <c r="I7" s="286" t="s">
        <v>175</v>
      </c>
      <c r="J7" s="289">
        <f ca="1">TODAY()</f>
        <v>40738</v>
      </c>
      <c r="X7" s="27" t="s">
        <v>183</v>
      </c>
    </row>
    <row r="8" spans="1:25" ht="12.75">
      <c r="A8" s="26"/>
      <c r="B8" s="26"/>
      <c r="C8" s="26"/>
      <c r="X8" s="27" t="s">
        <v>189</v>
      </c>
      <c r="Y8" s="27" t="s">
        <v>190</v>
      </c>
    </row>
    <row r="9" spans="1:25" ht="14.25" customHeight="1" thickBot="1">
      <c r="A9" s="26"/>
      <c r="B9" s="26"/>
      <c r="C9" s="26"/>
      <c r="N9" s="27" t="s">
        <v>153</v>
      </c>
      <c r="Q9" s="27" t="s">
        <v>155</v>
      </c>
      <c r="W9" s="27" t="s">
        <v>31</v>
      </c>
      <c r="X9" s="269" t="s">
        <v>162</v>
      </c>
      <c r="Y9" s="27">
        <v>1.0119</v>
      </c>
    </row>
    <row r="10" spans="1:25" ht="16.5" customHeight="1" thickBot="1">
      <c r="A10" s="177" t="s">
        <v>33</v>
      </c>
      <c r="B10" s="199"/>
      <c r="C10" s="196"/>
      <c r="D10" s="337"/>
      <c r="E10" s="338"/>
      <c r="F10" s="338"/>
      <c r="G10" s="338"/>
      <c r="H10" s="338"/>
      <c r="I10" s="338"/>
      <c r="J10" s="339"/>
      <c r="N10" s="27">
        <v>300</v>
      </c>
      <c r="Q10" s="27" t="s">
        <v>156</v>
      </c>
      <c r="W10" s="320" t="s">
        <v>188</v>
      </c>
      <c r="X10" s="271">
        <f>188.07</f>
        <v>188.07</v>
      </c>
      <c r="Y10" s="271">
        <f aca="true" t="shared" si="0" ref="Y10:Y15">ROUND(+X10/$Y$9,2)</f>
        <v>185.86</v>
      </c>
    </row>
    <row r="11" spans="1:28" ht="13.5" customHeight="1" thickBot="1">
      <c r="A11" s="29" t="s">
        <v>52</v>
      </c>
      <c r="B11" s="178"/>
      <c r="C11" s="178"/>
      <c r="D11" s="322">
        <v>300</v>
      </c>
      <c r="E11" s="281"/>
      <c r="L11" s="31"/>
      <c r="Q11" s="27" t="s">
        <v>181</v>
      </c>
      <c r="W11" s="320" t="s">
        <v>178</v>
      </c>
      <c r="X11" s="271">
        <f>30.33</f>
        <v>30.33</v>
      </c>
      <c r="Y11" s="271">
        <f t="shared" si="0"/>
        <v>29.97</v>
      </c>
      <c r="AB11" s="27" t="s">
        <v>166</v>
      </c>
    </row>
    <row r="12" spans="1:30" ht="14.25" customHeight="1" thickBot="1">
      <c r="A12" s="32"/>
      <c r="B12" s="32"/>
      <c r="C12" s="32"/>
      <c r="D12" s="19"/>
      <c r="E12" s="33"/>
      <c r="F12" s="34"/>
      <c r="G12" s="73" t="s">
        <v>168</v>
      </c>
      <c r="H12" s="30" t="s">
        <v>167</v>
      </c>
      <c r="I12" s="331" t="s">
        <v>206</v>
      </c>
      <c r="L12" s="31"/>
      <c r="Q12" s="27" t="s">
        <v>157</v>
      </c>
      <c r="W12" s="320" t="s">
        <v>179</v>
      </c>
      <c r="X12" s="27">
        <f>18.48</f>
        <v>18.48</v>
      </c>
      <c r="Y12" s="271">
        <f t="shared" si="0"/>
        <v>18.26</v>
      </c>
      <c r="AA12" s="27" t="s">
        <v>158</v>
      </c>
      <c r="AB12" s="276">
        <f>IF(H13&lt;&gt;"",VLOOKUP(H13,W10:Y15,3,FALSE),0)</f>
        <v>0</v>
      </c>
      <c r="AC12" s="275">
        <f>+I13</f>
        <v>0</v>
      </c>
      <c r="AD12" s="275">
        <f>ROUND(+AB12*AC12,0)</f>
        <v>0</v>
      </c>
    </row>
    <row r="13" spans="1:30" ht="14.25" customHeight="1" thickBot="1">
      <c r="A13" s="32"/>
      <c r="B13" s="32"/>
      <c r="F13" s="34"/>
      <c r="G13" s="277" t="s">
        <v>158</v>
      </c>
      <c r="H13" s="318"/>
      <c r="I13" s="273"/>
      <c r="L13" s="31"/>
      <c r="W13" s="320" t="s">
        <v>180</v>
      </c>
      <c r="X13" s="27">
        <f>15.21</f>
        <v>15.21</v>
      </c>
      <c r="Y13" s="271">
        <f t="shared" si="0"/>
        <v>15.03</v>
      </c>
      <c r="AA13" s="27" t="s">
        <v>186</v>
      </c>
      <c r="AB13" s="276">
        <f>IF(H14&lt;&gt;"",VLOOKUP(H14,W10:Y15,3,FALSE),0)</f>
        <v>0</v>
      </c>
      <c r="AC13" s="275">
        <f>+I14</f>
        <v>0</v>
      </c>
      <c r="AD13" s="275">
        <f>ROUND(+AB13*AC13,0)</f>
        <v>0</v>
      </c>
    </row>
    <row r="14" spans="1:30" ht="14.25" customHeight="1" thickBot="1">
      <c r="A14" s="348" t="s">
        <v>154</v>
      </c>
      <c r="B14" s="349"/>
      <c r="C14" s="350"/>
      <c r="D14" s="203"/>
      <c r="E14" s="33"/>
      <c r="F14" s="34"/>
      <c r="G14" s="277" t="s">
        <v>182</v>
      </c>
      <c r="H14" s="318"/>
      <c r="I14" s="273"/>
      <c r="L14" s="31"/>
      <c r="W14" s="321" t="s">
        <v>160</v>
      </c>
      <c r="X14" s="271">
        <v>68.22</v>
      </c>
      <c r="Y14" s="271">
        <f t="shared" si="0"/>
        <v>67.42</v>
      </c>
      <c r="AA14" s="27" t="s">
        <v>187</v>
      </c>
      <c r="AB14" s="276">
        <f>IF(H15&lt;&gt;"",VLOOKUP(H15,W10:Y15,3,FALSE),0)</f>
        <v>0</v>
      </c>
      <c r="AC14" s="275">
        <f>+I15</f>
        <v>0</v>
      </c>
      <c r="AD14" s="275">
        <f>ROUND(+AB14*AC14*0.42,0)</f>
        <v>0</v>
      </c>
    </row>
    <row r="15" spans="1:30" ht="14.25" customHeight="1" thickBot="1">
      <c r="A15" s="32"/>
      <c r="B15" s="32"/>
      <c r="C15" s="32"/>
      <c r="D15" s="19"/>
      <c r="E15" s="33"/>
      <c r="F15" s="34"/>
      <c r="G15" s="278" t="s">
        <v>159</v>
      </c>
      <c r="H15" s="319"/>
      <c r="I15" s="274"/>
      <c r="L15" s="31"/>
      <c r="W15" s="321" t="s">
        <v>161</v>
      </c>
      <c r="X15" s="271">
        <v>86.43</v>
      </c>
      <c r="Y15" s="271">
        <f t="shared" si="0"/>
        <v>85.41</v>
      </c>
      <c r="AB15" s="276"/>
      <c r="AC15" s="275"/>
      <c r="AD15" s="275">
        <f>SUM(AD12:AD14)</f>
        <v>0</v>
      </c>
    </row>
    <row r="16" spans="1:12" ht="14.25" customHeight="1">
      <c r="A16" s="32"/>
      <c r="B16" s="32"/>
      <c r="C16" s="32"/>
      <c r="D16" s="19"/>
      <c r="E16" s="33"/>
      <c r="F16" s="34"/>
      <c r="L16" s="31"/>
    </row>
    <row r="17" spans="1:12" ht="9" customHeight="1" thickBot="1">
      <c r="A17" s="32"/>
      <c r="B17" s="32"/>
      <c r="C17" s="32"/>
      <c r="D17" s="19"/>
      <c r="E17" s="33"/>
      <c r="F17" s="34"/>
      <c r="G17" s="34"/>
      <c r="H17" s="35"/>
      <c r="I17" s="36"/>
      <c r="J17" s="201"/>
      <c r="L17" s="31"/>
    </row>
    <row r="18" spans="1:23" ht="15.75" customHeight="1" thickBot="1">
      <c r="A18" s="207" t="s">
        <v>198</v>
      </c>
      <c r="B18" s="208"/>
      <c r="C18" s="208"/>
      <c r="D18" s="209"/>
      <c r="E18" s="210"/>
      <c r="F18" s="211"/>
      <c r="G18" s="211"/>
      <c r="H18" s="342"/>
      <c r="I18" s="343"/>
      <c r="J18" s="201"/>
      <c r="L18" s="31"/>
      <c r="N18" s="206"/>
      <c r="O18" s="206"/>
      <c r="W18" s="320" t="s">
        <v>185</v>
      </c>
    </row>
    <row r="19" spans="1:23" ht="15.75" customHeight="1" thickBot="1">
      <c r="A19" s="221" t="s">
        <v>197</v>
      </c>
      <c r="B19" s="199"/>
      <c r="C19" s="199"/>
      <c r="D19" s="216"/>
      <c r="E19" s="217"/>
      <c r="F19" s="218"/>
      <c r="G19" s="218"/>
      <c r="H19" s="344"/>
      <c r="I19" s="345"/>
      <c r="J19" s="201"/>
      <c r="L19" s="31"/>
      <c r="N19" s="27" t="s">
        <v>118</v>
      </c>
      <c r="W19" s="321" t="s">
        <v>184</v>
      </c>
    </row>
    <row r="20" spans="1:14" ht="15.75" customHeight="1" thickBot="1">
      <c r="A20" s="220" t="s">
        <v>196</v>
      </c>
      <c r="B20" s="212"/>
      <c r="C20" s="212"/>
      <c r="D20" s="213"/>
      <c r="E20" s="214"/>
      <c r="F20" s="215"/>
      <c r="G20" s="215"/>
      <c r="H20" s="344"/>
      <c r="I20" s="345"/>
      <c r="J20" s="201"/>
      <c r="L20" s="31"/>
      <c r="N20" s="27" t="s">
        <v>119</v>
      </c>
    </row>
    <row r="21" spans="1:12" ht="15.75" customHeight="1" thickBot="1">
      <c r="A21" s="178" t="s">
        <v>195</v>
      </c>
      <c r="B21" s="212"/>
      <c r="C21" s="212"/>
      <c r="D21" s="213"/>
      <c r="E21" s="214"/>
      <c r="F21" s="215"/>
      <c r="G21" s="215"/>
      <c r="H21" s="346"/>
      <c r="I21" s="343"/>
      <c r="J21" s="201"/>
      <c r="L21" s="31"/>
    </row>
    <row r="22" spans="1:14" ht="19.5" customHeight="1">
      <c r="A22" s="323" t="str">
        <f>IF(OR(D10="",E11="",D14="",H18="",H19="",H20="",H21=""),"Nog niet alle velden in het algemene deel van dit formulier zijn ingevuld. Vul deze gegevens aan!","")</f>
        <v>Nog niet alle velden in het algemene deel van dit formulier zijn ingevuld. Vul deze gegevens aan!</v>
      </c>
      <c r="B22" s="208"/>
      <c r="C22" s="208"/>
      <c r="D22" s="209"/>
      <c r="E22" s="210"/>
      <c r="F22" s="211"/>
      <c r="G22" s="211"/>
      <c r="H22" s="326"/>
      <c r="I22" s="326"/>
      <c r="J22" s="201"/>
      <c r="L22" s="31"/>
      <c r="N22" s="254"/>
    </row>
    <row r="23" spans="1:14" ht="19.5" customHeight="1">
      <c r="A23" s="325"/>
      <c r="B23" s="325"/>
      <c r="C23" s="325"/>
      <c r="D23" s="19"/>
      <c r="E23" s="33"/>
      <c r="F23" s="36"/>
      <c r="G23" s="36"/>
      <c r="H23" s="327"/>
      <c r="I23" s="327"/>
      <c r="J23" s="201"/>
      <c r="L23" s="31"/>
      <c r="N23" s="254">
        <v>0</v>
      </c>
    </row>
    <row r="24" spans="1:12" ht="10.5" customHeight="1">
      <c r="A24" s="219"/>
      <c r="B24" s="32"/>
      <c r="C24" s="32"/>
      <c r="D24" s="19"/>
      <c r="E24" s="33"/>
      <c r="F24" s="34"/>
      <c r="G24" s="34"/>
      <c r="H24" s="35"/>
      <c r="I24" s="36"/>
      <c r="J24" s="201"/>
      <c r="L24" s="31"/>
    </row>
    <row r="25" spans="1:12" ht="13.5" customHeight="1">
      <c r="A25" s="37" t="s">
        <v>84</v>
      </c>
      <c r="B25" s="37"/>
      <c r="C25" s="37"/>
      <c r="D25" s="19"/>
      <c r="E25" s="33"/>
      <c r="F25" s="34"/>
      <c r="I25" s="36"/>
      <c r="J25" s="202"/>
      <c r="L25" s="31"/>
    </row>
    <row r="26" spans="4:10" ht="9" customHeight="1" thickBot="1">
      <c r="D26" s="34"/>
      <c r="E26" s="34"/>
      <c r="F26" s="34"/>
      <c r="G26" s="34"/>
      <c r="H26" s="34"/>
      <c r="I26" s="34"/>
      <c r="J26" s="34"/>
    </row>
    <row r="27" spans="1:3" ht="13.5" thickBot="1">
      <c r="A27" s="90" t="s">
        <v>4</v>
      </c>
      <c r="B27" s="183"/>
      <c r="C27" s="195"/>
    </row>
    <row r="28" spans="1:10" ht="12.75">
      <c r="A28" s="179"/>
      <c r="B28" s="194"/>
      <c r="C28" s="194"/>
      <c r="D28" s="39" t="s">
        <v>49</v>
      </c>
      <c r="E28" s="40"/>
      <c r="F28" s="41" t="s">
        <v>11</v>
      </c>
      <c r="G28" s="42"/>
      <c r="H28" s="43"/>
      <c r="I28" s="44" t="s">
        <v>29</v>
      </c>
      <c r="J28" s="40"/>
    </row>
    <row r="29" spans="1:10" ht="13.5" thickBot="1">
      <c r="A29" s="120" t="s">
        <v>9</v>
      </c>
      <c r="B29" s="85"/>
      <c r="C29" s="85"/>
      <c r="D29" s="45" t="s">
        <v>5</v>
      </c>
      <c r="E29" s="46" t="s">
        <v>6</v>
      </c>
      <c r="F29" s="47" t="s">
        <v>10</v>
      </c>
      <c r="G29" s="47"/>
      <c r="H29" s="47"/>
      <c r="I29" s="45" t="s">
        <v>26</v>
      </c>
      <c r="J29" s="46" t="s">
        <v>27</v>
      </c>
    </row>
    <row r="30" spans="1:235" ht="12.75">
      <c r="A30" s="70" t="s">
        <v>20</v>
      </c>
      <c r="B30" s="72"/>
      <c r="C30" s="72"/>
      <c r="D30" s="4"/>
      <c r="E30" s="5"/>
      <c r="F30" s="6"/>
      <c r="G30" s="49" t="s">
        <v>7</v>
      </c>
      <c r="H30" s="50">
        <v>1</v>
      </c>
      <c r="I30" s="51">
        <f aca="true" t="shared" si="1" ref="I30:I35">+E30-D30</f>
        <v>0</v>
      </c>
      <c r="J30" s="52">
        <f aca="true" t="shared" si="2" ref="J30:J35">+I30*F30</f>
        <v>0</v>
      </c>
      <c r="N30" s="53">
        <v>1</v>
      </c>
      <c r="O30" s="53">
        <v>0.010416666666666666</v>
      </c>
      <c r="P30" s="53">
        <v>0.020833333333333332</v>
      </c>
      <c r="Q30" s="53">
        <v>0.03125</v>
      </c>
      <c r="R30" s="53">
        <v>0.0416666666666667</v>
      </c>
      <c r="S30" s="53">
        <v>0.0520833333333334</v>
      </c>
      <c r="T30" s="53">
        <v>0.0625</v>
      </c>
      <c r="U30" s="53">
        <v>0.0729166666666667</v>
      </c>
      <c r="V30" s="53">
        <v>0.0833333333333334</v>
      </c>
      <c r="W30" s="53">
        <v>0.09375</v>
      </c>
      <c r="X30" s="53">
        <v>0.104166666666667</v>
      </c>
      <c r="Y30" s="53">
        <v>0.114583333333334</v>
      </c>
      <c r="Z30" s="53">
        <v>0.125</v>
      </c>
      <c r="AA30" s="53">
        <v>0.135416666666667</v>
      </c>
      <c r="AB30" s="53">
        <v>0.145833333333334</v>
      </c>
      <c r="AC30" s="53">
        <v>0.15625</v>
      </c>
      <c r="AD30" s="53">
        <v>0.166666666666667</v>
      </c>
      <c r="AE30" s="53">
        <v>0.177083333333334</v>
      </c>
      <c r="AF30" s="53">
        <v>0.1875</v>
      </c>
      <c r="AG30" s="53">
        <v>0.197916666666667</v>
      </c>
      <c r="AH30" s="53">
        <v>0.208333333333334</v>
      </c>
      <c r="AI30" s="53">
        <v>0.21875</v>
      </c>
      <c r="AJ30" s="53">
        <v>0.229166666666667</v>
      </c>
      <c r="AK30" s="53">
        <v>0.239583333333334</v>
      </c>
      <c r="AL30" s="53">
        <v>0.25</v>
      </c>
      <c r="AM30" s="53">
        <v>0.260416666666667</v>
      </c>
      <c r="AN30" s="53">
        <v>0.270833333333334</v>
      </c>
      <c r="AO30" s="53">
        <v>0.28125</v>
      </c>
      <c r="AP30" s="53">
        <v>0.291666666666667</v>
      </c>
      <c r="AQ30" s="53">
        <v>0.302083333333334</v>
      </c>
      <c r="AR30" s="53">
        <v>0.3125</v>
      </c>
      <c r="AS30" s="53">
        <v>0.322916666666667</v>
      </c>
      <c r="AT30" s="53">
        <v>0.333333333333334</v>
      </c>
      <c r="AU30" s="53">
        <v>0.34375</v>
      </c>
      <c r="AV30" s="53">
        <v>0.354166666666667</v>
      </c>
      <c r="AW30" s="53">
        <v>0.364583333333334</v>
      </c>
      <c r="AX30" s="53">
        <v>0.375</v>
      </c>
      <c r="AY30" s="53">
        <v>0.385416666666667</v>
      </c>
      <c r="AZ30" s="53">
        <v>0.395833333333334</v>
      </c>
      <c r="BA30" s="53">
        <v>0.40625</v>
      </c>
      <c r="BB30" s="53">
        <v>0.416666666666667</v>
      </c>
      <c r="BC30" s="53">
        <v>0.427083333333334</v>
      </c>
      <c r="BD30" s="53">
        <v>0.4375</v>
      </c>
      <c r="BE30" s="53">
        <v>0.447916666666667</v>
      </c>
      <c r="BF30" s="53">
        <v>0.458333333333334</v>
      </c>
      <c r="BG30" s="53">
        <v>0.46875</v>
      </c>
      <c r="BH30" s="53">
        <v>0.479166666666667</v>
      </c>
      <c r="BI30" s="53">
        <v>0.489583333333334</v>
      </c>
      <c r="BJ30" s="53">
        <v>0.5</v>
      </c>
      <c r="BK30" s="53">
        <v>0.510416666666667</v>
      </c>
      <c r="BL30" s="53">
        <v>0.520833333333334</v>
      </c>
      <c r="BM30" s="53">
        <v>0.53125</v>
      </c>
      <c r="BN30" s="53">
        <v>0.541666666666667</v>
      </c>
      <c r="BO30" s="53">
        <v>0.552083333333334</v>
      </c>
      <c r="BP30" s="53">
        <v>0.5625</v>
      </c>
      <c r="BQ30" s="53">
        <v>0.572916666666667</v>
      </c>
      <c r="BR30" s="53">
        <v>0.583333333333334</v>
      </c>
      <c r="BS30" s="53">
        <v>0.59375</v>
      </c>
      <c r="BT30" s="53">
        <v>0.604166666666667</v>
      </c>
      <c r="BU30" s="53">
        <v>0.614583333333334</v>
      </c>
      <c r="BV30" s="53">
        <v>0.625</v>
      </c>
      <c r="BW30" s="53">
        <v>0.635416666666667</v>
      </c>
      <c r="BX30" s="53">
        <v>0.645833333333334</v>
      </c>
      <c r="BY30" s="53">
        <v>0.65625</v>
      </c>
      <c r="BZ30" s="53">
        <v>0.666666666666667</v>
      </c>
      <c r="CA30" s="53">
        <v>0.677083333333334</v>
      </c>
      <c r="CB30" s="53">
        <v>0.6875</v>
      </c>
      <c r="CC30" s="53">
        <v>0.697916666666667</v>
      </c>
      <c r="CD30" s="53">
        <v>0.708333333333334</v>
      </c>
      <c r="CE30" s="53">
        <v>0.71875</v>
      </c>
      <c r="CF30" s="53">
        <v>0.729166666666667</v>
      </c>
      <c r="CG30" s="53">
        <v>0.739583333333334</v>
      </c>
      <c r="CH30" s="53">
        <v>0.75</v>
      </c>
      <c r="CI30" s="53">
        <v>0.760416666666667</v>
      </c>
      <c r="CJ30" s="53">
        <v>0.770833333333334</v>
      </c>
      <c r="CK30" s="53">
        <v>0.78125</v>
      </c>
      <c r="CL30" s="53">
        <v>0.791666666666667</v>
      </c>
      <c r="CM30" s="53">
        <v>0.802083333333334</v>
      </c>
      <c r="CN30" s="53">
        <v>0.8125</v>
      </c>
      <c r="CO30" s="53">
        <v>0.822916666666667</v>
      </c>
      <c r="CP30" s="53">
        <v>0.833333333333334</v>
      </c>
      <c r="CQ30" s="53">
        <v>0.84375</v>
      </c>
      <c r="CR30" s="53">
        <v>0.854166666666667</v>
      </c>
      <c r="CS30" s="53">
        <v>0.864583333333334</v>
      </c>
      <c r="CT30" s="53">
        <v>0.875</v>
      </c>
      <c r="CU30" s="53">
        <v>0.885416666666667</v>
      </c>
      <c r="CV30" s="53">
        <v>0.895833333333334</v>
      </c>
      <c r="CW30" s="53">
        <v>0.90625</v>
      </c>
      <c r="CX30" s="53">
        <v>0.916666666666667</v>
      </c>
      <c r="CY30" s="53">
        <v>0.927083333333334</v>
      </c>
      <c r="CZ30" s="53">
        <v>0.9375</v>
      </c>
      <c r="DA30" s="53">
        <v>0.947916666666667</v>
      </c>
      <c r="DB30" s="53">
        <v>0.958333333333334</v>
      </c>
      <c r="DC30" s="53">
        <v>0.96875</v>
      </c>
      <c r="DD30" s="53">
        <v>0.979166666666667</v>
      </c>
      <c r="DE30" s="53">
        <v>0.989583333333334</v>
      </c>
      <c r="DF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</row>
    <row r="31" spans="1:54" ht="12.75">
      <c r="A31" s="70" t="s">
        <v>21</v>
      </c>
      <c r="B31" s="72"/>
      <c r="C31" s="72"/>
      <c r="D31" s="7"/>
      <c r="E31" s="8"/>
      <c r="F31" s="9"/>
      <c r="G31" s="54" t="s">
        <v>7</v>
      </c>
      <c r="H31" s="55">
        <v>1</v>
      </c>
      <c r="I31" s="56">
        <f t="shared" si="1"/>
        <v>0</v>
      </c>
      <c r="J31" s="57">
        <f t="shared" si="2"/>
        <v>0</v>
      </c>
      <c r="N31" s="53">
        <v>0.333333333333334</v>
      </c>
      <c r="O31" s="53">
        <v>0.34375</v>
      </c>
      <c r="P31" s="53">
        <v>0.354166666666667</v>
      </c>
      <c r="Q31" s="53">
        <v>0.364583333333334</v>
      </c>
      <c r="R31" s="53">
        <v>0.375</v>
      </c>
      <c r="S31" s="53">
        <v>0.385416666666667</v>
      </c>
      <c r="T31" s="53">
        <v>0.395833333333334</v>
      </c>
      <c r="U31" s="53">
        <v>0.40625</v>
      </c>
      <c r="V31" s="53">
        <v>0.416666666666667</v>
      </c>
      <c r="W31" s="53">
        <v>0.427083333333334</v>
      </c>
      <c r="X31" s="53">
        <v>0.4375</v>
      </c>
      <c r="Y31" s="53">
        <v>0.447916666666667</v>
      </c>
      <c r="Z31" s="53">
        <v>0.458333333333334</v>
      </c>
      <c r="AA31" s="53">
        <v>0.46875</v>
      </c>
      <c r="AB31" s="53">
        <v>0.479166666666667</v>
      </c>
      <c r="AC31" s="53">
        <v>0.489583333333334</v>
      </c>
      <c r="AD31" s="53">
        <v>0.5</v>
      </c>
      <c r="AE31" s="53">
        <v>0.510416666666667</v>
      </c>
      <c r="AF31" s="53">
        <v>0.520833333333334</v>
      </c>
      <c r="AG31" s="53">
        <v>0.53125</v>
      </c>
      <c r="AH31" s="53">
        <v>0.541666666666667</v>
      </c>
      <c r="AI31" s="53">
        <v>0.552083333333334</v>
      </c>
      <c r="AJ31" s="53">
        <v>0.5625</v>
      </c>
      <c r="AK31" s="53">
        <v>0.572916666666667</v>
      </c>
      <c r="AL31" s="53">
        <v>0.583333333333334</v>
      </c>
      <c r="AM31" s="53">
        <v>0.59375</v>
      </c>
      <c r="AN31" s="53">
        <v>0.604166666666667</v>
      </c>
      <c r="AO31" s="53">
        <v>0.614583333333334</v>
      </c>
      <c r="AP31" s="53">
        <v>0.625</v>
      </c>
      <c r="AQ31" s="53">
        <v>0.635416666666667</v>
      </c>
      <c r="AR31" s="53">
        <v>0.645833333333334</v>
      </c>
      <c r="AS31" s="53">
        <v>0.65625</v>
      </c>
      <c r="AT31" s="53">
        <v>0.666666666666667</v>
      </c>
      <c r="AU31" s="53">
        <v>0.677083333333334</v>
      </c>
      <c r="AV31" s="53">
        <v>0.6875</v>
      </c>
      <c r="AW31" s="53">
        <v>0.697916666666667</v>
      </c>
      <c r="AX31" s="53">
        <v>0.708333333333334</v>
      </c>
      <c r="AY31" s="53">
        <v>0.71875</v>
      </c>
      <c r="AZ31" s="53">
        <v>0.729166666666667</v>
      </c>
      <c r="BA31" s="53">
        <v>0.739583333333334</v>
      </c>
      <c r="BB31" s="53">
        <v>0.75</v>
      </c>
    </row>
    <row r="32" spans="1:10" ht="12.75">
      <c r="A32" s="70" t="s">
        <v>22</v>
      </c>
      <c r="B32" s="72"/>
      <c r="C32" s="72"/>
      <c r="D32" s="7"/>
      <c r="E32" s="8"/>
      <c r="F32" s="9"/>
      <c r="G32" s="54" t="s">
        <v>7</v>
      </c>
      <c r="H32" s="55">
        <v>1</v>
      </c>
      <c r="I32" s="56">
        <f t="shared" si="1"/>
        <v>0</v>
      </c>
      <c r="J32" s="57">
        <f t="shared" si="2"/>
        <v>0</v>
      </c>
    </row>
    <row r="33" spans="1:10" ht="12.75">
      <c r="A33" s="70" t="s">
        <v>40</v>
      </c>
      <c r="B33" s="72"/>
      <c r="C33" s="72"/>
      <c r="D33" s="7"/>
      <c r="E33" s="8"/>
      <c r="F33" s="9"/>
      <c r="G33" s="54" t="s">
        <v>7</v>
      </c>
      <c r="H33" s="55">
        <v>1</v>
      </c>
      <c r="I33" s="56">
        <f t="shared" si="1"/>
        <v>0</v>
      </c>
      <c r="J33" s="57">
        <f t="shared" si="2"/>
        <v>0</v>
      </c>
    </row>
    <row r="34" spans="1:10" ht="12.75">
      <c r="A34" s="70" t="s">
        <v>41</v>
      </c>
      <c r="B34" s="72"/>
      <c r="C34" s="72"/>
      <c r="D34" s="7"/>
      <c r="E34" s="8"/>
      <c r="F34" s="9"/>
      <c r="G34" s="54" t="s">
        <v>7</v>
      </c>
      <c r="H34" s="55">
        <v>1</v>
      </c>
      <c r="I34" s="56">
        <f t="shared" si="1"/>
        <v>0</v>
      </c>
      <c r="J34" s="57">
        <f t="shared" si="2"/>
        <v>0</v>
      </c>
    </row>
    <row r="35" spans="1:10" ht="12.75">
      <c r="A35" s="70" t="s">
        <v>42</v>
      </c>
      <c r="B35" s="72"/>
      <c r="C35" s="72"/>
      <c r="D35" s="7"/>
      <c r="E35" s="8"/>
      <c r="F35" s="10"/>
      <c r="G35" s="58" t="s">
        <v>7</v>
      </c>
      <c r="H35" s="59">
        <v>1</v>
      </c>
      <c r="I35" s="60">
        <f t="shared" si="1"/>
        <v>0</v>
      </c>
      <c r="J35" s="61">
        <f t="shared" si="2"/>
        <v>0</v>
      </c>
    </row>
    <row r="36" spans="1:23" ht="12.75">
      <c r="A36" s="70"/>
      <c r="B36" s="72"/>
      <c r="C36" s="72"/>
      <c r="D36" s="62"/>
      <c r="E36" s="55"/>
      <c r="F36" s="63" t="s">
        <v>38</v>
      </c>
      <c r="G36" s="64"/>
      <c r="H36" s="65"/>
      <c r="I36" s="66">
        <f>SUM(I30:I35)</f>
        <v>0</v>
      </c>
      <c r="J36" s="67">
        <f>SUM(J30:J35)</f>
        <v>0</v>
      </c>
      <c r="M36" s="27" t="s">
        <v>113</v>
      </c>
      <c r="N36" s="269" t="s">
        <v>114</v>
      </c>
      <c r="O36" s="269" t="s">
        <v>62</v>
      </c>
      <c r="P36" s="269" t="s">
        <v>163</v>
      </c>
      <c r="Q36" s="269" t="s">
        <v>66</v>
      </c>
      <c r="R36" s="270" t="s">
        <v>124</v>
      </c>
      <c r="S36" s="269" t="s">
        <v>55</v>
      </c>
      <c r="T36" s="269" t="s">
        <v>152</v>
      </c>
      <c r="U36" s="269" t="s">
        <v>63</v>
      </c>
      <c r="V36" s="269" t="s">
        <v>64</v>
      </c>
      <c r="W36" s="269" t="s">
        <v>65</v>
      </c>
    </row>
    <row r="37" spans="1:23" ht="12.75">
      <c r="A37" s="70" t="s">
        <v>12</v>
      </c>
      <c r="B37" s="72"/>
      <c r="C37" s="72"/>
      <c r="D37" s="68" t="s">
        <v>5</v>
      </c>
      <c r="E37" s="69" t="s">
        <v>6</v>
      </c>
      <c r="F37" s="70"/>
      <c r="G37" s="54"/>
      <c r="H37" s="55"/>
      <c r="I37" s="68"/>
      <c r="J37" s="69"/>
      <c r="M37" s="27" t="s">
        <v>171</v>
      </c>
      <c r="N37" s="92">
        <v>188.93</v>
      </c>
      <c r="O37" s="92">
        <v>253.69</v>
      </c>
      <c r="P37" s="92">
        <v>212.98</v>
      </c>
      <c r="Q37" s="92">
        <v>241.79</v>
      </c>
      <c r="R37" s="92">
        <v>240.67</v>
      </c>
      <c r="S37" s="92">
        <v>313.32</v>
      </c>
      <c r="T37" s="92">
        <v>201.64</v>
      </c>
      <c r="U37" s="92">
        <v>224.54</v>
      </c>
      <c r="V37" s="92">
        <v>317.52</v>
      </c>
      <c r="W37" s="92">
        <v>234.83</v>
      </c>
    </row>
    <row r="38" spans="1:23" ht="12.75">
      <c r="A38" s="70" t="s">
        <v>20</v>
      </c>
      <c r="B38" s="72"/>
      <c r="C38" s="72"/>
      <c r="D38" s="7"/>
      <c r="E38" s="8"/>
      <c r="F38" s="9"/>
      <c r="G38" s="54" t="s">
        <v>7</v>
      </c>
      <c r="H38" s="55">
        <v>1</v>
      </c>
      <c r="I38" s="56">
        <f aca="true" t="shared" si="3" ref="I38:I43">+E38-D38</f>
        <v>0</v>
      </c>
      <c r="J38" s="57">
        <f aca="true" t="shared" si="4" ref="J38:J43">+I38*F38</f>
        <v>0</v>
      </c>
      <c r="M38" s="27" t="s">
        <v>138</v>
      </c>
      <c r="N38" s="275">
        <f aca="true" t="shared" si="5" ref="N38:W38">(ROUND(N37*365,0))</f>
        <v>68959</v>
      </c>
      <c r="O38" s="275">
        <f t="shared" si="5"/>
        <v>92597</v>
      </c>
      <c r="P38" s="275">
        <f t="shared" si="5"/>
        <v>77738</v>
      </c>
      <c r="Q38" s="275">
        <f t="shared" si="5"/>
        <v>88253</v>
      </c>
      <c r="R38" s="275">
        <f t="shared" si="5"/>
        <v>87845</v>
      </c>
      <c r="S38" s="275">
        <f t="shared" si="5"/>
        <v>114362</v>
      </c>
      <c r="T38" s="275">
        <f t="shared" si="5"/>
        <v>73599</v>
      </c>
      <c r="U38" s="275">
        <f t="shared" si="5"/>
        <v>81957</v>
      </c>
      <c r="V38" s="275">
        <f t="shared" si="5"/>
        <v>115895</v>
      </c>
      <c r="W38" s="275">
        <f t="shared" si="5"/>
        <v>85713</v>
      </c>
    </row>
    <row r="39" spans="1:23" ht="12.75">
      <c r="A39" s="70" t="s">
        <v>21</v>
      </c>
      <c r="B39" s="72"/>
      <c r="C39" s="72"/>
      <c r="D39" s="7"/>
      <c r="E39" s="8"/>
      <c r="F39" s="9"/>
      <c r="G39" s="54" t="s">
        <v>7</v>
      </c>
      <c r="H39" s="55">
        <v>1</v>
      </c>
      <c r="I39" s="56">
        <f t="shared" si="3"/>
        <v>0</v>
      </c>
      <c r="J39" s="57">
        <f t="shared" si="4"/>
        <v>0</v>
      </c>
      <c r="M39" s="27" t="s">
        <v>109</v>
      </c>
      <c r="N39" s="275">
        <f>+ROUND(N38*1.2,0)</f>
        <v>82751</v>
      </c>
      <c r="O39" s="275">
        <f>+ROUND(O38*1.2,0)</f>
        <v>111116</v>
      </c>
      <c r="P39" s="275">
        <f>+ROUND(P38*1.2,0)</f>
        <v>93286</v>
      </c>
      <c r="Q39" s="275">
        <f>+ROUND(Q38*1.2,0)</f>
        <v>105904</v>
      </c>
      <c r="R39" s="275">
        <f>+Q39</f>
        <v>105904</v>
      </c>
      <c r="S39" s="275">
        <f>+ROUND(S38*1.2,0)</f>
        <v>137234</v>
      </c>
      <c r="T39" s="275">
        <f>+ROUND(T38*1.2,0)</f>
        <v>88319</v>
      </c>
      <c r="U39" s="275">
        <f>+ROUND(U38*1.2,0)</f>
        <v>98348</v>
      </c>
      <c r="V39" s="275">
        <f>+ROUND(V38*1.2,0)</f>
        <v>139074</v>
      </c>
      <c r="W39" s="275">
        <f>+ROUND(W38*1.2,0)</f>
        <v>102856</v>
      </c>
    </row>
    <row r="40" spans="1:10" ht="12.75">
      <c r="A40" s="70" t="s">
        <v>22</v>
      </c>
      <c r="B40" s="72"/>
      <c r="C40" s="72"/>
      <c r="D40" s="7"/>
      <c r="E40" s="8"/>
      <c r="F40" s="9"/>
      <c r="G40" s="54" t="s">
        <v>7</v>
      </c>
      <c r="H40" s="55">
        <v>1</v>
      </c>
      <c r="I40" s="56">
        <f t="shared" si="3"/>
        <v>0</v>
      </c>
      <c r="J40" s="57">
        <f t="shared" si="4"/>
        <v>0</v>
      </c>
    </row>
    <row r="41" spans="1:10" ht="12.75">
      <c r="A41" s="70" t="s">
        <v>40</v>
      </c>
      <c r="B41" s="72"/>
      <c r="C41" s="72"/>
      <c r="D41" s="7"/>
      <c r="E41" s="8"/>
      <c r="F41" s="9"/>
      <c r="G41" s="54" t="s">
        <v>7</v>
      </c>
      <c r="H41" s="55">
        <v>1</v>
      </c>
      <c r="I41" s="56">
        <f t="shared" si="3"/>
        <v>0</v>
      </c>
      <c r="J41" s="57">
        <f t="shared" si="4"/>
        <v>0</v>
      </c>
    </row>
    <row r="42" spans="1:10" ht="12.75">
      <c r="A42" s="70" t="s">
        <v>41</v>
      </c>
      <c r="B42" s="72"/>
      <c r="C42" s="72"/>
      <c r="D42" s="7"/>
      <c r="E42" s="8"/>
      <c r="F42" s="9"/>
      <c r="G42" s="54" t="s">
        <v>7</v>
      </c>
      <c r="H42" s="55">
        <v>1</v>
      </c>
      <c r="I42" s="56">
        <f t="shared" si="3"/>
        <v>0</v>
      </c>
      <c r="J42" s="57">
        <f t="shared" si="4"/>
        <v>0</v>
      </c>
    </row>
    <row r="43" spans="1:10" ht="12.75">
      <c r="A43" s="70" t="s">
        <v>42</v>
      </c>
      <c r="B43" s="72"/>
      <c r="C43" s="72"/>
      <c r="D43" s="7"/>
      <c r="E43" s="8"/>
      <c r="F43" s="10"/>
      <c r="G43" s="58" t="s">
        <v>7</v>
      </c>
      <c r="H43" s="59">
        <v>1</v>
      </c>
      <c r="I43" s="60">
        <f t="shared" si="3"/>
        <v>0</v>
      </c>
      <c r="J43" s="61">
        <f t="shared" si="4"/>
        <v>0</v>
      </c>
    </row>
    <row r="44" spans="1:10" ht="13.5" thickBot="1">
      <c r="A44" s="70"/>
      <c r="B44" s="72"/>
      <c r="C44" s="72"/>
      <c r="D44" s="71"/>
      <c r="E44" s="55"/>
      <c r="F44" s="70" t="s">
        <v>39</v>
      </c>
      <c r="G44" s="72"/>
      <c r="H44" s="55"/>
      <c r="I44" s="56">
        <f>SUM(I38:I43)</f>
        <v>0</v>
      </c>
      <c r="J44" s="57">
        <f>SUM(J38:J43)</f>
        <v>0</v>
      </c>
    </row>
    <row r="45" spans="1:10" ht="13.5" thickBot="1">
      <c r="A45" s="74" t="s">
        <v>128</v>
      </c>
      <c r="B45" s="30"/>
      <c r="C45" s="30"/>
      <c r="D45" s="74" t="s">
        <v>54</v>
      </c>
      <c r="E45" s="30"/>
      <c r="F45" s="30"/>
      <c r="G45" s="30"/>
      <c r="H45" s="30"/>
      <c r="I45" s="121"/>
      <c r="J45" s="279"/>
    </row>
    <row r="46" spans="1:10" ht="13.5" thickBot="1">
      <c r="A46" s="73" t="s">
        <v>50</v>
      </c>
      <c r="B46" s="74"/>
      <c r="C46" s="74"/>
      <c r="D46" s="74" t="s">
        <v>24</v>
      </c>
      <c r="E46" s="30"/>
      <c r="F46" s="30"/>
      <c r="G46" s="30"/>
      <c r="H46" s="30"/>
      <c r="I46" s="121"/>
      <c r="J46" s="279"/>
    </row>
    <row r="47" spans="1:10" ht="13.5" thickBot="1">
      <c r="A47" s="136" t="s">
        <v>115</v>
      </c>
      <c r="B47" s="180"/>
      <c r="C47" s="180"/>
      <c r="D47" s="74"/>
      <c r="E47" s="30"/>
      <c r="F47" s="30"/>
      <c r="G47" s="30"/>
      <c r="H47" s="30"/>
      <c r="I47" s="121"/>
      <c r="J47" s="131">
        <f>(+J36*5+J44*2)+J46+J45</f>
        <v>0</v>
      </c>
    </row>
    <row r="48" spans="1:10" ht="12.75" customHeight="1">
      <c r="A48" s="130" t="s">
        <v>97</v>
      </c>
      <c r="B48" s="181"/>
      <c r="C48" s="181"/>
      <c r="D48" s="126" t="s">
        <v>98</v>
      </c>
      <c r="E48" s="129"/>
      <c r="F48" s="129"/>
      <c r="G48" s="129"/>
      <c r="H48" s="129"/>
      <c r="I48" s="15"/>
      <c r="J48" s="77"/>
    </row>
    <row r="49" spans="1:12" ht="12.75" customHeight="1">
      <c r="A49" s="192"/>
      <c r="B49" s="193"/>
      <c r="C49" s="193"/>
      <c r="D49" s="125" t="s">
        <v>99</v>
      </c>
      <c r="E49" s="72"/>
      <c r="F49" s="72"/>
      <c r="G49" s="72"/>
      <c r="H49" s="72"/>
      <c r="I49" s="127"/>
      <c r="J49" s="134"/>
      <c r="L49" s="78"/>
    </row>
    <row r="50" spans="1:12" ht="12.75" customHeight="1">
      <c r="A50" s="70"/>
      <c r="B50" s="72"/>
      <c r="C50" s="72"/>
      <c r="D50" s="126" t="s">
        <v>120</v>
      </c>
      <c r="E50" s="129"/>
      <c r="F50" s="129"/>
      <c r="G50" s="129"/>
      <c r="H50" s="129"/>
      <c r="I50" s="127"/>
      <c r="J50" s="134"/>
      <c r="L50" s="78"/>
    </row>
    <row r="51" spans="1:12" ht="12.75" customHeight="1" thickBot="1">
      <c r="A51" s="70"/>
      <c r="B51" s="72"/>
      <c r="C51" s="72"/>
      <c r="D51" s="125" t="s">
        <v>104</v>
      </c>
      <c r="E51" s="72"/>
      <c r="F51" s="72"/>
      <c r="G51" s="72"/>
      <c r="H51" s="72"/>
      <c r="I51" s="16"/>
      <c r="J51" s="135"/>
      <c r="L51" s="78"/>
    </row>
    <row r="52" spans="1:12" ht="12.75" customHeight="1" thickBot="1">
      <c r="A52" s="161" t="s">
        <v>100</v>
      </c>
      <c r="B52" s="87"/>
      <c r="C52" s="87"/>
      <c r="D52" s="162"/>
      <c r="E52" s="88"/>
      <c r="F52" s="88"/>
      <c r="G52" s="88"/>
      <c r="H52" s="88"/>
      <c r="I52" s="285">
        <f>+I48+I49+I50+I51</f>
        <v>0</v>
      </c>
      <c r="J52" s="131">
        <f>+J47</f>
        <v>0</v>
      </c>
      <c r="L52" s="78"/>
    </row>
    <row r="53" spans="1:10" s="79" customFormat="1" ht="12.75">
      <c r="A53" s="332">
        <f>IF(AND(OR(J45&lt;&gt;"",J46&lt;&gt;0),('Restpost uren &amp; nachtopvang'!R13+'Restpost uren &amp; nachtopvang'!R35)=0),"U moet nog de toelichting op de nachtopvang en/of restpost uren invullen","")</f>
      </c>
      <c r="B53" s="124"/>
      <c r="C53" s="124"/>
      <c r="D53" s="123"/>
      <c r="E53" s="123"/>
      <c r="F53" s="123"/>
      <c r="G53" s="123"/>
      <c r="H53" s="123"/>
      <c r="I53" s="123"/>
      <c r="J53" s="128"/>
    </row>
    <row r="54" spans="1:10" s="79" customFormat="1" ht="12.75">
      <c r="A54" s="124"/>
      <c r="B54" s="124"/>
      <c r="C54" s="124"/>
      <c r="D54" s="123"/>
      <c r="E54" s="123"/>
      <c r="F54" s="123"/>
      <c r="G54" s="123"/>
      <c r="H54" s="123"/>
      <c r="I54" s="123"/>
      <c r="J54" s="28" t="s">
        <v>139</v>
      </c>
    </row>
    <row r="55" spans="1:11" ht="12.75">
      <c r="A55" s="27">
        <f>+D10</f>
        <v>0</v>
      </c>
      <c r="G55" s="80"/>
      <c r="K55" s="81"/>
    </row>
    <row r="56" spans="7:11" ht="12.75">
      <c r="G56" s="80"/>
      <c r="I56" s="286" t="str">
        <f>+I6</f>
        <v>Versie:</v>
      </c>
      <c r="J56" s="288">
        <f>+J6</f>
        <v>40738</v>
      </c>
      <c r="K56" s="81"/>
    </row>
    <row r="57" spans="7:11" ht="13.5" thickBot="1">
      <c r="G57" s="80"/>
      <c r="I57" s="284" t="str">
        <f>+I7</f>
        <v>Datum:</v>
      </c>
      <c r="J57" s="288">
        <f>+J7</f>
        <v>40738</v>
      </c>
      <c r="K57" s="81"/>
    </row>
    <row r="58" spans="1:11" ht="13.5" thickBot="1">
      <c r="A58" s="38" t="s">
        <v>3</v>
      </c>
      <c r="B58" s="183"/>
      <c r="C58" s="195"/>
      <c r="G58" s="80"/>
      <c r="K58" s="81"/>
    </row>
    <row r="59" spans="1:10" ht="12.75">
      <c r="A59" s="75" t="s">
        <v>34</v>
      </c>
      <c r="B59" s="76"/>
      <c r="C59" s="50"/>
      <c r="D59" s="39" t="s">
        <v>51</v>
      </c>
      <c r="E59" s="40"/>
      <c r="F59" s="41" t="s">
        <v>11</v>
      </c>
      <c r="G59" s="82"/>
      <c r="H59" s="40"/>
      <c r="I59" s="83" t="s">
        <v>8</v>
      </c>
      <c r="J59" s="40"/>
    </row>
    <row r="60" spans="1:10" ht="13.5" thickBot="1">
      <c r="A60" s="84"/>
      <c r="B60" s="176"/>
      <c r="C60" s="191"/>
      <c r="D60" s="45" t="s">
        <v>5</v>
      </c>
      <c r="E60" s="46" t="s">
        <v>6</v>
      </c>
      <c r="F60" s="47" t="s">
        <v>10</v>
      </c>
      <c r="G60" s="85"/>
      <c r="H60" s="85"/>
      <c r="I60" s="45" t="s">
        <v>26</v>
      </c>
      <c r="J60" s="46" t="s">
        <v>27</v>
      </c>
    </row>
    <row r="61" spans="1:10" ht="12.75">
      <c r="A61" s="70" t="s">
        <v>13</v>
      </c>
      <c r="B61" s="72"/>
      <c r="C61" s="55"/>
      <c r="D61" s="7"/>
      <c r="E61" s="11"/>
      <c r="F61" s="12"/>
      <c r="G61" s="86" t="s">
        <v>7</v>
      </c>
      <c r="H61" s="72">
        <v>1</v>
      </c>
      <c r="I61" s="56">
        <f aca="true" t="shared" si="6" ref="I61:I66">+E61-D61</f>
        <v>0</v>
      </c>
      <c r="J61" s="57">
        <f aca="true" t="shared" si="7" ref="J61:J67">+I61*F61</f>
        <v>0</v>
      </c>
    </row>
    <row r="62" spans="1:10" ht="12.75">
      <c r="A62" s="70" t="s">
        <v>14</v>
      </c>
      <c r="B62" s="72"/>
      <c r="C62" s="55"/>
      <c r="D62" s="7"/>
      <c r="E62" s="11"/>
      <c r="F62" s="12"/>
      <c r="G62" s="86" t="s">
        <v>7</v>
      </c>
      <c r="H62" s="72">
        <v>1</v>
      </c>
      <c r="I62" s="56">
        <f t="shared" si="6"/>
        <v>0</v>
      </c>
      <c r="J62" s="57">
        <f t="shared" si="7"/>
        <v>0</v>
      </c>
    </row>
    <row r="63" spans="1:10" ht="12.75">
      <c r="A63" s="70" t="s">
        <v>15</v>
      </c>
      <c r="B63" s="72"/>
      <c r="C63" s="55"/>
      <c r="D63" s="7"/>
      <c r="E63" s="11"/>
      <c r="F63" s="12"/>
      <c r="G63" s="86" t="s">
        <v>7</v>
      </c>
      <c r="H63" s="72">
        <v>1</v>
      </c>
      <c r="I63" s="56">
        <f t="shared" si="6"/>
        <v>0</v>
      </c>
      <c r="J63" s="57">
        <f t="shared" si="7"/>
        <v>0</v>
      </c>
    </row>
    <row r="64" spans="1:10" ht="12.75">
      <c r="A64" s="70" t="s">
        <v>16</v>
      </c>
      <c r="B64" s="72"/>
      <c r="C64" s="72"/>
      <c r="D64" s="7"/>
      <c r="E64" s="11"/>
      <c r="F64" s="12"/>
      <c r="G64" s="86" t="s">
        <v>7</v>
      </c>
      <c r="H64" s="72">
        <v>1</v>
      </c>
      <c r="I64" s="56">
        <f t="shared" si="6"/>
        <v>0</v>
      </c>
      <c r="J64" s="57">
        <f t="shared" si="7"/>
        <v>0</v>
      </c>
    </row>
    <row r="65" spans="1:10" ht="12.75">
      <c r="A65" s="70" t="s">
        <v>17</v>
      </c>
      <c r="B65" s="72"/>
      <c r="C65" s="72"/>
      <c r="D65" s="7"/>
      <c r="E65" s="11"/>
      <c r="F65" s="12"/>
      <c r="G65" s="86" t="s">
        <v>7</v>
      </c>
      <c r="H65" s="72">
        <v>1</v>
      </c>
      <c r="I65" s="56">
        <f t="shared" si="6"/>
        <v>0</v>
      </c>
      <c r="J65" s="57">
        <f t="shared" si="7"/>
        <v>0</v>
      </c>
    </row>
    <row r="66" spans="1:10" ht="12.75">
      <c r="A66" s="70" t="s">
        <v>18</v>
      </c>
      <c r="B66" s="72"/>
      <c r="C66" s="72"/>
      <c r="D66" s="7"/>
      <c r="E66" s="11"/>
      <c r="F66" s="12"/>
      <c r="G66" s="86" t="s">
        <v>7</v>
      </c>
      <c r="H66" s="72">
        <v>1</v>
      </c>
      <c r="I66" s="56">
        <f t="shared" si="6"/>
        <v>0</v>
      </c>
      <c r="J66" s="57">
        <f t="shared" si="7"/>
        <v>0</v>
      </c>
    </row>
    <row r="67" spans="1:10" ht="13.5" thickBot="1">
      <c r="A67" s="70" t="s">
        <v>19</v>
      </c>
      <c r="B67" s="72"/>
      <c r="C67" s="72"/>
      <c r="D67" s="13"/>
      <c r="E67" s="11"/>
      <c r="F67" s="12"/>
      <c r="G67" s="86" t="s">
        <v>7</v>
      </c>
      <c r="H67" s="72">
        <v>1</v>
      </c>
      <c r="I67" s="56">
        <f>+E67-D67</f>
        <v>0</v>
      </c>
      <c r="J67" s="57">
        <f t="shared" si="7"/>
        <v>0</v>
      </c>
    </row>
    <row r="68" spans="1:10" ht="13.5" thickBot="1">
      <c r="A68" s="74" t="s">
        <v>50</v>
      </c>
      <c r="B68" s="30"/>
      <c r="C68" s="30"/>
      <c r="D68" s="30" t="s">
        <v>24</v>
      </c>
      <c r="E68" s="30"/>
      <c r="F68" s="30"/>
      <c r="G68" s="30"/>
      <c r="H68" s="30"/>
      <c r="I68" s="121"/>
      <c r="J68" s="279"/>
    </row>
    <row r="69" spans="1:12" ht="13.5" thickBot="1">
      <c r="A69" s="74" t="s">
        <v>116</v>
      </c>
      <c r="B69" s="30"/>
      <c r="C69" s="30"/>
      <c r="D69" s="169"/>
      <c r="E69" s="170"/>
      <c r="F69" s="30"/>
      <c r="G69" s="30"/>
      <c r="H69" s="30"/>
      <c r="I69" s="171"/>
      <c r="J69" s="172">
        <f>SUM(J61:J68)</f>
        <v>0</v>
      </c>
      <c r="L69" s="156"/>
    </row>
    <row r="70" spans="1:12" ht="12.75" customHeight="1">
      <c r="A70" s="182" t="s">
        <v>97</v>
      </c>
      <c r="B70" s="82"/>
      <c r="C70" s="82"/>
      <c r="D70" s="137" t="s">
        <v>98</v>
      </c>
      <c r="E70" s="82"/>
      <c r="F70" s="82"/>
      <c r="G70" s="82"/>
      <c r="H70" s="82"/>
      <c r="I70" s="15"/>
      <c r="J70" s="77"/>
      <c r="L70" s="78"/>
    </row>
    <row r="71" spans="1:12" ht="12.75" customHeight="1" thickBot="1">
      <c r="A71" s="70"/>
      <c r="B71" s="72"/>
      <c r="C71" s="72"/>
      <c r="D71" s="126" t="s">
        <v>104</v>
      </c>
      <c r="E71" s="129"/>
      <c r="F71" s="129"/>
      <c r="G71" s="129"/>
      <c r="H71" s="129"/>
      <c r="I71" s="127"/>
      <c r="J71" s="134"/>
      <c r="L71" s="224"/>
    </row>
    <row r="72" spans="1:13" ht="12.75" customHeight="1" thickBot="1">
      <c r="A72" s="87" t="s">
        <v>101</v>
      </c>
      <c r="B72" s="88"/>
      <c r="C72" s="88"/>
      <c r="D72" s="162"/>
      <c r="E72" s="88"/>
      <c r="F72" s="88"/>
      <c r="G72" s="88"/>
      <c r="H72" s="88"/>
      <c r="I72" s="285">
        <f>+I70+I71</f>
        <v>0</v>
      </c>
      <c r="J72" s="131">
        <f>+J69</f>
        <v>0</v>
      </c>
      <c r="L72" s="138"/>
      <c r="M72" s="78"/>
    </row>
    <row r="73" spans="1:13" ht="12.75" customHeight="1">
      <c r="A73" s="332">
        <f>IF(AND(J68&lt;&gt;0,'Restpost uren &amp; nachtopvang'!R35=0),"U moet nog de toelichting op de restpost uren invullen","")</f>
      </c>
      <c r="B73" s="109"/>
      <c r="C73" s="109"/>
      <c r="D73" s="123"/>
      <c r="E73" s="109"/>
      <c r="F73" s="109"/>
      <c r="G73" s="109"/>
      <c r="H73" s="109"/>
      <c r="I73" s="248"/>
      <c r="J73" s="249"/>
      <c r="L73" s="138"/>
      <c r="M73" s="78"/>
    </row>
    <row r="74" spans="1:3" ht="12.75">
      <c r="A74" s="72"/>
      <c r="B74" s="72"/>
      <c r="C74" s="72"/>
    </row>
    <row r="75" spans="1:3" ht="13.5" thickBot="1">
      <c r="A75" s="72"/>
      <c r="B75" s="72"/>
      <c r="C75" s="72"/>
    </row>
    <row r="76" spans="1:5" ht="13.5" thickBot="1">
      <c r="A76" s="90" t="s">
        <v>36</v>
      </c>
      <c r="B76" s="183"/>
      <c r="C76" s="183"/>
      <c r="D76" s="30"/>
      <c r="E76" s="91"/>
    </row>
    <row r="77" spans="1:10" ht="29.25" customHeight="1" thickBot="1">
      <c r="A77" s="175" t="s">
        <v>31</v>
      </c>
      <c r="B77" s="187"/>
      <c r="C77" s="187"/>
      <c r="D77" s="93" t="s">
        <v>28</v>
      </c>
      <c r="E77" s="94"/>
      <c r="F77" s="95"/>
      <c r="G77" s="96" t="s">
        <v>30</v>
      </c>
      <c r="H77" s="353"/>
      <c r="I77" s="354"/>
      <c r="J77" s="97" t="s">
        <v>35</v>
      </c>
    </row>
    <row r="78" spans="1:10" ht="12.75">
      <c r="A78" s="70" t="s">
        <v>0</v>
      </c>
      <c r="B78" s="72"/>
      <c r="C78" s="72"/>
      <c r="D78" s="98">
        <v>65</v>
      </c>
      <c r="E78" s="86"/>
      <c r="F78" s="99"/>
      <c r="G78" s="15"/>
      <c r="H78" s="100"/>
      <c r="I78" s="100"/>
      <c r="J78" s="48"/>
    </row>
    <row r="79" spans="1:10" ht="12.75">
      <c r="A79" s="70" t="s">
        <v>1</v>
      </c>
      <c r="B79" s="72"/>
      <c r="C79" s="72"/>
      <c r="D79" s="98">
        <v>80</v>
      </c>
      <c r="E79" s="86"/>
      <c r="F79" s="99"/>
      <c r="G79" s="16"/>
      <c r="H79" s="100"/>
      <c r="I79" s="100"/>
      <c r="J79" s="48"/>
    </row>
    <row r="80" spans="1:10" ht="12.75">
      <c r="A80" s="70" t="s">
        <v>25</v>
      </c>
      <c r="B80" s="72"/>
      <c r="C80" s="72"/>
      <c r="D80" s="98">
        <v>70</v>
      </c>
      <c r="E80" s="86"/>
      <c r="F80" s="99"/>
      <c r="G80" s="16"/>
      <c r="H80" s="100"/>
      <c r="I80" s="100"/>
      <c r="J80" s="48"/>
    </row>
    <row r="81" spans="1:10" ht="13.5" thickBot="1">
      <c r="A81" s="70" t="s">
        <v>2</v>
      </c>
      <c r="B81" s="72"/>
      <c r="C81" s="72"/>
      <c r="D81" s="101">
        <v>60</v>
      </c>
      <c r="E81" s="102"/>
      <c r="F81" s="103"/>
      <c r="G81" s="17"/>
      <c r="H81" s="100"/>
      <c r="I81" s="100"/>
      <c r="J81" s="48"/>
    </row>
    <row r="82" spans="1:12" s="160" customFormat="1" ht="13.5" thickBot="1">
      <c r="A82" s="87" t="s">
        <v>117</v>
      </c>
      <c r="B82" s="184"/>
      <c r="C82" s="184"/>
      <c r="D82" s="157"/>
      <c r="E82" s="157"/>
      <c r="F82" s="157"/>
      <c r="G82" s="157"/>
      <c r="H82" s="158"/>
      <c r="I82" s="158"/>
      <c r="J82" s="204">
        <f>SUM(G78:G81)</f>
        <v>0</v>
      </c>
      <c r="K82" s="159"/>
      <c r="L82" s="159"/>
    </row>
    <row r="83" spans="1:10" ht="13.5" thickBot="1">
      <c r="A83" s="104"/>
      <c r="B83" s="104"/>
      <c r="C83" s="104"/>
      <c r="D83" s="72"/>
      <c r="E83" s="72"/>
      <c r="F83" s="72"/>
      <c r="G83" s="72"/>
      <c r="H83" s="105"/>
      <c r="I83" s="105"/>
      <c r="J83" s="106"/>
    </row>
    <row r="84" spans="1:10" ht="13.5" thickBot="1">
      <c r="A84" s="87" t="s">
        <v>53</v>
      </c>
      <c r="B84" s="88"/>
      <c r="C84" s="88"/>
      <c r="D84" s="107"/>
      <c r="E84" s="107"/>
      <c r="F84" s="30"/>
      <c r="G84" s="30"/>
      <c r="H84" s="108"/>
      <c r="I84" s="140" t="s">
        <v>102</v>
      </c>
      <c r="J84" s="139" t="s">
        <v>103</v>
      </c>
    </row>
    <row r="85" spans="1:12" ht="12.75" customHeight="1">
      <c r="A85" s="182" t="s">
        <v>97</v>
      </c>
      <c r="B85" s="186"/>
      <c r="C85" s="186"/>
      <c r="D85" s="126" t="s">
        <v>98</v>
      </c>
      <c r="E85" s="129"/>
      <c r="F85" s="129"/>
      <c r="G85" s="129"/>
      <c r="H85" s="129"/>
      <c r="I85" s="333">
        <f>+I48+I70</f>
        <v>0</v>
      </c>
      <c r="J85" s="77"/>
      <c r="L85" s="78"/>
    </row>
    <row r="86" spans="1:15" ht="12.75" customHeight="1">
      <c r="A86" s="70"/>
      <c r="B86" s="72"/>
      <c r="C86" s="72"/>
      <c r="D86" s="125" t="s">
        <v>99</v>
      </c>
      <c r="E86" s="72"/>
      <c r="F86" s="72"/>
      <c r="G86" s="72"/>
      <c r="H86" s="72"/>
      <c r="I86" s="334">
        <f>+I49</f>
        <v>0</v>
      </c>
      <c r="J86" s="134"/>
      <c r="L86" s="78"/>
      <c r="O86" s="27" t="s">
        <v>194</v>
      </c>
    </row>
    <row r="87" spans="1:12" ht="12.75" customHeight="1" thickBot="1">
      <c r="A87" s="70"/>
      <c r="B87" s="72"/>
      <c r="C87" s="72"/>
      <c r="D87" s="126" t="s">
        <v>120</v>
      </c>
      <c r="E87" s="129"/>
      <c r="F87" s="129"/>
      <c r="G87" s="129"/>
      <c r="H87" s="129"/>
      <c r="I87" s="334">
        <f>+I50</f>
        <v>0</v>
      </c>
      <c r="J87" s="134"/>
      <c r="L87" s="78"/>
    </row>
    <row r="88" spans="1:15" ht="12.75" customHeight="1" thickBot="1">
      <c r="A88" s="70"/>
      <c r="B88" s="72"/>
      <c r="C88" s="72"/>
      <c r="D88" s="126" t="s">
        <v>104</v>
      </c>
      <c r="E88" s="129"/>
      <c r="F88" s="129"/>
      <c r="G88" s="129"/>
      <c r="H88" s="129"/>
      <c r="I88" s="334">
        <f>+I51+I71</f>
        <v>0</v>
      </c>
      <c r="J88" s="132"/>
      <c r="O88" s="279">
        <v>0.0006944444444444445</v>
      </c>
    </row>
    <row r="89" spans="1:15" ht="12.75" customHeight="1" thickBot="1">
      <c r="A89" s="70"/>
      <c r="B89" s="72"/>
      <c r="C89" s="72"/>
      <c r="D89" s="125" t="s">
        <v>70</v>
      </c>
      <c r="E89" s="72"/>
      <c r="F89" s="72"/>
      <c r="G89" s="72"/>
      <c r="H89" s="72"/>
      <c r="I89" s="335">
        <f>+J82</f>
        <v>0</v>
      </c>
      <c r="J89" s="133"/>
      <c r="O89" s="78"/>
    </row>
    <row r="90" spans="1:15" s="26" customFormat="1" ht="13.5" customHeight="1" thickBot="1">
      <c r="A90" s="87" t="s">
        <v>23</v>
      </c>
      <c r="B90" s="88"/>
      <c r="C90" s="88"/>
      <c r="D90" s="162"/>
      <c r="E90" s="88"/>
      <c r="F90" s="88"/>
      <c r="G90" s="88"/>
      <c r="H90" s="88"/>
      <c r="I90" s="205"/>
      <c r="J90" s="336">
        <f>SUM(I85:I89)</f>
        <v>0</v>
      </c>
      <c r="K90" s="89"/>
      <c r="O90" s="89">
        <f>+J90+O88</f>
        <v>0.0006944444444444445</v>
      </c>
    </row>
    <row r="91" spans="1:15" ht="12.75">
      <c r="A91" s="324">
        <f>IF(J91&gt;O90,"Berekende uren groter dan opgegeven uren",IF(J91&lt;O91,"Berekende uren kleiner dan opgegeven onderverdeling uren",""))</f>
      </c>
      <c r="B91" s="109"/>
      <c r="C91" s="109"/>
      <c r="D91" s="110"/>
      <c r="E91" s="110"/>
      <c r="F91" s="72"/>
      <c r="G91" s="72"/>
      <c r="H91" s="111"/>
      <c r="I91" s="141"/>
      <c r="J91" s="328">
        <f>+J82+J72+J52</f>
        <v>0</v>
      </c>
      <c r="O91" s="78">
        <f>+J90-O88</f>
        <v>-0.0006944444444444445</v>
      </c>
    </row>
    <row r="92" spans="1:9" ht="12.75">
      <c r="A92" s="72"/>
      <c r="B92" s="72"/>
      <c r="C92" s="72"/>
      <c r="H92" s="112"/>
      <c r="I92" s="112"/>
    </row>
    <row r="93" spans="1:9" ht="15.75">
      <c r="A93" s="188" t="s">
        <v>137</v>
      </c>
      <c r="B93" s="188"/>
      <c r="C93" s="188"/>
      <c r="H93" s="112"/>
      <c r="I93" s="112"/>
    </row>
    <row r="94" spans="1:9" ht="13.5" thickBot="1">
      <c r="A94" s="72"/>
      <c r="B94" s="72"/>
      <c r="C94" s="72"/>
      <c r="H94" s="112"/>
      <c r="I94" s="112"/>
    </row>
    <row r="95" spans="1:11" ht="15" customHeight="1">
      <c r="A95" s="197">
        <f>+D11</f>
        <v>300</v>
      </c>
      <c r="B95" s="198" t="s">
        <v>111</v>
      </c>
      <c r="C95" s="198">
        <f>+E11</f>
        <v>0</v>
      </c>
      <c r="D95" s="174" t="s">
        <v>67</v>
      </c>
      <c r="E95" s="347" t="s">
        <v>149</v>
      </c>
      <c r="F95" s="340" t="s">
        <v>110</v>
      </c>
      <c r="G95" s="236" t="s">
        <v>71</v>
      </c>
      <c r="H95" s="280" t="s">
        <v>173</v>
      </c>
      <c r="I95" s="340" t="s">
        <v>132</v>
      </c>
      <c r="J95" s="340" t="s">
        <v>148</v>
      </c>
      <c r="K95" s="78"/>
    </row>
    <row r="96" spans="1:11" ht="14.25" customHeight="1" thickBot="1">
      <c r="A96" s="84">
        <f>+D10</f>
        <v>0</v>
      </c>
      <c r="B96" s="176"/>
      <c r="C96" s="176"/>
      <c r="D96" s="163"/>
      <c r="E96" s="341"/>
      <c r="F96" s="341"/>
      <c r="G96" s="237"/>
      <c r="H96" s="225" t="s">
        <v>172</v>
      </c>
      <c r="I96" s="341"/>
      <c r="J96" s="341"/>
      <c r="K96" s="78"/>
    </row>
    <row r="97" spans="1:16" ht="13.5" customHeight="1">
      <c r="A97" s="70" t="s">
        <v>61</v>
      </c>
      <c r="B97" s="72"/>
      <c r="C97" s="72"/>
      <c r="D97" s="48" t="s">
        <v>56</v>
      </c>
      <c r="E97" s="238">
        <f>IF(D14="",0,VLOOKUP($D$14,Uitgangspunten!$A$15:$I$24,3,FALSE))</f>
        <v>0</v>
      </c>
      <c r="F97" s="113">
        <f>VALUE(I48)*24</f>
        <v>0</v>
      </c>
      <c r="G97" s="144">
        <f>+F97-E97</f>
        <v>0</v>
      </c>
      <c r="H97" s="114">
        <f>+Uitgangspunten!C26</f>
        <v>32.67</v>
      </c>
      <c r="I97" s="115">
        <f>+ROUND(G97*H97/7*365,0)</f>
        <v>0</v>
      </c>
      <c r="J97" s="115">
        <f>IF(I109-I110&lt;0,0,+(F97-E97*1.1)*H97/7*365)</f>
        <v>0</v>
      </c>
      <c r="K97" s="114"/>
      <c r="L97" s="271"/>
      <c r="P97" s="282"/>
    </row>
    <row r="98" spans="1:12" ht="13.5" customHeight="1">
      <c r="A98" s="70"/>
      <c r="B98" s="72"/>
      <c r="C98" s="72"/>
      <c r="D98" s="48" t="s">
        <v>57</v>
      </c>
      <c r="E98" s="238">
        <f>IF(D14="",0,VLOOKUP($D$14,Uitgangspunten!$A$15:$I$24,4,FALSE))</f>
        <v>0</v>
      </c>
      <c r="F98" s="113">
        <f>VALUE(I49)*24</f>
        <v>0</v>
      </c>
      <c r="G98" s="144">
        <f aca="true" t="shared" si="8" ref="G98:G105">+F98-E98</f>
        <v>0</v>
      </c>
      <c r="H98" s="114">
        <f>+Uitgangspunten!D26</f>
        <v>31.38</v>
      </c>
      <c r="I98" s="115">
        <f>ROUND(+G98*H98/7*365,0)</f>
        <v>0</v>
      </c>
      <c r="J98" s="115">
        <f>IF(I109-I110&lt;0,0,+(F98-E98*1.1)*H98/7*365)</f>
        <v>0</v>
      </c>
      <c r="K98" s="114"/>
      <c r="L98" s="271"/>
    </row>
    <row r="99" spans="1:11" ht="13.5" customHeight="1">
      <c r="A99" s="70"/>
      <c r="B99" s="72"/>
      <c r="C99" s="72"/>
      <c r="D99" s="48" t="s">
        <v>58</v>
      </c>
      <c r="E99" s="238">
        <f>IF(D14="",0,VLOOKUP($D$14,Uitgangspunten!$A$15:$I$24,5,FALSE))</f>
        <v>0</v>
      </c>
      <c r="F99" s="113">
        <f>VALUE(I50)*24</f>
        <v>0</v>
      </c>
      <c r="G99" s="144">
        <f t="shared" si="8"/>
        <v>0</v>
      </c>
      <c r="H99" s="114">
        <f>+Uitgangspunten!E26</f>
        <v>32.4</v>
      </c>
      <c r="I99" s="115">
        <f>+ROUND(G99*H99/7*365,)</f>
        <v>0</v>
      </c>
      <c r="J99" s="115">
        <f>IF(I109-I110&lt;0,0,+(F99-E99*1.1)*H99/7*365)</f>
        <v>0</v>
      </c>
      <c r="K99" s="271"/>
    </row>
    <row r="100" spans="1:11" ht="13.5" customHeight="1">
      <c r="A100" s="70"/>
      <c r="B100" s="72"/>
      <c r="C100" s="72"/>
      <c r="D100" s="48" t="s">
        <v>59</v>
      </c>
      <c r="E100" s="238">
        <f>IF(D14="",0,VLOOKUP($D$14,Uitgangspunten!$A$15:$I$24,6,FALSE))</f>
        <v>0</v>
      </c>
      <c r="F100" s="113">
        <f>VALUE(I51)*24</f>
        <v>0</v>
      </c>
      <c r="G100" s="144">
        <f t="shared" si="8"/>
        <v>0</v>
      </c>
      <c r="H100" s="114">
        <f>+Uitgangspunten!F26</f>
        <v>35.84</v>
      </c>
      <c r="I100" s="115">
        <f>+ROUND(G100*H100/7*365,0)</f>
        <v>0</v>
      </c>
      <c r="J100" s="115">
        <f>IF(I109-I110&lt;0,0,+(F100-E100*1.1)*H100/7*365)</f>
        <v>0</v>
      </c>
      <c r="K100" s="271"/>
    </row>
    <row r="101" spans="1:11" ht="13.5" customHeight="1">
      <c r="A101" s="151" t="s">
        <v>68</v>
      </c>
      <c r="B101" s="189"/>
      <c r="C101" s="189"/>
      <c r="D101" s="152"/>
      <c r="E101" s="239">
        <f>+E97+E98+E99+E100</f>
        <v>0</v>
      </c>
      <c r="F101" s="153">
        <f>+F97+F98+F99+F100+0.001</f>
        <v>0.001</v>
      </c>
      <c r="G101" s="153">
        <f t="shared" si="8"/>
        <v>0.001</v>
      </c>
      <c r="H101" s="154"/>
      <c r="I101" s="155"/>
      <c r="J101" s="155"/>
      <c r="K101" s="271"/>
    </row>
    <row r="102" spans="1:11" ht="13.5" customHeight="1">
      <c r="A102" s="70" t="s">
        <v>3</v>
      </c>
      <c r="B102" s="72"/>
      <c r="C102" s="72"/>
      <c r="D102" s="48" t="s">
        <v>56</v>
      </c>
      <c r="E102" s="238">
        <f>IF(D14="",0,VLOOKUP($D$14,Uitgangspunten!$A$15:$I$24,7,FALSE))</f>
        <v>0</v>
      </c>
      <c r="F102" s="113">
        <f>VALUE(I70)*24</f>
        <v>0</v>
      </c>
      <c r="G102" s="144">
        <f t="shared" si="8"/>
        <v>0</v>
      </c>
      <c r="H102" s="114">
        <f>+H97</f>
        <v>32.67</v>
      </c>
      <c r="I102" s="115">
        <f>ROUND(+G102*H102/7*365,0)</f>
        <v>0</v>
      </c>
      <c r="J102" s="115">
        <f>IF(I109-I110&lt;0,0,+(F102-E102*1.1)*H102/7*365)</f>
        <v>0</v>
      </c>
      <c r="K102" s="271"/>
    </row>
    <row r="103" spans="1:11" ht="13.5" customHeight="1">
      <c r="A103" s="70"/>
      <c r="B103" s="72"/>
      <c r="C103" s="72"/>
      <c r="D103" s="48" t="s">
        <v>59</v>
      </c>
      <c r="E103" s="238">
        <f>IF(D14="",0,VLOOKUP($D$14,Uitgangspunten!$A$15:$I$24,8,FALSE))</f>
        <v>0</v>
      </c>
      <c r="F103" s="113">
        <f>VALUE(I71)*24</f>
        <v>0</v>
      </c>
      <c r="G103" s="144">
        <f t="shared" si="8"/>
        <v>0</v>
      </c>
      <c r="H103" s="114">
        <f>+H100</f>
        <v>35.84</v>
      </c>
      <c r="I103" s="115">
        <f>+ROUND(G103*H103/7*365,0)</f>
        <v>0</v>
      </c>
      <c r="J103" s="115">
        <f>IF(I109-I110&lt;0,0,+(F103-E103*1.1)*H103/7*365)</f>
        <v>0</v>
      </c>
      <c r="K103" s="271"/>
    </row>
    <row r="104" spans="1:11" ht="13.5" customHeight="1">
      <c r="A104" s="151" t="s">
        <v>69</v>
      </c>
      <c r="B104" s="189"/>
      <c r="C104" s="189"/>
      <c r="D104" s="152"/>
      <c r="E104" s="240">
        <f>+E102+E103</f>
        <v>0</v>
      </c>
      <c r="F104" s="153">
        <f>+F102+F103+0.001</f>
        <v>0.001</v>
      </c>
      <c r="G104" s="153">
        <f t="shared" si="8"/>
        <v>0.001</v>
      </c>
      <c r="H104" s="154"/>
      <c r="I104" s="155"/>
      <c r="J104" s="155"/>
      <c r="K104" s="271"/>
    </row>
    <row r="105" spans="1:11" ht="13.5" customHeight="1">
      <c r="A105" s="63" t="s">
        <v>70</v>
      </c>
      <c r="B105" s="129"/>
      <c r="C105" s="129"/>
      <c r="D105" s="116" t="s">
        <v>60</v>
      </c>
      <c r="E105" s="241">
        <f>IF(D14="",0,VLOOKUP($D$14,Uitgangspunten!$A$15:$I$24,9,FALSE))</f>
        <v>0</v>
      </c>
      <c r="F105" s="117">
        <f>VALUE(J82)*24</f>
        <v>0</v>
      </c>
      <c r="G105" s="153">
        <f t="shared" si="8"/>
        <v>0</v>
      </c>
      <c r="H105" s="118">
        <f>+Uitgangspunten!I26</f>
        <v>65.72</v>
      </c>
      <c r="I105" s="119">
        <f>ROUND(+G105*H105/7*365,0)</f>
        <v>0</v>
      </c>
      <c r="J105" s="119">
        <f>IF(I109-I110&lt;0,0,+(F105-E105*1.1)*H105/7*365)</f>
        <v>0</v>
      </c>
      <c r="K105" s="271"/>
    </row>
    <row r="106" spans="1:17" ht="13.5" customHeight="1" thickBot="1">
      <c r="A106" s="142" t="s">
        <v>72</v>
      </c>
      <c r="B106" s="190"/>
      <c r="C106" s="190"/>
      <c r="D106" s="143"/>
      <c r="E106" s="242">
        <f>+E105</f>
        <v>0</v>
      </c>
      <c r="F106" s="144">
        <f>+F105+0.001</f>
        <v>0.001</v>
      </c>
      <c r="G106" s="144">
        <f>+G105</f>
        <v>0</v>
      </c>
      <c r="H106" s="145"/>
      <c r="I106" s="146"/>
      <c r="J106" s="146"/>
      <c r="P106" s="79"/>
      <c r="Q106" s="79"/>
    </row>
    <row r="107" spans="1:17" ht="17.25" customHeight="1" thickBot="1">
      <c r="A107" s="147" t="s">
        <v>147</v>
      </c>
      <c r="B107" s="148"/>
      <c r="C107" s="148"/>
      <c r="D107" s="148"/>
      <c r="E107" s="243">
        <f>+E105+E104+E101</f>
        <v>0</v>
      </c>
      <c r="F107" s="149">
        <f>+F101+F104+F106</f>
        <v>0.003</v>
      </c>
      <c r="G107" s="149">
        <f>+F107-E107</f>
        <v>0.003</v>
      </c>
      <c r="H107" s="148"/>
      <c r="I107" s="150">
        <f>SUM(I97:I105)</f>
        <v>0</v>
      </c>
      <c r="J107" s="150">
        <f>SUM(J97:J105)</f>
        <v>0</v>
      </c>
      <c r="K107" s="244"/>
      <c r="L107" s="244"/>
      <c r="P107" s="79"/>
      <c r="Q107" s="79"/>
    </row>
    <row r="108" spans="1:10" ht="13.5" customHeight="1" thickBot="1">
      <c r="A108" s="164" t="s">
        <v>138</v>
      </c>
      <c r="B108" s="185"/>
      <c r="C108" s="185"/>
      <c r="D108" s="76">
        <f>IF(D14="","",+D14)</f>
      </c>
      <c r="E108" s="76"/>
      <c r="F108" s="76"/>
      <c r="G108" s="76"/>
      <c r="H108" s="76"/>
      <c r="I108" s="165">
        <f>IF(D14="",0,+HLOOKUP(D14,N36:W39,3,FALSE))</f>
        <v>0</v>
      </c>
      <c r="J108" s="165"/>
    </row>
    <row r="109" spans="1:15" ht="13.5" customHeight="1" thickBot="1">
      <c r="A109" s="351" t="s">
        <v>107</v>
      </c>
      <c r="B109" s="352"/>
      <c r="C109" s="352"/>
      <c r="D109" s="352"/>
      <c r="E109" s="352"/>
      <c r="F109" s="168"/>
      <c r="G109" s="168"/>
      <c r="H109" s="168"/>
      <c r="I109" s="268">
        <f>+ROUND(I107+I108,0)</f>
        <v>0</v>
      </c>
      <c r="J109" s="173"/>
      <c r="L109" s="244"/>
      <c r="O109" s="283"/>
    </row>
    <row r="110" spans="1:10" ht="13.5" customHeight="1" thickBot="1">
      <c r="A110" s="120" t="s">
        <v>108</v>
      </c>
      <c r="B110" s="85"/>
      <c r="C110" s="85"/>
      <c r="D110" s="85"/>
      <c r="E110" s="85"/>
      <c r="F110" s="166"/>
      <c r="G110" s="85"/>
      <c r="H110" s="85"/>
      <c r="I110" s="167">
        <f>IF(I107=0,0,HLOOKUP(D14,N36:W39,4,FALSE))</f>
        <v>0</v>
      </c>
      <c r="J110" s="167"/>
    </row>
    <row r="111" spans="1:10" ht="13.5" customHeight="1" thickBot="1">
      <c r="A111" s="120" t="s">
        <v>165</v>
      </c>
      <c r="B111" s="85"/>
      <c r="C111" s="85"/>
      <c r="D111" s="85"/>
      <c r="E111" s="85"/>
      <c r="F111" s="166"/>
      <c r="G111" s="85"/>
      <c r="H111" s="85"/>
      <c r="I111" s="167"/>
      <c r="J111" s="167">
        <f>IF(J114="JA",J107,0)</f>
        <v>0</v>
      </c>
    </row>
    <row r="112" spans="1:10" ht="13.5" customHeight="1" thickBot="1">
      <c r="A112" s="120" t="s">
        <v>164</v>
      </c>
      <c r="B112" s="85"/>
      <c r="C112" s="85"/>
      <c r="D112" s="85"/>
      <c r="E112" s="85"/>
      <c r="F112" s="166"/>
      <c r="G112" s="85"/>
      <c r="H112" s="85"/>
      <c r="I112" s="272"/>
      <c r="J112" s="167">
        <f>IF(J114="JA",AD15,0)</f>
        <v>0</v>
      </c>
    </row>
    <row r="113" spans="1:10" ht="13.5" customHeight="1" thickBot="1">
      <c r="A113" s="120" t="s">
        <v>136</v>
      </c>
      <c r="B113" s="85"/>
      <c r="C113" s="85"/>
      <c r="D113" s="85"/>
      <c r="E113" s="85"/>
      <c r="F113" s="166"/>
      <c r="G113" s="85"/>
      <c r="H113" s="85"/>
      <c r="I113" s="272"/>
      <c r="J113" s="167">
        <f>IF(J114="JA",+J111-J112,0)</f>
        <v>0</v>
      </c>
    </row>
    <row r="114" spans="1:10" ht="13.5" customHeight="1" thickBot="1">
      <c r="A114" s="251" t="s">
        <v>151</v>
      </c>
      <c r="B114" s="252"/>
      <c r="C114" s="252"/>
      <c r="D114" s="30"/>
      <c r="E114" s="30"/>
      <c r="F114" s="30"/>
      <c r="G114" s="30"/>
      <c r="H114" s="30"/>
      <c r="I114" s="30"/>
      <c r="J114" s="253" t="str">
        <f>IF(OR(D10="",E11="",D14="",H18="",H19="",H20="",H21="",A53&lt;&gt;"",A73&lt;&gt;"",A91&lt;&gt;""),"NEE",IF(AND(I109-I110&gt;0,J107-AD15&gt;0),"JA","NEE"))</f>
        <v>NEE</v>
      </c>
    </row>
    <row r="115" ht="14.25" customHeight="1"/>
    <row r="116" spans="13:22" ht="12.75">
      <c r="M116" s="53"/>
      <c r="P116" s="53"/>
      <c r="S116" s="53"/>
      <c r="V116" s="53"/>
    </row>
    <row r="117" spans="13:22" ht="12.75">
      <c r="M117" s="53"/>
      <c r="P117" s="53"/>
      <c r="S117" s="53"/>
      <c r="V117" s="53"/>
    </row>
    <row r="118" spans="13:22" ht="12.75" hidden="1">
      <c r="M118" s="53"/>
      <c r="P118" s="53"/>
      <c r="S118" s="53"/>
      <c r="V118" s="53"/>
    </row>
    <row r="119" spans="13:22" ht="12.75" hidden="1">
      <c r="M119" s="53"/>
      <c r="P119" s="53"/>
      <c r="S119" s="53"/>
      <c r="V119" s="53"/>
    </row>
    <row r="120" spans="13:22" ht="12.75" hidden="1">
      <c r="M120" s="53"/>
      <c r="P120" s="53"/>
      <c r="S120" s="53"/>
      <c r="V120" s="53"/>
    </row>
    <row r="121" spans="13:22" ht="12.75" hidden="1">
      <c r="M121" s="53"/>
      <c r="P121" s="53"/>
      <c r="S121" s="53"/>
      <c r="V121" s="53"/>
    </row>
    <row r="122" spans="15:116" ht="12.75" hidden="1">
      <c r="O122" s="78"/>
      <c r="R122" s="78"/>
      <c r="U122" s="78"/>
      <c r="X122" s="78"/>
      <c r="DL122" s="78"/>
    </row>
  </sheetData>
  <sheetProtection password="FD53" sheet="1" objects="1" scenarios="1"/>
  <mergeCells count="12">
    <mergeCell ref="A14:C14"/>
    <mergeCell ref="A109:E109"/>
    <mergeCell ref="H77:I77"/>
    <mergeCell ref="D10:J10"/>
    <mergeCell ref="F95:F96"/>
    <mergeCell ref="I95:I96"/>
    <mergeCell ref="H18:I18"/>
    <mergeCell ref="H19:I19"/>
    <mergeCell ref="H21:I21"/>
    <mergeCell ref="H20:I20"/>
    <mergeCell ref="J95:J96"/>
    <mergeCell ref="E95:E96"/>
  </mergeCells>
  <conditionalFormatting sqref="J114">
    <cfRule type="cellIs" priority="1" dxfId="0" operator="equal" stopIfTrue="1">
      <formula>"JA"</formula>
    </cfRule>
    <cfRule type="cellIs" priority="2" dxfId="1" operator="equal" stopIfTrue="1">
      <formula>"NEE"</formula>
    </cfRule>
  </conditionalFormatting>
  <dataValidations count="17">
    <dataValidation type="list" allowBlank="1" showInputMessage="1" showErrorMessage="1" sqref="H15">
      <formula1>$W$14:$W$15</formula1>
    </dataValidation>
    <dataValidation type="list" allowBlank="1" showInputMessage="1" showErrorMessage="1" sqref="H13">
      <formula1>$W$10</formula1>
    </dataValidation>
    <dataValidation type="list" allowBlank="1" showInputMessage="1" showErrorMessage="1" sqref="H14">
      <formula1>$W$11:$W$13</formula1>
    </dataValidation>
    <dataValidation type="whole" allowBlank="1" showInputMessage="1" showErrorMessage="1" error="Het aantal af te spreken toeslagen bedraagt maximaal 365." sqref="I13:I15">
      <formula1>0</formula1>
      <formula2>365</formula2>
    </dataValidation>
    <dataValidation type="list" allowBlank="1" showInputMessage="1" showErrorMessage="1" sqref="D14">
      <formula1>$N$36:$W$36</formula1>
    </dataValidation>
    <dataValidation type="decimal" allowBlank="1" showInputMessage="1" showErrorMessage="1" sqref="F106 F102:F103">
      <formula1>0</formula1>
      <formula2>70</formula2>
    </dataValidation>
    <dataValidation type="decimal" allowBlank="1" showInputMessage="1" showErrorMessage="1" sqref="F97:F100">
      <formula1>0</formula1>
      <formula2>150</formula2>
    </dataValidation>
    <dataValidation type="date" allowBlank="1" showInputMessage="1" showErrorMessage="1" sqref="H22:I23">
      <formula1>1</formula1>
      <formula2>40544</formula2>
    </dataValidation>
    <dataValidation type="list" allowBlank="1" showInputMessage="1" showErrorMessage="1" sqref="D61:E67">
      <formula1>$N$31:$BB$31</formula1>
    </dataValidation>
    <dataValidation type="list" allowBlank="1" showInputMessage="1" showErrorMessage="1" sqref="D30:E35 D38:E43">
      <formula1>$N$30:$DE$30</formula1>
    </dataValidation>
    <dataValidation type="whole" allowBlank="1" showInputMessage="1" showErrorMessage="1" sqref="E12 E14:E25">
      <formula1>0</formula1>
      <formula2>2500</formula2>
    </dataValidation>
    <dataValidation type="whole" allowBlank="1" showInputMessage="1" showErrorMessage="1" sqref="E11">
      <formula1>1</formula1>
      <formula2>9999</formula2>
    </dataValidation>
    <dataValidation type="list" allowBlank="1" showInputMessage="1" showErrorMessage="1" sqref="H21">
      <formula1>$N$19:$N$20</formula1>
    </dataValidation>
    <dataValidation type="date" allowBlank="1" showInputMessage="1" showErrorMessage="1" sqref="H20:I20">
      <formula1>40544</formula1>
      <formula2>42736</formula2>
    </dataValidation>
    <dataValidation type="date" allowBlank="1" showInputMessage="1" showErrorMessage="1" sqref="H19:I19">
      <formula1>40544</formula1>
      <formula2>40908</formula2>
    </dataValidation>
    <dataValidation type="whole" showInputMessage="1" showErrorMessage="1" sqref="N22:N23">
      <formula1>1</formula1>
      <formula2>2</formula2>
    </dataValidation>
    <dataValidation type="date" allowBlank="1" showInputMessage="1" showErrorMessage="1" sqref="H18:I18">
      <formula1>1</formula1>
      <formula2>40909</formula2>
    </dataValidation>
  </dataValidations>
  <printOptions/>
  <pageMargins left="0.61" right="0.17" top="0.46" bottom="0.53" header="0.23" footer="0.39"/>
  <pageSetup fitToHeight="2" horizontalDpi="600" verticalDpi="600" orientation="portrait" paperSize="9" scale="95" r:id="rId2"/>
  <rowBreaks count="1" manualBreakCount="1">
    <brk id="53" max="9" man="1"/>
  </rowBreaks>
  <ignoredErrors>
    <ignoredError sqref="F106:G106 R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showGridLines="0" workbookViewId="0" topLeftCell="A1">
      <selection activeCell="D13" sqref="D13"/>
    </sheetView>
  </sheetViews>
  <sheetFormatPr defaultColWidth="9.140625" defaultRowHeight="12.75" zeroHeight="1"/>
  <cols>
    <col min="1" max="1" width="26.57421875" style="0" customWidth="1"/>
    <col min="9" max="9" width="11.00390625" style="0" customWidth="1"/>
    <col min="11" max="16384" width="0" style="0" hidden="1" customWidth="1"/>
  </cols>
  <sheetData>
    <row r="1" ht="12.75"/>
    <row r="2" spans="1:9" ht="12.75">
      <c r="A2" t="s">
        <v>169</v>
      </c>
      <c r="I2" s="3" t="s">
        <v>37</v>
      </c>
    </row>
    <row r="3" ht="12.75"/>
    <row r="4" ht="12.75">
      <c r="A4" t="s">
        <v>129</v>
      </c>
    </row>
    <row r="5" ht="12.75"/>
    <row r="6" ht="12.75"/>
    <row r="7" ht="12.75"/>
    <row r="8" ht="12.75"/>
    <row r="9" ht="12.75">
      <c r="A9" s="287"/>
    </row>
    <row r="10" spans="1:9" ht="15.75">
      <c r="A10" s="188" t="s">
        <v>135</v>
      </c>
      <c r="B10" s="72"/>
      <c r="C10" s="72"/>
      <c r="D10" s="226"/>
      <c r="E10" s="27"/>
      <c r="F10" s="27"/>
      <c r="G10" s="27"/>
      <c r="H10" s="27"/>
      <c r="I10" s="27"/>
    </row>
    <row r="11" spans="1:9" ht="13.5" thickBot="1">
      <c r="A11" s="85"/>
      <c r="B11" s="72"/>
      <c r="C11" s="72"/>
      <c r="D11" s="226"/>
      <c r="E11" s="27"/>
      <c r="F11" s="27"/>
      <c r="G11" s="27"/>
      <c r="H11" s="27"/>
      <c r="I11" s="27"/>
    </row>
    <row r="12" spans="1:9" ht="13.5" thickBot="1">
      <c r="A12" s="75" t="s">
        <v>130</v>
      </c>
      <c r="B12" s="355" t="s">
        <v>53</v>
      </c>
      <c r="C12" s="76" t="s">
        <v>131</v>
      </c>
      <c r="D12" s="76"/>
      <c r="E12" s="76"/>
      <c r="F12" s="76"/>
      <c r="G12" s="76"/>
      <c r="H12" s="76"/>
      <c r="I12" s="50"/>
    </row>
    <row r="13" spans="1:9" ht="12.75">
      <c r="A13" s="70"/>
      <c r="B13" s="356"/>
      <c r="C13" s="182" t="s">
        <v>61</v>
      </c>
      <c r="D13" s="82"/>
      <c r="E13" s="82"/>
      <c r="F13" s="40"/>
      <c r="G13" s="182" t="s">
        <v>3</v>
      </c>
      <c r="H13" s="40"/>
      <c r="I13" s="130" t="s">
        <v>70</v>
      </c>
    </row>
    <row r="14" spans="1:9" ht="13.5" thickBot="1">
      <c r="A14" s="120"/>
      <c r="B14" s="357"/>
      <c r="C14" s="228" t="s">
        <v>56</v>
      </c>
      <c r="D14" s="310" t="s">
        <v>57</v>
      </c>
      <c r="E14" s="228" t="s">
        <v>58</v>
      </c>
      <c r="F14" s="311" t="s">
        <v>59</v>
      </c>
      <c r="G14" s="227" t="s">
        <v>56</v>
      </c>
      <c r="H14" s="311" t="s">
        <v>59</v>
      </c>
      <c r="I14" s="293" t="s">
        <v>60</v>
      </c>
    </row>
    <row r="15" spans="1:9" ht="12.75">
      <c r="A15" s="255" t="s">
        <v>114</v>
      </c>
      <c r="B15" s="256">
        <f aca="true" t="shared" si="0" ref="B15:B22">SUM(C15:I15)</f>
        <v>24.709999999999997</v>
      </c>
      <c r="C15" s="291">
        <v>10.42</v>
      </c>
      <c r="D15" s="304">
        <v>4.97</v>
      </c>
      <c r="E15" s="258">
        <v>1.32</v>
      </c>
      <c r="F15" s="312"/>
      <c r="G15" s="257">
        <v>3.38</v>
      </c>
      <c r="H15" s="312">
        <v>3.38</v>
      </c>
      <c r="I15" s="256">
        <v>1.24</v>
      </c>
    </row>
    <row r="16" spans="1:9" ht="13.5" customHeight="1">
      <c r="A16" s="200" t="s">
        <v>62</v>
      </c>
      <c r="B16" s="229">
        <f t="shared" si="0"/>
        <v>33.730000000000004</v>
      </c>
      <c r="C16" s="232">
        <v>11.13</v>
      </c>
      <c r="D16" s="305">
        <v>4.03</v>
      </c>
      <c r="E16" s="232">
        <v>2.07</v>
      </c>
      <c r="F16" s="313">
        <v>3.89</v>
      </c>
      <c r="G16" s="230"/>
      <c r="H16" s="313">
        <v>10.91</v>
      </c>
      <c r="I16" s="229">
        <v>1.7</v>
      </c>
    </row>
    <row r="17" spans="1:9" ht="13.5" customHeight="1">
      <c r="A17" s="200" t="s">
        <v>163</v>
      </c>
      <c r="B17" s="229">
        <f t="shared" si="0"/>
        <v>29.019999999999996</v>
      </c>
      <c r="C17" s="232">
        <v>8.13</v>
      </c>
      <c r="D17" s="305">
        <v>10.49</v>
      </c>
      <c r="E17" s="232">
        <v>2.4</v>
      </c>
      <c r="F17" s="313"/>
      <c r="G17" s="230">
        <v>3.38</v>
      </c>
      <c r="H17" s="313">
        <v>3.38</v>
      </c>
      <c r="I17" s="229">
        <v>1.24</v>
      </c>
    </row>
    <row r="18" spans="1:9" ht="12.75">
      <c r="A18" s="200" t="s">
        <v>152</v>
      </c>
      <c r="B18" s="229">
        <f t="shared" si="0"/>
        <v>26.51</v>
      </c>
      <c r="C18" s="232">
        <v>2.67</v>
      </c>
      <c r="D18" s="305">
        <v>13.05</v>
      </c>
      <c r="E18" s="232">
        <v>2.66</v>
      </c>
      <c r="F18" s="313"/>
      <c r="G18" s="230">
        <v>5.82</v>
      </c>
      <c r="H18" s="313"/>
      <c r="I18" s="229">
        <v>2.31</v>
      </c>
    </row>
    <row r="19" spans="1:9" ht="12.75">
      <c r="A19" s="200" t="s">
        <v>63</v>
      </c>
      <c r="B19" s="229">
        <f t="shared" si="0"/>
        <v>30.23</v>
      </c>
      <c r="C19" s="232">
        <v>10.34</v>
      </c>
      <c r="D19" s="306">
        <v>10.34</v>
      </c>
      <c r="E19" s="231">
        <v>2.66</v>
      </c>
      <c r="F19" s="313"/>
      <c r="G19" s="230">
        <v>4.44</v>
      </c>
      <c r="H19" s="313"/>
      <c r="I19" s="229">
        <v>2.45</v>
      </c>
    </row>
    <row r="20" spans="1:9" ht="12.75">
      <c r="A20" s="200" t="s">
        <v>66</v>
      </c>
      <c r="B20" s="229">
        <f t="shared" si="0"/>
        <v>29.93</v>
      </c>
      <c r="C20" s="232">
        <v>12.95</v>
      </c>
      <c r="D20" s="306">
        <v>2.64</v>
      </c>
      <c r="E20" s="231"/>
      <c r="F20" s="313">
        <v>7.56</v>
      </c>
      <c r="G20" s="230"/>
      <c r="H20" s="313">
        <v>2.3</v>
      </c>
      <c r="I20" s="229">
        <v>4.48</v>
      </c>
    </row>
    <row r="21" spans="1:9" ht="12.75">
      <c r="A21" s="200" t="s">
        <v>124</v>
      </c>
      <c r="B21" s="229">
        <f>SUM(C21:I21)</f>
        <v>29.930000000000003</v>
      </c>
      <c r="C21" s="232">
        <v>13.05</v>
      </c>
      <c r="D21" s="306">
        <v>3.96</v>
      </c>
      <c r="E21" s="231"/>
      <c r="F21" s="313">
        <v>6.14</v>
      </c>
      <c r="G21" s="230"/>
      <c r="H21" s="313">
        <v>2.3</v>
      </c>
      <c r="I21" s="229">
        <v>4.48</v>
      </c>
    </row>
    <row r="22" spans="1:9" ht="12.75">
      <c r="A22" s="70" t="s">
        <v>55</v>
      </c>
      <c r="B22" s="229">
        <f t="shared" si="0"/>
        <v>39.43</v>
      </c>
      <c r="C22" s="232">
        <v>21.02</v>
      </c>
      <c r="D22" s="306">
        <v>2.76</v>
      </c>
      <c r="E22" s="231"/>
      <c r="F22" s="313">
        <v>7.92</v>
      </c>
      <c r="G22" s="230"/>
      <c r="H22" s="313">
        <v>4</v>
      </c>
      <c r="I22" s="229">
        <v>3.73</v>
      </c>
    </row>
    <row r="23" spans="1:9" ht="12.75">
      <c r="A23" s="200" t="s">
        <v>64</v>
      </c>
      <c r="B23" s="229">
        <f>SUM(C23:I23)</f>
        <v>44.88</v>
      </c>
      <c r="C23" s="232">
        <v>14.4</v>
      </c>
      <c r="D23" s="306">
        <v>9.27</v>
      </c>
      <c r="E23" s="231">
        <v>3.49</v>
      </c>
      <c r="F23" s="313">
        <v>5.42</v>
      </c>
      <c r="G23" s="230">
        <v>10.59</v>
      </c>
      <c r="H23" s="313"/>
      <c r="I23" s="229">
        <v>1.71</v>
      </c>
    </row>
    <row r="24" spans="1:9" ht="13.5" thickBot="1">
      <c r="A24" s="2" t="s">
        <v>65</v>
      </c>
      <c r="B24" s="233">
        <f>SUM(C24:I24)</f>
        <v>31.62</v>
      </c>
      <c r="C24" s="292">
        <v>12.93</v>
      </c>
      <c r="D24" s="307">
        <v>6.08</v>
      </c>
      <c r="E24" s="235">
        <v>2.12</v>
      </c>
      <c r="F24" s="314">
        <v>2.12</v>
      </c>
      <c r="G24" s="234">
        <v>6.75</v>
      </c>
      <c r="H24" s="314"/>
      <c r="I24" s="233">
        <v>1.62</v>
      </c>
    </row>
    <row r="25" spans="1:9" ht="12.75">
      <c r="A25" s="295" t="s">
        <v>176</v>
      </c>
      <c r="B25" s="296"/>
      <c r="C25" s="297">
        <v>40.74</v>
      </c>
      <c r="D25" s="308">
        <v>39.13</v>
      </c>
      <c r="E25" s="300">
        <v>40.4</v>
      </c>
      <c r="F25" s="315">
        <v>44.69</v>
      </c>
      <c r="G25" s="298">
        <f>+C25</f>
        <v>40.74</v>
      </c>
      <c r="H25" s="317">
        <f>+F25</f>
        <v>44.69</v>
      </c>
      <c r="I25" s="299">
        <v>81.95</v>
      </c>
    </row>
    <row r="26" spans="1:9" ht="13.5" thickBot="1">
      <c r="A26" s="290" t="s">
        <v>177</v>
      </c>
      <c r="B26" s="294"/>
      <c r="C26" s="301">
        <f>+ROUND(C25*0.802,2)</f>
        <v>32.67</v>
      </c>
      <c r="D26" s="309">
        <f aca="true" t="shared" si="1" ref="D26:I26">+ROUND(D25*0.802,2)</f>
        <v>31.38</v>
      </c>
      <c r="E26" s="301">
        <f t="shared" si="1"/>
        <v>32.4</v>
      </c>
      <c r="F26" s="316">
        <f t="shared" si="1"/>
        <v>35.84</v>
      </c>
      <c r="G26" s="302">
        <f t="shared" si="1"/>
        <v>32.67</v>
      </c>
      <c r="H26" s="316">
        <f t="shared" si="1"/>
        <v>35.84</v>
      </c>
      <c r="I26" s="303">
        <f t="shared" si="1"/>
        <v>65.72</v>
      </c>
    </row>
    <row r="27" ht="12.75"/>
    <row r="28" ht="12.75"/>
  </sheetData>
  <sheetProtection password="FD53" sheet="1" objects="1" scenarios="1"/>
  <mergeCells count="1">
    <mergeCell ref="B12:B14"/>
  </mergeCells>
  <printOptions/>
  <pageMargins left="0.47" right="0.18" top="0.42" bottom="0.984251968503937" header="0.46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showGridLines="0" workbookViewId="0" topLeftCell="A1">
      <selection activeCell="E47" sqref="E47"/>
    </sheetView>
  </sheetViews>
  <sheetFormatPr defaultColWidth="9.140625" defaultRowHeight="12.75"/>
  <cols>
    <col min="2" max="2" width="4.00390625" style="0" customWidth="1"/>
    <col min="3" max="3" width="1.57421875" style="0" customWidth="1"/>
    <col min="5" max="5" width="4.00390625" style="0" customWidth="1"/>
    <col min="6" max="6" width="1.57421875" style="0" customWidth="1"/>
    <col min="10" max="10" width="22.8515625" style="0" customWidth="1"/>
    <col min="11" max="11" width="11.57421875" style="0" customWidth="1"/>
    <col min="12" max="12" width="8.28125" style="0" customWidth="1"/>
    <col min="13" max="13" width="6.140625" style="0" customWidth="1"/>
    <col min="14" max="17" width="9.140625" style="0" hidden="1" customWidth="1"/>
    <col min="18" max="18" width="12.57421875" style="0" hidden="1" customWidth="1"/>
    <col min="19" max="16384" width="9.140625" style="0" hidden="1" customWidth="1"/>
  </cols>
  <sheetData>
    <row r="1" ht="12.75">
      <c r="K1" s="287"/>
    </row>
    <row r="2" spans="1:12" ht="13.5" customHeight="1">
      <c r="A2" t="s">
        <v>169</v>
      </c>
      <c r="K2" s="72"/>
      <c r="L2" s="250" t="s">
        <v>44</v>
      </c>
    </row>
    <row r="4" spans="1:12" ht="12.75">
      <c r="A4" s="1" t="s">
        <v>133</v>
      </c>
      <c r="B4" s="223"/>
      <c r="C4" s="223"/>
      <c r="D4" s="223"/>
      <c r="E4" s="245">
        <f>+Berekening!D10</f>
        <v>0</v>
      </c>
      <c r="F4" s="245"/>
      <c r="G4" s="246"/>
      <c r="K4" s="286" t="s">
        <v>174</v>
      </c>
      <c r="L4" s="288">
        <f>+Berekening!J6</f>
        <v>40738</v>
      </c>
    </row>
    <row r="5" spans="1:12" ht="15">
      <c r="A5" s="1" t="s">
        <v>134</v>
      </c>
      <c r="B5" s="223"/>
      <c r="C5" s="223"/>
      <c r="D5" s="223"/>
      <c r="E5" s="245">
        <f>+Berekening!D11</f>
        <v>300</v>
      </c>
      <c r="F5" s="247" t="s">
        <v>111</v>
      </c>
      <c r="G5" s="245">
        <f>+Berekening!E11</f>
        <v>0</v>
      </c>
      <c r="H5" s="223"/>
      <c r="I5" s="223"/>
      <c r="J5" s="222"/>
      <c r="K5" s="286" t="s">
        <v>175</v>
      </c>
      <c r="L5" s="289">
        <f ca="1">TODAY()</f>
        <v>40738</v>
      </c>
    </row>
    <row r="6" spans="1:13" ht="15">
      <c r="A6" s="260"/>
      <c r="B6" s="261"/>
      <c r="C6" s="261"/>
      <c r="D6" s="261"/>
      <c r="E6" s="261"/>
      <c r="F6" s="261"/>
      <c r="G6" s="261"/>
      <c r="H6" s="261"/>
      <c r="I6" s="261"/>
      <c r="J6" s="262"/>
      <c r="K6" s="263"/>
      <c r="L6" s="263"/>
      <c r="M6" s="263"/>
    </row>
    <row r="7" spans="1:13" ht="6" customHeight="1">
      <c r="A7" s="264"/>
      <c r="B7" s="265"/>
      <c r="C7" s="265"/>
      <c r="D7" s="265"/>
      <c r="E7" s="265"/>
      <c r="F7" s="265"/>
      <c r="G7" s="265"/>
      <c r="H7" s="265"/>
      <c r="I7" s="265"/>
      <c r="J7" s="266"/>
      <c r="K7" s="267"/>
      <c r="L7" s="267"/>
      <c r="M7" s="267"/>
    </row>
    <row r="9" ht="15.75">
      <c r="A9" s="24" t="s">
        <v>127</v>
      </c>
    </row>
    <row r="11" spans="1:16" ht="12.75">
      <c r="A11" s="122" t="s">
        <v>221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P11" t="s">
        <v>207</v>
      </c>
    </row>
    <row r="12" spans="1:12" ht="12.7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8" ht="12.7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P13" t="s">
        <v>208</v>
      </c>
      <c r="R13">
        <f>COUNTA(A11:L27)</f>
        <v>1</v>
      </c>
    </row>
    <row r="14" spans="1:12" ht="12.7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12.7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12.7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ht="12.7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12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12.7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12.7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2.7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ht="12.7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  <row r="27" spans="1:12" ht="12.7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</row>
    <row r="29" ht="15.75">
      <c r="A29" s="24" t="s">
        <v>93</v>
      </c>
    </row>
    <row r="31" spans="1:12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ht="12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6" ht="12.7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P33" t="s">
        <v>207</v>
      </c>
    </row>
    <row r="34" spans="1:12" ht="12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</row>
    <row r="35" spans="1:18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P35" t="s">
        <v>208</v>
      </c>
      <c r="R35">
        <f>COUNTA(A31:L54)</f>
        <v>0</v>
      </c>
    </row>
    <row r="36" spans="1:12" ht="12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1:12" ht="12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</row>
    <row r="38" spans="1:12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2" ht="12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</row>
    <row r="40" spans="1:12" ht="12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2" ht="12.7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12.7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</row>
    <row r="43" spans="1:12" ht="12.7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</row>
    <row r="44" spans="1:12" ht="12.7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</row>
    <row r="45" spans="1:12" ht="12.7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1:12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ht="12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12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2" ht="12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1:12" ht="12.7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  <row r="51" spans="1:12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1:12" ht="12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1:12" ht="12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4" spans="1:12" ht="12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</row>
  </sheetData>
  <sheetProtection password="FD53" sheet="1" objects="1" scenarios="1"/>
  <conditionalFormatting sqref="E4">
    <cfRule type="cellIs" priority="1" dxfId="2" operator="equal" stopIfTrue="1">
      <formula>0</formula>
    </cfRule>
  </conditionalFormatting>
  <conditionalFormatting sqref="G5">
    <cfRule type="expression" priority="2" dxfId="2" stopIfTrue="1">
      <formula>0</formula>
    </cfRule>
  </conditionalFormatting>
  <printOptions/>
  <pageMargins left="0.49" right="0.17" top="0.17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7"/>
  <sheetViews>
    <sheetView showGridLines="0" workbookViewId="0" topLeftCell="A1">
      <selection activeCell="F27" sqref="F27"/>
    </sheetView>
  </sheetViews>
  <sheetFormatPr defaultColWidth="9.140625" defaultRowHeight="12.75" zeroHeight="1"/>
  <cols>
    <col min="10" max="10" width="11.7109375" style="0" customWidth="1"/>
    <col min="11" max="11" width="9.140625" style="21" customWidth="1"/>
    <col min="12" max="16384" width="0" style="0" hidden="1" customWidth="1"/>
  </cols>
  <sheetData>
    <row r="1" ht="21.75" customHeight="1"/>
    <row r="2" spans="1:10" ht="12.75">
      <c r="A2" t="s">
        <v>169</v>
      </c>
      <c r="J2" s="259" t="s">
        <v>150</v>
      </c>
    </row>
    <row r="3" ht="12.75"/>
    <row r="4" ht="12.75">
      <c r="A4" t="s">
        <v>43</v>
      </c>
    </row>
    <row r="5" ht="12.75"/>
    <row r="6" ht="12.75"/>
    <row r="7" ht="12.75"/>
    <row r="8" ht="15.75">
      <c r="A8" s="25" t="s">
        <v>79</v>
      </c>
    </row>
    <row r="9" ht="12.75"/>
    <row r="10" ht="12.75">
      <c r="A10" t="s">
        <v>85</v>
      </c>
    </row>
    <row r="11" ht="12.75"/>
    <row r="12" ht="12.75">
      <c r="A12" t="s">
        <v>83</v>
      </c>
    </row>
    <row r="13" ht="12.75">
      <c r="A13" t="s">
        <v>94</v>
      </c>
    </row>
    <row r="14" ht="12.75">
      <c r="A14" t="s">
        <v>95</v>
      </c>
    </row>
    <row r="15" ht="12.75"/>
    <row r="16" ht="12.75">
      <c r="A16" t="s">
        <v>86</v>
      </c>
    </row>
    <row r="17" ht="12.75">
      <c r="A17" t="s">
        <v>96</v>
      </c>
    </row>
    <row r="18" ht="12.75"/>
    <row r="19" ht="12.75">
      <c r="A19" t="s">
        <v>112</v>
      </c>
    </row>
    <row r="20" ht="12.75">
      <c r="A20" t="s">
        <v>121</v>
      </c>
    </row>
    <row r="21" ht="12.75">
      <c r="A21" t="s">
        <v>122</v>
      </c>
    </row>
    <row r="22" ht="12.75">
      <c r="A22" t="s">
        <v>123</v>
      </c>
    </row>
    <row r="23" ht="12.75">
      <c r="A23" t="s">
        <v>209</v>
      </c>
    </row>
    <row r="24" ht="12.75">
      <c r="A24" t="s">
        <v>205</v>
      </c>
    </row>
    <row r="25" ht="12.75"/>
    <row r="26" ht="12.75">
      <c r="A26" t="s">
        <v>210</v>
      </c>
    </row>
    <row r="27" ht="12.75">
      <c r="A27" t="s">
        <v>213</v>
      </c>
    </row>
    <row r="28" ht="12.75">
      <c r="A28" t="s">
        <v>214</v>
      </c>
    </row>
    <row r="29" ht="12.75">
      <c r="A29" t="s">
        <v>215</v>
      </c>
    </row>
    <row r="30" ht="12.75"/>
    <row r="31" ht="15.75">
      <c r="A31" s="25" t="s">
        <v>84</v>
      </c>
    </row>
    <row r="32" ht="12.75"/>
    <row r="33" ht="12.75">
      <c r="A33" t="s">
        <v>141</v>
      </c>
    </row>
    <row r="34" ht="12.75" customHeight="1">
      <c r="A34" t="s">
        <v>140</v>
      </c>
    </row>
    <row r="35" spans="1:10" ht="15.75" customHeight="1">
      <c r="A35" t="s">
        <v>142</v>
      </c>
      <c r="B35" s="19"/>
      <c r="C35" s="20"/>
      <c r="D35" s="21"/>
      <c r="E35" s="21"/>
      <c r="F35" s="22"/>
      <c r="G35" s="14"/>
      <c r="H35" s="23"/>
      <c r="J35" s="18"/>
    </row>
    <row r="36" spans="1:10" ht="15.75">
      <c r="A36" s="25"/>
      <c r="B36" s="19"/>
      <c r="C36" s="20"/>
      <c r="D36" s="21"/>
      <c r="E36" s="21"/>
      <c r="F36" s="22"/>
      <c r="G36" s="14"/>
      <c r="H36" s="23"/>
      <c r="J36" s="18"/>
    </row>
    <row r="37" ht="12.75">
      <c r="A37" s="1" t="s">
        <v>82</v>
      </c>
    </row>
    <row r="38" ht="12.75"/>
    <row r="39" ht="12.75">
      <c r="A39" t="s">
        <v>89</v>
      </c>
    </row>
    <row r="40" ht="12.75">
      <c r="A40" t="s">
        <v>90</v>
      </c>
    </row>
    <row r="41" ht="12.75">
      <c r="A41" t="s">
        <v>48</v>
      </c>
    </row>
    <row r="42" ht="12.75">
      <c r="A42" t="s">
        <v>80</v>
      </c>
    </row>
    <row r="43" ht="12.75">
      <c r="A43" t="s">
        <v>81</v>
      </c>
    </row>
    <row r="44" ht="12.75"/>
    <row r="45" ht="12.75">
      <c r="A45" t="s">
        <v>143</v>
      </c>
    </row>
    <row r="46" ht="12.75">
      <c r="A46" t="s">
        <v>46</v>
      </c>
    </row>
    <row r="47" ht="12.75">
      <c r="A47" t="s">
        <v>144</v>
      </c>
    </row>
    <row r="48" ht="12.75">
      <c r="A48" t="s">
        <v>145</v>
      </c>
    </row>
    <row r="49" ht="12.75"/>
    <row r="50" ht="12.75">
      <c r="A50" t="s">
        <v>45</v>
      </c>
    </row>
    <row r="51" ht="12.75">
      <c r="A51" t="s">
        <v>47</v>
      </c>
    </row>
    <row r="52" ht="12.75">
      <c r="A52" t="s">
        <v>91</v>
      </c>
    </row>
    <row r="53" ht="12.75">
      <c r="A53" t="s">
        <v>92</v>
      </c>
    </row>
    <row r="54" ht="12.75">
      <c r="A54" t="s">
        <v>199</v>
      </c>
    </row>
    <row r="55" ht="12.75">
      <c r="A55" t="s">
        <v>146</v>
      </c>
    </row>
    <row r="56" ht="12.75"/>
    <row r="57" ht="12.75">
      <c r="A57" t="s">
        <v>200</v>
      </c>
    </row>
    <row r="58" ht="12.75">
      <c r="A58" t="s">
        <v>201</v>
      </c>
    </row>
    <row r="59" ht="12.75"/>
    <row r="60" ht="12.75">
      <c r="A60" t="s">
        <v>105</v>
      </c>
    </row>
    <row r="61" ht="12.75">
      <c r="A61" t="s">
        <v>202</v>
      </c>
    </row>
    <row r="62" ht="12.75" customHeight="1">
      <c r="A62" t="s">
        <v>203</v>
      </c>
    </row>
    <row r="63" ht="12.75"/>
    <row r="64" ht="12.75"/>
    <row r="65" ht="12.75">
      <c r="A65" s="1" t="s">
        <v>87</v>
      </c>
    </row>
    <row r="66" ht="12.75">
      <c r="A66" s="1"/>
    </row>
    <row r="67" ht="12.75">
      <c r="A67" t="s">
        <v>73</v>
      </c>
    </row>
    <row r="68" ht="12" customHeight="1">
      <c r="A68" t="s">
        <v>74</v>
      </c>
    </row>
    <row r="69" ht="12.75">
      <c r="A69" t="s">
        <v>75</v>
      </c>
    </row>
    <row r="70" ht="12.75">
      <c r="A70" t="s">
        <v>76</v>
      </c>
    </row>
    <row r="71" ht="10.5" customHeight="1"/>
    <row r="72" ht="12.75" customHeight="1">
      <c r="A72" t="s">
        <v>106</v>
      </c>
    </row>
    <row r="73" ht="12" customHeight="1">
      <c r="A73" t="s">
        <v>204</v>
      </c>
    </row>
    <row r="74" ht="12.75">
      <c r="A74" t="s">
        <v>203</v>
      </c>
    </row>
    <row r="75" ht="12.75"/>
    <row r="76" ht="12.75">
      <c r="A76" s="1" t="s">
        <v>88</v>
      </c>
    </row>
    <row r="77" ht="12.75"/>
    <row r="78" ht="12.75">
      <c r="A78" t="s">
        <v>77</v>
      </c>
    </row>
    <row r="79" ht="12.75">
      <c r="A79" t="s">
        <v>78</v>
      </c>
    </row>
    <row r="80" ht="12.75">
      <c r="A80" t="s">
        <v>126</v>
      </c>
    </row>
    <row r="81" ht="12.75">
      <c r="A81" t="s">
        <v>125</v>
      </c>
    </row>
    <row r="82" ht="12.75"/>
    <row r="83" ht="15.75">
      <c r="A83" s="24" t="s">
        <v>137</v>
      </c>
    </row>
    <row r="84" ht="12" customHeight="1" hidden="1"/>
    <row r="85" ht="12.75"/>
    <row r="86" ht="12.75">
      <c r="A86" t="s">
        <v>211</v>
      </c>
    </row>
    <row r="87" ht="12.75">
      <c r="A87" t="s">
        <v>212</v>
      </c>
    </row>
    <row r="88" ht="12.75"/>
    <row r="89" ht="12.75"/>
    <row r="90" ht="12.75"/>
    <row r="91" ht="12.75"/>
    <row r="92" ht="12.75"/>
  </sheetData>
  <sheetProtection password="FD53" sheet="1" objects="1" scenarios="1"/>
  <dataValidations count="2">
    <dataValidation type="whole" allowBlank="1" showInputMessage="1" showErrorMessage="1" sqref="C35:C36">
      <formula1>0</formula1>
      <formula2>2500</formula2>
    </dataValidation>
    <dataValidation type="list" allowBlank="1" showInputMessage="1" showErrorMessage="1" sqref="H35:H36">
      <formula1>$A$113:$A$120</formula1>
    </dataValidation>
  </dataValidations>
  <printOptions/>
  <pageMargins left="0.75" right="0.18" top="0.17" bottom="0.25" header="0.19" footer="0.21"/>
  <pageSetup horizontalDpi="600" verticalDpi="600" orientation="portrait" paperSize="9" scale="91" r:id="rId2"/>
  <rowBreaks count="1" manualBreakCount="1">
    <brk id="62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Y33"/>
  <sheetViews>
    <sheetView showGridLines="0" workbookViewId="0" topLeftCell="A1">
      <selection activeCell="B21" sqref="B21"/>
    </sheetView>
  </sheetViews>
  <sheetFormatPr defaultColWidth="9.140625" defaultRowHeight="12.75" zeroHeight="1"/>
  <cols>
    <col min="1" max="1" width="8.8515625" style="0" customWidth="1"/>
    <col min="2" max="2" width="40.140625" style="0" customWidth="1"/>
    <col min="5" max="5" width="10.57421875" style="0" customWidth="1"/>
    <col min="6" max="6" width="9.28125" style="0" customWidth="1"/>
    <col min="7" max="7" width="10.140625" style="0" customWidth="1"/>
    <col min="8" max="8" width="1.421875" style="0" customWidth="1"/>
    <col min="9" max="9" width="9.140625" style="0" hidden="1" customWidth="1"/>
    <col min="10" max="10" width="0.71875" style="0" customWidth="1"/>
    <col min="11" max="11" width="2.00390625" style="0" customWidth="1"/>
    <col min="12" max="16384" width="9.140625" style="0" hidden="1" customWidth="1"/>
  </cols>
  <sheetData>
    <row r="1" s="27" customFormat="1" ht="12.75"/>
    <row r="2" s="27" customFormat="1" ht="12.75"/>
    <row r="3" spans="1:7" s="27" customFormat="1" ht="12.75">
      <c r="A3" s="26" t="s">
        <v>170</v>
      </c>
      <c r="B3" s="26"/>
      <c r="C3" s="26"/>
      <c r="G3" s="72"/>
    </row>
    <row r="4" spans="6:7" s="27" customFormat="1" ht="12.75">
      <c r="F4" s="72"/>
      <c r="G4" s="28" t="s">
        <v>191</v>
      </c>
    </row>
    <row r="5" s="27" customFormat="1" ht="12.75">
      <c r="A5" s="27" t="s">
        <v>169</v>
      </c>
    </row>
    <row r="6" spans="6:7" s="27" customFormat="1" ht="12.75">
      <c r="F6" s="286" t="s">
        <v>174</v>
      </c>
      <c r="G6" s="288">
        <f>+Berekening!J6</f>
        <v>40738</v>
      </c>
    </row>
    <row r="7" spans="6:24" s="27" customFormat="1" ht="12.75">
      <c r="F7" s="286" t="s">
        <v>175</v>
      </c>
      <c r="G7" s="289">
        <f ca="1">TODAY()</f>
        <v>40738</v>
      </c>
      <c r="X7" s="27" t="s">
        <v>183</v>
      </c>
    </row>
    <row r="8" spans="1:25" s="27" customFormat="1" ht="12.75">
      <c r="A8" s="26"/>
      <c r="B8" s="26"/>
      <c r="C8" s="26"/>
      <c r="X8" s="27" t="s">
        <v>189</v>
      </c>
      <c r="Y8" s="27" t="s">
        <v>190</v>
      </c>
    </row>
    <row r="9" ht="12.75"/>
    <row r="10" ht="12.75"/>
    <row r="11" spans="1:2" ht="12.75">
      <c r="A11" t="s">
        <v>192</v>
      </c>
      <c r="B11" t="s">
        <v>193</v>
      </c>
    </row>
    <row r="12" ht="12.75"/>
    <row r="13" spans="1:2" ht="12.75">
      <c r="A13" s="329">
        <v>40436</v>
      </c>
      <c r="B13" t="s">
        <v>220</v>
      </c>
    </row>
    <row r="14" ht="12.75"/>
    <row r="15" spans="1:2" ht="12.75">
      <c r="A15" s="329">
        <v>40589</v>
      </c>
      <c r="B15" t="s">
        <v>219</v>
      </c>
    </row>
    <row r="16" spans="1:2" ht="12.75">
      <c r="A16" s="329"/>
      <c r="B16" t="s">
        <v>218</v>
      </c>
    </row>
    <row r="17" spans="1:2" ht="12.75">
      <c r="A17" s="329"/>
      <c r="B17" t="s">
        <v>217</v>
      </c>
    </row>
    <row r="18" spans="1:2" ht="12.75">
      <c r="A18" s="329"/>
      <c r="B18" t="s">
        <v>216</v>
      </c>
    </row>
    <row r="19" ht="12.75">
      <c r="A19" s="329"/>
    </row>
    <row r="20" spans="1:2" ht="12.75">
      <c r="A20" s="329">
        <v>40738</v>
      </c>
      <c r="B20" t="s">
        <v>222</v>
      </c>
    </row>
    <row r="21" ht="12.75">
      <c r="A21" s="329"/>
    </row>
    <row r="22" ht="12.75">
      <c r="A22" s="329"/>
    </row>
    <row r="23" ht="12.75">
      <c r="A23" s="329"/>
    </row>
    <row r="24" ht="12.75">
      <c r="A24" s="329"/>
    </row>
    <row r="25" ht="12.75">
      <c r="A25" s="329"/>
    </row>
    <row r="26" ht="12.75">
      <c r="A26" s="329"/>
    </row>
    <row r="27" ht="12.75">
      <c r="A27" s="329"/>
    </row>
    <row r="28" ht="12.75">
      <c r="A28" s="329"/>
    </row>
    <row r="29" ht="12.75">
      <c r="A29" s="330"/>
    </row>
    <row r="30" ht="12.75">
      <c r="A30" s="330"/>
    </row>
    <row r="31" ht="12.75">
      <c r="A31" s="330"/>
    </row>
    <row r="32" ht="12.75">
      <c r="A32" s="330"/>
    </row>
    <row r="33" ht="12.75">
      <c r="A33" s="330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sheetProtection password="FD53" sheet="1" objects="1" scenarios="1"/>
  <printOptions/>
  <pageMargins left="0.75" right="0.19" top="0.32" bottom="1" header="0.2" footer="0.5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ecao</dc:creator>
  <cp:keywords/>
  <dc:description/>
  <cp:lastModifiedBy>P.C. de Hollander - Bosman</cp:lastModifiedBy>
  <cp:lastPrinted>2011-03-10T11:01:45Z</cp:lastPrinted>
  <dcterms:created xsi:type="dcterms:W3CDTF">2005-11-02T12:22:44Z</dcterms:created>
  <dcterms:modified xsi:type="dcterms:W3CDTF">2011-07-14T12:30:52Z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THRFR6N5WDQ4-17-3241</vt:lpwstr>
  </property>
  <property fmtid="{D5CDD505-2E9C-101B-9397-08002B2CF9AE}" pid="4" name="_dlc_DocIdItemGu">
    <vt:lpwstr>ea5adce1-af53-4421-a28b-4a423d55e44c</vt:lpwstr>
  </property>
  <property fmtid="{D5CDD505-2E9C-101B-9397-08002B2CF9AE}" pid="5" name="_dlc_DocIdU">
    <vt:lpwstr>http://kennisnet.nza.nl/publicaties/Aanleveren/_layouts/DocIdRedir.aspx?ID=THRFR6N5WDQ4-17-3241, THRFR6N5WDQ4-17-3241</vt:lpwstr>
  </property>
  <property fmtid="{D5CDD505-2E9C-101B-9397-08002B2CF9AE}" pid="6" name="WorkflowChangePa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7" name="NZa-zoekwoordenMetada">
    <vt:lpwstr/>
  </property>
  <property fmtid="{D5CDD505-2E9C-101B-9397-08002B2CF9AE}" pid="8" name="Sector(en)Metada">
    <vt:lpwstr>Alle:Geestelijke Gezondheidszorg|aac55fe0-d021-4665-8076-363545aab21d;Alle:Langdurige zorg:Gehandicaptenzorg|2825f16e-cd19-47cf-b940-f084053e3b91;Alle:Langdurige zorg:Ouderenzorg|8cffa657-26ae-44a0-a572-e0304e7752db;Alle:Langdurige zorg:Verpleging en verz</vt:lpwstr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j85cec29e8c24b8a90feb8db203ff7">
    <vt:lpwstr>Geestelijke Gezondheidszorg|aac55fe0-d021-4665-8076-363545aab21d;Gehandicaptenzorg|2825f16e-cd19-47cf-b940-f084053e3b91;Ouderenzorg|8cffa657-26ae-44a0-a572-e0304e7752db;Verpleging en verzorging|33367432-927b-4a96-adc1-6d221f5d18a9</vt:lpwstr>
  </property>
  <property fmtid="{D5CDD505-2E9C-101B-9397-08002B2CF9AE}" pid="13" name="DocumentTyp">
    <vt:lpwstr>103;#Formulier|4bc40415-667d-4fea-816d-9688ca6ffa69</vt:lpwstr>
  </property>
  <property fmtid="{D5CDD505-2E9C-101B-9397-08002B2CF9AE}" pid="14" name="DocumentTy">
    <vt:lpwstr/>
  </property>
  <property fmtid="{D5CDD505-2E9C-101B-9397-08002B2CF9AE}" pid="15" name="Sector(e">
    <vt:lpwstr>140;#Geestelijke Gezondheidszorg|aac55fe0-d021-4665-8076-363545aab21d;#132;#Gehandicaptenzorg|2825f16e-cd19-47cf-b940-f084053e3b91;#141;#Ouderenzorg|8cffa657-26ae-44a0-a572-e0304e7752db;#131;#Verpleging en verzorging|33367432-927b-4a96-adc1-6d221f5d18a9</vt:lpwstr>
  </property>
  <property fmtid="{D5CDD505-2E9C-101B-9397-08002B2CF9AE}" pid="16" name="NZa-zoekwoord">
    <vt:lpwstr/>
  </property>
  <property fmtid="{D5CDD505-2E9C-101B-9397-08002B2CF9AE}" pid="17" name="ff74c6b610ef44f49114c43de16761">
    <vt:lpwstr/>
  </property>
  <property fmtid="{D5CDD505-2E9C-101B-9397-08002B2CF9AE}" pid="18" name="n407de7a4204433984b2eeeaba786d">
    <vt:lpwstr/>
  </property>
  <property fmtid="{D5CDD505-2E9C-101B-9397-08002B2CF9AE}" pid="19" name="Extra zoekwoord">
    <vt:lpwstr/>
  </property>
  <property fmtid="{D5CDD505-2E9C-101B-9397-08002B2CF9AE}" pid="20" name="l24ea505ea8d4be1bd84e8204c620c">
    <vt:lpwstr/>
  </property>
  <property fmtid="{D5CDD505-2E9C-101B-9397-08002B2CF9AE}" pid="21" name="me0f0aaf77cd4640acf557f58a1d2c">
    <vt:lpwstr>Formulier|4bc40415-667d-4fea-816d-9688ca6ffa69</vt:lpwstr>
  </property>
  <property fmtid="{D5CDD505-2E9C-101B-9397-08002B2CF9AE}" pid="22" name="TaxCatchA">
    <vt:lpwstr>131;#Verpleging en verzorging|33367432-927b-4a96-adc1-6d221f5d18a9;#141;#Ouderenzorg|8cffa657-26ae-44a0-a572-e0304e7752db;#140;#Geestelijke Gezondheidszorg|aac55fe0-d021-4665-8076-363545aab21d;#103;#Formulier|4bc40415-667d-4fea-816d-9688ca6ffa69;#132;#Geh</vt:lpwstr>
  </property>
</Properties>
</file>