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5480" windowHeight="11595" activeTab="0"/>
  </bookViews>
  <sheets>
    <sheet name="Rentecalc." sheetId="1" r:id="rId1"/>
    <sheet name="Inhoud" sheetId="2" r:id="rId2"/>
    <sheet name="Instructie" sheetId="3" r:id="rId3"/>
    <sheet name="A-E" sheetId="4" r:id="rId4"/>
    <sheet name="F" sheetId="5" r:id="rId5"/>
    <sheet name="G-H" sheetId="6" r:id="rId6"/>
    <sheet name="I" sheetId="7" r:id="rId7"/>
    <sheet name="GHZ" sheetId="8" r:id="rId8"/>
    <sheet name="V&amp;V" sheetId="9" r:id="rId9"/>
  </sheets>
  <externalReferences>
    <externalReference r:id="rId12"/>
    <externalReference r:id="rId13"/>
    <externalReference r:id="rId14"/>
  </externalReferences>
  <definedNames>
    <definedName name="__123Graph_C" hidden="1">'[1]I_03007'!#REF!</definedName>
    <definedName name="__123Graph_D" hidden="1">'[1]I_03007'!#REF!</definedName>
    <definedName name="__123Graph_E" hidden="1">'[1]I_03007'!#REF!</definedName>
    <definedName name="__123Graph_Z" hidden="1">'[1]I_03007'!#REF!</definedName>
    <definedName name="_Fill" hidden="1">#REF!</definedName>
    <definedName name="_Order1" hidden="1">255</definedName>
    <definedName name="_Order2" hidden="1">255</definedName>
    <definedName name="_xlnm.Print_Area" localSheetId="3">'A-E'!$A$1:$H$92</definedName>
    <definedName name="_xlnm.Print_Area" localSheetId="4">'F'!$A$1:$U$85</definedName>
    <definedName name="_xlnm.Print_Area" localSheetId="5">'G-H'!$A$1:$F$32</definedName>
    <definedName name="_xlnm.Print_Area" localSheetId="7">'GHZ'!$A$3:$M$98</definedName>
    <definedName name="_xlnm.Print_Area" localSheetId="6">'I'!$A$1:$L$36</definedName>
    <definedName name="_xlnm.Print_Area" localSheetId="1">'Inhoud'!$A$1:$I$34</definedName>
    <definedName name="_xlnm.Print_Area" localSheetId="2">'Instructie'!$A$1:$O$130</definedName>
    <definedName name="_xlnm.Print_Area" localSheetId="0">'Rentecalc.'!$A$1:$K$37</definedName>
    <definedName name="_xlnm.Print_Area" localSheetId="8">'V&amp;V'!$A$1:$M$76</definedName>
    <definedName name="Afdruktitels_MI">'[1]I_03007'!$1:$5</definedName>
    <definedName name="Expl_">'[1]I_03007'!#REF!</definedName>
    <definedName name="Expl_522">'[1]I_03007'!#REF!</definedName>
    <definedName name="Expl_523">'[1]I_03007'!#REF!</definedName>
    <definedName name="Expl_524">'[1]I_03007'!#REF!</definedName>
    <definedName name="Expl_525">'[1]I_03007'!#REF!</definedName>
    <definedName name="Expl_526">'[1]I_03007'!#REF!</definedName>
    <definedName name="getal_data">#REF!</definedName>
    <definedName name="INGHZbu1">#REF!</definedName>
    <definedName name="INGHZnac1">#REF!</definedName>
    <definedName name="INGHZnac2">#REF!</definedName>
    <definedName name="INGHZzzp1">#REF!</definedName>
    <definedName name="kolom_data">#REF!</definedName>
    <definedName name="naam">#REF!</definedName>
    <definedName name="naamconflict_VPH_01_._Fill" hidden="1">#REF!</definedName>
    <definedName name="naamconflict_VZH_01_._Fill" hidden="1">#REF!</definedName>
    <definedName name="tabblad">#REF!</definedName>
    <definedName name="totaal1996">'[1]I_03007'!$A$4:$D$43</definedName>
    <definedName name="totaal1997">'[1]I_03007'!$A$46:$D$85</definedName>
    <definedName name="totaal1998">'[1]I_03007'!$A$88:$D$127</definedName>
    <definedName name="totaal1999">'[1]I_03007'!$A$130:$D$169</definedName>
    <definedName name="totaal2000">'[1]I_03007'!$A$172:$D$211</definedName>
    <definedName name="waarde" hidden="1">#REF!</definedName>
    <definedName name="Z_60683067_AF12_11D4_9642_08005ACCD915_.wvu.PrintArea" localSheetId="3" hidden="1">'A-E'!$A:$XFD</definedName>
    <definedName name="Z_60683067_AF12_11D4_9642_08005ACCD915_.wvu.PrintArea" localSheetId="4" hidden="1">'F'!$A:$XFD</definedName>
    <definedName name="Z_60683067_AF12_11D4_9642_08005ACCD915_.wvu.PrintArea" localSheetId="5" hidden="1">'G-H'!$A:$XFD</definedName>
    <definedName name="Z_60683067_AF12_11D4_9642_08005ACCD915_.wvu.PrintTitles" localSheetId="0" hidden="1">'Rentecalc.'!#REF!</definedName>
    <definedName name="Z_60683068_AF12_11D4_9642_08005ACCD915_.wvu.PrintTitles" localSheetId="3" hidden="1">'A-E'!#REF!</definedName>
    <definedName name="Z_60683068_AF12_11D4_9642_08005ACCD915_.wvu.PrintTitles" localSheetId="4" hidden="1">'F'!#REF!</definedName>
    <definedName name="Z_60683068_AF12_11D4_9642_08005ACCD915_.wvu.PrintTitles" localSheetId="5" hidden="1">'G-H'!#REF!</definedName>
    <definedName name="Z_60683068_AF12_11D4_9642_08005ACCD915_.wvu.PrintTitles" localSheetId="1" hidden="1">'Inhoud'!$2:$2</definedName>
    <definedName name="Z_60683068_AF12_11D4_9642_08005ACCD915_.wvu.PrintTitles" localSheetId="0" hidden="1">'Rentecalc.'!#REF!</definedName>
    <definedName name="Z_60683068_AF12_11D4_9642_08005ACCD915_.wvu.Rows" localSheetId="1" hidden="1">'Inhoud'!#REF!,'Inhoud'!#REF!,'Inhoud'!#REF!</definedName>
    <definedName name="Z_60683068_AF12_11D4_9642_08005ACCD915_.wvu.Rows" localSheetId="0" hidden="1">'Rentecalc.'!#REF!,'Rentecalc.'!#REF!,'Rentecalc.'!#REF!,'Rentecalc.'!#REF!</definedName>
  </definedNames>
  <calcPr fullCalcOnLoad="1"/>
</workbook>
</file>

<file path=xl/sharedStrings.xml><?xml version="1.0" encoding="utf-8"?>
<sst xmlns="http://schemas.openxmlformats.org/spreadsheetml/2006/main" count="435" uniqueCount="329">
  <si>
    <r>
      <t xml:space="preserve">normrente </t>
    </r>
    <r>
      <rPr>
        <b/>
        <vertAlign val="superscript"/>
        <sz val="8"/>
        <rFont val="Verdana"/>
        <family val="2"/>
      </rPr>
      <t>3)</t>
    </r>
  </si>
  <si>
    <r>
      <t xml:space="preserve">rentevastper. </t>
    </r>
    <r>
      <rPr>
        <b/>
        <vertAlign val="superscript"/>
        <sz val="8"/>
        <rFont val="Verdana"/>
        <family val="2"/>
      </rPr>
      <t>4)</t>
    </r>
  </si>
  <si>
    <t>3) Bij roll-over leningen met renteswap: datum waarop de swap wordt afgesloten</t>
  </si>
  <si>
    <t xml:space="preserve">4) Bij roll-over leningen met renteswap: datum waarop de swap eindigt </t>
  </si>
  <si>
    <t>Genormeerde kosten KSW en extramuarale zorg</t>
  </si>
  <si>
    <t>Langlopende leningen (incl. langlopende leasecontracten en incl. roll-overleningen met langlopende swap.)</t>
  </si>
  <si>
    <t>5) Inclusief roll-over leningen met langlopende swap &gt; twee jaar.</t>
  </si>
  <si>
    <t xml:space="preserve">F. </t>
  </si>
  <si>
    <t>G.</t>
  </si>
  <si>
    <r>
      <t>1</t>
    </r>
    <r>
      <rPr>
        <sz val="8"/>
        <rFont val="Verdana"/>
        <family val="2"/>
      </rPr>
      <t xml:space="preserve"> De voor het jaar geldende gemiddelde normatieve rentevoet wordt na afloop van het jaar door de NZa berekend en gepubliceerd. Het rentepercentage is inclusief 0.5% tijdelijke liquiditeitstoeslag. Deze toeslag geldt niet voor situaties van overliquiditeit. De normatieve rentevoet is te vinden op de website van de NZa onder normering -&gt; korte rente.</t>
    </r>
  </si>
  <si>
    <r>
      <t xml:space="preserve">V of R </t>
    </r>
    <r>
      <rPr>
        <b/>
        <vertAlign val="superscript"/>
        <sz val="8"/>
        <rFont val="Verdana"/>
        <family val="2"/>
      </rPr>
      <t>5)</t>
    </r>
  </si>
  <si>
    <t xml:space="preserve">In de kolom ‘Datum normrente’ moet voor leningen die in 2009 zijn afgesloten de datum worden vermeld waarop het berekende normpercentage is vastgesteld. Dit is de datum waarop de leningovereenkomst tot stand is gekomen. Voor rol-over leningen vult u hier de datum in waarop de swap wordt afgesloten. </t>
  </si>
  <si>
    <t>In de kolom 'Einddatum rentevastperiode'  dient de datum te worden opgenomen waarop het huidige rentepercentage expireert. Als een bestaande lening in 2009 vervroegd is afgelost, kunt u bij de vervangende lening in deze kolom de datum vermelden waarop de oorspronkelijke rentefixatieperiode zou aflopen, echter met een maximum van 5 jaar na de datum van afsluiten van de vervangende lening. Gedurende de periode dat de oude lening nog zou zijn doorgelopen heeft de zorgaanbieder recht op een rentevergoeding conform het oude rentepercentage. In de kolom '% werkelijk' dient u in dat geval het werkelijke rentepercentage van de oude lening te vermelden. Bij roll-over leningen vult u hier de datum in waarop de swap eindigt.</t>
  </si>
  <si>
    <t xml:space="preserve">U kunt het calculatiemodel op AWBZ-stichtingsniveau invullen mits de verantwoording van de verschillende sectoren in één jaarrekening plaatsvindt. In bijlage I kunt u de toerekening naar de voorzieningen zelf bepalen en invullen.               </t>
  </si>
  <si>
    <t xml:space="preserve">Hier neemt u de langlopende leningen op waarvan de rente nacalculeerbaar is, d.w.z. langlopende leningen ten behoeve van intramurale grootschalige zorg. Dit betekent dat (gedeelten van) leningen die zijn afgesloten t.b.v. panden waarvan de kapitaallsten zijn genormeerd (b.v. panden voor kleinschalig wonen en extramurale zorg (die ná 1-1-2007 in exploitatie zijn genomen) niet mag meerekenen.  </t>
  </si>
  <si>
    <t>De vergoeding voor deze leningen is dezelfde als die voor lange leningen (leningen met een rentefixatieperiode van minimaal twee jaar). Voor bepaling van het bijbehorende Waarborgfonds Zorg (WFZ-)percentage wordt uitgegaan van de datum waarop de swap wordt gesloten, in combinatie met de looptijd van de swap (zie verder onderdeel 2.5 a van de beleidsregel rente)</t>
  </si>
  <si>
    <t xml:space="preserve">Het formulier is met een wachtwoord beveiligd. Dit betekent dat in het formulier geen veranderingen kunnen/mogen worden aangebracht. </t>
  </si>
  <si>
    <t>Exclusief activa kleinschalig wonen en genormeerde activa van extramurale zorg.</t>
  </si>
  <si>
    <t>Dit calculatiemodel is voor de berekening van de nacalculeerbare aanvaardbare rentekosten 2009 van AWBZ gefinancierde instellingen. Bij de berekeningen dient u de kapitaallasten die kunnen worden toegeschreven aan kleinschalig wonen niet te betrekken. Dit geldt ook voor de kapitaallasten van extramurale zorgprestaties voor zover deze normatief worden vergoed (en op of na 1 januari 2007 in exploitatie zijn genomen).</t>
  </si>
  <si>
    <t xml:space="preserve">Normatieve </t>
  </si>
  <si>
    <t xml:space="preserve">afschrijvingen* </t>
  </si>
  <si>
    <t xml:space="preserve">boekwaarde </t>
  </si>
  <si>
    <t>Einddatum</t>
  </si>
  <si>
    <t>Werk.</t>
  </si>
  <si>
    <t>Norm.</t>
  </si>
  <si>
    <t>N,W,</t>
  </si>
  <si>
    <t>rentebedrag</t>
  </si>
  <si>
    <t>Aanvaardbaar</t>
  </si>
  <si>
    <t>²</t>
  </si>
  <si>
    <t>Berekende</t>
  </si>
  <si>
    <t xml:space="preserve">rente </t>
  </si>
  <si>
    <t>Normatief</t>
  </si>
  <si>
    <t>Rentekosten langlopende leningen</t>
  </si>
  <si>
    <t>Afschrijving op tot en met 2000 betaalde boeterente van conversies (berekening bijvoegen)</t>
  </si>
  <si>
    <t xml:space="preserve">Gewogen schuld per periode (1 januari-data aflossingen-31 december) </t>
  </si>
  <si>
    <t>schuld</t>
  </si>
  <si>
    <t>Pag.</t>
  </si>
  <si>
    <t>BIJLAGEN BIJ CALCULATIEMODEL RENTEKOSTEN</t>
  </si>
  <si>
    <t>Percentages ten behoeve van berekening rentekosten</t>
  </si>
  <si>
    <t>Correctiebedrag tbv aansluiting ak conform jaarrekening en ak conform nacalculatieformulier</t>
  </si>
  <si>
    <t>*) Inclusief niet collectief gefinancierd eigen vermogen behorend bij het bedrijfsonderdeel waar deze nacalculatie betrekking op heeft.</t>
  </si>
  <si>
    <t>Registratienummer NZa</t>
  </si>
  <si>
    <r>
      <t>2</t>
    </r>
    <r>
      <rPr>
        <sz val="8"/>
        <rFont val="Verdana"/>
        <family val="2"/>
      </rPr>
      <t xml:space="preserve"> De inflatievergoeding over het eigen vermogen is gelijk aan de prijsstijging voor de materiële kosten.</t>
    </r>
  </si>
  <si>
    <t>Vrije regel voor annuïteitenleningen conform separate specificatie</t>
  </si>
  <si>
    <t>(Fictief) leningbedrag met betrekking tot huur/leasing van inventarissen</t>
  </si>
  <si>
    <t>Jaar van de nacalculatie</t>
  </si>
  <si>
    <t>Afschrijving *</t>
  </si>
  <si>
    <r>
      <t xml:space="preserve">rentebedrag </t>
    </r>
    <r>
      <rPr>
        <b/>
        <vertAlign val="superscript"/>
        <sz val="8"/>
        <rFont val="Verdana"/>
        <family val="2"/>
      </rPr>
      <t>1</t>
    </r>
  </si>
  <si>
    <r>
      <t xml:space="preserve">Inflatievergoeding over eigen vermogen </t>
    </r>
    <r>
      <rPr>
        <vertAlign val="superscript"/>
        <sz val="9"/>
        <rFont val="Verdana"/>
        <family val="2"/>
      </rPr>
      <t>2</t>
    </r>
  </si>
  <si>
    <t>Te verklaren verschillen ¹</t>
  </si>
  <si>
    <t xml:space="preserve">Langlopende leningen (incl. langlopende leasecontracten) </t>
  </si>
  <si>
    <t>1) Voor oude leningen (w) in de kolom "aanvaardbaar rentebedrag" het werkelijke rentebedrag vermelden</t>
  </si>
  <si>
    <t>Mutaties januari</t>
  </si>
  <si>
    <t>Mutaties februari</t>
  </si>
  <si>
    <t>Mutaties maart</t>
  </si>
  <si>
    <t>Mutaties april</t>
  </si>
  <si>
    <t>Mutaties mei</t>
  </si>
  <si>
    <t>Mutaties juni</t>
  </si>
  <si>
    <t>Mutaties juli</t>
  </si>
  <si>
    <t>Mutaties augustus</t>
  </si>
  <si>
    <t>Mutaties september</t>
  </si>
  <si>
    <t>Mutaties oktober</t>
  </si>
  <si>
    <t>Mutaties november</t>
  </si>
  <si>
    <t>Mutaties december</t>
  </si>
  <si>
    <t>Factor kolom 1</t>
  </si>
  <si>
    <t>Factor kolom 2</t>
  </si>
  <si>
    <t>Gefactureerd in januari</t>
  </si>
  <si>
    <t>Gefactureerd in februari</t>
  </si>
  <si>
    <t>Gefactureerd in maart</t>
  </si>
  <si>
    <t>Gefactureerd in april</t>
  </si>
  <si>
    <t>Gefactureerd in mei</t>
  </si>
  <si>
    <t>Gefactureerd in juni</t>
  </si>
  <si>
    <t>Gefactureerd in juli</t>
  </si>
  <si>
    <t>Gefactureerd in augustus</t>
  </si>
  <si>
    <t>Gefactureerd in september</t>
  </si>
  <si>
    <t>Gefactureerd in oktober</t>
  </si>
  <si>
    <t>Gefactureerd in november</t>
  </si>
  <si>
    <t>Gefactureerd in december</t>
  </si>
  <si>
    <t>E.</t>
  </si>
  <si>
    <t>Uitgevoerd en gefactureerd in januari</t>
  </si>
  <si>
    <t>Uitgevoerd en gefactureerd in februari</t>
  </si>
  <si>
    <t>Uitgevoerd en gefactureerd in maart</t>
  </si>
  <si>
    <t>Uitgevoerd en gefactureerd in april</t>
  </si>
  <si>
    <t>Uitgevoerd en gefactureerd in mei</t>
  </si>
  <si>
    <t>Uitgevoerd en gefactureerd in juni</t>
  </si>
  <si>
    <t>Uitgevoerd en gefactureerd in juli</t>
  </si>
  <si>
    <t>Uitgevoerd en gefactureerd in augustus</t>
  </si>
  <si>
    <t>Uitgevoerd en gefactureerd in september</t>
  </si>
  <si>
    <t>Uitgevoerd en gefactureerd in oktober</t>
  </si>
  <si>
    <t>Uitgevoerd en gefactureerd in november</t>
  </si>
  <si>
    <t>Uitgevoerd en gefactureerd in december</t>
  </si>
  <si>
    <t>Overig buiten beschouwing gebleven eigen vermogen (reden toelichten)</t>
  </si>
  <si>
    <t>%</t>
  </si>
  <si>
    <t>Gewogen boekwaarde</t>
  </si>
  <si>
    <t>Factor</t>
  </si>
  <si>
    <t>Geldgever</t>
  </si>
  <si>
    <t xml:space="preserve">Saldo </t>
  </si>
  <si>
    <t>Kapitaal</t>
  </si>
  <si>
    <t>Algemene reserves</t>
  </si>
  <si>
    <t>Reserve aanvaardbare kosten</t>
  </si>
  <si>
    <t>Instandhoudingsreserve</t>
  </si>
  <si>
    <t>Reserve inventarissen</t>
  </si>
  <si>
    <t>Overige reserves</t>
  </si>
  <si>
    <t>Vernieuwingsfonds</t>
  </si>
  <si>
    <t>Egalisatievoorzienining  onderhoud</t>
  </si>
  <si>
    <t>Overige voorzieningen</t>
  </si>
  <si>
    <t>Fondsen en fundaties</t>
  </si>
  <si>
    <t>Saldo resultatenrekening</t>
  </si>
  <si>
    <t>Datum</t>
  </si>
  <si>
    <t>dag</t>
  </si>
  <si>
    <t>ma(a)nd(en)</t>
  </si>
  <si>
    <t>Egalisatierekening annuïteitenrente en nog te verrekenen (aanvaardbare) boeterente [(beginbalans + eindbalans) : 2]</t>
  </si>
  <si>
    <t xml:space="preserve">% </t>
  </si>
  <si>
    <t xml:space="preserve">Bedrag </t>
  </si>
  <si>
    <t xml:space="preserve">bedrag </t>
  </si>
  <si>
    <t>Afschrijving op geactiveerde rente van annuïteitenleningen</t>
  </si>
  <si>
    <t xml:space="preserve">Boekwaarde vergunningsplichtige investeringen zonder vergunning. </t>
  </si>
  <si>
    <t xml:space="preserve">Gewogen </t>
  </si>
  <si>
    <t xml:space="preserve">Factor </t>
  </si>
  <si>
    <t xml:space="preserve">Boekwaarde </t>
  </si>
  <si>
    <t xml:space="preserve"> </t>
  </si>
  <si>
    <t>Totaal</t>
  </si>
  <si>
    <t xml:space="preserve">Totaal </t>
  </si>
  <si>
    <t>Activa</t>
  </si>
  <si>
    <t>Passiva</t>
  </si>
  <si>
    <t xml:space="preserve">Aanschafwaarde </t>
  </si>
  <si>
    <t xml:space="preserve">Afschrijvingen </t>
  </si>
  <si>
    <t>B.</t>
  </si>
  <si>
    <t>Normatief werkkapitaal</t>
  </si>
  <si>
    <t xml:space="preserve">H. </t>
  </si>
  <si>
    <t>Eigen vermogen</t>
  </si>
  <si>
    <t>TOELICHTING / INVULINSTRUCTIE</t>
  </si>
  <si>
    <t>INHOUDSOPGAVE</t>
  </si>
  <si>
    <t>Eventuele vordering vakantiegeldverplichting (volgens de balans per 1 januari van het jaar van invoering van het budgetsysteem)</t>
  </si>
  <si>
    <t>C.</t>
  </si>
  <si>
    <t>D.</t>
  </si>
  <si>
    <t>nr.</t>
  </si>
  <si>
    <t>cat.</t>
  </si>
  <si>
    <t>T.b.v. de renteberekening i.v.m. eventuele schrikkeljaren</t>
  </si>
  <si>
    <t xml:space="preserve">Rentedeel gehuurde instandhouding (45% van het kale huurbedrag) </t>
  </si>
  <si>
    <t>a)</t>
  </si>
  <si>
    <t>Normatieve</t>
  </si>
  <si>
    <t>boekwaarde</t>
  </si>
  <si>
    <t>Aantal</t>
  </si>
  <si>
    <t>Norm per</t>
  </si>
  <si>
    <t>b)</t>
  </si>
  <si>
    <t>kasbasis</t>
  </si>
  <si>
    <t>bed</t>
  </si>
  <si>
    <t>investering</t>
  </si>
  <si>
    <t>Gewogen</t>
  </si>
  <si>
    <t>plaatsen</t>
  </si>
  <si>
    <t>Medische en overige inventarissen tot en met 2000</t>
  </si>
  <si>
    <t>organen</t>
  </si>
  <si>
    <t>orgaan</t>
  </si>
  <si>
    <t>toegelaten</t>
  </si>
  <si>
    <t>normatieve</t>
  </si>
  <si>
    <t>1)</t>
  </si>
  <si>
    <t>bedden</t>
  </si>
  <si>
    <t>plaats</t>
  </si>
  <si>
    <t>dagbeh.</t>
  </si>
  <si>
    <t>rekenstaat</t>
  </si>
  <si>
    <t>Gemiddeld</t>
  </si>
  <si>
    <t>Aanschaf-</t>
  </si>
  <si>
    <t>te bezetten</t>
  </si>
  <si>
    <t>normatief</t>
  </si>
  <si>
    <t>waarde /</t>
  </si>
  <si>
    <t>(normatieve)</t>
  </si>
  <si>
    <t>investerings-</t>
  </si>
  <si>
    <t>bedrag</t>
  </si>
  <si>
    <t>Medische en overige inventarissen</t>
  </si>
  <si>
    <t>Investeringen in med. en overige invent. m.b.t. de jaren 2000 t/m 2009</t>
  </si>
  <si>
    <t>Geact. invest. in med. en overige invent. waarvoor in 2000 additionele middelen zijn toegekend</t>
  </si>
  <si>
    <t>Geact. invest. in med. en overige invent. waarvoor in 2001 additionele middelen zijn toegekend</t>
  </si>
  <si>
    <t>Computerapparatuur en -programmatuur</t>
  </si>
  <si>
    <t>C. Instandhoudingsinvesteringen</t>
  </si>
  <si>
    <t>(Gemiddeld)</t>
  </si>
  <si>
    <t>investering/</t>
  </si>
  <si>
    <t>invest.-</t>
  </si>
  <si>
    <t>aanschaf-</t>
  </si>
  <si>
    <t>boek-</t>
  </si>
  <si>
    <t>C.2</t>
  </si>
  <si>
    <t>Verblijf, zonder behandeling (voorheen verzorgingshuizen)</t>
  </si>
  <si>
    <t>waarde</t>
  </si>
  <si>
    <t>Geactiveerde investeringen waarvoor in 2000 additionele budgetmiddelen zijn toegekend</t>
  </si>
  <si>
    <t>Geactiveerde investeringen waarvoor in 2001 additionele budgetmiddelen zijn toegekend</t>
  </si>
  <si>
    <t>Instandhouding voorheen VKP</t>
  </si>
  <si>
    <t>Verblijf en behandeling (voorheen verpleeghuizen)</t>
  </si>
  <si>
    <t>Instellingsspecifiek</t>
  </si>
  <si>
    <t>V&amp;V: Totaal investeringen in medische en overige inventarissen en in computerapparatuur en -programmatuur</t>
  </si>
  <si>
    <t>ja</t>
  </si>
  <si>
    <t>NZa-nummer</t>
  </si>
  <si>
    <t>Naam zorgaanbieder</t>
  </si>
  <si>
    <t>Aanvaardbare</t>
  </si>
  <si>
    <t>rentekosten</t>
  </si>
  <si>
    <t>=Rentecalc.!I4</t>
  </si>
  <si>
    <t xml:space="preserve">I. </t>
  </si>
  <si>
    <t>Toerekening aanvaardbare rentekosten</t>
  </si>
  <si>
    <t>2) Hier neemt u de langlopende leningen op waarvan de rente nacalculeerbaar is.</t>
  </si>
  <si>
    <t>Gefactureerde investeringen</t>
  </si>
  <si>
    <t>Ingebruik genomen investeringen</t>
  </si>
  <si>
    <t xml:space="preserve">Onderhanden bouwprojecten </t>
  </si>
  <si>
    <r>
      <t xml:space="preserve">Normatieve rentepercentage kort krediet </t>
    </r>
    <r>
      <rPr>
        <vertAlign val="superscript"/>
        <sz val="9"/>
        <rFont val="Verdana"/>
        <family val="2"/>
      </rPr>
      <t xml:space="preserve">1 </t>
    </r>
  </si>
  <si>
    <t>A.</t>
  </si>
  <si>
    <t xml:space="preserve">Boekwaarde investeringen vaste activa </t>
  </si>
  <si>
    <t>Eigen vermogen dat is gevormd door genormeerde Kleinschalig wonen en extramurale zorg</t>
  </si>
  <si>
    <t xml:space="preserve">Eigen vermogen dat door de productie van genormeerde zorg is toegevoegd aan. </t>
  </si>
  <si>
    <t>ALGEMEEN</t>
  </si>
  <si>
    <t xml:space="preserve">Het renteformulier hoeft u niet mee te sturen met het nacalculatieformulier 2009. Wel dient u het te gebruiken bij het bepalen van de aanvaardbare rentekosten.    </t>
  </si>
  <si>
    <t xml:space="preserve">Zorgaanbieder             </t>
  </si>
  <si>
    <t>U hoeft alleen de blauw gearceerde velden in te vullen, de doorrekeningen vinden automatisch plaats.</t>
  </si>
  <si>
    <t xml:space="preserve">CALCULATIEMODEL RENTEKOSTEN         </t>
  </si>
  <si>
    <t>A. Boekwaarde investeringen vaste activa.</t>
  </si>
  <si>
    <t xml:space="preserve">B. Onderhanden bouwprojecten </t>
  </si>
  <si>
    <t xml:space="preserve">NB. In de onderdelen A, B en C dienen geen instandhoudingsinvesteringen te worden opgenomen.                 </t>
  </si>
  <si>
    <t xml:space="preserve">D. Werkelijke boekwaarde instandhoudingsinvesteringen (inclusief onderhanden werk) </t>
  </si>
  <si>
    <t xml:space="preserve">E. Normatief werkkapitaal  </t>
  </si>
  <si>
    <t xml:space="preserve">Nadat de periode, waarin voor de berekening van de aanvaardbare rentekosten werd uitgegaan van het rentepercentage van de oude lening, is verstreken, dient u in de kolom 'Einddatum rentevastperiode' de einddatum van de vervangende lening te vermelden en in de kolom '% werkelijk' het werkelijke rentepercentage van de vervangende lening. In de kolom 'N,W,of V' moet de V worden aangepast in N.        </t>
  </si>
  <si>
    <t>In de kolommen van ‘storting/aflossing 2009’ dient u het aflossingsbedrag, de dag en de maand(en) van aflossing aan te geven. Aan de hand van deze gegevens wordt de gewogen schuld berekend. Als de berekening voor een specifieke situatie niet tot de juiste uitkomst leidt kan het bedrag van de gewogen schuld worden aangepast. Ook de berekende aanvaardbare rentekosten kunnen worden aangepast voor afwijkingen in de werkelijke rentekosten als het gaat om oude leningen.</t>
  </si>
  <si>
    <t>Nieuwe leningen kunt u in dit overzicht opnemen door de storting te verwerken als een negatieve aflossing.  Als op de nieuwe lening in hetzelfde jaar nog wordt afgelost, kunnen deze aflossingen op de volgende regel apart worden verwerkt.</t>
  </si>
  <si>
    <t xml:space="preserve">G. Eigen vermogen    </t>
  </si>
  <si>
    <t>H. Rentekosten langlopende leningen</t>
  </si>
  <si>
    <t>I. Verdeling aanvaardbare rentekosten over de zorgaanbieders</t>
  </si>
  <si>
    <t xml:space="preserve">In deze tabel worden de totale rentekosten die van invloed zijn op de aanvaardbare rentekosten berekend. </t>
  </si>
  <si>
    <t>Indien u één rentenormeringsbalans voor meerdere zorgaanbieders (lees: rekenstaten, NZa-nummers per sector) heeft ingevuld, kunt u hier de verdeling van de rentekosten over de zorgaanbieders aangeven.</t>
  </si>
  <si>
    <t xml:space="preserve">Lange leningen regel 833 bijlage F </t>
  </si>
  <si>
    <t>Rente van leningen afgesloten na 1-1-2009 met een looptijd van 2 jaar of meer in combinatie met een renteswap</t>
  </si>
  <si>
    <t>Bedden</t>
  </si>
  <si>
    <t>aanbieders</t>
  </si>
  <si>
    <t>aanbieder</t>
  </si>
  <si>
    <t>Verstandelijk gehandicapten (150-zorgaanbieders)</t>
  </si>
  <si>
    <t>JLVG (151-zorgaanbieders) &lt; 100 plaatsen en KVT</t>
  </si>
  <si>
    <t>JLVG (151-zorgaanbieders) &gt; 99 plaatsen</t>
  </si>
  <si>
    <t>Voorzieningencentra en Het Dorp (152-zorgaanbieders)</t>
  </si>
  <si>
    <t>Zorgaanbieders voor zintuiglijk gehandicapten (180/181-zorgaanbieders) 2000</t>
  </si>
  <si>
    <t>aanschafw.</t>
  </si>
  <si>
    <t>afschrijving</t>
  </si>
  <si>
    <t xml:space="preserve"> boekwaarde</t>
  </si>
  <si>
    <t>factor</t>
  </si>
  <si>
    <t>norm. Boekw.</t>
  </si>
  <si>
    <t>Goedgekeurde investeringen 31-12-2009</t>
  </si>
  <si>
    <t>Medische en overige inventarissen (verblijf exclusief behandeling, exclusief Kleinschalig Wonen)</t>
  </si>
  <si>
    <t>J.2 V&amp;V</t>
  </si>
  <si>
    <t>J.1 GHZ</t>
  </si>
  <si>
    <t>J.1</t>
  </si>
  <si>
    <t>J.2</t>
  </si>
  <si>
    <t>Investeringen in computerapp. en -programm. m.b.t. 2005 t/m 2009</t>
  </si>
  <si>
    <t>Bij het onderdeel instandhouding dient u een onderscheid te maken in gehuurde panden en panden in eigendom. Verwezen wordt naar de beleidsregel instandhoudingsinvesteringen (CA-383).</t>
  </si>
  <si>
    <t>Totaal Aanvaardbare rentekosten (regel 117)</t>
  </si>
  <si>
    <r>
      <t>m</t>
    </r>
    <r>
      <rPr>
        <b/>
        <vertAlign val="superscript"/>
        <sz val="9"/>
        <rFont val="Verdana"/>
        <family val="2"/>
      </rPr>
      <t>2</t>
    </r>
    <r>
      <rPr>
        <b/>
        <sz val="9"/>
        <rFont val="Verdana"/>
        <family val="2"/>
      </rPr>
      <t xml:space="preserve"> vlg.</t>
    </r>
  </si>
  <si>
    <r>
      <t>m</t>
    </r>
    <r>
      <rPr>
        <b/>
        <vertAlign val="superscript"/>
        <sz val="9"/>
        <rFont val="Verdana"/>
        <family val="2"/>
      </rPr>
      <t>2</t>
    </r>
  </si>
  <si>
    <t>laatste</t>
  </si>
  <si>
    <t>Medische en overige invent. en in comp. en -progr. vanaf 2001</t>
  </si>
  <si>
    <t xml:space="preserve">rekenstaat </t>
  </si>
  <si>
    <r>
      <t>m</t>
    </r>
    <r>
      <rPr>
        <b/>
        <vertAlign val="superscript"/>
        <sz val="9"/>
        <rFont val="Verdana"/>
        <family val="2"/>
      </rPr>
      <t xml:space="preserve">2 </t>
    </r>
    <r>
      <rPr>
        <b/>
        <sz val="9"/>
        <rFont val="Verdana"/>
        <family val="2"/>
      </rPr>
      <t>vlg.</t>
    </r>
  </si>
  <si>
    <t>c)</t>
  </si>
  <si>
    <t>Extra investeringsbedragen</t>
  </si>
  <si>
    <t>Extra bedrag i.v.m. cap. wijz. / (mutatie) norm. m2 nieuwbouw 2001</t>
  </si>
  <si>
    <t>Extra bedrag i.v.m. cap. wijz. / (mutatie) norm. m2 nieuwbouw 2002</t>
  </si>
  <si>
    <t>Extra bedrag i.v.m. cap. wijz. / (mutatie) norm. m2 nieuwbouw 2003</t>
  </si>
  <si>
    <t>Extra bedrag i.v.m. cap. wijz. / (mutatie) norm. m2 nieuwbouw 2004</t>
  </si>
  <si>
    <t>Extra bedrag i.v.m. cap. wijz. / (mutatie) norm. m2 nieuwbouw 2005</t>
  </si>
  <si>
    <t>Extra bedrag i.v.m. cap. wijz. / (mutatie) norm. m2 nieuwbouw 2006</t>
  </si>
  <si>
    <t>Extra bedrag i.v.m. cap. wijz. / (mutatie) norm. m2 nieuwbouw 2007</t>
  </si>
  <si>
    <t>Extra bedrag i.v.m. cap. wijz. / (mutatie) norm. m2 nieuwbouw 2008</t>
  </si>
  <si>
    <t>1) Het gaat hier om het aantal organen van gezondheidszorg dat toegelaten is voor verblijf én behandeling. Deze organen waren vóór invoering van de stichtingsbudgettering in aparte rekenstaten ondergebracht en zijn vanaf 2004 of later in één rekenstaat opgenomen.</t>
  </si>
  <si>
    <t>Extra bedrag i.v.m. cap. wijz. / (mutatie) norm. m2 nieuwbouw 2009</t>
  </si>
  <si>
    <t>Investeringen m.b.t. 2000 t/m 2009, indien gehuurd</t>
  </si>
  <si>
    <t>Investeringen m.b.t. 2000 t/m 2009, indien in eigendom</t>
  </si>
  <si>
    <t>Medische en overige inventarissen vanaf 2001 (verblijf met behandeling, exclusief Kleinschalig Wonen)</t>
  </si>
  <si>
    <t xml:space="preserve">Aantal </t>
  </si>
  <si>
    <r>
      <t>Aantal m</t>
    </r>
    <r>
      <rPr>
        <b/>
        <vertAlign val="superscript"/>
        <sz val="9"/>
        <rFont val="Verdana"/>
        <family val="2"/>
      </rPr>
      <t>2</t>
    </r>
  </si>
  <si>
    <t xml:space="preserve">normatieve </t>
  </si>
  <si>
    <t>conform</t>
  </si>
  <si>
    <t>per</t>
  </si>
  <si>
    <t xml:space="preserve"> investering </t>
  </si>
  <si>
    <t>meters</t>
  </si>
  <si>
    <t>ond. 2.3.1.</t>
  </si>
  <si>
    <t>meter</t>
  </si>
  <si>
    <t xml:space="preserve">Verstandelijk </t>
  </si>
  <si>
    <t>gehandicapten</t>
  </si>
  <si>
    <t>Jeugdige licht</t>
  </si>
  <si>
    <t xml:space="preserve">verstandelijk </t>
  </si>
  <si>
    <t>(JLVG)</t>
  </si>
  <si>
    <t xml:space="preserve">Voorzieningencentra </t>
  </si>
  <si>
    <t>en Het Dorp</t>
  </si>
  <si>
    <t>Auditief</t>
  </si>
  <si>
    <t>Visueel</t>
  </si>
  <si>
    <t xml:space="preserve">gemiddelde </t>
  </si>
  <si>
    <t>(grootschalig)</t>
  </si>
  <si>
    <t>norm</t>
  </si>
  <si>
    <t>Voorheen dagverblijven voor verstandelijk gehandicapten</t>
  </si>
  <si>
    <t>Voorheen overige dagverblijven</t>
  </si>
  <si>
    <t>GVT VG en ZG hoofdvestiging</t>
  </si>
  <si>
    <t>GVT VG en ZG dependance</t>
  </si>
  <si>
    <t>GVT LG</t>
  </si>
  <si>
    <t>kinder-GVT VG</t>
  </si>
  <si>
    <t>kinder-GVT LG</t>
  </si>
  <si>
    <t>GHZ: Totaal investeringen in medische en overige inventarissen en in computerapparatuur en -programmatuur</t>
  </si>
  <si>
    <t xml:space="preserve">GGZ: Normatieve boekwaarde medische en overige inventarissen </t>
  </si>
  <si>
    <t>*Zie onderbouwing rekenstaat GGZ regel 62.</t>
  </si>
  <si>
    <t xml:space="preserve">GHZ: Normatieve boekwaarde medische en overige inventarissen </t>
  </si>
  <si>
    <t xml:space="preserve">V&amp;V: Normatieve boekwaarde medische en overige inventarissen </t>
  </si>
  <si>
    <t>d)</t>
  </si>
  <si>
    <t>e)</t>
  </si>
  <si>
    <t>Alleen zorgaanbieders met GHZ nummer (600)</t>
  </si>
  <si>
    <t>Alleen instellingen met GGZ nummer (120)</t>
  </si>
  <si>
    <t xml:space="preserve">Aanschaf </t>
  </si>
  <si>
    <t>Werkelijke boekwaarde instandhoudingsinvesteringen</t>
  </si>
  <si>
    <t xml:space="preserve"> verblijf en behandeling (inclusief onderhanden werk)</t>
  </si>
  <si>
    <t>Op dit calculatiemodel rentekosten 2009 zijn van toepassing  de beleidsregels van de NZa zoals deze voor het jaar 2009 van kracht waren. Het formulier geldt voor alle AWBZ sectoren. Voor de sectoren gehandicatenzorg en verpleging en verzorging zijn aparte tabbladen toegevoegd voor hun sectorspecifieke onderwerpen.</t>
  </si>
  <si>
    <t xml:space="preserve">De accountantscontrole dient dit formulier te omvatten. De NZa kan dit formulier opvragen bij onduidelijkheden en/of vragen.            </t>
  </si>
  <si>
    <t>C.  Normatieve boekwaarde medische en overige inventarissen (GGZ)</t>
  </si>
  <si>
    <t xml:space="preserve">U dient hier de afschrijvingen volgens de rekenstaat 2009 in te vullen. De berekening van de normatieve boekwaarde vindt automatisch plaats. Dit is exclusief de plaatsen kleinschalig wonen. Alleen de sector GGZ dient dit sjabloon in vullen. </t>
  </si>
  <si>
    <t>In dit werkblad kunt u de werkelijke boekwaarde van de instandhoudingsinvesteringen van de zorgaanbieders met een toelating voor verblijf invullen. Dit wordt doorgerekend naar regel 106.</t>
  </si>
  <si>
    <t>In dit tabblad wordt de diverse rentevergoedingen berekend voor zover deze specifiek voor de sector verpleging en verzorging van toepassing zijn. Dit betreft investeringen in medische en overige inventarissen en in computerapparatuur en instandhoudingsinvesteringen. Het bedrag van de instandhouding wordt doorgerekend naar regel 116.</t>
  </si>
  <si>
    <t>Instellingen voor verblijf en verblijf met behandeling vullen hier de normatieve boekwaarde in van de kosten per plaats.</t>
  </si>
  <si>
    <t>Verblijf zonder behandeling (voorheen GVT)</t>
  </si>
  <si>
    <t xml:space="preserve">Op regel 501 wordt de boekwaarde per 31 december 2008 volgens de jaarrekening opgenomen. De gegevens in dit onderdeel zijn exclusief de kosten voor onderhanden projecten. Op regel 502 t/m 514 vermeldt u in de kolom 'Aanschafwaarde' de (des)investeringen die in 2009 in gebruik zijn genomen c.q. buiten gebruik zijn gesteld. In de kolom 'Afschrijving' dient u de maandelijkse nacalculeerbare afschrijvingskosten te vermelden. Bij de desinvesteringen vermeldt u in de kolom 'Afschrijving' ook de bedragen die tot dan toe in totaal op deze investeringen zijn afgeschreven.             </t>
  </si>
  <si>
    <t xml:space="preserve">Op regel 515 dient u in de eerste kolom de kosten voor onderhanden projecten per 31 december 2008 volgens de jaarrekening op te nemen. Op de regels 516 t/m 527 kunt u de bedragen vermelden in de maand waarin het uitgevoerde werk is gefactureerd. In de factor wordt rekening gehouden met een betalingstermijn van 1 maand. In de tweede kolom vult u de onderhanden investeringen in die in 2009 in gebruik zijn genomen. </t>
  </si>
  <si>
    <t xml:space="preserve">Op regel 612 wordt de boekwaarde per 31 december 2008 volgens de jaarrekening opgenomen. Voor instandhoudingsinvesteringen in uitvoering zijn twee varianten mogelijk. U kunt ervoor kiezen de investeringskosten aan het eind van het jaar direct te activeren en de afschrijvingen daarop in 2010 te starten. Als u hiervoor kiest, hoeft u de regels 614 en 628 niet in te vullen. U kunt er ook voor kiezen de investeringskosten te boeken op onderhanden werk. Alleen als u kiest voor de laatste variant dienen de regels 614 en 628 wel te worden ingevuld. In dit overzicht dienen tevens de onderhanden bouwprojecten in het kader van de instandhoudingsinvesteringen te worden opgenomen. Evenals in overzicht B wordt ook hier in de toegepaste factoren rekening gehouden met een betalingstermijn van één maand. U kunt alleen investeringen opgeven voor grootschalige zorg. Plaatsen die zijn  omgezet naar kleinschalig wonen dienen niet te worden opgenomen </t>
  </si>
  <si>
    <t xml:space="preserve">Op regel 630 dient u de aanvaardbare kosten conform rekenstaat van alle betrokken zorgaanbieders van de beherende rechtspersoon bij elkaar worden opgeteld. </t>
  </si>
  <si>
    <t xml:space="preserve">Op regel 631 vult u in de aanvaardbare kosten in voorzover zij kunnen worden toegerekend aan kleinschalige woonvoorzieningen en genormeerde extramurale zorg.               </t>
  </si>
  <si>
    <t xml:space="preserve">Regel 632 is alleen van toepassing op zorgaanbieders die als bestendige gedragslijn aan het einde van het jaar tegenover (een deel van) de vakantiegeldverplichting een vordering op de AWBZ in de balans opnemen. Het in te vullen bedrag is in beginsel gelijk aan de reservering in het jaar voorafgaande aan het jaar waarin de budgettering werd ingevoerd.       </t>
  </si>
  <si>
    <t>Voor de bepaling van het resultaat 2009, ten behoeve van de stand per 31-12-2009 van regel 920, dient te worden uitgegaan van de totale aanvaardbare kosten, exclusief de mutatie rentekosten. Als het resultaat al is verwerkt in de reserves op de regels 911 t/m 919, dan hoeft regel 920 niet te worden ingevuld.</t>
  </si>
  <si>
    <t>Op regel 924 kan de boekwaarde van vergunningsplichtige investeringen zonder vergunning in mindering worden gebracht. Dit betreft investeringen waarvoor, om voor nacalculatie in aanmerking te komen, een vergunning vereist is, maar welke niet is afgegeven. Het kan ook gaan om een overschrijding van een vergunning. De investeringen zijn gedaan ten behoeve van een zorgaanbieder en er is geen titel om de daarmee samenhangende kapitaallasten door te berekenen aan derden. Deze regel is niet bedoeld voor investeringen waarvan de kosten uit andere hoofde moeten worden gedekt. Zoals bijvoorbeeld genormeerde kosten van kleinschalig wonen en extramurale zorg.</t>
  </si>
  <si>
    <r>
      <t xml:space="preserve">In de kolom 'N, W, V of R' moet een 'W' worden vermeld voor bestaande leningen waarvoor de </t>
    </r>
    <r>
      <rPr>
        <u val="single"/>
        <sz val="9"/>
        <rFont val="Verdana"/>
        <family val="2"/>
      </rPr>
      <t>w</t>
    </r>
    <r>
      <rPr>
        <sz val="9"/>
        <rFont val="Verdana"/>
        <family val="2"/>
      </rPr>
      <t xml:space="preserve">erkelijke rentekosten (W) aanvaardbaar zijn. U vermeldt een 'V' als sprake is van een ná 31 december 2000 afgesloten lening waarvoor een normrente is vastgesteld en die in de plaats komt van een vervroegd afgeloste lening. U vermeldt een 'N' wanneer voor de lening een </t>
    </r>
    <r>
      <rPr>
        <u val="single"/>
        <sz val="9"/>
        <rFont val="Verdana"/>
        <family val="2"/>
      </rPr>
      <t>n</t>
    </r>
    <r>
      <rPr>
        <sz val="9"/>
        <rFont val="Verdana"/>
        <family val="2"/>
      </rPr>
      <t>ormatief percentage (N) is vastgesteld en er geen sprake is van vervanging van een vervroegd afgeloste lening. U vermeldt een "R" wanneer de lening betrekking heeft op een roll-over lening.</t>
    </r>
  </si>
  <si>
    <t>Normrente over verschil activa en passiva 1,64% + 0,50% aanvullende liquiditeitstoeslag als regel 112 postief is.</t>
  </si>
  <si>
    <t>Berekening gewogen schuld en rentekosten (Hulptabel bij sjabloon op pagina 7)</t>
  </si>
  <si>
    <t>Versiedatum 08-02-2010</t>
  </si>
</sst>
</file>

<file path=xl/styles.xml><?xml version="1.0" encoding="utf-8"?>
<styleSheet xmlns="http://schemas.openxmlformats.org/spreadsheetml/2006/main">
  <numFmts count="4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quot;fl&quot;\ * #,##0_-;_-&quot;fl&quot;\ * #,##0\-;_-&quot;fl&quot;\ * &quot;-&quot;_-;_-@_-"/>
    <numFmt numFmtId="179" formatCode="_-&quot;fl&quot;\ * #,##0.00_-;_-&quot;fl&quot;\ * #,##0.00\-;_-&quot;fl&quot;\ * &quot;-&quot;??_-;_-@_-"/>
    <numFmt numFmtId="180" formatCode="0.0000"/>
    <numFmt numFmtId="181" formatCode="#,##0.0_-;#,##0.0\-"/>
    <numFmt numFmtId="182" formatCode="0.000"/>
    <numFmt numFmtId="183" formatCode="#,##0.0"/>
    <numFmt numFmtId="184" formatCode="#,##0;\(#,##0\);"/>
    <numFmt numFmtId="185" formatCode="#,##0.0000"/>
    <numFmt numFmtId="186" formatCode="#,##0_ \ ;\(#,##0\)_ ;"/>
    <numFmt numFmtId="187" formatCode="#,##0\ ;\(#,##0\);"/>
    <numFmt numFmtId="188" formatCode="#,##0_ ;\(#,##0\);"/>
    <numFmt numFmtId="189" formatCode="\(#,##0\)_ ;#,##0_ \ ;\ \(* \)_ "/>
    <numFmt numFmtId="190" formatCode="0\ ;"/>
    <numFmt numFmtId="191" formatCode="\ \ƒ* #,##0_ \ ;\ \ƒ* ;\ \ƒ* "/>
    <numFmt numFmtId="192" formatCode="###0_-;###0\-"/>
    <numFmt numFmtId="193" formatCode="0_ ;\-0\ "/>
    <numFmt numFmtId="194" formatCode="#,##0.00_ ;\-#,##0.00\ "/>
    <numFmt numFmtId="195" formatCode="#,##0_ ;\-#,##0\ "/>
    <numFmt numFmtId="196" formatCode="0####"/>
    <numFmt numFmtId="197" formatCode="#,###"/>
    <numFmt numFmtId="198" formatCode="&quot;Ja&quot;;&quot;Ja&quot;;&quot;Nee&quot;"/>
    <numFmt numFmtId="199" formatCode="&quot;Waar&quot;;&quot;Waar&quot;;&quot;Niet waar&quot;"/>
    <numFmt numFmtId="200" formatCode="&quot;Aan&quot;;&quot;Aan&quot;;&quot;Uit&quot;"/>
    <numFmt numFmtId="201" formatCode="[$€-2]\ #.##000_);[Red]\([$€-2]\ #.##000\)"/>
    <numFmt numFmtId="202" formatCode="General_)"/>
    <numFmt numFmtId="203" formatCode="_-* #,##0_-;_-* #,##0\-;_-* &quot;-&quot;??_-;_-@_-"/>
  </numFmts>
  <fonts count="30">
    <font>
      <sz val="10"/>
      <name val="Arial"/>
      <family val="0"/>
    </font>
    <font>
      <sz val="9"/>
      <name val="Arial"/>
      <family val="2"/>
    </font>
    <font>
      <b/>
      <sz val="9"/>
      <name val="Arial"/>
      <family val="2"/>
    </font>
    <font>
      <sz val="10"/>
      <name val="Helv"/>
      <family val="0"/>
    </font>
    <font>
      <b/>
      <sz val="14"/>
      <name val="Helv"/>
      <family val="0"/>
    </font>
    <font>
      <sz val="24"/>
      <color indexed="13"/>
      <name val="Helv"/>
      <family val="0"/>
    </font>
    <font>
      <sz val="8"/>
      <name val="Tahoma"/>
      <family val="2"/>
    </font>
    <font>
      <u val="single"/>
      <sz val="10"/>
      <color indexed="12"/>
      <name val="Arial"/>
      <family val="0"/>
    </font>
    <font>
      <u val="single"/>
      <sz val="10"/>
      <color indexed="36"/>
      <name val="Arial"/>
      <family val="0"/>
    </font>
    <font>
      <b/>
      <sz val="9"/>
      <name val="Verdana"/>
      <family val="2"/>
    </font>
    <font>
      <sz val="9"/>
      <name val="Verdana"/>
      <family val="2"/>
    </font>
    <font>
      <b/>
      <sz val="9"/>
      <color indexed="9"/>
      <name val="Verdana"/>
      <family val="2"/>
    </font>
    <font>
      <sz val="9"/>
      <color indexed="9"/>
      <name val="Verdana"/>
      <family val="2"/>
    </font>
    <font>
      <vertAlign val="superscript"/>
      <sz val="9"/>
      <name val="Verdana"/>
      <family val="2"/>
    </font>
    <font>
      <b/>
      <sz val="9"/>
      <color indexed="8"/>
      <name val="Verdana"/>
      <family val="2"/>
    </font>
    <font>
      <b/>
      <sz val="8"/>
      <name val="Verdana"/>
      <family val="2"/>
    </font>
    <font>
      <vertAlign val="superscript"/>
      <sz val="8"/>
      <name val="Verdana"/>
      <family val="2"/>
    </font>
    <font>
      <sz val="8"/>
      <name val="Verdana"/>
      <family val="2"/>
    </font>
    <font>
      <b/>
      <vertAlign val="superscript"/>
      <sz val="8"/>
      <name val="Verdana"/>
      <family val="2"/>
    </font>
    <font>
      <b/>
      <sz val="12"/>
      <name val="Verdana"/>
      <family val="2"/>
    </font>
    <font>
      <b/>
      <sz val="14"/>
      <color indexed="9"/>
      <name val="Verdana"/>
      <family val="2"/>
    </font>
    <font>
      <sz val="8"/>
      <name val="Arial"/>
      <family val="0"/>
    </font>
    <font>
      <sz val="12"/>
      <name val="Arial"/>
      <family val="0"/>
    </font>
    <font>
      <b/>
      <vertAlign val="superscript"/>
      <sz val="9"/>
      <name val="Verdana"/>
      <family val="2"/>
    </font>
    <font>
      <sz val="9"/>
      <color indexed="8"/>
      <name val="Verdana"/>
      <family val="2"/>
    </font>
    <font>
      <u val="single"/>
      <sz val="9"/>
      <name val="Verdana"/>
      <family val="2"/>
    </font>
    <font>
      <b/>
      <sz val="10"/>
      <name val="Arial"/>
      <family val="2"/>
    </font>
    <font>
      <sz val="9"/>
      <color indexed="10"/>
      <name val="Verdana"/>
      <family val="2"/>
    </font>
    <font>
      <sz val="10"/>
      <name val="Verdana"/>
      <family val="2"/>
    </font>
    <font>
      <sz val="10"/>
      <color indexed="9"/>
      <name val="Arial"/>
      <family val="0"/>
    </font>
  </fonts>
  <fills count="7">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2"/>
        <bgColor indexed="64"/>
      </patternFill>
    </fill>
    <fill>
      <patternFill patternType="solid">
        <fgColor indexed="9"/>
        <bgColor indexed="64"/>
      </patternFill>
    </fill>
    <fill>
      <patternFill patternType="solid">
        <fgColor indexed="22"/>
        <bgColor indexed="64"/>
      </patternFill>
    </fill>
  </fills>
  <borders count="50">
    <border>
      <left/>
      <right/>
      <top/>
      <bottom/>
      <diagonal/>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style="thin"/>
    </border>
    <border>
      <left style="thin">
        <color indexed="8"/>
      </left>
      <right style="thin">
        <color indexed="8"/>
      </right>
      <top style="double">
        <color indexed="8"/>
      </top>
      <bottom style="thin">
        <color indexed="8"/>
      </bottom>
    </border>
    <border>
      <left style="hair"/>
      <right style="hair"/>
      <top style="hair"/>
      <bottom style="hair"/>
    </border>
    <border>
      <left style="hair"/>
      <right style="hair"/>
      <top style="hair"/>
      <bottom>
        <color indexed="63"/>
      </bottom>
    </border>
    <border>
      <left style="hair"/>
      <right>
        <color indexed="63"/>
      </right>
      <top style="hair"/>
      <bottom style="hair"/>
    </border>
    <border>
      <left style="thin"/>
      <right>
        <color indexed="63"/>
      </right>
      <top style="thin"/>
      <bottom style="thin"/>
    </border>
    <border>
      <left>
        <color indexed="63"/>
      </left>
      <right>
        <color indexed="63"/>
      </right>
      <top style="hair"/>
      <bottom style="hair"/>
    </border>
    <border>
      <left>
        <color indexed="63"/>
      </left>
      <right style="hair"/>
      <top style="hair"/>
      <bottom style="hair"/>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color indexed="63"/>
      </bottom>
    </border>
    <border>
      <left style="hair"/>
      <right>
        <color indexed="63"/>
      </right>
      <top style="hair"/>
      <bottom>
        <color indexed="63"/>
      </bottom>
    </border>
    <border>
      <left>
        <color indexed="63"/>
      </left>
      <right>
        <color indexed="63"/>
      </right>
      <top>
        <color indexed="63"/>
      </top>
      <bottom style="thin"/>
    </border>
    <border>
      <left>
        <color indexed="63"/>
      </left>
      <right>
        <color indexed="63"/>
      </right>
      <top style="hair"/>
      <bottom>
        <color indexed="63"/>
      </bottom>
    </border>
    <border>
      <left style="thin"/>
      <right>
        <color indexed="63"/>
      </right>
      <top>
        <color indexed="63"/>
      </top>
      <bottom style="thin"/>
    </border>
    <border>
      <left style="hair"/>
      <right style="hair"/>
      <top>
        <color indexed="63"/>
      </top>
      <bottom style="hair"/>
    </border>
    <border>
      <left style="hair"/>
      <right style="hair"/>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color indexed="63"/>
      </top>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style="hair"/>
      <right style="hair"/>
      <top>
        <color indexed="63"/>
      </top>
      <bottom style="medium"/>
    </border>
    <border>
      <left style="medium"/>
      <right style="medium"/>
      <top style="medium"/>
      <bottom style="medium"/>
    </border>
    <border>
      <left style="hair"/>
      <right style="medium"/>
      <top style="hair"/>
      <bottom style="hair"/>
    </border>
    <border>
      <left>
        <color indexed="63"/>
      </left>
      <right>
        <color indexed="63"/>
      </right>
      <top style="thin"/>
      <bottom style="hair"/>
    </border>
    <border>
      <left style="hair"/>
      <right style="hair"/>
      <top style="thin"/>
      <bottom style="hair"/>
    </border>
    <border>
      <left style="hair"/>
      <right style="hair"/>
      <top style="hair"/>
      <bottom style="thin"/>
    </border>
    <border>
      <left style="hair"/>
      <right>
        <color indexed="63"/>
      </right>
      <top style="thin"/>
      <bottom style="hair"/>
    </border>
    <border>
      <left>
        <color indexed="63"/>
      </left>
      <right style="hair"/>
      <top style="thin"/>
      <bottom style="hair"/>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thin"/>
      <top>
        <color indexed="63"/>
      </top>
      <bottom>
        <color indexed="63"/>
      </bottom>
    </border>
  </borders>
  <cellStyleXfs count="54">
    <xf numFmtId="0" fontId="0" fillId="0" borderId="0" applyFill="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3" fillId="0" borderId="1">
      <alignment/>
      <protection/>
    </xf>
    <xf numFmtId="44"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Protection="0">
      <alignment/>
    </xf>
    <xf numFmtId="0" fontId="4" fillId="2" borderId="1">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3" fillId="0" borderId="0">
      <alignment/>
      <protection/>
    </xf>
    <xf numFmtId="0" fontId="0" fillId="0" borderId="0" applyFill="0" applyBorder="0">
      <alignment/>
      <protection/>
    </xf>
    <xf numFmtId="0" fontId="0" fillId="0" borderId="0" applyFill="0" applyBorder="0">
      <alignment/>
      <protection/>
    </xf>
    <xf numFmtId="0" fontId="0" fillId="0" borderId="0">
      <alignment/>
      <protection/>
    </xf>
    <xf numFmtId="0" fontId="1" fillId="0" borderId="0">
      <alignment/>
      <protection/>
    </xf>
    <xf numFmtId="0" fontId="0" fillId="0" borderId="0">
      <alignment/>
      <protection/>
    </xf>
    <xf numFmtId="0" fontId="0" fillId="0" borderId="0" applyFill="0" applyBorder="0">
      <alignment/>
      <protection/>
    </xf>
    <xf numFmtId="0" fontId="22" fillId="0" borderId="0">
      <alignment/>
      <protection/>
    </xf>
    <xf numFmtId="186" fontId="1" fillId="0" borderId="2" applyFill="0" applyBorder="0">
      <alignment/>
      <protection/>
    </xf>
    <xf numFmtId="191" fontId="1" fillId="0" borderId="2" applyFill="0" applyBorder="0">
      <alignment/>
      <protection/>
    </xf>
    <xf numFmtId="189" fontId="1" fillId="0" borderId="2" applyFill="0" applyBorder="0">
      <alignment/>
      <protection/>
    </xf>
    <xf numFmtId="186" fontId="2" fillId="3" borderId="3">
      <alignment/>
      <protection/>
    </xf>
    <xf numFmtId="189" fontId="2" fillId="3" borderId="3">
      <alignment/>
      <protection/>
    </xf>
    <xf numFmtId="186" fontId="2" fillId="3" borderId="3">
      <alignment/>
      <protection/>
    </xf>
    <xf numFmtId="186" fontId="1" fillId="0" borderId="2" applyFill="0" applyBorder="0">
      <alignment/>
      <protection/>
    </xf>
    <xf numFmtId="186" fontId="1" fillId="0" borderId="2" applyFill="0" applyBorder="0">
      <alignment/>
      <protection/>
    </xf>
    <xf numFmtId="0" fontId="3" fillId="0" borderId="1">
      <alignment/>
      <protection/>
    </xf>
    <xf numFmtId="0" fontId="5" fillId="4" borderId="0">
      <alignment/>
      <protection/>
    </xf>
    <xf numFmtId="0" fontId="4" fillId="0" borderId="4">
      <alignment/>
      <protection/>
    </xf>
    <xf numFmtId="0" fontId="4" fillId="0" borderId="1">
      <alignment/>
      <protection/>
    </xf>
    <xf numFmtId="179" fontId="0" fillId="0" borderId="0" applyFont="0" applyFill="0" applyBorder="0" applyAlignment="0" applyProtection="0"/>
    <xf numFmtId="178" fontId="0" fillId="0" borderId="0" applyFont="0" applyFill="0" applyBorder="0" applyAlignment="0" applyProtection="0"/>
  </cellStyleXfs>
  <cellXfs count="615">
    <xf numFmtId="0" fontId="0" fillId="0" borderId="0" xfId="0" applyAlignment="1">
      <alignment/>
    </xf>
    <xf numFmtId="0" fontId="9" fillId="0" borderId="0" xfId="0" applyNumberFormat="1" applyFont="1" applyAlignment="1" applyProtection="1">
      <alignment/>
      <protection/>
    </xf>
    <xf numFmtId="0" fontId="10" fillId="0" borderId="0" xfId="0" applyFont="1" applyAlignment="1" applyProtection="1">
      <alignment horizontal="left"/>
      <protection/>
    </xf>
    <xf numFmtId="0" fontId="10" fillId="0" borderId="0" xfId="0" applyFont="1" applyAlignment="1" applyProtection="1">
      <alignment/>
      <protection/>
    </xf>
    <xf numFmtId="0" fontId="9" fillId="0" borderId="0" xfId="0" applyFont="1" applyBorder="1" applyAlignment="1" applyProtection="1">
      <alignment/>
      <protection/>
    </xf>
    <xf numFmtId="0" fontId="10" fillId="0" borderId="0" xfId="0" applyFont="1" applyAlignment="1" applyProtection="1">
      <alignment/>
      <protection/>
    </xf>
    <xf numFmtId="0" fontId="10" fillId="0" borderId="0" xfId="0" applyFont="1" applyBorder="1" applyAlignment="1" applyProtection="1">
      <alignment/>
      <protection/>
    </xf>
    <xf numFmtId="0" fontId="10" fillId="0" borderId="0" xfId="0" applyFont="1" applyBorder="1" applyAlignment="1" applyProtection="1">
      <alignment vertical="center"/>
      <protection/>
    </xf>
    <xf numFmtId="0" fontId="10" fillId="0" borderId="0" xfId="0" applyFont="1" applyAlignment="1" applyProtection="1">
      <alignment vertical="center"/>
      <protection/>
    </xf>
    <xf numFmtId="0" fontId="9" fillId="0" borderId="0" xfId="0" applyNumberFormat="1" applyFont="1" applyAlignment="1" applyProtection="1">
      <alignment horizontal="justify"/>
      <protection/>
    </xf>
    <xf numFmtId="0" fontId="10" fillId="0" borderId="0" xfId="0" applyFont="1" applyAlignment="1" applyProtection="1">
      <alignment horizontal="justify"/>
      <protection/>
    </xf>
    <xf numFmtId="0" fontId="9" fillId="0" borderId="0" xfId="0" applyFont="1" applyBorder="1" applyAlignment="1" applyProtection="1">
      <alignment horizontal="justify"/>
      <protection/>
    </xf>
    <xf numFmtId="183" fontId="10" fillId="0" borderId="0" xfId="0" applyNumberFormat="1" applyFont="1" applyAlignment="1" applyProtection="1">
      <alignment/>
      <protection/>
    </xf>
    <xf numFmtId="49" fontId="10" fillId="0" borderId="0" xfId="0" applyNumberFormat="1" applyFont="1" applyAlignment="1" applyProtection="1">
      <alignment horizontal="right"/>
      <protection/>
    </xf>
    <xf numFmtId="49" fontId="9" fillId="0" borderId="0" xfId="0" applyNumberFormat="1" applyFont="1" applyAlignment="1" applyProtection="1">
      <alignment horizontal="right"/>
      <protection/>
    </xf>
    <xf numFmtId="0" fontId="9" fillId="0" borderId="0" xfId="0" applyFont="1" applyAlignment="1" applyProtection="1">
      <alignment/>
      <protection/>
    </xf>
    <xf numFmtId="0" fontId="9" fillId="0" borderId="0" xfId="0" applyNumberFormat="1" applyFont="1" applyBorder="1" applyAlignment="1" applyProtection="1">
      <alignment horizontal="left"/>
      <protection/>
    </xf>
    <xf numFmtId="0" fontId="10" fillId="0" borderId="0" xfId="0" applyFont="1" applyBorder="1" applyAlignment="1" applyProtection="1">
      <alignment horizontal="justify"/>
      <protection/>
    </xf>
    <xf numFmtId="0" fontId="10" fillId="0" borderId="0" xfId="0" applyNumberFormat="1" applyFont="1" applyAlignment="1" applyProtection="1">
      <alignment/>
      <protection/>
    </xf>
    <xf numFmtId="37" fontId="10" fillId="0" borderId="0" xfId="0" applyNumberFormat="1" applyFont="1" applyAlignment="1" applyProtection="1">
      <alignment horizontal="justify"/>
      <protection/>
    </xf>
    <xf numFmtId="37" fontId="9" fillId="0" borderId="0" xfId="0" applyNumberFormat="1" applyFont="1" applyAlignment="1" applyProtection="1">
      <alignment/>
      <protection/>
    </xf>
    <xf numFmtId="0" fontId="10" fillId="0" borderId="0" xfId="0" applyFont="1" applyAlignment="1" applyProtection="1">
      <alignment wrapText="1"/>
      <protection/>
    </xf>
    <xf numFmtId="0" fontId="10" fillId="0" borderId="0" xfId="0" applyFont="1" applyAlignment="1" applyProtection="1">
      <alignment/>
      <protection hidden="1"/>
    </xf>
    <xf numFmtId="183" fontId="10" fillId="0" borderId="0" xfId="0" applyNumberFormat="1" applyFont="1" applyAlignment="1" applyProtection="1">
      <alignment horizontal="justify"/>
      <protection/>
    </xf>
    <xf numFmtId="0" fontId="10" fillId="0" borderId="0" xfId="0" applyFont="1" applyBorder="1" applyAlignment="1" applyProtection="1">
      <alignment/>
      <protection/>
    </xf>
    <xf numFmtId="0" fontId="10" fillId="0" borderId="0" xfId="0" applyFont="1" applyBorder="1" applyAlignment="1" applyProtection="1">
      <alignment horizontal="left" vertical="center"/>
      <protection/>
    </xf>
    <xf numFmtId="0" fontId="9" fillId="0" borderId="0" xfId="0" applyNumberFormat="1" applyFont="1" applyBorder="1" applyAlignment="1" applyProtection="1">
      <alignment vertical="center"/>
      <protection/>
    </xf>
    <xf numFmtId="190" fontId="10" fillId="0" borderId="0" xfId="0" applyNumberFormat="1" applyFont="1" applyBorder="1" applyAlignment="1" applyProtection="1">
      <alignment horizontal="right" vertical="center"/>
      <protection/>
    </xf>
    <xf numFmtId="0" fontId="9" fillId="0" borderId="0" xfId="0" applyFont="1" applyAlignment="1" applyProtection="1">
      <alignment/>
      <protection/>
    </xf>
    <xf numFmtId="0" fontId="9" fillId="0" borderId="5" xfId="37" applyFont="1" applyFill="1" applyBorder="1" applyAlignment="1" applyProtection="1">
      <alignment horizontal="center" vertical="center"/>
      <protection/>
    </xf>
    <xf numFmtId="0" fontId="9" fillId="0" borderId="6" xfId="37" applyFont="1" applyFill="1" applyBorder="1" applyAlignment="1" applyProtection="1">
      <alignment horizontal="center" vertical="center"/>
      <protection/>
    </xf>
    <xf numFmtId="0" fontId="10" fillId="0" borderId="7" xfId="37" applyFont="1" applyFill="1" applyBorder="1" applyAlignment="1" applyProtection="1">
      <alignment vertical="center"/>
      <protection/>
    </xf>
    <xf numFmtId="0" fontId="9" fillId="0" borderId="8" xfId="0" applyFont="1" applyBorder="1" applyAlignment="1" applyProtection="1">
      <alignment vertical="top"/>
      <protection/>
    </xf>
    <xf numFmtId="0" fontId="10" fillId="0" borderId="0" xfId="0" applyFont="1" applyFill="1" applyAlignment="1" applyProtection="1">
      <alignment/>
      <protection/>
    </xf>
    <xf numFmtId="186" fontId="10" fillId="0" borderId="5" xfId="40" applyFont="1" applyFill="1" applyBorder="1" applyProtection="1">
      <alignment/>
      <protection locked="0"/>
    </xf>
    <xf numFmtId="186" fontId="10" fillId="0" borderId="5" xfId="40" applyFont="1" applyFill="1" applyBorder="1" applyProtection="1">
      <alignment/>
      <protection/>
    </xf>
    <xf numFmtId="186" fontId="10" fillId="0" borderId="6" xfId="40" applyFont="1" applyFill="1" applyBorder="1" applyProtection="1">
      <alignment/>
      <protection locked="0"/>
    </xf>
    <xf numFmtId="186" fontId="10" fillId="0" borderId="6" xfId="40" applyFont="1" applyFill="1" applyBorder="1" applyProtection="1">
      <alignment/>
      <protection/>
    </xf>
    <xf numFmtId="186" fontId="9" fillId="3" borderId="5" xfId="43" applyFont="1" applyFill="1" applyBorder="1" applyProtection="1">
      <alignment/>
      <protection/>
    </xf>
    <xf numFmtId="189" fontId="10" fillId="0" borderId="5" xfId="42" applyFont="1" applyFill="1" applyBorder="1" applyProtection="1">
      <alignment/>
      <protection locked="0"/>
    </xf>
    <xf numFmtId="189" fontId="10" fillId="0" borderId="6" xfId="42" applyFont="1" applyFill="1" applyBorder="1" applyProtection="1">
      <alignment/>
      <protection locked="0"/>
    </xf>
    <xf numFmtId="189" fontId="9" fillId="3" borderId="5" xfId="44" applyFont="1" applyBorder="1" applyProtection="1">
      <alignment/>
      <protection/>
    </xf>
    <xf numFmtId="186" fontId="9" fillId="3" borderId="5" xfId="43" applyFont="1" applyBorder="1" applyProtection="1">
      <alignment/>
      <protection/>
    </xf>
    <xf numFmtId="0" fontId="10" fillId="0" borderId="9" xfId="0" applyFont="1" applyFill="1" applyBorder="1" applyAlignment="1" applyProtection="1">
      <alignment/>
      <protection/>
    </xf>
    <xf numFmtId="0" fontId="10" fillId="0" borderId="0" xfId="0" applyFont="1" applyFill="1" applyAlignment="1" applyProtection="1">
      <alignment/>
      <protection/>
    </xf>
    <xf numFmtId="0" fontId="9" fillId="0" borderId="0" xfId="0" applyNumberFormat="1" applyFont="1" applyAlignment="1" applyProtection="1">
      <alignment/>
      <protection/>
    </xf>
    <xf numFmtId="184" fontId="9" fillId="3" borderId="5" xfId="43" applyNumberFormat="1" applyFont="1" applyBorder="1" applyProtection="1">
      <alignment/>
      <protection/>
    </xf>
    <xf numFmtId="0" fontId="10" fillId="0" borderId="0" xfId="0" applyFont="1" applyFill="1" applyAlignment="1" applyProtection="1">
      <alignment vertical="center"/>
      <protection/>
    </xf>
    <xf numFmtId="0" fontId="10" fillId="3" borderId="9" xfId="0" applyFont="1" applyFill="1" applyBorder="1" applyAlignment="1" applyProtection="1">
      <alignment/>
      <protection/>
    </xf>
    <xf numFmtId="0" fontId="10" fillId="3" borderId="10" xfId="0" applyFont="1" applyFill="1" applyBorder="1" applyAlignment="1" applyProtection="1">
      <alignment/>
      <protection/>
    </xf>
    <xf numFmtId="184" fontId="9" fillId="5" borderId="0" xfId="43" applyNumberFormat="1" applyFont="1" applyFill="1" applyBorder="1" applyAlignment="1" applyProtection="1">
      <alignment/>
      <protection/>
    </xf>
    <xf numFmtId="186" fontId="10" fillId="0" borderId="5" xfId="40" applyFont="1" applyBorder="1" applyProtection="1">
      <alignment/>
      <protection/>
    </xf>
    <xf numFmtId="0" fontId="9" fillId="3" borderId="9" xfId="0" applyFont="1" applyFill="1" applyBorder="1" applyAlignment="1" applyProtection="1">
      <alignment/>
      <protection/>
    </xf>
    <xf numFmtId="0" fontId="9" fillId="3" borderId="10" xfId="0" applyFont="1" applyFill="1" applyBorder="1" applyAlignment="1" applyProtection="1">
      <alignment/>
      <protection/>
    </xf>
    <xf numFmtId="0" fontId="10" fillId="3" borderId="11" xfId="0" applyFont="1" applyFill="1" applyBorder="1" applyAlignment="1" applyProtection="1">
      <alignment/>
      <protection/>
    </xf>
    <xf numFmtId="186" fontId="10" fillId="0" borderId="7" xfId="40" applyFont="1" applyBorder="1" applyProtection="1">
      <alignment/>
      <protection/>
    </xf>
    <xf numFmtId="186" fontId="10" fillId="0" borderId="10" xfId="40" applyFont="1" applyFill="1" applyBorder="1" applyProtection="1">
      <alignment/>
      <protection locked="0"/>
    </xf>
    <xf numFmtId="186" fontId="9" fillId="3" borderId="5" xfId="43" applyFont="1" applyBorder="1" applyProtection="1" quotePrefix="1">
      <alignment/>
      <protection/>
    </xf>
    <xf numFmtId="0" fontId="10" fillId="0" borderId="9" xfId="0" applyFont="1" applyBorder="1" applyAlignment="1" applyProtection="1">
      <alignment/>
      <protection/>
    </xf>
    <xf numFmtId="49" fontId="10" fillId="0" borderId="0" xfId="0" applyNumberFormat="1" applyFont="1" applyBorder="1" applyAlignment="1" applyProtection="1">
      <alignment horizontal="center"/>
      <protection/>
    </xf>
    <xf numFmtId="37" fontId="10" fillId="0" borderId="0" xfId="0" applyNumberFormat="1" applyFont="1" applyBorder="1" applyAlignment="1" applyProtection="1">
      <alignment/>
      <protection/>
    </xf>
    <xf numFmtId="186" fontId="10" fillId="0" borderId="6" xfId="40" applyFont="1" applyBorder="1" applyProtection="1">
      <alignment/>
      <protection/>
    </xf>
    <xf numFmtId="0" fontId="10" fillId="0" borderId="0" xfId="0" applyFont="1" applyFill="1" applyBorder="1" applyAlignment="1" applyProtection="1">
      <alignment/>
      <protection/>
    </xf>
    <xf numFmtId="0" fontId="9" fillId="0" borderId="0" xfId="0" applyFont="1" applyFill="1" applyBorder="1" applyAlignment="1" applyProtection="1">
      <alignment/>
      <protection/>
    </xf>
    <xf numFmtId="0" fontId="10" fillId="3" borderId="12" xfId="0" applyFont="1" applyFill="1" applyBorder="1" applyAlignment="1" applyProtection="1">
      <alignment/>
      <protection/>
    </xf>
    <xf numFmtId="37" fontId="9" fillId="3" borderId="3" xfId="0" applyNumberFormat="1" applyFont="1" applyFill="1" applyBorder="1" applyAlignment="1" applyProtection="1">
      <alignment horizontal="right"/>
      <protection/>
    </xf>
    <xf numFmtId="186" fontId="10" fillId="0" borderId="6" xfId="40" applyFont="1" applyFill="1" applyBorder="1" applyProtection="1" quotePrefix="1">
      <alignment/>
      <protection/>
    </xf>
    <xf numFmtId="0" fontId="9" fillId="3" borderId="8" xfId="0" applyFont="1" applyFill="1" applyBorder="1" applyAlignment="1" applyProtection="1">
      <alignment/>
      <protection/>
    </xf>
    <xf numFmtId="49" fontId="10" fillId="3" borderId="13" xfId="0" applyNumberFormat="1" applyFont="1" applyFill="1" applyBorder="1" applyAlignment="1" applyProtection="1">
      <alignment horizontal="center"/>
      <protection/>
    </xf>
    <xf numFmtId="0" fontId="9" fillId="3" borderId="3" xfId="0" applyFont="1" applyFill="1" applyBorder="1" applyAlignment="1" applyProtection="1" quotePrefix="1">
      <alignment horizontal="center"/>
      <protection/>
    </xf>
    <xf numFmtId="0" fontId="10" fillId="0" borderId="14" xfId="0" applyFont="1" applyBorder="1" applyAlignment="1" applyProtection="1">
      <alignment/>
      <protection/>
    </xf>
    <xf numFmtId="49" fontId="10" fillId="0" borderId="15" xfId="0" applyNumberFormat="1" applyFont="1" applyBorder="1" applyAlignment="1" applyProtection="1">
      <alignment horizontal="center"/>
      <protection/>
    </xf>
    <xf numFmtId="0" fontId="10" fillId="0" borderId="16" xfId="0" applyFont="1" applyBorder="1" applyAlignment="1" applyProtection="1">
      <alignment/>
      <protection/>
    </xf>
    <xf numFmtId="10" fontId="10" fillId="0" borderId="5" xfId="0" applyNumberFormat="1" applyFont="1" applyBorder="1" applyAlignment="1" applyProtection="1">
      <alignment horizontal="center"/>
      <protection/>
    </xf>
    <xf numFmtId="0" fontId="10" fillId="0" borderId="7" xfId="0" applyFont="1" applyBorder="1" applyAlignment="1" applyProtection="1">
      <alignment/>
      <protection/>
    </xf>
    <xf numFmtId="49" fontId="10" fillId="0" borderId="9" xfId="0" applyNumberFormat="1" applyFont="1" applyBorder="1" applyAlignment="1" applyProtection="1">
      <alignment horizontal="center"/>
      <protection/>
    </xf>
    <xf numFmtId="0" fontId="10" fillId="0" borderId="10" xfId="0" applyFont="1" applyBorder="1" applyAlignment="1" applyProtection="1">
      <alignment/>
      <protection/>
    </xf>
    <xf numFmtId="189" fontId="10" fillId="0" borderId="7" xfId="42" applyFont="1" applyFill="1" applyBorder="1" applyProtection="1">
      <alignment/>
      <protection locked="0"/>
    </xf>
    <xf numFmtId="186" fontId="10" fillId="0" borderId="7" xfId="40" applyFont="1" applyBorder="1" applyAlignment="1" applyProtection="1">
      <alignment/>
      <protection/>
    </xf>
    <xf numFmtId="186" fontId="10" fillId="0" borderId="17" xfId="40" applyFont="1" applyFill="1" applyBorder="1" applyProtection="1">
      <alignment/>
      <protection locked="0"/>
    </xf>
    <xf numFmtId="189" fontId="10" fillId="0" borderId="18" xfId="42" applyFont="1" applyFill="1" applyBorder="1" applyProtection="1">
      <alignment/>
      <protection locked="0"/>
    </xf>
    <xf numFmtId="186" fontId="10" fillId="0" borderId="18" xfId="40" applyFont="1" applyBorder="1" applyAlignment="1" applyProtection="1">
      <alignment/>
      <protection/>
    </xf>
    <xf numFmtId="186" fontId="9" fillId="3" borderId="5" xfId="40" applyFont="1" applyFill="1" applyBorder="1" applyProtection="1">
      <alignment/>
      <protection/>
    </xf>
    <xf numFmtId="189" fontId="9" fillId="3" borderId="5" xfId="43" applyNumberFormat="1" applyFont="1" applyFill="1" applyBorder="1" applyAlignment="1" applyProtection="1">
      <alignment/>
      <protection/>
    </xf>
    <xf numFmtId="186" fontId="9" fillId="3" borderId="5" xfId="43" applyFont="1" applyFill="1" applyBorder="1" applyAlignment="1" applyProtection="1">
      <alignment/>
      <protection/>
    </xf>
    <xf numFmtId="180" fontId="9" fillId="3" borderId="5" xfId="0" applyNumberFormat="1" applyFont="1" applyFill="1" applyBorder="1" applyAlignment="1" applyProtection="1">
      <alignment horizontal="center"/>
      <protection/>
    </xf>
    <xf numFmtId="184" fontId="14" fillId="3" borderId="5" xfId="43" applyNumberFormat="1" applyFont="1" applyBorder="1" applyAlignment="1" applyProtection="1">
      <alignment/>
      <protection/>
    </xf>
    <xf numFmtId="0" fontId="10" fillId="0" borderId="19" xfId="0" applyFont="1" applyBorder="1" applyAlignment="1" applyProtection="1">
      <alignment/>
      <protection/>
    </xf>
    <xf numFmtId="180" fontId="10" fillId="0" borderId="5" xfId="0" applyNumberFormat="1" applyFont="1" applyBorder="1" applyAlignment="1" applyProtection="1">
      <alignment horizontal="center"/>
      <protection/>
    </xf>
    <xf numFmtId="186" fontId="9" fillId="5" borderId="5" xfId="43" applyFont="1" applyFill="1" applyBorder="1" applyProtection="1">
      <alignment/>
      <protection/>
    </xf>
    <xf numFmtId="184" fontId="14" fillId="5" borderId="5" xfId="43" applyNumberFormat="1" applyFont="1" applyFill="1" applyBorder="1" applyAlignment="1" applyProtection="1">
      <alignment/>
      <protection/>
    </xf>
    <xf numFmtId="181" fontId="10" fillId="0" borderId="5" xfId="0" applyNumberFormat="1" applyFont="1" applyFill="1" applyBorder="1" applyAlignment="1" applyProtection="1">
      <alignment horizontal="center"/>
      <protection/>
    </xf>
    <xf numFmtId="181" fontId="10" fillId="0" borderId="6" xfId="0" applyNumberFormat="1" applyFont="1" applyFill="1" applyBorder="1" applyAlignment="1" applyProtection="1">
      <alignment horizontal="center"/>
      <protection/>
    </xf>
    <xf numFmtId="189" fontId="10" fillId="0" borderId="5" xfId="42" applyFont="1" applyFill="1" applyBorder="1" applyProtection="1">
      <alignment/>
      <protection/>
    </xf>
    <xf numFmtId="37" fontId="9" fillId="0" borderId="0" xfId="0" applyNumberFormat="1" applyFont="1" applyBorder="1" applyAlignment="1" applyProtection="1">
      <alignment horizontal="right" vertical="top"/>
      <protection/>
    </xf>
    <xf numFmtId="186" fontId="9" fillId="3" borderId="5" xfId="43" applyFont="1" applyBorder="1" applyAlignment="1" applyProtection="1">
      <alignment/>
      <protection/>
    </xf>
    <xf numFmtId="0" fontId="10" fillId="0" borderId="0" xfId="0" applyFont="1" applyAlignment="1" applyProtection="1">
      <alignment horizontal="center"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right" vertical="center"/>
      <protection/>
    </xf>
    <xf numFmtId="49" fontId="10" fillId="0" borderId="16" xfId="0" applyNumberFormat="1" applyFont="1" applyFill="1" applyBorder="1" applyAlignment="1" applyProtection="1">
      <alignment horizontal="left"/>
      <protection locked="0"/>
    </xf>
    <xf numFmtId="14" fontId="10" fillId="0" borderId="5" xfId="0" applyNumberFormat="1" applyFont="1" applyFill="1" applyBorder="1" applyAlignment="1" applyProtection="1">
      <alignment horizontal="left"/>
      <protection locked="0"/>
    </xf>
    <xf numFmtId="182" fontId="10" fillId="0" borderId="5" xfId="0" applyNumberFormat="1" applyFont="1" applyFill="1" applyBorder="1" applyAlignment="1" applyProtection="1">
      <alignment/>
      <protection locked="0"/>
    </xf>
    <xf numFmtId="49" fontId="10" fillId="0" borderId="5" xfId="40" applyNumberFormat="1" applyFont="1" applyFill="1" applyBorder="1" applyAlignment="1" applyProtection="1">
      <alignment horizontal="center"/>
      <protection locked="0"/>
    </xf>
    <xf numFmtId="3" fontId="10" fillId="0" borderId="5" xfId="40" applyNumberFormat="1" applyFont="1" applyFill="1" applyBorder="1" applyProtection="1">
      <alignment/>
      <protection locked="0"/>
    </xf>
    <xf numFmtId="0" fontId="10" fillId="0" borderId="5" xfId="0" applyNumberFormat="1" applyFont="1" applyFill="1" applyBorder="1" applyAlignment="1" applyProtection="1">
      <alignment horizontal="center"/>
      <protection locked="0"/>
    </xf>
    <xf numFmtId="184" fontId="10" fillId="0" borderId="5" xfId="40" applyNumberFormat="1" applyFont="1" applyFill="1" applyBorder="1" applyProtection="1">
      <alignment/>
      <protection/>
    </xf>
    <xf numFmtId="184" fontId="10" fillId="0" borderId="5" xfId="40" applyNumberFormat="1" applyFont="1" applyFill="1" applyBorder="1" applyProtection="1">
      <alignment/>
      <protection locked="0"/>
    </xf>
    <xf numFmtId="184" fontId="10" fillId="0" borderId="0" xfId="0" applyNumberFormat="1" applyFont="1" applyBorder="1" applyAlignment="1" applyProtection="1">
      <alignment/>
      <protection/>
    </xf>
    <xf numFmtId="184" fontId="10" fillId="0" borderId="0" xfId="0" applyNumberFormat="1" applyFont="1" applyAlignment="1" applyProtection="1">
      <alignment/>
      <protection/>
    </xf>
    <xf numFmtId="49" fontId="10" fillId="0" borderId="10" xfId="0" applyNumberFormat="1" applyFont="1" applyFill="1" applyBorder="1" applyAlignment="1" applyProtection="1">
      <alignment horizontal="left"/>
      <protection locked="0"/>
    </xf>
    <xf numFmtId="49" fontId="10" fillId="0" borderId="7" xfId="0" applyNumberFormat="1" applyFont="1" applyFill="1" applyBorder="1" applyAlignment="1" applyProtection="1">
      <alignment horizontal="left"/>
      <protection/>
    </xf>
    <xf numFmtId="14" fontId="10" fillId="0" borderId="9" xfId="0" applyNumberFormat="1" applyFont="1" applyFill="1" applyBorder="1" applyAlignment="1" applyProtection="1">
      <alignment horizontal="left"/>
      <protection/>
    </xf>
    <xf numFmtId="182" fontId="10" fillId="0" borderId="9" xfId="0" applyNumberFormat="1" applyFont="1" applyFill="1" applyBorder="1" applyAlignment="1" applyProtection="1">
      <alignment/>
      <protection/>
    </xf>
    <xf numFmtId="182" fontId="10" fillId="0" borderId="9" xfId="40" applyNumberFormat="1" applyFont="1" applyFill="1" applyBorder="1" applyProtection="1">
      <alignment/>
      <protection/>
    </xf>
    <xf numFmtId="49" fontId="10" fillId="0" borderId="10" xfId="40" applyNumberFormat="1" applyFont="1" applyFill="1" applyBorder="1" applyAlignment="1" applyProtection="1">
      <alignment horizontal="center"/>
      <protection/>
    </xf>
    <xf numFmtId="0" fontId="10" fillId="0" borderId="7"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protection/>
    </xf>
    <xf numFmtId="0" fontId="10" fillId="0" borderId="10" xfId="0" applyNumberFormat="1" applyFont="1" applyFill="1" applyBorder="1" applyAlignment="1" applyProtection="1">
      <alignment horizontal="center"/>
      <protection/>
    </xf>
    <xf numFmtId="187" fontId="9" fillId="3" borderId="6" xfId="43" applyNumberFormat="1" applyFont="1" applyBorder="1" applyProtection="1">
      <alignment/>
      <protection/>
    </xf>
    <xf numFmtId="187" fontId="9" fillId="3" borderId="6" xfId="40" applyNumberFormat="1" applyFont="1" applyFill="1" applyBorder="1" applyProtection="1">
      <alignment/>
      <protection/>
    </xf>
    <xf numFmtId="188" fontId="9" fillId="0" borderId="18" xfId="40" applyNumberFormat="1" applyFont="1" applyFill="1" applyBorder="1" applyProtection="1">
      <alignment/>
      <protection/>
    </xf>
    <xf numFmtId="188" fontId="9" fillId="0" borderId="20" xfId="40" applyNumberFormat="1" applyFont="1" applyFill="1" applyBorder="1" applyProtection="1">
      <alignment/>
      <protection/>
    </xf>
    <xf numFmtId="188" fontId="9" fillId="0" borderId="17" xfId="40" applyNumberFormat="1" applyFont="1" applyFill="1" applyBorder="1" applyProtection="1">
      <alignment/>
      <protection/>
    </xf>
    <xf numFmtId="0" fontId="10" fillId="3" borderId="9" xfId="0" applyFont="1" applyFill="1" applyBorder="1" applyAlignment="1" applyProtection="1">
      <alignment horizontal="left"/>
      <protection/>
    </xf>
    <xf numFmtId="0" fontId="10" fillId="3" borderId="10" xfId="0" applyFont="1" applyFill="1" applyBorder="1" applyAlignment="1" applyProtection="1">
      <alignment horizontal="left"/>
      <protection/>
    </xf>
    <xf numFmtId="184" fontId="10" fillId="3" borderId="5" xfId="0" applyNumberFormat="1" applyFont="1" applyFill="1" applyBorder="1" applyAlignment="1" applyProtection="1">
      <alignment horizontal="left"/>
      <protection/>
    </xf>
    <xf numFmtId="184" fontId="10" fillId="0" borderId="5" xfId="42" applyNumberFormat="1" applyFont="1" applyFill="1" applyBorder="1" applyProtection="1">
      <alignment/>
      <protection locked="0"/>
    </xf>
    <xf numFmtId="184" fontId="10" fillId="3" borderId="5" xfId="0" applyNumberFormat="1" applyFont="1" applyFill="1" applyBorder="1" applyAlignment="1" applyProtection="1">
      <alignment/>
      <protection/>
    </xf>
    <xf numFmtId="0" fontId="9" fillId="3" borderId="9" xfId="0" applyFont="1" applyFill="1" applyBorder="1" applyAlignment="1" applyProtection="1">
      <alignment horizontal="left"/>
      <protection/>
    </xf>
    <xf numFmtId="0" fontId="9" fillId="3" borderId="10" xfId="0" applyFont="1" applyFill="1" applyBorder="1" applyAlignment="1" applyProtection="1">
      <alignment horizontal="left"/>
      <protection/>
    </xf>
    <xf numFmtId="184" fontId="9" fillId="3" borderId="5" xfId="0" applyNumberFormat="1" applyFont="1" applyFill="1" applyBorder="1" applyAlignment="1" applyProtection="1">
      <alignment horizontal="left"/>
      <protection/>
    </xf>
    <xf numFmtId="184" fontId="9" fillId="0" borderId="0" xfId="0" applyNumberFormat="1" applyFont="1" applyAlignment="1" applyProtection="1">
      <alignment/>
      <protection/>
    </xf>
    <xf numFmtId="0" fontId="10" fillId="3" borderId="21" xfId="0" applyFont="1" applyFill="1" applyBorder="1" applyAlignment="1" applyProtection="1">
      <alignment/>
      <protection/>
    </xf>
    <xf numFmtId="186" fontId="10" fillId="0" borderId="15" xfId="40" applyFont="1" applyFill="1" applyBorder="1" applyAlignment="1" applyProtection="1">
      <alignment horizontal="right"/>
      <protection/>
    </xf>
    <xf numFmtId="186" fontId="10" fillId="0" borderId="16" xfId="40" applyFont="1" applyFill="1" applyBorder="1" applyAlignment="1" applyProtection="1">
      <alignment horizontal="right"/>
      <protection/>
    </xf>
    <xf numFmtId="184" fontId="10" fillId="0" borderId="16" xfId="40" applyNumberFormat="1" applyFont="1" applyFill="1" applyBorder="1" applyAlignment="1" applyProtection="1">
      <alignment horizontal="right"/>
      <protection/>
    </xf>
    <xf numFmtId="184" fontId="10" fillId="0" borderId="22" xfId="40" applyNumberFormat="1" applyFont="1" applyFill="1" applyBorder="1" applyProtection="1">
      <alignment/>
      <protection/>
    </xf>
    <xf numFmtId="186" fontId="10" fillId="3" borderId="7" xfId="40" applyFont="1" applyFill="1" applyBorder="1" applyAlignment="1" applyProtection="1">
      <alignment horizontal="right"/>
      <protection/>
    </xf>
    <xf numFmtId="186" fontId="10" fillId="3" borderId="9" xfId="40" applyFont="1" applyFill="1" applyBorder="1" applyAlignment="1" applyProtection="1">
      <alignment horizontal="right"/>
      <protection/>
    </xf>
    <xf numFmtId="186" fontId="10" fillId="3" borderId="10" xfId="40" applyFont="1" applyFill="1" applyBorder="1" applyAlignment="1" applyProtection="1">
      <alignment horizontal="right"/>
      <protection/>
    </xf>
    <xf numFmtId="0" fontId="10" fillId="0" borderId="7" xfId="0" applyFont="1" applyFill="1" applyBorder="1" applyAlignment="1" applyProtection="1">
      <alignment/>
      <protection/>
    </xf>
    <xf numFmtId="0" fontId="10" fillId="0" borderId="9" xfId="0" applyFont="1" applyFill="1" applyBorder="1" applyAlignment="1" applyProtection="1">
      <alignment/>
      <protection/>
    </xf>
    <xf numFmtId="0" fontId="10" fillId="0" borderId="9" xfId="0" applyFont="1" applyFill="1" applyBorder="1" applyAlignment="1" applyProtection="1">
      <alignment horizontal="left"/>
      <protection/>
    </xf>
    <xf numFmtId="3" fontId="10" fillId="0" borderId="5" xfId="0" applyNumberFormat="1" applyFont="1" applyFill="1" applyBorder="1" applyAlignment="1" applyProtection="1">
      <alignment/>
      <protection/>
    </xf>
    <xf numFmtId="0" fontId="10" fillId="3" borderId="3" xfId="0" applyFont="1" applyFill="1" applyBorder="1" applyAlignment="1" applyProtection="1">
      <alignment/>
      <protection/>
    </xf>
    <xf numFmtId="186" fontId="10" fillId="0" borderId="10" xfId="40" applyFont="1" applyBorder="1" applyProtection="1">
      <alignment/>
      <protection/>
    </xf>
    <xf numFmtId="189" fontId="10" fillId="0" borderId="6" xfId="42" applyNumberFormat="1" applyFont="1" applyFill="1" applyBorder="1" applyProtection="1">
      <alignment/>
      <protection/>
    </xf>
    <xf numFmtId="189" fontId="10" fillId="0" borderId="6" xfId="42" applyNumberFormat="1" applyFont="1" applyFill="1" applyBorder="1" applyProtection="1">
      <alignment/>
      <protection locked="0"/>
    </xf>
    <xf numFmtId="37" fontId="10" fillId="0" borderId="0" xfId="0" applyNumberFormat="1" applyFont="1" applyAlignment="1" applyProtection="1">
      <alignment/>
      <protection/>
    </xf>
    <xf numFmtId="37" fontId="10" fillId="0" borderId="0" xfId="0" applyNumberFormat="1" applyFont="1" applyFill="1" applyAlignment="1" applyProtection="1">
      <alignment vertical="center"/>
      <protection/>
    </xf>
    <xf numFmtId="0" fontId="10" fillId="3" borderId="8" xfId="0" applyFont="1" applyFill="1" applyBorder="1" applyAlignment="1" applyProtection="1">
      <alignment/>
      <protection/>
    </xf>
    <xf numFmtId="37" fontId="10" fillId="3" borderId="13" xfId="0" applyNumberFormat="1" applyFont="1" applyFill="1" applyBorder="1" applyAlignment="1" applyProtection="1">
      <alignment/>
      <protection/>
    </xf>
    <xf numFmtId="0" fontId="10" fillId="3" borderId="12" xfId="0" applyFont="1" applyFill="1" applyBorder="1" applyAlignment="1" applyProtection="1">
      <alignment/>
      <protection/>
    </xf>
    <xf numFmtId="0" fontId="10" fillId="0" borderId="15" xfId="0" applyFont="1" applyFill="1" applyBorder="1" applyAlignment="1" applyProtection="1">
      <alignment/>
      <protection/>
    </xf>
    <xf numFmtId="0" fontId="10" fillId="0" borderId="16" xfId="0" applyFont="1" applyFill="1" applyBorder="1" applyAlignment="1" applyProtection="1">
      <alignment/>
      <protection/>
    </xf>
    <xf numFmtId="0" fontId="10" fillId="0" borderId="10" xfId="0" applyFont="1" applyFill="1" applyBorder="1" applyAlignment="1" applyProtection="1">
      <alignment/>
      <protection/>
    </xf>
    <xf numFmtId="0" fontId="10" fillId="0" borderId="20" xfId="0" applyFont="1" applyFill="1" applyBorder="1" applyAlignment="1" applyProtection="1">
      <alignment/>
      <protection/>
    </xf>
    <xf numFmtId="0" fontId="10" fillId="0" borderId="17" xfId="0" applyFont="1" applyFill="1" applyBorder="1" applyAlignment="1" applyProtection="1">
      <alignment/>
      <protection/>
    </xf>
    <xf numFmtId="0" fontId="16" fillId="0" borderId="0" xfId="0" applyFont="1" applyAlignment="1" applyProtection="1">
      <alignment/>
      <protection/>
    </xf>
    <xf numFmtId="0" fontId="17" fillId="0" borderId="0" xfId="0" applyNumberFormat="1" applyFont="1" applyBorder="1" applyAlignment="1" applyProtection="1">
      <alignment/>
      <protection/>
    </xf>
    <xf numFmtId="0" fontId="15" fillId="5" borderId="0" xfId="0" applyFont="1" applyFill="1" applyBorder="1" applyAlignment="1" applyProtection="1">
      <alignment horizontal="left"/>
      <protection/>
    </xf>
    <xf numFmtId="184" fontId="15" fillId="5" borderId="0" xfId="0" applyNumberFormat="1" applyFont="1" applyFill="1" applyBorder="1" applyAlignment="1" applyProtection="1">
      <alignment horizontal="left"/>
      <protection/>
    </xf>
    <xf numFmtId="184" fontId="15" fillId="5" borderId="0" xfId="43" applyNumberFormat="1" applyFont="1" applyFill="1" applyBorder="1" applyProtection="1">
      <alignment/>
      <protection/>
    </xf>
    <xf numFmtId="0" fontId="10" fillId="0" borderId="15" xfId="0" applyFont="1" applyBorder="1" applyAlignment="1" applyProtection="1">
      <alignment/>
      <protection/>
    </xf>
    <xf numFmtId="0" fontId="9" fillId="3" borderId="13" xfId="0" applyFont="1" applyFill="1" applyBorder="1" applyAlignment="1" applyProtection="1">
      <alignment/>
      <protection/>
    </xf>
    <xf numFmtId="0" fontId="10" fillId="0" borderId="12" xfId="0" applyFont="1" applyFill="1" applyBorder="1" applyAlignment="1" applyProtection="1">
      <alignment/>
      <protection/>
    </xf>
    <xf numFmtId="192" fontId="10" fillId="0" borderId="5" xfId="0" applyNumberFormat="1" applyFont="1" applyFill="1" applyBorder="1" applyAlignment="1" applyProtection="1">
      <alignment horizontal="center" vertical="center"/>
      <protection locked="0"/>
    </xf>
    <xf numFmtId="0" fontId="9" fillId="0" borderId="0" xfId="37" applyFont="1" applyFill="1" applyBorder="1" applyAlignment="1" applyProtection="1">
      <alignment horizontal="center" vertical="center"/>
      <protection/>
    </xf>
    <xf numFmtId="37" fontId="10" fillId="0" borderId="9" xfId="0" applyNumberFormat="1" applyFont="1" applyFill="1" applyBorder="1" applyAlignment="1" applyProtection="1">
      <alignment horizontal="left" vertical="center"/>
      <protection/>
    </xf>
    <xf numFmtId="186" fontId="10" fillId="0" borderId="6" xfId="40" applyFont="1" applyFill="1" applyBorder="1" applyProtection="1" quotePrefix="1">
      <alignment/>
      <protection locked="0"/>
    </xf>
    <xf numFmtId="0" fontId="9" fillId="0" borderId="0" xfId="0" applyNumberFormat="1" applyFont="1" applyAlignment="1" applyProtection="1">
      <alignment horizontal="center"/>
      <protection/>
    </xf>
    <xf numFmtId="0" fontId="10" fillId="0" borderId="0" xfId="0" applyFont="1" applyAlignment="1" applyProtection="1">
      <alignment horizontal="center"/>
      <protection/>
    </xf>
    <xf numFmtId="0" fontId="10" fillId="0" borderId="0" xfId="0" applyNumberFormat="1" applyFont="1" applyBorder="1" applyAlignment="1" applyProtection="1">
      <alignment horizontal="center"/>
      <protection/>
    </xf>
    <xf numFmtId="49" fontId="12" fillId="0" borderId="0" xfId="0" applyNumberFormat="1" applyFont="1" applyFill="1" applyBorder="1" applyAlignment="1" applyProtection="1">
      <alignment horizontal="center"/>
      <protection locked="0"/>
    </xf>
    <xf numFmtId="10" fontId="10" fillId="0" borderId="5" xfId="0" applyNumberFormat="1" applyFont="1" applyFill="1" applyBorder="1" applyAlignment="1" applyProtection="1">
      <alignment horizontal="center"/>
      <protection/>
    </xf>
    <xf numFmtId="0" fontId="17" fillId="0" borderId="0" xfId="0" applyFont="1" applyFill="1" applyBorder="1" applyAlignment="1" applyProtection="1">
      <alignment horizontal="right"/>
      <protection/>
    </xf>
    <xf numFmtId="0" fontId="9" fillId="0" borderId="0" xfId="0" applyFont="1" applyFill="1" applyAlignment="1" applyProtection="1">
      <alignment horizontal="left"/>
      <protection/>
    </xf>
    <xf numFmtId="0" fontId="9" fillId="0" borderId="0" xfId="0" applyFont="1" applyFill="1" applyBorder="1" applyAlignment="1" applyProtection="1">
      <alignment horizontal="left" vertical="center"/>
      <protection/>
    </xf>
    <xf numFmtId="3" fontId="9" fillId="0" borderId="0" xfId="34" applyNumberFormat="1" applyFont="1" applyFill="1" applyBorder="1" applyAlignment="1" applyProtection="1">
      <alignment horizontal="center" vertical="center"/>
      <protection/>
    </xf>
    <xf numFmtId="0" fontId="9" fillId="0" borderId="6" xfId="0" applyFont="1" applyFill="1" applyBorder="1" applyAlignment="1" applyProtection="1">
      <alignment horizontal="center" vertical="center"/>
      <protection/>
    </xf>
    <xf numFmtId="0" fontId="9" fillId="0" borderId="23" xfId="0" applyFont="1" applyFill="1" applyBorder="1" applyAlignment="1" applyProtection="1">
      <alignment horizontal="center" vertical="center"/>
      <protection/>
    </xf>
    <xf numFmtId="194" fontId="10" fillId="0" borderId="5" xfId="0" applyNumberFormat="1" applyFont="1" applyFill="1" applyBorder="1" applyAlignment="1" applyProtection="1">
      <alignment vertical="center"/>
      <protection/>
    </xf>
    <xf numFmtId="0" fontId="10" fillId="0" borderId="0" xfId="0" applyFont="1" applyFill="1" applyBorder="1" applyAlignment="1" applyProtection="1" quotePrefix="1">
      <alignment horizontal="left" vertical="center"/>
      <protection/>
    </xf>
    <xf numFmtId="0" fontId="10" fillId="0" borderId="0" xfId="0" applyFont="1" applyFill="1" applyBorder="1" applyAlignment="1" applyProtection="1">
      <alignment horizontal="left" vertical="center"/>
      <protection/>
    </xf>
    <xf numFmtId="0" fontId="10" fillId="0" borderId="0" xfId="0" applyFont="1" applyFill="1" applyBorder="1" applyAlignment="1" applyProtection="1">
      <alignment vertical="center"/>
      <protection/>
    </xf>
    <xf numFmtId="0" fontId="9" fillId="0" borderId="23" xfId="0" applyFont="1" applyFill="1" applyBorder="1" applyAlignment="1" applyProtection="1" quotePrefix="1">
      <alignment horizontal="center" vertical="center"/>
      <protection/>
    </xf>
    <xf numFmtId="4" fontId="10" fillId="0" borderId="5" xfId="34" applyNumberFormat="1"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left"/>
      <protection/>
    </xf>
    <xf numFmtId="0" fontId="10" fillId="0" borderId="9" xfId="0" applyFont="1" applyFill="1" applyBorder="1" applyAlignment="1" applyProtection="1">
      <alignment vertical="center"/>
      <protection/>
    </xf>
    <xf numFmtId="0" fontId="10" fillId="2" borderId="0" xfId="33" applyFont="1" applyFill="1" applyProtection="1">
      <alignment/>
      <protection/>
    </xf>
    <xf numFmtId="0" fontId="10" fillId="2" borderId="0" xfId="33" applyFont="1" applyFill="1" applyAlignment="1" applyProtection="1">
      <alignment/>
      <protection/>
    </xf>
    <xf numFmtId="0" fontId="10" fillId="0" borderId="24" xfId="0" applyFont="1" applyFill="1" applyBorder="1" applyAlignment="1" applyProtection="1">
      <alignment vertical="center"/>
      <protection/>
    </xf>
    <xf numFmtId="4" fontId="9" fillId="0" borderId="6" xfId="0" applyNumberFormat="1" applyFont="1" applyFill="1" applyBorder="1" applyAlignment="1" applyProtection="1">
      <alignment horizontal="center" vertical="center"/>
      <protection/>
    </xf>
    <xf numFmtId="4" fontId="9" fillId="0" borderId="23" xfId="0" applyNumberFormat="1" applyFont="1" applyFill="1" applyBorder="1" applyAlignment="1" applyProtection="1">
      <alignment horizontal="center" vertical="center"/>
      <protection/>
    </xf>
    <xf numFmtId="0" fontId="23" fillId="0" borderId="23" xfId="0" applyFont="1" applyFill="1" applyBorder="1" applyAlignment="1" applyProtection="1">
      <alignment horizontal="center" vertical="center"/>
      <protection/>
    </xf>
    <xf numFmtId="0" fontId="9" fillId="0" borderId="23" xfId="0" applyFont="1" applyFill="1" applyBorder="1" applyAlignment="1" applyProtection="1">
      <alignment horizontal="center" vertical="center" wrapText="1"/>
      <protection/>
    </xf>
    <xf numFmtId="44" fontId="10" fillId="0" borderId="0" xfId="0" applyNumberFormat="1" applyFont="1" applyFill="1" applyBorder="1" applyAlignment="1" applyProtection="1">
      <alignment/>
      <protection/>
    </xf>
    <xf numFmtId="0" fontId="10" fillId="0" borderId="7" xfId="34" applyFont="1" applyFill="1" applyBorder="1" applyAlignment="1" applyProtection="1">
      <alignment horizontal="left" vertical="center"/>
      <protection/>
    </xf>
    <xf numFmtId="0" fontId="10" fillId="0" borderId="10" xfId="0" applyFont="1" applyFill="1" applyBorder="1" applyAlignment="1" applyProtection="1">
      <alignment/>
      <protection/>
    </xf>
    <xf numFmtId="188" fontId="10" fillId="0" borderId="5" xfId="0" applyNumberFormat="1" applyFont="1" applyFill="1" applyBorder="1" applyAlignment="1" applyProtection="1">
      <alignment/>
      <protection locked="0"/>
    </xf>
    <xf numFmtId="188" fontId="10" fillId="0" borderId="5" xfId="0" applyNumberFormat="1" applyFont="1" applyFill="1" applyBorder="1" applyAlignment="1" applyProtection="1">
      <alignment/>
      <protection/>
    </xf>
    <xf numFmtId="195" fontId="9" fillId="0" borderId="0" xfId="0" applyNumberFormat="1" applyFont="1" applyFill="1" applyBorder="1" applyAlignment="1" applyProtection="1">
      <alignment horizontal="right" vertical="center"/>
      <protection/>
    </xf>
    <xf numFmtId="196" fontId="9" fillId="0" borderId="0" xfId="34" applyNumberFormat="1" applyFont="1" applyFill="1" applyBorder="1" applyAlignment="1" applyProtection="1">
      <alignment horizontal="center" vertical="center"/>
      <protection/>
    </xf>
    <xf numFmtId="0" fontId="9" fillId="0" borderId="0" xfId="34" applyFont="1" applyFill="1" applyBorder="1" applyAlignment="1" applyProtection="1">
      <alignment horizontal="center" vertical="center"/>
      <protection/>
    </xf>
    <xf numFmtId="3" fontId="10" fillId="0" borderId="0" xfId="34" applyNumberFormat="1" applyFont="1" applyFill="1" applyBorder="1" applyAlignment="1" applyProtection="1">
      <alignment horizontal="center" vertical="center"/>
      <protection/>
    </xf>
    <xf numFmtId="0" fontId="9" fillId="0" borderId="0" xfId="34" applyFont="1" applyFill="1" applyAlignment="1" applyProtection="1">
      <alignment horizontal="left" vertical="center"/>
      <protection/>
    </xf>
    <xf numFmtId="3" fontId="10" fillId="0" borderId="0" xfId="34" applyNumberFormat="1" applyFont="1" applyFill="1" applyAlignment="1" applyProtection="1">
      <alignment horizontal="center" vertical="center"/>
      <protection/>
    </xf>
    <xf numFmtId="0" fontId="10" fillId="0" borderId="0" xfId="34" applyFont="1" applyFill="1" applyAlignment="1" applyProtection="1">
      <alignment horizontal="center" vertical="center"/>
      <protection/>
    </xf>
    <xf numFmtId="0" fontId="9" fillId="0" borderId="22" xfId="0" applyFont="1" applyFill="1" applyBorder="1" applyAlignment="1" applyProtection="1" quotePrefix="1">
      <alignment horizontal="center" vertical="center"/>
      <protection/>
    </xf>
    <xf numFmtId="194" fontId="24" fillId="0" borderId="5" xfId="0" applyNumberFormat="1" applyFont="1" applyFill="1" applyBorder="1" applyAlignment="1" applyProtection="1">
      <alignment vertical="center"/>
      <protection/>
    </xf>
    <xf numFmtId="188" fontId="10" fillId="0" borderId="6" xfId="0" applyNumberFormat="1" applyFont="1" applyFill="1" applyBorder="1" applyAlignment="1" applyProtection="1">
      <alignment/>
      <protection/>
    </xf>
    <xf numFmtId="0" fontId="10" fillId="0" borderId="15" xfId="0" applyFont="1" applyFill="1" applyBorder="1" applyAlignment="1" applyProtection="1">
      <alignment/>
      <protection/>
    </xf>
    <xf numFmtId="0" fontId="9" fillId="0" borderId="24" xfId="0" applyFont="1" applyFill="1" applyBorder="1" applyAlignment="1" applyProtection="1">
      <alignment horizontal="center" vertical="center"/>
      <protection/>
    </xf>
    <xf numFmtId="0" fontId="9" fillId="0" borderId="0" xfId="0" applyFont="1" applyFill="1" applyBorder="1" applyAlignment="1" applyProtection="1">
      <alignment vertical="center"/>
      <protection/>
    </xf>
    <xf numFmtId="0" fontId="10" fillId="0" borderId="7" xfId="0" applyFont="1" applyFill="1" applyBorder="1" applyAlignment="1" applyProtection="1">
      <alignment vertical="center"/>
      <protection/>
    </xf>
    <xf numFmtId="194" fontId="10" fillId="0" borderId="5" xfId="52" applyNumberFormat="1" applyFont="1" applyFill="1" applyBorder="1" applyAlignment="1" applyProtection="1">
      <alignment horizontal="center" vertical="center"/>
      <protection/>
    </xf>
    <xf numFmtId="197" fontId="9" fillId="0" borderId="0" xfId="34" applyNumberFormat="1" applyFont="1" applyFill="1" applyBorder="1" applyAlignment="1" applyProtection="1">
      <alignment horizontal="center" vertical="center"/>
      <protection/>
    </xf>
    <xf numFmtId="169" fontId="10" fillId="0" borderId="6" xfId="0" applyNumberFormat="1" applyFont="1" applyFill="1" applyBorder="1" applyAlignment="1" applyProtection="1">
      <alignment/>
      <protection/>
    </xf>
    <xf numFmtId="0" fontId="24" fillId="0" borderId="7" xfId="0" applyFont="1" applyFill="1" applyBorder="1" applyAlignment="1" applyProtection="1">
      <alignment horizontal="left" vertical="center"/>
      <protection/>
    </xf>
    <xf numFmtId="4" fontId="10" fillId="0" borderId="5" xfId="47" applyNumberFormat="1" applyFont="1" applyFill="1" applyBorder="1" applyAlignment="1" applyProtection="1">
      <alignment horizontal="center"/>
      <protection/>
    </xf>
    <xf numFmtId="3" fontId="10" fillId="0" borderId="9" xfId="0" applyNumberFormat="1" applyFont="1" applyFill="1" applyBorder="1" applyAlignment="1" applyProtection="1">
      <alignment vertical="center"/>
      <protection/>
    </xf>
    <xf numFmtId="4" fontId="24" fillId="0" borderId="5" xfId="47" applyNumberFormat="1" applyFont="1" applyFill="1" applyBorder="1" applyAlignment="1" applyProtection="1">
      <alignment horizontal="center"/>
      <protection/>
    </xf>
    <xf numFmtId="0" fontId="10" fillId="0" borderId="0" xfId="0" applyFont="1" applyFill="1" applyBorder="1" applyAlignment="1" applyProtection="1">
      <alignment horizontal="center"/>
      <protection/>
    </xf>
    <xf numFmtId="3" fontId="10" fillId="0" borderId="0" xfId="0" applyNumberFormat="1" applyFont="1" applyFill="1" applyBorder="1" applyAlignment="1" applyProtection="1">
      <alignment/>
      <protection/>
    </xf>
    <xf numFmtId="3" fontId="10" fillId="0" borderId="0" xfId="20" applyNumberFormat="1" applyFont="1" applyFill="1" applyBorder="1" applyAlignment="1" applyProtection="1">
      <alignment/>
      <protection/>
    </xf>
    <xf numFmtId="43" fontId="10" fillId="0" borderId="0" xfId="20" applyNumberFormat="1" applyFont="1" applyFill="1" applyBorder="1" applyAlignment="1" applyProtection="1">
      <alignment/>
      <protection/>
    </xf>
    <xf numFmtId="188" fontId="10" fillId="0" borderId="0" xfId="0" applyNumberFormat="1" applyFont="1" applyFill="1" applyBorder="1" applyAlignment="1" applyProtection="1">
      <alignment/>
      <protection/>
    </xf>
    <xf numFmtId="0" fontId="9" fillId="0" borderId="0" xfId="0" applyFont="1" applyFill="1" applyBorder="1" applyAlignment="1" applyProtection="1">
      <alignment horizontal="center"/>
      <protection/>
    </xf>
    <xf numFmtId="3" fontId="10" fillId="0" borderId="0" xfId="0" applyNumberFormat="1" applyFont="1" applyFill="1" applyBorder="1" applyAlignment="1" applyProtection="1">
      <alignment/>
      <protection/>
    </xf>
    <xf numFmtId="41" fontId="9" fillId="0" borderId="0" xfId="0" applyNumberFormat="1" applyFont="1" applyFill="1" applyBorder="1" applyAlignment="1" applyProtection="1">
      <alignment/>
      <protection/>
    </xf>
    <xf numFmtId="0" fontId="11" fillId="0" borderId="0" xfId="0" applyFont="1" applyFill="1" applyBorder="1" applyAlignment="1" applyProtection="1">
      <alignment horizontal="center"/>
      <protection/>
    </xf>
    <xf numFmtId="0" fontId="10" fillId="0" borderId="0" xfId="0" applyFont="1" applyFill="1" applyBorder="1" applyAlignment="1" applyProtection="1">
      <alignment/>
      <protection/>
    </xf>
    <xf numFmtId="0" fontId="10" fillId="0" borderId="0" xfId="0" applyFont="1" applyFill="1" applyAlignment="1" applyProtection="1">
      <alignment horizontal="left"/>
      <protection/>
    </xf>
    <xf numFmtId="0" fontId="9" fillId="0" borderId="0" xfId="0" applyFont="1" applyAlignment="1" applyProtection="1">
      <alignment horizontal="justify"/>
      <protection/>
    </xf>
    <xf numFmtId="37" fontId="10" fillId="2" borderId="5" xfId="33" applyNumberFormat="1" applyFont="1" applyFill="1" applyBorder="1" applyAlignment="1" applyProtection="1">
      <alignment horizontal="center"/>
      <protection/>
    </xf>
    <xf numFmtId="0" fontId="9" fillId="0" borderId="0" xfId="36" applyFont="1" applyAlignment="1" applyProtection="1">
      <alignment horizontal="left" vertical="center"/>
      <protection/>
    </xf>
    <xf numFmtId="0" fontId="10" fillId="0" borderId="0" xfId="36" applyFont="1" applyFill="1" applyBorder="1" applyProtection="1">
      <alignment/>
      <protection/>
    </xf>
    <xf numFmtId="0" fontId="17" fillId="0" borderId="0" xfId="36" applyFont="1" applyFill="1" applyBorder="1" applyAlignment="1" applyProtection="1">
      <alignment horizontal="left"/>
      <protection/>
    </xf>
    <xf numFmtId="0" fontId="10" fillId="0" borderId="0" xfId="36" applyFont="1" applyAlignment="1" applyProtection="1">
      <alignment vertical="center"/>
      <protection/>
    </xf>
    <xf numFmtId="0" fontId="23" fillId="0" borderId="0" xfId="36" applyFont="1" applyAlignment="1" applyProtection="1">
      <alignment vertical="center"/>
      <protection/>
    </xf>
    <xf numFmtId="0" fontId="1" fillId="0" borderId="0" xfId="36" applyFont="1" applyAlignment="1" applyProtection="1">
      <alignment vertical="center"/>
      <protection/>
    </xf>
    <xf numFmtId="0" fontId="9" fillId="0" borderId="24" xfId="36" applyFont="1" applyFill="1" applyBorder="1" applyAlignment="1" applyProtection="1" quotePrefix="1">
      <alignment horizontal="left" vertical="center"/>
      <protection/>
    </xf>
    <xf numFmtId="0" fontId="9" fillId="0" borderId="18" xfId="36" applyFont="1" applyFill="1" applyBorder="1" applyAlignment="1" applyProtection="1">
      <alignment horizontal="left" vertical="center"/>
      <protection/>
    </xf>
    <xf numFmtId="0" fontId="9" fillId="0" borderId="20" xfId="36" applyFont="1" applyFill="1" applyBorder="1" applyAlignment="1" applyProtection="1">
      <alignment horizontal="center" vertical="center"/>
      <protection/>
    </xf>
    <xf numFmtId="0" fontId="10" fillId="0" borderId="20" xfId="36" applyFont="1" applyFill="1" applyBorder="1" applyAlignment="1" applyProtection="1">
      <alignment vertical="center"/>
      <protection/>
    </xf>
    <xf numFmtId="0" fontId="9" fillId="0" borderId="20" xfId="36" applyFont="1" applyFill="1" applyBorder="1" applyAlignment="1" applyProtection="1">
      <alignment horizontal="left" vertical="center"/>
      <protection/>
    </xf>
    <xf numFmtId="0" fontId="9" fillId="0" borderId="18" xfId="36" applyFont="1" applyFill="1" applyBorder="1" applyAlignment="1" applyProtection="1">
      <alignment horizontal="center" vertical="center"/>
      <protection/>
    </xf>
    <xf numFmtId="0" fontId="2" fillId="0" borderId="25" xfId="36" applyFont="1" applyFill="1" applyBorder="1" applyAlignment="1" applyProtection="1">
      <alignment horizontal="center" vertical="center"/>
      <protection/>
    </xf>
    <xf numFmtId="0" fontId="9" fillId="0" borderId="16" xfId="36" applyFont="1" applyFill="1" applyBorder="1" applyAlignment="1" applyProtection="1" quotePrefix="1">
      <alignment horizontal="left" vertical="center"/>
      <protection/>
    </xf>
    <xf numFmtId="0" fontId="9" fillId="0" borderId="14" xfId="36" applyFont="1" applyFill="1" applyBorder="1" applyAlignment="1" applyProtection="1">
      <alignment horizontal="left" vertical="center"/>
      <protection/>
    </xf>
    <xf numFmtId="0" fontId="9" fillId="0" borderId="15" xfId="36" applyFont="1" applyFill="1" applyBorder="1" applyAlignment="1" applyProtection="1">
      <alignment horizontal="center" vertical="center" wrapText="1"/>
      <protection/>
    </xf>
    <xf numFmtId="0" fontId="9" fillId="0" borderId="14" xfId="36" applyFont="1" applyFill="1" applyBorder="1" applyAlignment="1" applyProtection="1">
      <alignment horizontal="center" vertical="center" wrapText="1"/>
      <protection/>
    </xf>
    <xf numFmtId="0" fontId="9" fillId="0" borderId="14" xfId="36" applyFont="1" applyFill="1" applyBorder="1" applyAlignment="1" applyProtection="1">
      <alignment horizontal="center" vertical="center"/>
      <protection/>
    </xf>
    <xf numFmtId="49" fontId="1" fillId="0" borderId="25" xfId="36" applyNumberFormat="1" applyFont="1" applyFill="1" applyBorder="1" applyAlignment="1" applyProtection="1">
      <alignment horizontal="left" vertical="center"/>
      <protection/>
    </xf>
    <xf numFmtId="0" fontId="9" fillId="6" borderId="3" xfId="36" applyFont="1" applyFill="1" applyBorder="1" applyAlignment="1" applyProtection="1">
      <alignment horizontal="center" vertical="center"/>
      <protection/>
    </xf>
    <xf numFmtId="0" fontId="9" fillId="6" borderId="8" xfId="36" applyFont="1" applyFill="1" applyBorder="1" applyAlignment="1" applyProtection="1">
      <alignment horizontal="left" vertical="center"/>
      <protection/>
    </xf>
    <xf numFmtId="49" fontId="9" fillId="6" borderId="13" xfId="36" applyNumberFormat="1" applyFont="1" applyFill="1" applyBorder="1" applyAlignment="1" applyProtection="1">
      <alignment horizontal="left" vertical="center"/>
      <protection/>
    </xf>
    <xf numFmtId="49" fontId="9" fillId="6" borderId="12" xfId="36" applyNumberFormat="1" applyFont="1" applyFill="1" applyBorder="1" applyAlignment="1" applyProtection="1">
      <alignment horizontal="left" vertical="center"/>
      <protection/>
    </xf>
    <xf numFmtId="195" fontId="9" fillId="6" borderId="3" xfId="36" applyNumberFormat="1" applyFont="1" applyFill="1" applyBorder="1" applyAlignment="1" applyProtection="1">
      <alignment horizontal="right" vertical="center"/>
      <protection/>
    </xf>
    <xf numFmtId="195" fontId="2" fillId="0" borderId="0" xfId="36" applyNumberFormat="1" applyFont="1" applyFill="1" applyBorder="1" applyAlignment="1" applyProtection="1">
      <alignment horizontal="left" vertical="center"/>
      <protection/>
    </xf>
    <xf numFmtId="0" fontId="10" fillId="0" borderId="25" xfId="36" applyFont="1" applyFill="1" applyBorder="1" applyAlignment="1" applyProtection="1">
      <alignment horizontal="left" vertical="center"/>
      <protection/>
    </xf>
    <xf numFmtId="49" fontId="10" fillId="0" borderId="0" xfId="36" applyNumberFormat="1" applyFont="1" applyFill="1" applyBorder="1" applyAlignment="1" applyProtection="1">
      <alignment horizontal="left" vertical="center"/>
      <protection/>
    </xf>
    <xf numFmtId="195" fontId="10" fillId="0" borderId="25" xfId="36" applyNumberFormat="1" applyFont="1" applyFill="1" applyBorder="1" applyAlignment="1" applyProtection="1">
      <alignment vertical="center"/>
      <protection/>
    </xf>
    <xf numFmtId="195" fontId="1" fillId="0" borderId="25" xfId="36" applyNumberFormat="1" applyFont="1" applyFill="1" applyBorder="1" applyAlignment="1" applyProtection="1">
      <alignment horizontal="left" vertical="center"/>
      <protection/>
    </xf>
    <xf numFmtId="0" fontId="10" fillId="0" borderId="15" xfId="36" applyFont="1" applyBorder="1" applyAlignment="1" applyProtection="1">
      <alignment vertical="center"/>
      <protection/>
    </xf>
    <xf numFmtId="49" fontId="12" fillId="0" borderId="0" xfId="36" applyNumberFormat="1" applyFont="1" applyFill="1" applyBorder="1" applyProtection="1">
      <alignment/>
      <protection/>
    </xf>
    <xf numFmtId="0" fontId="1" fillId="0" borderId="0" xfId="36" applyProtection="1">
      <alignment/>
      <protection/>
    </xf>
    <xf numFmtId="49" fontId="11" fillId="0" borderId="0" xfId="0" applyNumberFormat="1" applyFont="1" applyBorder="1" applyAlignment="1" applyProtection="1">
      <alignment vertical="center"/>
      <protection/>
    </xf>
    <xf numFmtId="186" fontId="10" fillId="0" borderId="7" xfId="40" applyFont="1" applyFill="1" applyBorder="1" applyProtection="1">
      <alignment/>
      <protection locked="0"/>
    </xf>
    <xf numFmtId="186" fontId="10" fillId="0" borderId="9" xfId="40" applyFont="1" applyFill="1" applyBorder="1" applyProtection="1">
      <alignment/>
      <protection locked="0"/>
    </xf>
    <xf numFmtId="186" fontId="10" fillId="0" borderId="26" xfId="40" applyFont="1" applyFill="1" applyBorder="1" applyProtection="1">
      <alignment/>
      <protection locked="0"/>
    </xf>
    <xf numFmtId="186" fontId="10" fillId="0" borderId="27" xfId="40" applyFont="1" applyFill="1" applyBorder="1" applyProtection="1">
      <alignment/>
      <protection locked="0"/>
    </xf>
    <xf numFmtId="186" fontId="10" fillId="0" borderId="28" xfId="40" applyFont="1" applyFill="1" applyBorder="1" applyProtection="1">
      <alignment/>
      <protection locked="0"/>
    </xf>
    <xf numFmtId="0" fontId="10" fillId="0" borderId="0" xfId="0" applyFont="1" applyAlignment="1" applyProtection="1">
      <alignment horizontal="right"/>
      <protection/>
    </xf>
    <xf numFmtId="0" fontId="24" fillId="0" borderId="0" xfId="0" applyFont="1" applyFill="1" applyAlignment="1" applyProtection="1">
      <alignment horizontal="right" vertical="center"/>
      <protection/>
    </xf>
    <xf numFmtId="0" fontId="24" fillId="0" borderId="0" xfId="0" applyFont="1" applyFill="1" applyAlignment="1" applyProtection="1">
      <alignment vertical="center"/>
      <protection/>
    </xf>
    <xf numFmtId="0" fontId="24" fillId="0" borderId="0" xfId="0" applyFont="1" applyFill="1" applyAlignment="1" applyProtection="1">
      <alignment/>
      <protection/>
    </xf>
    <xf numFmtId="184" fontId="24" fillId="0" borderId="0" xfId="0" applyNumberFormat="1" applyFont="1" applyFill="1" applyBorder="1" applyAlignment="1" applyProtection="1">
      <alignment/>
      <protection/>
    </xf>
    <xf numFmtId="184" fontId="24" fillId="0" borderId="0" xfId="0" applyNumberFormat="1" applyFont="1" applyFill="1" applyAlignment="1" applyProtection="1">
      <alignment/>
      <protection/>
    </xf>
    <xf numFmtId="184" fontId="14" fillId="0" borderId="0" xfId="43" applyNumberFormat="1" applyFont="1" applyFill="1" applyBorder="1" applyProtection="1">
      <alignment/>
      <protection/>
    </xf>
    <xf numFmtId="184" fontId="14" fillId="0" borderId="0" xfId="0" applyNumberFormat="1" applyFont="1" applyFill="1" applyAlignment="1" applyProtection="1">
      <alignment/>
      <protection/>
    </xf>
    <xf numFmtId="0" fontId="24" fillId="0" borderId="0" xfId="0" applyFont="1" applyFill="1" applyBorder="1" applyAlignment="1" applyProtection="1">
      <alignment/>
      <protection/>
    </xf>
    <xf numFmtId="186" fontId="24" fillId="0" borderId="0" xfId="0" applyNumberFormat="1" applyFont="1" applyFill="1" applyBorder="1" applyAlignment="1" applyProtection="1">
      <alignment/>
      <protection/>
    </xf>
    <xf numFmtId="0" fontId="17" fillId="0" borderId="0" xfId="0" applyNumberFormat="1" applyFont="1" applyBorder="1" applyAlignment="1" applyProtection="1">
      <alignment horizontal="left" vertical="top"/>
      <protection/>
    </xf>
    <xf numFmtId="0" fontId="9" fillId="0" borderId="15" xfId="37" applyFont="1" applyFill="1" applyBorder="1" applyAlignment="1" applyProtection="1">
      <alignment vertical="center"/>
      <protection/>
    </xf>
    <xf numFmtId="0" fontId="10" fillId="0" borderId="0" xfId="0" applyFont="1" applyFill="1" applyAlignment="1" applyProtection="1" quotePrefix="1">
      <alignment/>
      <protection/>
    </xf>
    <xf numFmtId="0" fontId="9" fillId="0" borderId="0" xfId="37" applyFont="1" applyFill="1" applyBorder="1" applyAlignment="1" applyProtection="1">
      <alignment vertical="center"/>
      <protection/>
    </xf>
    <xf numFmtId="0" fontId="9" fillId="0" borderId="24" xfId="37" applyFont="1" applyFill="1" applyBorder="1" applyAlignment="1" applyProtection="1">
      <alignment vertical="center"/>
      <protection/>
    </xf>
    <xf numFmtId="0" fontId="9" fillId="0" borderId="16" xfId="37" applyFont="1" applyFill="1" applyBorder="1" applyAlignment="1" applyProtection="1">
      <alignment vertical="center"/>
      <protection/>
    </xf>
    <xf numFmtId="0" fontId="12" fillId="5" borderId="0" xfId="0" applyFont="1" applyFill="1" applyAlignment="1" applyProtection="1">
      <alignment/>
      <protection/>
    </xf>
    <xf numFmtId="0" fontId="11" fillId="0" borderId="29" xfId="37" applyFont="1" applyFill="1" applyBorder="1" applyAlignment="1" applyProtection="1">
      <alignment vertical="center"/>
      <protection/>
    </xf>
    <xf numFmtId="0" fontId="10" fillId="0" borderId="29" xfId="0" applyFont="1" applyBorder="1" applyAlignment="1" applyProtection="1">
      <alignment/>
      <protection/>
    </xf>
    <xf numFmtId="0" fontId="9" fillId="0" borderId="5" xfId="0" applyFont="1" applyFill="1" applyBorder="1" applyAlignment="1" applyProtection="1">
      <alignment/>
      <protection/>
    </xf>
    <xf numFmtId="186" fontId="10" fillId="0" borderId="6" xfId="0" applyNumberFormat="1" applyFont="1" applyFill="1" applyBorder="1" applyAlignment="1" applyProtection="1">
      <alignment vertical="center"/>
      <protection/>
    </xf>
    <xf numFmtId="4" fontId="10" fillId="0" borderId="6" xfId="34" applyNumberFormat="1" applyFont="1" applyFill="1" applyBorder="1" applyAlignment="1" applyProtection="1">
      <alignment horizontal="center" vertical="center"/>
      <protection/>
    </xf>
    <xf numFmtId="195" fontId="10" fillId="0" borderId="6" xfId="0" applyNumberFormat="1" applyFont="1" applyFill="1" applyBorder="1" applyAlignment="1" applyProtection="1">
      <alignment horizontal="right" vertical="center"/>
      <protection/>
    </xf>
    <xf numFmtId="186" fontId="10" fillId="0" borderId="5" xfId="0" applyNumberFormat="1" applyFont="1" applyFill="1" applyBorder="1" applyAlignment="1" applyProtection="1">
      <alignment vertical="center"/>
      <protection/>
    </xf>
    <xf numFmtId="0" fontId="9" fillId="0" borderId="18" xfId="0" applyFont="1" applyFill="1" applyBorder="1" applyAlignment="1" applyProtection="1">
      <alignment horizontal="center" vertical="center"/>
      <protection/>
    </xf>
    <xf numFmtId="0" fontId="10" fillId="0" borderId="7" xfId="39" applyFont="1" applyBorder="1" applyAlignment="1" applyProtection="1">
      <alignment horizontal="left"/>
      <protection/>
    </xf>
    <xf numFmtId="0" fontId="1" fillId="0" borderId="9" xfId="39" applyFont="1" applyBorder="1" applyAlignment="1" applyProtection="1">
      <alignment/>
      <protection/>
    </xf>
    <xf numFmtId="0" fontId="1" fillId="0" borderId="9" xfId="39" applyFont="1" applyBorder="1" applyProtection="1">
      <alignment/>
      <protection/>
    </xf>
    <xf numFmtId="195" fontId="10" fillId="0" borderId="5" xfId="0" applyNumberFormat="1" applyFont="1" applyFill="1" applyBorder="1" applyAlignment="1" applyProtection="1">
      <alignment vertical="center"/>
      <protection/>
    </xf>
    <xf numFmtId="0" fontId="10" fillId="0" borderId="20" xfId="0" applyFont="1" applyFill="1" applyBorder="1" applyAlignment="1" applyProtection="1">
      <alignment/>
      <protection/>
    </xf>
    <xf numFmtId="4" fontId="24" fillId="0" borderId="7" xfId="47" applyNumberFormat="1" applyFont="1" applyFill="1" applyBorder="1" applyAlignment="1" applyProtection="1">
      <alignment horizontal="center"/>
      <protection/>
    </xf>
    <xf numFmtId="194" fontId="10" fillId="0" borderId="6" xfId="0" applyNumberFormat="1" applyFont="1" applyFill="1" applyBorder="1" applyAlignment="1" applyProtection="1">
      <alignment vertical="center"/>
      <protection/>
    </xf>
    <xf numFmtId="0" fontId="19" fillId="0" borderId="0" xfId="0" applyNumberFormat="1" applyFont="1" applyBorder="1" applyAlignment="1" applyProtection="1">
      <alignment horizontal="left"/>
      <protection/>
    </xf>
    <xf numFmtId="0" fontId="20" fillId="0" borderId="0" xfId="0" applyFont="1" applyBorder="1" applyAlignment="1" applyProtection="1">
      <alignment/>
      <protection/>
    </xf>
    <xf numFmtId="0" fontId="10" fillId="0" borderId="10" xfId="0" applyFont="1" applyBorder="1" applyAlignment="1" applyProtection="1">
      <alignment/>
      <protection/>
    </xf>
    <xf numFmtId="0" fontId="9" fillId="0" borderId="0" xfId="0" applyNumberFormat="1" applyFont="1" applyBorder="1" applyAlignment="1" applyProtection="1">
      <alignment/>
      <protection/>
    </xf>
    <xf numFmtId="37" fontId="9" fillId="0" borderId="0" xfId="0" applyNumberFormat="1" applyFont="1" applyFill="1" applyBorder="1" applyAlignment="1" applyProtection="1">
      <alignment/>
      <protection/>
    </xf>
    <xf numFmtId="37" fontId="9" fillId="3" borderId="8" xfId="0" applyNumberFormat="1" applyFont="1" applyFill="1" applyBorder="1" applyAlignment="1" applyProtection="1">
      <alignment/>
      <protection/>
    </xf>
    <xf numFmtId="37" fontId="9" fillId="3" borderId="13" xfId="0" applyNumberFormat="1" applyFont="1" applyFill="1" applyBorder="1" applyAlignment="1" applyProtection="1">
      <alignment/>
      <protection/>
    </xf>
    <xf numFmtId="0" fontId="9" fillId="3" borderId="5" xfId="0" applyNumberFormat="1" applyFont="1" applyFill="1" applyBorder="1" applyAlignment="1" applyProtection="1">
      <alignment horizontal="center"/>
      <protection/>
    </xf>
    <xf numFmtId="0" fontId="10" fillId="0" borderId="15" xfId="0" applyFont="1" applyFill="1" applyBorder="1" applyAlignment="1" applyProtection="1" quotePrefix="1">
      <alignment/>
      <protection/>
    </xf>
    <xf numFmtId="186" fontId="9" fillId="0" borderId="15" xfId="40" applyFont="1" applyFill="1" applyBorder="1" applyAlignment="1" applyProtection="1">
      <alignment horizontal="right"/>
      <protection/>
    </xf>
    <xf numFmtId="186" fontId="9" fillId="0" borderId="16" xfId="40" applyFont="1" applyFill="1" applyBorder="1" applyAlignment="1" applyProtection="1">
      <alignment horizontal="right"/>
      <protection/>
    </xf>
    <xf numFmtId="0" fontId="10" fillId="0" borderId="17" xfId="0" applyFont="1" applyFill="1" applyBorder="1" applyAlignment="1" applyProtection="1">
      <alignment/>
      <protection/>
    </xf>
    <xf numFmtId="37" fontId="10" fillId="0" borderId="20" xfId="0" applyNumberFormat="1" applyFont="1" applyFill="1" applyBorder="1" applyAlignment="1" applyProtection="1">
      <alignment/>
      <protection/>
    </xf>
    <xf numFmtId="186" fontId="10" fillId="0" borderId="20" xfId="40" applyFont="1" applyFill="1" applyBorder="1" applyProtection="1">
      <alignment/>
      <protection/>
    </xf>
    <xf numFmtId="186" fontId="10" fillId="0" borderId="17" xfId="40" applyFont="1" applyFill="1" applyBorder="1" applyProtection="1">
      <alignment/>
      <protection/>
    </xf>
    <xf numFmtId="0" fontId="9" fillId="3" borderId="5" xfId="35" applyFont="1" applyFill="1" applyBorder="1" applyProtection="1">
      <alignment/>
      <protection/>
    </xf>
    <xf numFmtId="0" fontId="9" fillId="3" borderId="7" xfId="35" applyFont="1" applyFill="1" applyBorder="1" applyProtection="1">
      <alignment/>
      <protection/>
    </xf>
    <xf numFmtId="0" fontId="9" fillId="3" borderId="9" xfId="35" applyFont="1" applyFill="1" applyBorder="1" applyProtection="1">
      <alignment/>
      <protection/>
    </xf>
    <xf numFmtId="37" fontId="9" fillId="3" borderId="9" xfId="0" applyNumberFormat="1" applyFont="1" applyFill="1" applyBorder="1" applyAlignment="1" applyProtection="1">
      <alignment/>
      <protection/>
    </xf>
    <xf numFmtId="37" fontId="9" fillId="3" borderId="10" xfId="0" applyNumberFormat="1" applyFont="1" applyFill="1" applyBorder="1" applyAlignment="1" applyProtection="1">
      <alignment/>
      <protection/>
    </xf>
    <xf numFmtId="0" fontId="10" fillId="0" borderId="0" xfId="0" applyFont="1" applyBorder="1" applyAlignment="1" applyProtection="1">
      <alignment horizontal="center"/>
      <protection/>
    </xf>
    <xf numFmtId="0" fontId="9" fillId="3" borderId="5" xfId="0" applyFont="1" applyFill="1" applyBorder="1" applyAlignment="1" applyProtection="1">
      <alignment horizontal="center"/>
      <protection/>
    </xf>
    <xf numFmtId="3" fontId="10" fillId="0" borderId="9" xfId="0" applyNumberFormat="1" applyFont="1" applyFill="1" applyBorder="1" applyAlignment="1" applyProtection="1">
      <alignment/>
      <protection/>
    </xf>
    <xf numFmtId="186" fontId="9" fillId="0" borderId="9" xfId="40" applyFont="1" applyFill="1" applyBorder="1" applyAlignment="1" applyProtection="1">
      <alignment horizontal="right"/>
      <protection/>
    </xf>
    <xf numFmtId="186" fontId="9" fillId="0" borderId="10" xfId="40" applyFont="1" applyFill="1" applyBorder="1" applyAlignment="1" applyProtection="1">
      <alignment horizontal="right"/>
      <protection/>
    </xf>
    <xf numFmtId="0" fontId="10" fillId="0" borderId="20" xfId="0" applyFont="1" applyFill="1" applyBorder="1" applyAlignment="1" applyProtection="1" quotePrefix="1">
      <alignment/>
      <protection/>
    </xf>
    <xf numFmtId="0" fontId="9" fillId="3" borderId="7" xfId="0" applyFont="1" applyFill="1" applyBorder="1" applyAlignment="1" applyProtection="1">
      <alignment/>
      <protection/>
    </xf>
    <xf numFmtId="0" fontId="9" fillId="3" borderId="9" xfId="0" applyFont="1" applyFill="1" applyBorder="1" applyAlignment="1" applyProtection="1">
      <alignment/>
      <protection/>
    </xf>
    <xf numFmtId="0" fontId="9" fillId="0" borderId="0" xfId="0" applyFont="1" applyAlignment="1" applyProtection="1">
      <alignment/>
      <protection hidden="1"/>
    </xf>
    <xf numFmtId="0" fontId="10" fillId="0" borderId="0" xfId="0" applyFont="1" applyAlignment="1" applyProtection="1">
      <alignment vertical="top" wrapText="1"/>
      <protection hidden="1"/>
    </xf>
    <xf numFmtId="0" fontId="10" fillId="0" borderId="0" xfId="0" applyFont="1" applyAlignment="1" applyProtection="1">
      <alignment vertical="top"/>
      <protection hidden="1"/>
    </xf>
    <xf numFmtId="0" fontId="0" fillId="0" borderId="0" xfId="0" applyAlignment="1" applyProtection="1">
      <alignment wrapText="1"/>
      <protection hidden="1"/>
    </xf>
    <xf numFmtId="0" fontId="9" fillId="0" borderId="0" xfId="0" applyFont="1" applyFill="1" applyAlignment="1" applyProtection="1">
      <alignment horizontal="left"/>
      <protection hidden="1"/>
    </xf>
    <xf numFmtId="0" fontId="9" fillId="0" borderId="0" xfId="0" applyNumberFormat="1" applyFont="1" applyBorder="1" applyAlignment="1" applyProtection="1">
      <alignment horizontal="center"/>
      <protection/>
    </xf>
    <xf numFmtId="37" fontId="9" fillId="0" borderId="0" xfId="0" applyNumberFormat="1" applyFont="1" applyAlignment="1" applyProtection="1">
      <alignment/>
      <protection/>
    </xf>
    <xf numFmtId="0" fontId="9" fillId="0" borderId="0" xfId="0" applyNumberFormat="1" applyFont="1" applyBorder="1" applyAlignment="1" applyProtection="1">
      <alignment horizontal="center" vertical="center"/>
      <protection/>
    </xf>
    <xf numFmtId="37" fontId="9" fillId="3" borderId="30" xfId="0" applyNumberFormat="1" applyFont="1" applyFill="1" applyBorder="1" applyAlignment="1" applyProtection="1">
      <alignment vertical="center"/>
      <protection/>
    </xf>
    <xf numFmtId="37" fontId="9" fillId="3" borderId="30" xfId="0" applyNumberFormat="1" applyFont="1" applyFill="1" applyBorder="1" applyAlignment="1" applyProtection="1">
      <alignment horizontal="right" vertical="center"/>
      <protection/>
    </xf>
    <xf numFmtId="37" fontId="9" fillId="3" borderId="31" xfId="0" applyNumberFormat="1" applyFont="1" applyFill="1" applyBorder="1" applyAlignment="1" applyProtection="1">
      <alignment horizontal="center" vertical="center" wrapText="1"/>
      <protection/>
    </xf>
    <xf numFmtId="37" fontId="9" fillId="3" borderId="30" xfId="0" applyNumberFormat="1" applyFont="1" applyFill="1" applyBorder="1" applyAlignment="1" applyProtection="1">
      <alignment horizontal="center" vertical="center"/>
      <protection/>
    </xf>
    <xf numFmtId="37" fontId="9" fillId="3" borderId="11" xfId="0" applyNumberFormat="1" applyFont="1" applyFill="1" applyBorder="1" applyAlignment="1" applyProtection="1">
      <alignment/>
      <protection/>
    </xf>
    <xf numFmtId="0" fontId="9" fillId="3" borderId="11" xfId="0" applyFont="1" applyFill="1" applyBorder="1" applyAlignment="1" applyProtection="1">
      <alignment horizontal="right" vertical="center"/>
      <protection/>
    </xf>
    <xf numFmtId="37" fontId="9" fillId="3" borderId="8" xfId="0" applyNumberFormat="1" applyFont="1" applyFill="1" applyBorder="1" applyAlignment="1" applyProtection="1">
      <alignment horizontal="center" vertical="center"/>
      <protection/>
    </xf>
    <xf numFmtId="0" fontId="9" fillId="3" borderId="3" xfId="0" applyFont="1" applyFill="1" applyBorder="1" applyAlignment="1" applyProtection="1">
      <alignment horizontal="center" vertical="center"/>
      <protection/>
    </xf>
    <xf numFmtId="37" fontId="10" fillId="0" borderId="16" xfId="0" applyNumberFormat="1" applyFont="1" applyFill="1" applyBorder="1" applyAlignment="1" applyProtection="1">
      <alignment/>
      <protection/>
    </xf>
    <xf numFmtId="185" fontId="10" fillId="0" borderId="7" xfId="40" applyNumberFormat="1" applyFont="1" applyBorder="1" applyAlignment="1" applyProtection="1">
      <alignment horizontal="center"/>
      <protection/>
    </xf>
    <xf numFmtId="37" fontId="10" fillId="0" borderId="10" xfId="0" applyNumberFormat="1" applyFont="1" applyFill="1" applyBorder="1" applyAlignment="1" applyProtection="1">
      <alignment/>
      <protection/>
    </xf>
    <xf numFmtId="183" fontId="10" fillId="0" borderId="7" xfId="40" applyNumberFormat="1" applyFont="1" applyBorder="1" applyAlignment="1" applyProtection="1">
      <alignment horizontal="center"/>
      <protection/>
    </xf>
    <xf numFmtId="37" fontId="10" fillId="0" borderId="17" xfId="0" applyNumberFormat="1" applyFont="1" applyFill="1" applyBorder="1" applyAlignment="1" applyProtection="1">
      <alignment/>
      <protection/>
    </xf>
    <xf numFmtId="185" fontId="10" fillId="0" borderId="18" xfId="40" applyNumberFormat="1" applyFont="1" applyBorder="1" applyAlignment="1" applyProtection="1">
      <alignment horizontal="center"/>
      <protection/>
    </xf>
    <xf numFmtId="37" fontId="9" fillId="3" borderId="5" xfId="0" applyNumberFormat="1" applyFont="1" applyFill="1" applyBorder="1" applyAlignment="1" applyProtection="1">
      <alignment/>
      <protection/>
    </xf>
    <xf numFmtId="0" fontId="17" fillId="0" borderId="0" xfId="0" applyFont="1" applyAlignment="1" applyProtection="1">
      <alignment/>
      <protection/>
    </xf>
    <xf numFmtId="37" fontId="9" fillId="0" borderId="0" xfId="0" applyNumberFormat="1" applyFont="1" applyBorder="1" applyAlignment="1" applyProtection="1">
      <alignment/>
      <protection/>
    </xf>
    <xf numFmtId="37" fontId="9" fillId="3" borderId="2" xfId="0" applyNumberFormat="1" applyFont="1" applyFill="1" applyBorder="1" applyAlignment="1" applyProtection="1">
      <alignment/>
      <protection/>
    </xf>
    <xf numFmtId="185" fontId="10" fillId="0" borderId="7" xfId="40" applyNumberFormat="1" applyFont="1" applyFill="1" applyBorder="1" applyAlignment="1" applyProtection="1">
      <alignment horizontal="center"/>
      <protection/>
    </xf>
    <xf numFmtId="4" fontId="10" fillId="0" borderId="7" xfId="40" applyNumberFormat="1" applyFont="1" applyFill="1" applyBorder="1" applyAlignment="1" applyProtection="1">
      <alignment horizontal="center"/>
      <protection/>
    </xf>
    <xf numFmtId="0" fontId="17" fillId="0" borderId="0" xfId="0" applyFont="1" applyFill="1" applyAlignment="1" applyProtection="1">
      <alignment horizontal="justify" vertical="top" wrapText="1"/>
      <protection/>
    </xf>
    <xf numFmtId="0" fontId="9" fillId="0" borderId="0" xfId="0" applyNumberFormat="1" applyFont="1" applyFill="1" applyAlignment="1" applyProtection="1">
      <alignment horizontal="center"/>
      <protection/>
    </xf>
    <xf numFmtId="0" fontId="9" fillId="0" borderId="0" xfId="0" applyFont="1" applyFill="1" applyAlignment="1" applyProtection="1">
      <alignment/>
      <protection/>
    </xf>
    <xf numFmtId="0" fontId="9" fillId="3" borderId="30" xfId="0" applyFont="1" applyFill="1" applyBorder="1" applyAlignment="1" applyProtection="1">
      <alignment horizontal="left" vertical="top" wrapText="1"/>
      <protection/>
    </xf>
    <xf numFmtId="37" fontId="9" fillId="3" borderId="11"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left"/>
      <protection/>
    </xf>
    <xf numFmtId="0" fontId="10" fillId="0" borderId="9" xfId="0" applyNumberFormat="1" applyFont="1" applyFill="1" applyBorder="1" applyAlignment="1" applyProtection="1">
      <alignment horizontal="left"/>
      <protection/>
    </xf>
    <xf numFmtId="0" fontId="10" fillId="0" borderId="20" xfId="0" applyNumberFormat="1" applyFont="1" applyFill="1" applyBorder="1" applyAlignment="1" applyProtection="1">
      <alignment horizontal="left"/>
      <protection/>
    </xf>
    <xf numFmtId="0" fontId="17" fillId="5" borderId="0" xfId="0" applyNumberFormat="1" applyFont="1" applyFill="1" applyBorder="1" applyAlignment="1" applyProtection="1">
      <alignment/>
      <protection/>
    </xf>
    <xf numFmtId="0" fontId="10" fillId="3" borderId="30" xfId="0" applyFont="1" applyFill="1" applyBorder="1" applyAlignment="1" applyProtection="1">
      <alignment/>
      <protection/>
    </xf>
    <xf numFmtId="0" fontId="9" fillId="3" borderId="30" xfId="0" applyFont="1" applyFill="1" applyBorder="1" applyAlignment="1" applyProtection="1">
      <alignment horizontal="center" vertical="center"/>
      <protection/>
    </xf>
    <xf numFmtId="0" fontId="9" fillId="3" borderId="21" xfId="0" applyFont="1" applyFill="1" applyBorder="1" applyAlignment="1" applyProtection="1">
      <alignment horizontal="right" vertical="center"/>
      <protection/>
    </xf>
    <xf numFmtId="37" fontId="9" fillId="3" borderId="13" xfId="0" applyNumberFormat="1" applyFont="1" applyFill="1" applyBorder="1" applyAlignment="1" applyProtection="1">
      <alignment horizontal="center" vertical="center"/>
      <protection/>
    </xf>
    <xf numFmtId="185" fontId="10" fillId="0" borderId="5" xfId="40" applyNumberFormat="1" applyFont="1" applyFill="1" applyBorder="1" applyAlignment="1" applyProtection="1">
      <alignment horizontal="center"/>
      <protection/>
    </xf>
    <xf numFmtId="37" fontId="9" fillId="0" borderId="0" xfId="0" applyNumberFormat="1" applyFont="1" applyBorder="1" applyAlignment="1" applyProtection="1">
      <alignment/>
      <protection/>
    </xf>
    <xf numFmtId="37" fontId="10" fillId="0" borderId="0" xfId="0" applyNumberFormat="1" applyFont="1" applyBorder="1" applyAlignment="1" applyProtection="1">
      <alignment horizontal="center"/>
      <protection/>
    </xf>
    <xf numFmtId="37" fontId="10" fillId="0" borderId="0" xfId="0" applyNumberFormat="1" applyFont="1" applyBorder="1" applyAlignment="1" applyProtection="1">
      <alignment/>
      <protection/>
    </xf>
    <xf numFmtId="0" fontId="10" fillId="0" borderId="9" xfId="0" applyFont="1" applyFill="1" applyBorder="1" applyAlignment="1" applyProtection="1">
      <alignment wrapText="1"/>
      <protection/>
    </xf>
    <xf numFmtId="0" fontId="10" fillId="0" borderId="9" xfId="0" applyFont="1" applyBorder="1" applyAlignment="1" applyProtection="1">
      <alignment/>
      <protection/>
    </xf>
    <xf numFmtId="0" fontId="9" fillId="3" borderId="5" xfId="0" applyNumberFormat="1" applyFont="1" applyFill="1" applyBorder="1" applyAlignment="1" applyProtection="1">
      <alignment horizontal="center" wrapText="1"/>
      <protection/>
    </xf>
    <xf numFmtId="0" fontId="10" fillId="0" borderId="20" xfId="0" applyFont="1" applyFill="1" applyBorder="1" applyAlignment="1" applyProtection="1">
      <alignment wrapText="1"/>
      <protection/>
    </xf>
    <xf numFmtId="0" fontId="10" fillId="0" borderId="20" xfId="0" applyFont="1" applyBorder="1" applyAlignment="1" applyProtection="1">
      <alignment/>
      <protection/>
    </xf>
    <xf numFmtId="0" fontId="10" fillId="0" borderId="17" xfId="0" applyFont="1" applyBorder="1" applyAlignment="1" applyProtection="1">
      <alignment/>
      <protection/>
    </xf>
    <xf numFmtId="0" fontId="9" fillId="0" borderId="7" xfId="0" applyFont="1" applyFill="1" applyBorder="1" applyAlignment="1" applyProtection="1">
      <alignment/>
      <protection/>
    </xf>
    <xf numFmtId="0" fontId="9" fillId="0" borderId="9" xfId="0" applyFont="1" applyFill="1" applyBorder="1" applyAlignment="1" applyProtection="1">
      <alignment wrapText="1"/>
      <protection/>
    </xf>
    <xf numFmtId="0" fontId="10" fillId="0" borderId="0" xfId="0" applyNumberFormat="1" applyFont="1" applyAlignment="1" applyProtection="1">
      <alignment/>
      <protection/>
    </xf>
    <xf numFmtId="3" fontId="9" fillId="0" borderId="0" xfId="0" applyNumberFormat="1" applyFont="1" applyAlignment="1" applyProtection="1">
      <alignment/>
      <protection/>
    </xf>
    <xf numFmtId="49" fontId="11" fillId="0" borderId="19" xfId="0" applyNumberFormat="1" applyFont="1" applyBorder="1" applyAlignment="1" applyProtection="1">
      <alignment vertical="center"/>
      <protection/>
    </xf>
    <xf numFmtId="0" fontId="9" fillId="0" borderId="0" xfId="0" applyNumberFormat="1" applyFont="1" applyAlignment="1" applyProtection="1">
      <alignment horizontal="center" vertical="center"/>
      <protection/>
    </xf>
    <xf numFmtId="3" fontId="15" fillId="3" borderId="30" xfId="0" applyNumberFormat="1" applyFont="1" applyFill="1" applyBorder="1" applyAlignment="1" applyProtection="1">
      <alignment horizontal="center" vertical="center"/>
      <protection/>
    </xf>
    <xf numFmtId="3" fontId="15" fillId="3" borderId="32" xfId="0" applyNumberFormat="1" applyFont="1" applyFill="1" applyBorder="1" applyAlignment="1" applyProtection="1">
      <alignment horizontal="center" vertical="center"/>
      <protection/>
    </xf>
    <xf numFmtId="3" fontId="15" fillId="3" borderId="33" xfId="0" applyNumberFormat="1" applyFont="1" applyFill="1" applyBorder="1" applyAlignment="1" applyProtection="1">
      <alignment horizontal="center" vertical="center"/>
      <protection/>
    </xf>
    <xf numFmtId="0" fontId="15" fillId="3" borderId="30" xfId="0" applyFont="1" applyFill="1" applyBorder="1" applyAlignment="1" applyProtection="1">
      <alignment horizontal="center" vertical="center"/>
      <protection/>
    </xf>
    <xf numFmtId="3" fontId="15" fillId="3" borderId="11" xfId="0" applyNumberFormat="1" applyFont="1" applyFill="1" applyBorder="1" applyAlignment="1" applyProtection="1">
      <alignment horizontal="left" vertical="center"/>
      <protection/>
    </xf>
    <xf numFmtId="3" fontId="15" fillId="3" borderId="19" xfId="0" applyNumberFormat="1" applyFont="1" applyFill="1" applyBorder="1" applyAlignment="1" applyProtection="1">
      <alignment horizontal="center" vertical="center"/>
      <protection/>
    </xf>
    <xf numFmtId="3" fontId="15" fillId="3" borderId="11" xfId="0" applyNumberFormat="1" applyFont="1" applyFill="1" applyBorder="1" applyAlignment="1" applyProtection="1">
      <alignment horizontal="center" vertical="center"/>
      <protection/>
    </xf>
    <xf numFmtId="2" fontId="15" fillId="3" borderId="11" xfId="0" applyNumberFormat="1" applyFont="1" applyFill="1" applyBorder="1" applyAlignment="1" applyProtection="1">
      <alignment horizontal="center" vertical="center"/>
      <protection/>
    </xf>
    <xf numFmtId="3" fontId="15" fillId="3" borderId="3" xfId="0" applyNumberFormat="1" applyFont="1" applyFill="1" applyBorder="1" applyAlignment="1" applyProtection="1">
      <alignment horizontal="center" vertical="center"/>
      <protection/>
    </xf>
    <xf numFmtId="0" fontId="15" fillId="3" borderId="11" xfId="0" applyFont="1" applyFill="1" applyBorder="1" applyAlignment="1" applyProtection="1">
      <alignment horizontal="center" vertical="center"/>
      <protection/>
    </xf>
    <xf numFmtId="37" fontId="9" fillId="3" borderId="6" xfId="0" applyNumberFormat="1" applyFont="1" applyFill="1" applyBorder="1" applyAlignment="1" applyProtection="1">
      <alignment/>
      <protection/>
    </xf>
    <xf numFmtId="0" fontId="9" fillId="3" borderId="18" xfId="0" applyFont="1" applyFill="1" applyBorder="1" applyAlignment="1" applyProtection="1">
      <alignment/>
      <protection/>
    </xf>
    <xf numFmtId="186" fontId="9" fillId="3" borderId="9" xfId="43" applyFont="1" applyBorder="1" applyProtection="1">
      <alignment/>
      <protection/>
    </xf>
    <xf numFmtId="186" fontId="9" fillId="3" borderId="10" xfId="43" applyFont="1" applyBorder="1" applyProtection="1">
      <alignment/>
      <protection/>
    </xf>
    <xf numFmtId="0" fontId="10" fillId="3" borderId="7" xfId="0" applyFont="1" applyFill="1" applyBorder="1" applyAlignment="1" applyProtection="1">
      <alignment horizontal="left"/>
      <protection/>
    </xf>
    <xf numFmtId="0" fontId="10" fillId="3" borderId="7" xfId="0" applyFont="1" applyFill="1" applyBorder="1" applyAlignment="1" applyProtection="1">
      <alignment/>
      <protection/>
    </xf>
    <xf numFmtId="37" fontId="9" fillId="3" borderId="7" xfId="0" applyNumberFormat="1" applyFont="1" applyFill="1" applyBorder="1" applyAlignment="1" applyProtection="1">
      <alignment/>
      <protection/>
    </xf>
    <xf numFmtId="37" fontId="15" fillId="5" borderId="0" xfId="0" applyNumberFormat="1" applyFont="1" applyFill="1" applyBorder="1" applyAlignment="1" applyProtection="1">
      <alignment/>
      <protection/>
    </xf>
    <xf numFmtId="0" fontId="0" fillId="0" borderId="0" xfId="0" applyAlignment="1" applyProtection="1">
      <alignment horizontal="justify" vertical="top"/>
      <protection/>
    </xf>
    <xf numFmtId="0" fontId="17" fillId="0" borderId="0" xfId="0" applyFont="1" applyAlignment="1" applyProtection="1">
      <alignment horizontal="justify" vertical="top" wrapText="1"/>
      <protection/>
    </xf>
    <xf numFmtId="0" fontId="9" fillId="0" borderId="0" xfId="0" applyNumberFormat="1" applyFont="1" applyBorder="1" applyAlignment="1" applyProtection="1">
      <alignment/>
      <protection/>
    </xf>
    <xf numFmtId="0" fontId="9" fillId="3" borderId="33" xfId="0" applyFont="1" applyFill="1" applyBorder="1" applyAlignment="1" applyProtection="1">
      <alignment horizontal="left" vertical="center"/>
      <protection/>
    </xf>
    <xf numFmtId="0" fontId="9" fillId="3" borderId="32" xfId="0" applyFont="1" applyFill="1" applyBorder="1" applyAlignment="1" applyProtection="1">
      <alignment horizontal="left" vertical="center"/>
      <protection/>
    </xf>
    <xf numFmtId="0" fontId="10" fillId="3" borderId="32" xfId="0" applyFont="1" applyFill="1" applyBorder="1" applyAlignment="1" applyProtection="1">
      <alignment horizontal="left"/>
      <protection/>
    </xf>
    <xf numFmtId="0" fontId="10" fillId="3" borderId="32" xfId="0" applyFont="1" applyFill="1" applyBorder="1" applyAlignment="1" applyProtection="1">
      <alignment/>
      <protection/>
    </xf>
    <xf numFmtId="186" fontId="10" fillId="3" borderId="32" xfId="0" applyNumberFormat="1" applyFont="1" applyFill="1" applyBorder="1" applyAlignment="1" applyProtection="1">
      <alignment/>
      <protection/>
    </xf>
    <xf numFmtId="3" fontId="10" fillId="3" borderId="32" xfId="0" applyNumberFormat="1" applyFont="1" applyFill="1" applyBorder="1" applyAlignment="1" applyProtection="1">
      <alignment horizontal="center"/>
      <protection/>
    </xf>
    <xf numFmtId="3" fontId="10" fillId="3" borderId="31" xfId="0" applyNumberFormat="1" applyFont="1" applyFill="1" applyBorder="1" applyAlignment="1" applyProtection="1">
      <alignment horizontal="center"/>
      <protection/>
    </xf>
    <xf numFmtId="0" fontId="9" fillId="0" borderId="0" xfId="0" applyNumberFormat="1" applyFont="1" applyFill="1" applyBorder="1" applyAlignment="1" applyProtection="1">
      <alignment horizontal="left"/>
      <protection/>
    </xf>
    <xf numFmtId="0" fontId="9" fillId="3" borderId="19" xfId="0" applyFont="1" applyFill="1" applyBorder="1" applyAlignment="1" applyProtection="1">
      <alignment/>
      <protection/>
    </xf>
    <xf numFmtId="3" fontId="9" fillId="3" borderId="19" xfId="0" applyNumberFormat="1" applyFont="1" applyFill="1" applyBorder="1" applyAlignment="1" applyProtection="1">
      <alignment/>
      <protection/>
    </xf>
    <xf numFmtId="0" fontId="10" fillId="3" borderId="19" xfId="0" applyFont="1" applyFill="1" applyBorder="1" applyAlignment="1" applyProtection="1">
      <alignment/>
      <protection/>
    </xf>
    <xf numFmtId="0" fontId="10" fillId="3" borderId="19" xfId="0" applyFont="1" applyFill="1" applyBorder="1" applyAlignment="1" applyProtection="1">
      <alignment horizontal="center"/>
      <protection/>
    </xf>
    <xf numFmtId="0" fontId="10" fillId="3" borderId="34" xfId="0" applyFont="1" applyFill="1" applyBorder="1" applyAlignment="1" applyProtection="1">
      <alignment horizontal="center"/>
      <protection/>
    </xf>
    <xf numFmtId="0" fontId="10" fillId="3" borderId="11" xfId="0" applyFont="1" applyFill="1" applyBorder="1" applyAlignment="1" applyProtection="1">
      <alignment horizontal="center"/>
      <protection/>
    </xf>
    <xf numFmtId="0" fontId="9" fillId="3" borderId="11" xfId="0" applyFont="1" applyFill="1" applyBorder="1" applyAlignment="1" applyProtection="1">
      <alignment horizontal="center" vertical="center"/>
      <protection/>
    </xf>
    <xf numFmtId="0" fontId="9" fillId="0" borderId="15" xfId="0" applyFont="1" applyFill="1" applyBorder="1" applyAlignment="1" applyProtection="1">
      <alignment/>
      <protection/>
    </xf>
    <xf numFmtId="0" fontId="9" fillId="0" borderId="0" xfId="0" applyFont="1" applyAlignment="1" applyProtection="1">
      <alignment horizontal="center"/>
      <protection/>
    </xf>
    <xf numFmtId="0" fontId="10" fillId="0" borderId="5" xfId="0" applyFont="1" applyFill="1" applyBorder="1" applyAlignment="1" applyProtection="1">
      <alignment/>
      <protection/>
    </xf>
    <xf numFmtId="3" fontId="10" fillId="0" borderId="0" xfId="0" applyNumberFormat="1" applyFont="1" applyBorder="1" applyAlignment="1" applyProtection="1">
      <alignment horizontal="center"/>
      <protection/>
    </xf>
    <xf numFmtId="14" fontId="9" fillId="3" borderId="3" xfId="0" applyNumberFormat="1" applyFont="1" applyFill="1" applyBorder="1" applyAlignment="1" applyProtection="1">
      <alignment horizontal="right" vertical="center"/>
      <protection/>
    </xf>
    <xf numFmtId="0" fontId="10" fillId="0" borderId="16" xfId="0" applyFont="1" applyFill="1" applyBorder="1" applyAlignment="1" applyProtection="1">
      <alignment horizontal="left"/>
      <protection/>
    </xf>
    <xf numFmtId="0" fontId="10" fillId="0" borderId="10" xfId="0" applyFont="1" applyFill="1" applyBorder="1" applyAlignment="1" applyProtection="1">
      <alignment horizontal="left"/>
      <protection/>
    </xf>
    <xf numFmtId="3" fontId="10" fillId="0" borderId="15" xfId="0" applyNumberFormat="1" applyFont="1" applyFill="1" applyBorder="1" applyAlignment="1" applyProtection="1" quotePrefix="1">
      <alignment horizontal="left"/>
      <protection/>
    </xf>
    <xf numFmtId="3" fontId="10" fillId="0" borderId="9" xfId="0" applyNumberFormat="1" applyFont="1" applyFill="1" applyBorder="1" applyAlignment="1" applyProtection="1">
      <alignment horizontal="left"/>
      <protection/>
    </xf>
    <xf numFmtId="3" fontId="10" fillId="0" borderId="20" xfId="0" applyNumberFormat="1" applyFont="1" applyFill="1" applyBorder="1" applyAlignment="1" applyProtection="1">
      <alignment horizontal="left"/>
      <protection/>
    </xf>
    <xf numFmtId="0" fontId="26" fillId="0" borderId="0" xfId="0" applyFont="1" applyAlignment="1" applyProtection="1">
      <alignment/>
      <protection/>
    </xf>
    <xf numFmtId="0" fontId="0" fillId="0" borderId="0" xfId="0" applyAlignment="1" applyProtection="1">
      <alignment/>
      <protection/>
    </xf>
    <xf numFmtId="0" fontId="0" fillId="0" borderId="9" xfId="0" applyBorder="1" applyAlignment="1" applyProtection="1">
      <alignment/>
      <protection/>
    </xf>
    <xf numFmtId="0" fontId="9" fillId="3" borderId="7" xfId="0" applyNumberFormat="1" applyFont="1" applyFill="1" applyBorder="1" applyAlignment="1" applyProtection="1">
      <alignment horizontal="center"/>
      <protection/>
    </xf>
    <xf numFmtId="0" fontId="0" fillId="0" borderId="0" xfId="0" applyBorder="1" applyAlignment="1" applyProtection="1">
      <alignment/>
      <protection/>
    </xf>
    <xf numFmtId="0" fontId="0" fillId="0" borderId="10" xfId="0" applyBorder="1" applyAlignment="1" applyProtection="1">
      <alignment/>
      <protection/>
    </xf>
    <xf numFmtId="0" fontId="9" fillId="3" borderId="5" xfId="0" applyNumberFormat="1" applyFont="1" applyFill="1" applyBorder="1" applyAlignment="1" applyProtection="1">
      <alignment horizontal="left"/>
      <protection/>
    </xf>
    <xf numFmtId="0" fontId="9" fillId="0" borderId="0" xfId="0" applyNumberFormat="1" applyFont="1" applyFill="1" applyBorder="1" applyAlignment="1" applyProtection="1">
      <alignment horizontal="center"/>
      <protection/>
    </xf>
    <xf numFmtId="0" fontId="9" fillId="0" borderId="20" xfId="0" applyNumberFormat="1" applyFont="1" applyFill="1" applyBorder="1" applyAlignment="1" applyProtection="1">
      <alignment horizontal="center"/>
      <protection/>
    </xf>
    <xf numFmtId="0" fontId="10" fillId="0" borderId="0" xfId="34" applyFont="1" applyFill="1" applyBorder="1" applyAlignment="1" applyProtection="1">
      <alignment horizontal="center" vertical="center"/>
      <protection/>
    </xf>
    <xf numFmtId="0" fontId="10" fillId="0" borderId="7" xfId="34" applyNumberFormat="1" applyFont="1" applyFill="1" applyBorder="1" applyAlignment="1" applyProtection="1">
      <alignment horizontal="left" vertical="center"/>
      <protection/>
    </xf>
    <xf numFmtId="0" fontId="10" fillId="0" borderId="9" xfId="34" applyNumberFormat="1" applyFont="1" applyFill="1" applyBorder="1" applyAlignment="1" applyProtection="1">
      <alignment horizontal="left" vertical="center"/>
      <protection/>
    </xf>
    <xf numFmtId="2" fontId="10" fillId="0" borderId="5" xfId="34" applyNumberFormat="1" applyFont="1" applyFill="1" applyBorder="1" applyAlignment="1" applyProtection="1">
      <alignment horizontal="center" vertical="center"/>
      <protection/>
    </xf>
    <xf numFmtId="0" fontId="24" fillId="0" borderId="7" xfId="34" applyNumberFormat="1" applyFont="1" applyFill="1" applyBorder="1" applyAlignment="1" applyProtection="1">
      <alignment horizontal="left" vertical="center"/>
      <protection/>
    </xf>
    <xf numFmtId="0" fontId="27" fillId="0" borderId="9" xfId="34" applyNumberFormat="1" applyFont="1" applyFill="1" applyBorder="1" applyAlignment="1" applyProtection="1">
      <alignment horizontal="left" vertical="center"/>
      <protection/>
    </xf>
    <xf numFmtId="0" fontId="27" fillId="0" borderId="9" xfId="0" applyFont="1" applyFill="1" applyBorder="1" applyAlignment="1" applyProtection="1">
      <alignment/>
      <protection/>
    </xf>
    <xf numFmtId="188" fontId="24" fillId="0" borderId="5" xfId="0" applyNumberFormat="1" applyFont="1" applyFill="1" applyBorder="1" applyAlignment="1" applyProtection="1">
      <alignment/>
      <protection/>
    </xf>
    <xf numFmtId="3" fontId="9" fillId="0" borderId="0" xfId="34" applyNumberFormat="1" applyFont="1" applyFill="1" applyBorder="1" applyAlignment="1" applyProtection="1">
      <alignment horizontal="center"/>
      <protection/>
    </xf>
    <xf numFmtId="0" fontId="9" fillId="0" borderId="0" xfId="34" applyFont="1" applyFill="1" applyBorder="1" applyProtection="1">
      <alignment/>
      <protection/>
    </xf>
    <xf numFmtId="0" fontId="9" fillId="0" borderId="0" xfId="34" applyFont="1" applyFill="1" applyBorder="1" applyAlignment="1" applyProtection="1">
      <alignment horizontal="center"/>
      <protection/>
    </xf>
    <xf numFmtId="2" fontId="10" fillId="0" borderId="6" xfId="34" applyNumberFormat="1" applyFont="1" applyFill="1" applyBorder="1" applyAlignment="1" applyProtection="1">
      <alignment horizontal="center" vertical="center"/>
      <protection/>
    </xf>
    <xf numFmtId="195" fontId="10" fillId="0" borderId="17" xfId="0" applyNumberFormat="1" applyFont="1" applyFill="1" applyBorder="1" applyAlignment="1" applyProtection="1">
      <alignment vertical="center"/>
      <protection/>
    </xf>
    <xf numFmtId="2" fontId="10" fillId="0" borderId="23" xfId="34" applyNumberFormat="1" applyFont="1" applyFill="1" applyBorder="1" applyAlignment="1" applyProtection="1">
      <alignment horizontal="center" vertical="center"/>
      <protection/>
    </xf>
    <xf numFmtId="195" fontId="10" fillId="0" borderId="24" xfId="0" applyNumberFormat="1" applyFont="1" applyFill="1" applyBorder="1" applyAlignment="1" applyProtection="1">
      <alignment vertical="center"/>
      <protection/>
    </xf>
    <xf numFmtId="194" fontId="10" fillId="0" borderId="9" xfId="0" applyNumberFormat="1" applyFont="1" applyFill="1" applyBorder="1" applyAlignment="1" applyProtection="1">
      <alignment vertical="center"/>
      <protection/>
    </xf>
    <xf numFmtId="2" fontId="10" fillId="0" borderId="0" xfId="34" applyNumberFormat="1" applyFont="1" applyFill="1" applyBorder="1" applyAlignment="1" applyProtection="1">
      <alignment horizontal="center" vertical="center"/>
      <protection/>
    </xf>
    <xf numFmtId="195" fontId="10" fillId="0" borderId="35" xfId="0" applyNumberFormat="1" applyFont="1" applyFill="1" applyBorder="1" applyAlignment="1" applyProtection="1">
      <alignment vertical="center"/>
      <protection/>
    </xf>
    <xf numFmtId="0" fontId="9" fillId="3" borderId="6" xfId="0" applyFont="1" applyFill="1" applyBorder="1" applyAlignment="1" applyProtection="1">
      <alignment horizontal="center" vertical="center"/>
      <protection/>
    </xf>
    <xf numFmtId="0" fontId="9" fillId="3" borderId="23" xfId="0" applyFont="1" applyFill="1" applyBorder="1" applyAlignment="1" applyProtection="1" quotePrefix="1">
      <alignment horizontal="center" vertical="center"/>
      <protection/>
    </xf>
    <xf numFmtId="0" fontId="9" fillId="3" borderId="23" xfId="0" applyFont="1" applyFill="1" applyBorder="1" applyAlignment="1" applyProtection="1">
      <alignment horizontal="center" vertical="center"/>
      <protection/>
    </xf>
    <xf numFmtId="0" fontId="9" fillId="3" borderId="23" xfId="0" applyFont="1" applyFill="1" applyBorder="1" applyAlignment="1" applyProtection="1">
      <alignment horizontal="center" vertical="center" wrapText="1"/>
      <protection/>
    </xf>
    <xf numFmtId="0" fontId="9" fillId="3" borderId="22" xfId="0" applyFont="1" applyFill="1" applyBorder="1" applyAlignment="1" applyProtection="1" quotePrefix="1">
      <alignment horizontal="center" vertical="center"/>
      <protection/>
    </xf>
    <xf numFmtId="0" fontId="10" fillId="3" borderId="22" xfId="34" applyFont="1" applyFill="1" applyBorder="1" applyAlignment="1" applyProtection="1">
      <alignment horizontal="center" vertical="center"/>
      <protection/>
    </xf>
    <xf numFmtId="0" fontId="10" fillId="3" borderId="22" xfId="0" applyFont="1" applyFill="1" applyBorder="1" applyAlignment="1" applyProtection="1">
      <alignment/>
      <protection/>
    </xf>
    <xf numFmtId="0" fontId="9" fillId="3" borderId="7" xfId="0" applyFont="1" applyFill="1" applyBorder="1" applyAlignment="1" applyProtection="1">
      <alignment horizontal="left" vertical="center"/>
      <protection/>
    </xf>
    <xf numFmtId="3" fontId="9" fillId="3" borderId="9" xfId="34" applyNumberFormat="1" applyFont="1" applyFill="1" applyBorder="1" applyAlignment="1" applyProtection="1">
      <alignment horizontal="center"/>
      <protection/>
    </xf>
    <xf numFmtId="0" fontId="9" fillId="3" borderId="9" xfId="34" applyFont="1" applyFill="1" applyBorder="1" applyProtection="1">
      <alignment/>
      <protection/>
    </xf>
    <xf numFmtId="0" fontId="9" fillId="3" borderId="9" xfId="34" applyFont="1" applyFill="1" applyBorder="1" applyAlignment="1" applyProtection="1">
      <alignment horizontal="center"/>
      <protection/>
    </xf>
    <xf numFmtId="0" fontId="9" fillId="3" borderId="10" xfId="34" applyFont="1" applyFill="1" applyBorder="1" applyProtection="1">
      <alignment/>
      <protection/>
    </xf>
    <xf numFmtId="169" fontId="9" fillId="3" borderId="36" xfId="0" applyNumberFormat="1" applyFont="1" applyFill="1" applyBorder="1" applyAlignment="1" applyProtection="1">
      <alignment horizontal="left" vertical="center"/>
      <protection/>
    </xf>
    <xf numFmtId="0" fontId="9" fillId="3" borderId="22" xfId="0" applyFont="1" applyFill="1" applyBorder="1" applyAlignment="1" applyProtection="1">
      <alignment horizontal="center" vertical="center"/>
      <protection/>
    </xf>
    <xf numFmtId="169" fontId="9" fillId="3" borderId="5" xfId="0" applyNumberFormat="1" applyFont="1" applyFill="1" applyBorder="1" applyAlignment="1" applyProtection="1">
      <alignment vertical="center"/>
      <protection/>
    </xf>
    <xf numFmtId="2" fontId="10" fillId="3" borderId="37" xfId="34" applyNumberFormat="1" applyFont="1" applyFill="1" applyBorder="1" applyAlignment="1" applyProtection="1">
      <alignment horizontal="center" vertical="center"/>
      <protection/>
    </xf>
    <xf numFmtId="169" fontId="9" fillId="3" borderId="36" xfId="0" applyNumberFormat="1" applyFont="1" applyFill="1" applyBorder="1" applyAlignment="1" applyProtection="1">
      <alignment vertical="center"/>
      <protection/>
    </xf>
    <xf numFmtId="169" fontId="9" fillId="3" borderId="5" xfId="0" applyNumberFormat="1" applyFont="1" applyFill="1" applyBorder="1" applyAlignment="1" applyProtection="1">
      <alignment horizontal="center"/>
      <protection/>
    </xf>
    <xf numFmtId="195" fontId="10" fillId="0" borderId="23" xfId="0" applyNumberFormat="1" applyFont="1" applyFill="1" applyBorder="1" applyAlignment="1" applyProtection="1">
      <alignment vertical="center"/>
      <protection/>
    </xf>
    <xf numFmtId="0" fontId="9" fillId="0" borderId="0" xfId="39" applyFont="1" applyBorder="1" applyAlignment="1" applyProtection="1">
      <alignment horizontal="center"/>
      <protection/>
    </xf>
    <xf numFmtId="0" fontId="10" fillId="0" borderId="38" xfId="39" applyFont="1" applyBorder="1" applyProtection="1">
      <alignment/>
      <protection/>
    </xf>
    <xf numFmtId="193" fontId="10" fillId="0" borderId="39" xfId="0" applyNumberFormat="1" applyFont="1" applyFill="1" applyBorder="1" applyAlignment="1" applyProtection="1">
      <alignment vertical="center"/>
      <protection/>
    </xf>
    <xf numFmtId="3" fontId="10" fillId="0" borderId="5" xfId="34" applyNumberFormat="1" applyFont="1" applyFill="1" applyBorder="1" applyAlignment="1" applyProtection="1">
      <alignment horizontal="center" vertical="center"/>
      <protection/>
    </xf>
    <xf numFmtId="3" fontId="10" fillId="0" borderId="5" xfId="34" applyNumberFormat="1" applyFont="1" applyFill="1" applyBorder="1" applyAlignment="1" applyProtection="1">
      <alignment horizontal="right" vertical="center"/>
      <protection/>
    </xf>
    <xf numFmtId="0" fontId="10" fillId="0" borderId="9" xfId="39" applyFont="1" applyBorder="1" applyProtection="1">
      <alignment/>
      <protection/>
    </xf>
    <xf numFmtId="193" fontId="10" fillId="0" borderId="5" xfId="0" applyNumberFormat="1" applyFont="1" applyFill="1" applyBorder="1" applyAlignment="1" applyProtection="1">
      <alignment vertical="center"/>
      <protection/>
    </xf>
    <xf numFmtId="0" fontId="10" fillId="0" borderId="26" xfId="39" applyFont="1" applyBorder="1" applyAlignment="1" applyProtection="1">
      <alignment horizontal="left"/>
      <protection/>
    </xf>
    <xf numFmtId="0" fontId="10" fillId="0" borderId="27" xfId="39" applyFont="1" applyBorder="1" applyProtection="1">
      <alignment/>
      <protection/>
    </xf>
    <xf numFmtId="193" fontId="10" fillId="0" borderId="40" xfId="0" applyNumberFormat="1" applyFont="1" applyFill="1" applyBorder="1" applyAlignment="1" applyProtection="1">
      <alignment vertical="center"/>
      <protection/>
    </xf>
    <xf numFmtId="0" fontId="10" fillId="0" borderId="41" xfId="39" applyFont="1" applyBorder="1" applyAlignment="1" applyProtection="1">
      <alignment horizontal="left"/>
      <protection/>
    </xf>
    <xf numFmtId="194" fontId="10" fillId="0" borderId="40" xfId="0" applyNumberFormat="1" applyFont="1" applyFill="1" applyBorder="1" applyAlignment="1" applyProtection="1">
      <alignment vertical="center"/>
      <protection/>
    </xf>
    <xf numFmtId="0" fontId="0" fillId="5" borderId="0" xfId="0" applyFill="1" applyBorder="1" applyAlignment="1" applyProtection="1">
      <alignment/>
      <protection/>
    </xf>
    <xf numFmtId="0" fontId="9" fillId="0" borderId="22" xfId="0" applyFont="1" applyFill="1" applyBorder="1" applyAlignment="1" applyProtection="1">
      <alignment horizontal="center" vertical="center" wrapText="1"/>
      <protection/>
    </xf>
    <xf numFmtId="0" fontId="0" fillId="5" borderId="7" xfId="0" applyFill="1" applyBorder="1" applyAlignment="1" applyProtection="1">
      <alignment/>
      <protection/>
    </xf>
    <xf numFmtId="0" fontId="0" fillId="5" borderId="9" xfId="0" applyFill="1" applyBorder="1" applyAlignment="1" applyProtection="1">
      <alignment/>
      <protection/>
    </xf>
    <xf numFmtId="4" fontId="0" fillId="5" borderId="5" xfId="0" applyNumberFormat="1" applyFill="1" applyBorder="1" applyAlignment="1" applyProtection="1">
      <alignment/>
      <protection/>
    </xf>
    <xf numFmtId="4" fontId="0" fillId="5" borderId="0" xfId="0" applyNumberFormat="1" applyFill="1" applyBorder="1" applyAlignment="1" applyProtection="1">
      <alignment/>
      <protection/>
    </xf>
    <xf numFmtId="0" fontId="0" fillId="5" borderId="18" xfId="0" applyFill="1" applyBorder="1" applyAlignment="1" applyProtection="1">
      <alignment/>
      <protection/>
    </xf>
    <xf numFmtId="0" fontId="0" fillId="5" borderId="20" xfId="0" applyFill="1" applyBorder="1" applyAlignment="1" applyProtection="1">
      <alignment/>
      <protection/>
    </xf>
    <xf numFmtId="0" fontId="10" fillId="0" borderId="20" xfId="0" applyFont="1" applyFill="1" applyBorder="1" applyAlignment="1" applyProtection="1">
      <alignment vertical="center"/>
      <protection/>
    </xf>
    <xf numFmtId="4" fontId="0" fillId="5" borderId="6" xfId="0" applyNumberFormat="1" applyFill="1" applyBorder="1" applyAlignment="1" applyProtection="1">
      <alignment/>
      <protection/>
    </xf>
    <xf numFmtId="3" fontId="10" fillId="0" borderId="6" xfId="34" applyNumberFormat="1" applyFont="1" applyFill="1" applyBorder="1" applyAlignment="1" applyProtection="1">
      <alignment horizontal="right" vertical="center"/>
      <protection/>
    </xf>
    <xf numFmtId="0" fontId="9" fillId="3" borderId="11" xfId="0" applyFont="1" applyFill="1" applyBorder="1" applyAlignment="1" applyProtection="1">
      <alignment/>
      <protection/>
    </xf>
    <xf numFmtId="0" fontId="19" fillId="0" borderId="0" xfId="39" applyFont="1" applyBorder="1" applyAlignment="1" applyProtection="1">
      <alignment horizontal="left"/>
      <protection/>
    </xf>
    <xf numFmtId="0" fontId="9" fillId="3" borderId="7" xfId="0" applyFont="1" applyFill="1" applyBorder="1" applyAlignment="1" applyProtection="1">
      <alignment horizontal="center" vertical="center"/>
      <protection/>
    </xf>
    <xf numFmtId="0" fontId="14" fillId="3" borderId="7" xfId="0" applyFont="1" applyFill="1" applyBorder="1" applyAlignment="1" applyProtection="1">
      <alignment horizontal="center" vertical="center"/>
      <protection/>
    </xf>
    <xf numFmtId="0" fontId="9" fillId="2" borderId="5" xfId="33" applyFont="1" applyFill="1" applyBorder="1" applyProtection="1">
      <alignment/>
      <protection/>
    </xf>
    <xf numFmtId="0" fontId="9" fillId="2" borderId="0" xfId="33" applyFont="1" applyFill="1" applyProtection="1">
      <alignment/>
      <protection/>
    </xf>
    <xf numFmtId="0" fontId="9" fillId="0" borderId="0" xfId="36" applyFont="1" applyFill="1" applyBorder="1" applyProtection="1">
      <alignment/>
      <protection/>
    </xf>
    <xf numFmtId="0" fontId="9" fillId="6" borderId="5" xfId="36" applyFont="1" applyFill="1" applyBorder="1" applyAlignment="1" applyProtection="1">
      <alignment horizontal="center" vertical="center"/>
      <protection/>
    </xf>
    <xf numFmtId="0" fontId="9" fillId="6" borderId="6" xfId="36" applyFont="1" applyFill="1" applyBorder="1" applyAlignment="1" applyProtection="1">
      <alignment horizontal="center" vertical="center"/>
      <protection/>
    </xf>
    <xf numFmtId="0" fontId="9" fillId="6" borderId="23" xfId="36" applyFont="1" applyFill="1" applyBorder="1" applyAlignment="1" applyProtection="1">
      <alignment horizontal="center" vertical="center"/>
      <protection/>
    </xf>
    <xf numFmtId="0" fontId="2" fillId="0" borderId="0" xfId="36" applyFont="1" applyProtection="1">
      <alignment/>
      <protection/>
    </xf>
    <xf numFmtId="0" fontId="19" fillId="0" borderId="0" xfId="0" applyFont="1" applyFill="1" applyAlignment="1" applyProtection="1">
      <alignment horizontal="left"/>
      <protection/>
    </xf>
    <xf numFmtId="49" fontId="29" fillId="5" borderId="0" xfId="0" applyNumberFormat="1" applyFont="1" applyFill="1" applyAlignment="1" applyProtection="1">
      <alignment/>
      <protection/>
    </xf>
    <xf numFmtId="0" fontId="10" fillId="0" borderId="0" xfId="0" applyFont="1" applyAlignment="1" applyProtection="1">
      <alignment/>
      <protection locked="0"/>
    </xf>
    <xf numFmtId="0" fontId="9" fillId="0" borderId="0" xfId="0" applyNumberFormat="1" applyFont="1" applyBorder="1" applyAlignment="1" applyProtection="1" quotePrefix="1">
      <alignment vertical="center"/>
      <protection/>
    </xf>
    <xf numFmtId="183" fontId="9" fillId="0" borderId="0" xfId="0" applyNumberFormat="1" applyFont="1" applyAlignment="1" applyProtection="1">
      <alignment/>
      <protection/>
    </xf>
    <xf numFmtId="0" fontId="10" fillId="0" borderId="0" xfId="0" applyNumberFormat="1" applyFont="1" applyAlignment="1" applyProtection="1">
      <alignment horizontal="right"/>
      <protection/>
    </xf>
    <xf numFmtId="0" fontId="10" fillId="0" borderId="0" xfId="0" applyNumberFormat="1" applyFont="1" applyAlignment="1" applyProtection="1">
      <alignment horizontal="right" wrapText="1"/>
      <protection/>
    </xf>
    <xf numFmtId="37" fontId="10" fillId="0" borderId="0" xfId="0" applyNumberFormat="1" applyFont="1" applyAlignment="1" applyProtection="1">
      <alignment vertical="center"/>
      <protection/>
    </xf>
    <xf numFmtId="0" fontId="10" fillId="0" borderId="0" xfId="0" applyNumberFormat="1" applyFont="1" applyAlignment="1" applyProtection="1">
      <alignment vertical="center"/>
      <protection/>
    </xf>
    <xf numFmtId="0" fontId="10" fillId="0" borderId="0" xfId="0" applyNumberFormat="1" applyFont="1" applyAlignment="1" applyProtection="1">
      <alignment wrapText="1"/>
      <protection/>
    </xf>
    <xf numFmtId="3" fontId="10" fillId="0" borderId="0" xfId="0" applyNumberFormat="1" applyFont="1" applyAlignment="1" applyProtection="1">
      <alignment wrapText="1"/>
      <protection/>
    </xf>
    <xf numFmtId="49" fontId="10" fillId="0" borderId="0" xfId="0" applyNumberFormat="1" applyFont="1" applyAlignment="1" applyProtection="1">
      <alignment horizontal="justify"/>
      <protection/>
    </xf>
    <xf numFmtId="49" fontId="10" fillId="0" borderId="0" xfId="0" applyNumberFormat="1" applyFont="1" applyAlignment="1" applyProtection="1">
      <alignment/>
      <protection/>
    </xf>
    <xf numFmtId="49" fontId="10" fillId="0" borderId="0" xfId="0" applyNumberFormat="1" applyFont="1" applyAlignment="1" applyProtection="1">
      <alignment wrapText="1"/>
      <protection/>
    </xf>
    <xf numFmtId="0" fontId="0" fillId="0" borderId="38" xfId="0" applyBorder="1" applyAlignment="1" applyProtection="1">
      <alignment/>
      <protection/>
    </xf>
    <xf numFmtId="0" fontId="0" fillId="0" borderId="27" xfId="0" applyBorder="1" applyAlignment="1" applyProtection="1">
      <alignment/>
      <protection/>
    </xf>
    <xf numFmtId="0" fontId="0" fillId="0" borderId="42" xfId="0" applyBorder="1" applyAlignment="1" applyProtection="1">
      <alignment/>
      <protection/>
    </xf>
    <xf numFmtId="0" fontId="0" fillId="0" borderId="28" xfId="0" applyBorder="1" applyAlignment="1" applyProtection="1">
      <alignment/>
      <protection/>
    </xf>
    <xf numFmtId="0" fontId="9" fillId="3" borderId="41" xfId="0" applyNumberFormat="1" applyFont="1" applyFill="1" applyBorder="1" applyAlignment="1" applyProtection="1">
      <alignment horizontal="center"/>
      <protection/>
    </xf>
    <xf numFmtId="0" fontId="9" fillId="3" borderId="38" xfId="0" applyNumberFormat="1" applyFont="1" applyFill="1" applyBorder="1" applyAlignment="1" applyProtection="1">
      <alignment horizontal="center"/>
      <protection/>
    </xf>
    <xf numFmtId="0" fontId="9" fillId="3" borderId="42" xfId="0" applyNumberFormat="1" applyFont="1" applyFill="1" applyBorder="1" applyAlignment="1" applyProtection="1">
      <alignment horizontal="center"/>
      <protection/>
    </xf>
    <xf numFmtId="188" fontId="12" fillId="0" borderId="10" xfId="0" applyNumberFormat="1" applyFont="1" applyFill="1" applyBorder="1" applyAlignment="1" applyProtection="1">
      <alignment vertical="center"/>
      <protection/>
    </xf>
    <xf numFmtId="188" fontId="10" fillId="0" borderId="10" xfId="0" applyNumberFormat="1" applyFont="1" applyFill="1" applyBorder="1" applyAlignment="1" applyProtection="1">
      <alignment vertical="center"/>
      <protection/>
    </xf>
    <xf numFmtId="0" fontId="9" fillId="3" borderId="9" xfId="0" applyNumberFormat="1" applyFont="1" applyFill="1" applyBorder="1" applyAlignment="1" applyProtection="1">
      <alignment horizontal="center"/>
      <protection/>
    </xf>
    <xf numFmtId="0" fontId="9" fillId="0" borderId="9" xfId="0" applyNumberFormat="1" applyFont="1" applyFill="1" applyBorder="1" applyAlignment="1" applyProtection="1">
      <alignment horizontal="center"/>
      <protection/>
    </xf>
    <xf numFmtId="0" fontId="9" fillId="3" borderId="9" xfId="0" applyNumberFormat="1" applyFont="1" applyFill="1" applyBorder="1" applyAlignment="1" applyProtection="1">
      <alignment horizontal="left"/>
      <protection/>
    </xf>
    <xf numFmtId="0" fontId="9" fillId="3" borderId="10" xfId="0" applyNumberFormat="1" applyFont="1" applyFill="1" applyBorder="1" applyAlignment="1" applyProtection="1">
      <alignment horizontal="center"/>
      <protection/>
    </xf>
    <xf numFmtId="0" fontId="10" fillId="0" borderId="0" xfId="0" applyFont="1" applyAlignment="1" applyProtection="1">
      <alignment/>
      <protection hidden="1"/>
    </xf>
    <xf numFmtId="0" fontId="10" fillId="0" borderId="0" xfId="39" applyFont="1" applyBorder="1" applyAlignment="1" applyProtection="1">
      <alignment vertical="top"/>
      <protection/>
    </xf>
    <xf numFmtId="37" fontId="10" fillId="0" borderId="0" xfId="39" applyNumberFormat="1" applyFont="1" applyBorder="1" applyAlignment="1" applyProtection="1">
      <alignment/>
      <protection/>
    </xf>
    <xf numFmtId="0" fontId="9" fillId="0" borderId="43" xfId="0" applyFont="1" applyFill="1" applyBorder="1" applyAlignment="1" applyProtection="1">
      <alignment horizontal="center" vertical="center"/>
      <protection/>
    </xf>
    <xf numFmtId="0" fontId="9" fillId="0" borderId="44" xfId="0" applyFont="1" applyFill="1" applyBorder="1" applyAlignment="1" applyProtection="1">
      <alignment horizontal="center" vertical="center"/>
      <protection/>
    </xf>
    <xf numFmtId="0" fontId="9" fillId="0" borderId="45" xfId="0" applyFont="1" applyFill="1" applyBorder="1" applyAlignment="1" applyProtection="1">
      <alignment horizontal="center" vertical="center"/>
      <protection/>
    </xf>
    <xf numFmtId="202" fontId="9" fillId="0" borderId="0" xfId="39" applyNumberFormat="1" applyFont="1" applyAlignment="1" applyProtection="1">
      <alignment horizontal="left"/>
      <protection/>
    </xf>
    <xf numFmtId="0" fontId="9" fillId="0" borderId="46" xfId="0" applyFont="1" applyFill="1" applyBorder="1" applyAlignment="1" applyProtection="1">
      <alignment horizontal="center" vertical="center"/>
      <protection/>
    </xf>
    <xf numFmtId="0" fontId="9" fillId="0" borderId="47" xfId="0" applyFont="1" applyFill="1" applyBorder="1" applyAlignment="1" applyProtection="1">
      <alignment horizontal="center" vertical="center"/>
      <protection/>
    </xf>
    <xf numFmtId="0" fontId="9" fillId="0" borderId="48" xfId="0" applyFont="1" applyFill="1" applyBorder="1" applyAlignment="1" applyProtection="1">
      <alignment horizontal="center" vertical="center"/>
      <protection/>
    </xf>
    <xf numFmtId="202" fontId="10" fillId="0" borderId="9" xfId="39" applyNumberFormat="1" applyFont="1" applyBorder="1" applyAlignment="1" applyProtection="1" quotePrefix="1">
      <alignment horizontal="left"/>
      <protection/>
    </xf>
    <xf numFmtId="37" fontId="10" fillId="0" borderId="9" xfId="39" applyNumberFormat="1" applyFont="1" applyBorder="1" applyAlignment="1" applyProtection="1">
      <alignment/>
      <protection/>
    </xf>
    <xf numFmtId="4" fontId="10" fillId="0" borderId="22" xfId="47" applyNumberFormat="1" applyFont="1" applyFill="1" applyBorder="1" applyAlignment="1" applyProtection="1">
      <alignment horizontal="center"/>
      <protection/>
    </xf>
    <xf numFmtId="195" fontId="10" fillId="0" borderId="22" xfId="0" applyNumberFormat="1" applyFont="1" applyFill="1" applyBorder="1" applyAlignment="1" applyProtection="1">
      <alignment vertical="center"/>
      <protection/>
    </xf>
    <xf numFmtId="202" fontId="10" fillId="0" borderId="7" xfId="39" applyNumberFormat="1" applyFont="1" applyBorder="1" applyAlignment="1" applyProtection="1" quotePrefix="1">
      <alignment horizontal="left"/>
      <protection/>
    </xf>
    <xf numFmtId="202" fontId="10" fillId="0" borderId="18" xfId="39" applyNumberFormat="1" applyFont="1" applyBorder="1" applyAlignment="1" applyProtection="1" quotePrefix="1">
      <alignment horizontal="left"/>
      <protection/>
    </xf>
    <xf numFmtId="37" fontId="10" fillId="0" borderId="20" xfId="39" applyNumberFormat="1" applyFont="1" applyBorder="1" applyAlignment="1" applyProtection="1">
      <alignment/>
      <protection/>
    </xf>
    <xf numFmtId="195" fontId="10" fillId="0" borderId="6" xfId="0" applyNumberFormat="1" applyFont="1" applyFill="1" applyBorder="1" applyAlignment="1" applyProtection="1">
      <alignment vertical="center"/>
      <protection/>
    </xf>
    <xf numFmtId="0" fontId="9" fillId="6" borderId="3" xfId="0" applyFont="1" applyFill="1" applyBorder="1" applyAlignment="1" applyProtection="1">
      <alignment horizontal="center" vertical="center"/>
      <protection/>
    </xf>
    <xf numFmtId="37" fontId="9" fillId="6" borderId="8" xfId="38" applyNumberFormat="1" applyFont="1" applyFill="1" applyBorder="1" applyProtection="1">
      <alignment/>
      <protection/>
    </xf>
    <xf numFmtId="0" fontId="9" fillId="6" borderId="13" xfId="0" applyFont="1" applyFill="1" applyBorder="1" applyAlignment="1" applyProtection="1">
      <alignment/>
      <protection/>
    </xf>
    <xf numFmtId="37" fontId="9" fillId="6" borderId="13" xfId="38" applyNumberFormat="1" applyFont="1" applyFill="1" applyBorder="1" applyProtection="1">
      <alignment/>
      <protection/>
    </xf>
    <xf numFmtId="0" fontId="9" fillId="6" borderId="12" xfId="0" applyFont="1" applyFill="1" applyBorder="1" applyAlignment="1" applyProtection="1">
      <alignment/>
      <protection/>
    </xf>
    <xf numFmtId="195" fontId="9" fillId="6" borderId="3" xfId="0" applyNumberFormat="1" applyFont="1" applyFill="1" applyBorder="1" applyAlignment="1" applyProtection="1">
      <alignment horizontal="right" vertical="center"/>
      <protection/>
    </xf>
    <xf numFmtId="0" fontId="9" fillId="0" borderId="0" xfId="0" applyFont="1" applyAlignment="1" applyProtection="1">
      <alignment horizontal="left"/>
      <protection/>
    </xf>
    <xf numFmtId="0" fontId="9" fillId="0" borderId="23" xfId="0" applyFont="1" applyFill="1" applyBorder="1" applyAlignment="1" applyProtection="1">
      <alignment horizontal="center" vertical="center"/>
      <protection locked="0"/>
    </xf>
    <xf numFmtId="0" fontId="9" fillId="6" borderId="5" xfId="0" applyFont="1" applyFill="1" applyBorder="1" applyAlignment="1" applyProtection="1">
      <alignment horizontal="center" vertical="center"/>
      <protection/>
    </xf>
    <xf numFmtId="0" fontId="9" fillId="6" borderId="6" xfId="0" applyFont="1" applyFill="1" applyBorder="1" applyAlignment="1" applyProtection="1">
      <alignment horizontal="center" vertical="center"/>
      <protection/>
    </xf>
    <xf numFmtId="10" fontId="12" fillId="5" borderId="0" xfId="0" applyNumberFormat="1" applyFont="1" applyFill="1" applyAlignment="1" applyProtection="1">
      <alignment/>
      <protection/>
    </xf>
    <xf numFmtId="2" fontId="10" fillId="0" borderId="5" xfId="0" applyNumberFormat="1" applyFont="1" applyFill="1" applyBorder="1" applyAlignment="1" applyProtection="1">
      <alignment/>
      <protection locked="0"/>
    </xf>
    <xf numFmtId="0" fontId="0" fillId="0" borderId="0" xfId="0" applyAlignment="1" applyProtection="1">
      <alignment vertical="top"/>
      <protection hidden="1"/>
    </xf>
    <xf numFmtId="0" fontId="0" fillId="0" borderId="0" xfId="0" applyAlignment="1" applyProtection="1">
      <alignment vertical="top" wrapText="1"/>
      <protection hidden="1"/>
    </xf>
    <xf numFmtId="0" fontId="9" fillId="0" borderId="15" xfId="37" applyFont="1" applyFill="1" applyBorder="1" applyAlignment="1" applyProtection="1">
      <alignment vertical="center"/>
      <protection/>
    </xf>
    <xf numFmtId="0" fontId="0" fillId="0" borderId="16" xfId="0" applyBorder="1" applyAlignment="1" applyProtection="1">
      <alignment/>
      <protection/>
    </xf>
    <xf numFmtId="0" fontId="16" fillId="0" borderId="20" xfId="0" applyFont="1" applyBorder="1" applyAlignment="1" applyProtection="1">
      <alignment vertical="top" wrapText="1"/>
      <protection/>
    </xf>
    <xf numFmtId="0" fontId="0" fillId="0" borderId="20" xfId="0" applyBorder="1" applyAlignment="1" applyProtection="1">
      <alignment vertical="top" wrapText="1"/>
      <protection/>
    </xf>
    <xf numFmtId="0" fontId="0" fillId="0" borderId="0" xfId="0" applyAlignment="1" applyProtection="1">
      <alignment vertical="top" wrapText="1"/>
      <protection/>
    </xf>
    <xf numFmtId="0" fontId="10" fillId="0" borderId="0" xfId="0" applyFont="1" applyAlignment="1" applyProtection="1">
      <alignment horizontal="justify" vertical="top" wrapText="1"/>
      <protection/>
    </xf>
    <xf numFmtId="0" fontId="0" fillId="0" borderId="0" xfId="0" applyFont="1" applyAlignment="1" applyProtection="1">
      <alignment vertical="top" wrapText="1"/>
      <protection/>
    </xf>
    <xf numFmtId="0" fontId="10" fillId="0" borderId="0" xfId="0" applyFont="1" applyAlignment="1" applyProtection="1">
      <alignment vertical="top" wrapText="1"/>
      <protection hidden="1"/>
    </xf>
    <xf numFmtId="0" fontId="9" fillId="0" borderId="0" xfId="0" applyFont="1" applyAlignment="1" applyProtection="1">
      <alignment vertical="top" wrapText="1"/>
      <protection hidden="1"/>
    </xf>
    <xf numFmtId="0" fontId="10" fillId="0" borderId="0" xfId="0" applyFont="1" applyAlignment="1" applyProtection="1">
      <alignment/>
      <protection hidden="1"/>
    </xf>
    <xf numFmtId="37" fontId="9" fillId="3" borderId="33" xfId="0" applyNumberFormat="1" applyFont="1" applyFill="1" applyBorder="1" applyAlignment="1" applyProtection="1">
      <alignment horizontal="center" vertical="center" wrapText="1"/>
      <protection/>
    </xf>
    <xf numFmtId="0" fontId="10" fillId="3" borderId="31" xfId="0" applyFont="1" applyFill="1" applyBorder="1" applyAlignment="1" applyProtection="1">
      <alignment horizontal="center" vertical="center" wrapText="1"/>
      <protection/>
    </xf>
    <xf numFmtId="37" fontId="9" fillId="3" borderId="32" xfId="0" applyNumberFormat="1" applyFont="1" applyFill="1" applyBorder="1" applyAlignment="1" applyProtection="1">
      <alignment horizontal="center" vertical="center" wrapText="1"/>
      <protection/>
    </xf>
    <xf numFmtId="37" fontId="9" fillId="3" borderId="33" xfId="0" applyNumberFormat="1" applyFont="1" applyFill="1" applyBorder="1" applyAlignment="1" applyProtection="1">
      <alignment horizontal="center" vertical="center"/>
      <protection/>
    </xf>
    <xf numFmtId="37" fontId="9" fillId="3" borderId="32" xfId="0" applyNumberFormat="1" applyFont="1" applyFill="1" applyBorder="1" applyAlignment="1" applyProtection="1">
      <alignment horizontal="center" vertical="center"/>
      <protection/>
    </xf>
    <xf numFmtId="37" fontId="9" fillId="3" borderId="31" xfId="0" applyNumberFormat="1" applyFont="1" applyFill="1" applyBorder="1" applyAlignment="1" applyProtection="1">
      <alignment horizontal="center" vertical="center"/>
      <protection/>
    </xf>
    <xf numFmtId="37" fontId="9" fillId="3" borderId="29" xfId="0" applyNumberFormat="1" applyFont="1" applyFill="1" applyBorder="1" applyAlignment="1" applyProtection="1">
      <alignment horizontal="center" vertical="center"/>
      <protection/>
    </xf>
    <xf numFmtId="37" fontId="9" fillId="3" borderId="0" xfId="0" applyNumberFormat="1" applyFont="1" applyFill="1" applyBorder="1" applyAlignment="1" applyProtection="1">
      <alignment horizontal="center" vertical="center"/>
      <protection/>
    </xf>
    <xf numFmtId="37" fontId="9" fillId="3" borderId="49" xfId="0" applyNumberFormat="1" applyFont="1" applyFill="1" applyBorder="1" applyAlignment="1" applyProtection="1">
      <alignment horizontal="center" vertical="center"/>
      <protection/>
    </xf>
    <xf numFmtId="37" fontId="9" fillId="3" borderId="30" xfId="0" applyNumberFormat="1" applyFont="1" applyFill="1" applyBorder="1" applyAlignment="1" applyProtection="1">
      <alignment horizontal="center" vertical="center" wrapText="1"/>
      <protection/>
    </xf>
    <xf numFmtId="0" fontId="10" fillId="0" borderId="2" xfId="0" applyFont="1" applyBorder="1" applyAlignment="1" applyProtection="1">
      <alignment horizontal="center" vertical="center" wrapText="1"/>
      <protection/>
    </xf>
    <xf numFmtId="0" fontId="10" fillId="0" borderId="11" xfId="0" applyFont="1" applyBorder="1" applyAlignment="1" applyProtection="1">
      <alignment horizontal="center" vertical="center" wrapText="1"/>
      <protection/>
    </xf>
    <xf numFmtId="0" fontId="17" fillId="0" borderId="0" xfId="0" applyFont="1" applyFill="1" applyAlignment="1" applyProtection="1">
      <alignment horizontal="justify" vertical="top" wrapText="1"/>
      <protection/>
    </xf>
    <xf numFmtId="0" fontId="17" fillId="0" borderId="0" xfId="0" applyFont="1" applyAlignment="1" applyProtection="1">
      <alignment horizontal="justify" vertical="top"/>
      <protection/>
    </xf>
    <xf numFmtId="0" fontId="17" fillId="0" borderId="0" xfId="0" applyFont="1" applyAlignment="1" applyProtection="1">
      <alignment wrapText="1"/>
      <protection/>
    </xf>
    <xf numFmtId="0" fontId="0" fillId="0" borderId="0" xfId="0" applyAlignment="1" applyProtection="1">
      <alignment wrapText="1"/>
      <protection/>
    </xf>
    <xf numFmtId="186" fontId="10" fillId="0" borderId="15" xfId="40" applyFont="1" applyFill="1" applyBorder="1" applyAlignment="1" applyProtection="1">
      <alignment horizontal="right"/>
      <protection/>
    </xf>
    <xf numFmtId="3" fontId="15" fillId="3" borderId="8" xfId="0" applyNumberFormat="1" applyFont="1" applyFill="1" applyBorder="1" applyAlignment="1" applyProtection="1">
      <alignment horizontal="center" vertical="center" wrapText="1"/>
      <protection/>
    </xf>
    <xf numFmtId="3" fontId="15" fillId="3" borderId="13" xfId="0" applyNumberFormat="1" applyFont="1" applyFill="1" applyBorder="1" applyAlignment="1" applyProtection="1">
      <alignment horizontal="center" vertical="center" wrapText="1"/>
      <protection/>
    </xf>
    <xf numFmtId="3" fontId="15" fillId="3" borderId="12" xfId="0" applyNumberFormat="1" applyFont="1" applyFill="1" applyBorder="1" applyAlignment="1" applyProtection="1">
      <alignment horizontal="center" vertical="center" wrapText="1"/>
      <protection/>
    </xf>
    <xf numFmtId="0" fontId="17" fillId="3" borderId="13" xfId="0" applyFont="1" applyFill="1" applyBorder="1" applyAlignment="1" applyProtection="1">
      <alignment horizontal="center" vertical="center" wrapText="1"/>
      <protection/>
    </xf>
    <xf numFmtId="0" fontId="17" fillId="3" borderId="12" xfId="0" applyFont="1" applyFill="1" applyBorder="1" applyAlignment="1" applyProtection="1">
      <alignment horizontal="center" vertical="center" wrapText="1"/>
      <protection/>
    </xf>
    <xf numFmtId="0" fontId="10" fillId="3" borderId="19" xfId="0" applyFont="1" applyFill="1" applyBorder="1" applyAlignment="1" applyProtection="1">
      <alignment horizontal="center"/>
      <protection/>
    </xf>
    <xf numFmtId="0" fontId="10" fillId="3" borderId="19" xfId="0" applyFont="1" applyFill="1" applyBorder="1" applyAlignment="1" applyProtection="1">
      <alignment/>
      <protection/>
    </xf>
    <xf numFmtId="186" fontId="10" fillId="0" borderId="15" xfId="40" applyFont="1" applyFill="1" applyBorder="1" applyAlignment="1" applyProtection="1">
      <alignment/>
      <protection/>
    </xf>
    <xf numFmtId="0" fontId="9" fillId="0" borderId="0" xfId="39" applyFont="1" applyBorder="1" applyAlignment="1" applyProtection="1">
      <alignment horizontal="center" vertical="top"/>
      <protection/>
    </xf>
    <xf numFmtId="0" fontId="17" fillId="0" borderId="20" xfId="0" applyFont="1" applyFill="1" applyBorder="1" applyAlignment="1" applyProtection="1">
      <alignment wrapText="1"/>
      <protection/>
    </xf>
    <xf numFmtId="0" fontId="28" fillId="0" borderId="20" xfId="0" applyFont="1" applyBorder="1" applyAlignment="1" applyProtection="1">
      <alignment wrapText="1"/>
      <protection/>
    </xf>
    <xf numFmtId="0" fontId="28" fillId="0" borderId="0" xfId="0" applyFont="1" applyAlignment="1" applyProtection="1">
      <alignment wrapText="1"/>
      <protection/>
    </xf>
  </cellXfs>
  <cellStyles count="40">
    <cellStyle name="Normal" xfId="0"/>
    <cellStyle name="Custom - Opmaakprofiel8" xfId="15"/>
    <cellStyle name="Data   - Opmaakprofiel2" xfId="16"/>
    <cellStyle name="Euro" xfId="17"/>
    <cellStyle name="Followed Hyperlink" xfId="18"/>
    <cellStyle name="Hyperlink" xfId="19"/>
    <cellStyle name="Comma" xfId="20"/>
    <cellStyle name="Comma [0]" xfId="21"/>
    <cellStyle name="Labels - Opmaakprofiel3" xfId="22"/>
    <cellStyle name="Normal - Opmaakprofiel1" xfId="23"/>
    <cellStyle name="Normal - Opmaakprofiel2" xfId="24"/>
    <cellStyle name="Normal - Opmaakprofiel3" xfId="25"/>
    <cellStyle name="Normal - Opmaakprofiel4" xfId="26"/>
    <cellStyle name="Normal - Opmaakprofiel5" xfId="27"/>
    <cellStyle name="Normal - Opmaakprofiel6" xfId="28"/>
    <cellStyle name="Normal - Opmaakprofiel7" xfId="29"/>
    <cellStyle name="Normal - Opmaakprofiel8" xfId="30"/>
    <cellStyle name="Percent" xfId="31"/>
    <cellStyle name="Reset  - Opmaakprofiel7" xfId="32"/>
    <cellStyle name="Standaard_10Nnacalculatieformulier GGZ 2006 versie 060724" xfId="33"/>
    <cellStyle name="Standaard_2002" xfId="34"/>
    <cellStyle name="Standaard_APZ Nacalculatie1998" xfId="35"/>
    <cellStyle name="Standaard_Calculatiemodel_rentekosten_ 2009_1" xfId="36"/>
    <cellStyle name="Standaard_Concept nac 2004 ent II" xfId="37"/>
    <cellStyle name="Standaard_ggz2003" xfId="38"/>
    <cellStyle name="Standaard_onderdeel rente 2002 GHZ" xfId="39"/>
    <cellStyle name="Tabelstandaard" xfId="40"/>
    <cellStyle name="Tabelstandaard financieel" xfId="41"/>
    <cellStyle name="Tabelstandaard negatief" xfId="42"/>
    <cellStyle name="Tabelstandaard Totaal" xfId="43"/>
    <cellStyle name="Tabelstandaard Totaal Negatief" xfId="44"/>
    <cellStyle name="Tabelstandaard Totaal_1077029755_GGZ-01c nacalculatieformulier ribw 2003 versie 040217(1)" xfId="45"/>
    <cellStyle name="Tabelstandaard_1077029755_GGZ-01c nacalculatieformulier ribw 2003 versie 040217(1)" xfId="46"/>
    <cellStyle name="Tabelstandaard_ggz2003" xfId="47"/>
    <cellStyle name="Table  - Opmaakprofiel6" xfId="48"/>
    <cellStyle name="Title  - Opmaakprofiel1" xfId="49"/>
    <cellStyle name="TotCol - Opmaakprofiel5" xfId="50"/>
    <cellStyle name="TotRow - Opmaakprofiel4" xfId="51"/>
    <cellStyle name="Currency" xfId="52"/>
    <cellStyle name="Currency [0]" xfId="53"/>
  </cellStyles>
  <dxfs count="8">
    <dxf>
      <font>
        <color rgb="FFFFFFFF"/>
      </font>
      <fill>
        <patternFill>
          <bgColor rgb="FF0000FF"/>
        </patternFill>
      </fill>
      <border/>
    </dxf>
    <dxf>
      <fill>
        <patternFill>
          <bgColor rgb="FFD7DCEF"/>
        </patternFill>
      </fill>
      <border/>
    </dxf>
    <dxf>
      <fill>
        <patternFill>
          <bgColor rgb="FFFFFFCC"/>
        </patternFill>
      </fill>
      <border/>
    </dxf>
    <dxf>
      <fill>
        <patternFill>
          <bgColor rgb="FFC0C0C0"/>
        </patternFill>
      </fill>
      <border/>
    </dxf>
    <dxf>
      <font>
        <color rgb="FFFFFFFF"/>
      </font>
      <fill>
        <patternFill>
          <bgColor rgb="FFFF0000"/>
        </patternFill>
      </fill>
      <border/>
    </dxf>
    <dxf>
      <font>
        <color auto="1"/>
      </font>
      <border/>
    </dxf>
    <dxf>
      <fill>
        <patternFill>
          <bgColor rgb="FF969696"/>
        </patternFill>
      </fill>
      <border/>
    </dxf>
    <dxf>
      <font>
        <color rgb="FFFFFFFF"/>
      </font>
      <fill>
        <patternFill patternType="none">
          <bgColor indexed="65"/>
        </patternFill>
      </fill>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7DCEF"/>
      <rgbColor rgb="00E2DCD3"/>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by\LOCALS~1\Temp\Mp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ihot\Local%20Settings\Temporary%20Internet%20Files\OLK13\NACALCULATIEFORMULIEREN%202004\LAY-OUT%20(definitief).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ihot\Local%20Settings\Temporary%20Internet%20Files\OLK472\LAY-OUT%20(definitie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lad1"/>
      <sheetName val="Mp1"/>
      <sheetName val="I_0300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eschrijving)"/>
      <sheetName val="Voorbeeld"/>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eschrijving)"/>
      <sheetName val="Voorbeel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Blad12"/>
  <dimension ref="A1:N37"/>
  <sheetViews>
    <sheetView showGridLines="0" tabSelected="1" zoomScale="95" zoomScaleNormal="95" zoomScaleSheetLayoutView="95" workbookViewId="0" topLeftCell="A1">
      <selection activeCell="C4" sqref="C4"/>
    </sheetView>
  </sheetViews>
  <sheetFormatPr defaultColWidth="9.140625" defaultRowHeight="12.75" zeroHeight="1"/>
  <cols>
    <col min="1" max="1" width="5.7109375" style="45" customWidth="1"/>
    <col min="2" max="2" width="31.421875" style="5" customWidth="1"/>
    <col min="3" max="3" width="8.7109375" style="5" customWidth="1"/>
    <col min="4" max="4" width="10.28125" style="5" customWidth="1"/>
    <col min="5" max="5" width="11.7109375" style="5" customWidth="1"/>
    <col min="6" max="6" width="9.57421875" style="5" customWidth="1"/>
    <col min="7" max="7" width="11.57421875" style="5" customWidth="1"/>
    <col min="8" max="8" width="18.7109375" style="59" customWidth="1"/>
    <col min="9" max="9" width="16.7109375" style="3" customWidth="1"/>
    <col min="10" max="10" width="16.7109375" style="5" customWidth="1"/>
    <col min="11" max="11" width="3.28125" style="5" customWidth="1"/>
    <col min="12" max="12" width="12.140625" style="5" hidden="1" customWidth="1"/>
    <col min="13" max="13" width="3.421875" style="5" hidden="1" customWidth="1"/>
    <col min="14" max="14" width="9.00390625" style="28" hidden="1" customWidth="1"/>
    <col min="15" max="16384" width="0" style="5" hidden="1" customWidth="1"/>
  </cols>
  <sheetData>
    <row r="1" spans="1:14" ht="20.25" customHeight="1">
      <c r="A1" s="306" t="str">
        <f>CONCATENATE("AWBZ-BREED CALCULATIEMODEL RENTEKOSTEN ",J1)</f>
        <v>AWBZ-BREED CALCULATIEMODEL RENTEKOSTEN 2009</v>
      </c>
      <c r="H1" s="15" t="s">
        <v>328</v>
      </c>
      <c r="J1" s="307">
        <v>2009</v>
      </c>
      <c r="M1" s="62"/>
      <c r="N1" s="63"/>
    </row>
    <row r="2" spans="1:14" s="33" customFormat="1" ht="12.75" customHeight="1">
      <c r="A2" s="5"/>
      <c r="B2" s="5"/>
      <c r="C2" s="5"/>
      <c r="D2" s="5"/>
      <c r="E2" s="5"/>
      <c r="F2" s="5"/>
      <c r="G2" s="5"/>
      <c r="H2" s="5"/>
      <c r="I2" s="6"/>
      <c r="J2" s="5"/>
      <c r="K2" s="5"/>
      <c r="L2" s="5"/>
      <c r="M2" s="62"/>
      <c r="N2" s="63"/>
    </row>
    <row r="3" spans="1:14" s="33" customFormat="1" ht="12.75" customHeight="1">
      <c r="A3" s="576" t="str">
        <f>IF(OR('Rentecalc.'!$D4=0),"Vul hier het NZa-nummer in.","")</f>
        <v>Vul hier het NZa-nummer in.</v>
      </c>
      <c r="B3" s="577"/>
      <c r="C3" s="29" t="s">
        <v>137</v>
      </c>
      <c r="D3" s="30" t="s">
        <v>136</v>
      </c>
      <c r="E3" s="167"/>
      <c r="F3" s="167"/>
      <c r="G3" s="167"/>
      <c r="H3" s="519"/>
      <c r="I3" s="32" t="str">
        <f>IF(I4=TRUE,"      Invulvelden gearceerd","      Invulvelden niet gearceerd")</f>
        <v>      Invulvelden gearceerd</v>
      </c>
      <c r="J3" s="165"/>
      <c r="K3" s="5"/>
      <c r="L3" s="5"/>
      <c r="M3" s="62"/>
      <c r="N3" s="63"/>
    </row>
    <row r="4" spans="1:14" s="33" customFormat="1" ht="12.75" customHeight="1">
      <c r="A4" s="31" t="s">
        <v>41</v>
      </c>
      <c r="B4" s="308"/>
      <c r="C4" s="166"/>
      <c r="D4" s="166"/>
      <c r="E4" s="167"/>
      <c r="F4" s="167"/>
      <c r="G4" s="167"/>
      <c r="H4" s="5"/>
      <c r="I4" s="173" t="b">
        <v>1</v>
      </c>
      <c r="J4" s="5"/>
      <c r="K4" s="5"/>
      <c r="L4" s="5"/>
      <c r="M4" s="62"/>
      <c r="N4" s="63"/>
    </row>
    <row r="5" spans="1:14" s="33" customFormat="1" ht="12.75" customHeight="1">
      <c r="A5" s="5"/>
      <c r="B5" s="5"/>
      <c r="C5" s="5"/>
      <c r="D5" s="5"/>
      <c r="E5" s="5"/>
      <c r="F5" s="5"/>
      <c r="G5" s="5"/>
      <c r="H5" s="5"/>
      <c r="I5" s="6"/>
      <c r="J5" s="5"/>
      <c r="K5" s="5"/>
      <c r="L5" s="5"/>
      <c r="M5" s="62"/>
      <c r="N5" s="63"/>
    </row>
    <row r="6" spans="1:8" ht="12.75" customHeight="1">
      <c r="A6" s="309"/>
      <c r="B6" s="310"/>
      <c r="C6" s="310"/>
      <c r="D6" s="310"/>
      <c r="E6" s="310"/>
      <c r="F6" s="310"/>
      <c r="G6" s="310"/>
      <c r="H6" s="5"/>
    </row>
    <row r="7" spans="2:10" ht="12.75" customHeight="1">
      <c r="B7" s="311"/>
      <c r="C7" s="312"/>
      <c r="D7" s="312"/>
      <c r="E7" s="312"/>
      <c r="F7" s="312"/>
      <c r="G7" s="312"/>
      <c r="H7" s="151"/>
      <c r="I7" s="64"/>
      <c r="J7" s="65" t="s">
        <v>122</v>
      </c>
    </row>
    <row r="8" spans="1:10" ht="12.75" customHeight="1">
      <c r="A8" s="313">
        <v>101</v>
      </c>
      <c r="B8" s="314" t="str">
        <f>CONCATENATE('A-E'!B2," (regel ",'A-E'!A20," bijlage ",LEFT('A-E'!A2,1),")")</f>
        <v>Boekwaarde investeringen vaste activa  (regel 515 bijlage A)</v>
      </c>
      <c r="C8" s="212"/>
      <c r="D8" s="212"/>
      <c r="E8" s="212"/>
      <c r="F8" s="212"/>
      <c r="G8" s="212"/>
      <c r="H8" s="315"/>
      <c r="I8" s="316" t="s">
        <v>123</v>
      </c>
      <c r="J8" s="35">
        <f>'A-E'!G20</f>
        <v>0</v>
      </c>
    </row>
    <row r="9" spans="1:10" ht="12.75" customHeight="1">
      <c r="A9" s="313">
        <f aca="true" t="shared" si="0" ref="A9:A15">A8+1</f>
        <v>102</v>
      </c>
      <c r="B9" s="141" t="str">
        <f>CONCATENATE('A-E'!B23," (regel ",'A-E'!A41," bijlage ",LEFT('A-E'!A23,1),")")</f>
        <v>Onderhanden bouwprojecten  (regel 528 bijlage B)</v>
      </c>
      <c r="C9" s="141"/>
      <c r="D9" s="141"/>
      <c r="E9" s="141"/>
      <c r="F9" s="141"/>
      <c r="G9" s="141"/>
      <c r="H9" s="141"/>
      <c r="I9" s="199"/>
      <c r="J9" s="35">
        <f>'A-E'!G41</f>
        <v>0</v>
      </c>
    </row>
    <row r="10" spans="1:10" ht="12.75" customHeight="1">
      <c r="A10" s="313">
        <f t="shared" si="0"/>
        <v>103</v>
      </c>
      <c r="B10" s="141" t="str">
        <f>'A-E'!B47</f>
        <v>GGZ: Normatieve boekwaarde medische en overige inventarissen </v>
      </c>
      <c r="C10" s="141"/>
      <c r="D10" s="141"/>
      <c r="E10" s="141"/>
      <c r="F10" s="141"/>
      <c r="G10" s="141"/>
      <c r="H10" s="141"/>
      <c r="I10" s="199"/>
      <c r="J10" s="35">
        <f>'A-E'!E60</f>
        <v>0</v>
      </c>
    </row>
    <row r="11" spans="1:10" ht="12.75" customHeight="1">
      <c r="A11" s="313">
        <f t="shared" si="0"/>
        <v>104</v>
      </c>
      <c r="B11" s="141" t="str">
        <f>GHZ!B3</f>
        <v>GHZ: Normatieve boekwaarde medische en overige inventarissen </v>
      </c>
      <c r="C11" s="141"/>
      <c r="D11" s="141"/>
      <c r="E11" s="141"/>
      <c r="F11" s="141"/>
      <c r="G11" s="141"/>
      <c r="H11" s="141"/>
      <c r="I11" s="199"/>
      <c r="J11" s="35">
        <f>GHZ!L82</f>
        <v>0</v>
      </c>
    </row>
    <row r="12" spans="1:10" ht="12.75" customHeight="1">
      <c r="A12" s="313">
        <f t="shared" si="0"/>
        <v>105</v>
      </c>
      <c r="B12" s="141" t="str">
        <f>'V&amp;V'!B3</f>
        <v>V&amp;V: Normatieve boekwaarde medische en overige inventarissen </v>
      </c>
      <c r="C12" s="303"/>
      <c r="D12" s="303"/>
      <c r="E12" s="303"/>
      <c r="F12" s="303"/>
      <c r="G12" s="303"/>
      <c r="H12" s="303"/>
      <c r="I12" s="317"/>
      <c r="J12" s="37">
        <f>'V&amp;V'!L63</f>
        <v>0</v>
      </c>
    </row>
    <row r="13" spans="1:10" ht="12.75" customHeight="1">
      <c r="A13" s="313">
        <f t="shared" si="0"/>
        <v>106</v>
      </c>
      <c r="B13" s="318" t="str">
        <f>'A-E'!B63</f>
        <v>Werkelijke boekwaarde instandhoudingsinvesteringen</v>
      </c>
      <c r="C13" s="303"/>
      <c r="D13" s="303"/>
      <c r="E13" s="303"/>
      <c r="F13" s="303"/>
      <c r="G13" s="303"/>
      <c r="H13" s="303"/>
      <c r="I13" s="317"/>
      <c r="J13" s="37">
        <f>'A-E'!G85+'V&amp;V'!L75+GHZ!L97</f>
        <v>0</v>
      </c>
    </row>
    <row r="14" spans="1:10" ht="12.75" customHeight="1">
      <c r="A14" s="313">
        <f t="shared" si="0"/>
        <v>107</v>
      </c>
      <c r="B14" s="303" t="str">
        <f>CONCATENATE('A-E'!B87," (regel ",'A-E'!A91," bijlage ",LEFT('A-E'!A87,1),")")</f>
        <v>Normatief werkkapitaal (regel 633 bijlage E)</v>
      </c>
      <c r="C14" s="303"/>
      <c r="D14" s="303"/>
      <c r="E14" s="303"/>
      <c r="F14" s="303"/>
      <c r="G14" s="303"/>
      <c r="H14" s="319"/>
      <c r="I14" s="320"/>
      <c r="J14" s="37">
        <f>'A-E'!G91</f>
        <v>0</v>
      </c>
    </row>
    <row r="15" spans="1:10" ht="12.75" customHeight="1">
      <c r="A15" s="313">
        <f t="shared" si="0"/>
        <v>108</v>
      </c>
      <c r="B15" s="321" t="str">
        <f>CONCATENATE("Totaal in aanmerking te nemen activa (regel ",A8," t/m ",A14,")")</f>
        <v>Totaal in aanmerking te nemen activa (regel 101 t/m 107)</v>
      </c>
      <c r="C15" s="322"/>
      <c r="D15" s="322"/>
      <c r="E15" s="323"/>
      <c r="F15" s="323"/>
      <c r="G15" s="323"/>
      <c r="H15" s="324"/>
      <c r="I15" s="325"/>
      <c r="J15" s="42">
        <f>SUM(J8:J14)</f>
        <v>0</v>
      </c>
    </row>
    <row r="16" spans="1:10" ht="12.75" customHeight="1">
      <c r="A16" s="326"/>
      <c r="B16" s="6"/>
      <c r="C16" s="6"/>
      <c r="D16" s="6"/>
      <c r="E16" s="6"/>
      <c r="F16" s="6"/>
      <c r="G16" s="6"/>
      <c r="H16" s="60"/>
      <c r="I16" s="60"/>
      <c r="J16" s="60"/>
    </row>
    <row r="17" spans="1:10" ht="12.75" customHeight="1">
      <c r="A17" s="327">
        <f>A15+1</f>
        <v>109</v>
      </c>
      <c r="B17" s="328" t="s">
        <v>224</v>
      </c>
      <c r="C17" s="141"/>
      <c r="D17" s="141"/>
      <c r="E17" s="141"/>
      <c r="F17" s="141"/>
      <c r="G17" s="141"/>
      <c r="H17" s="329"/>
      <c r="I17" s="330" t="s">
        <v>124</v>
      </c>
      <c r="J17" s="35">
        <f>F!R36</f>
        <v>0</v>
      </c>
    </row>
    <row r="18" spans="1:10" ht="12.75" customHeight="1">
      <c r="A18" s="327">
        <f>A17+1</f>
        <v>110</v>
      </c>
      <c r="B18" s="331" t="str">
        <f>CONCATENATE('G-H'!B1," (regel ",'G-H'!A20," bijlage ",LEFT('G-H'!A1,1),")")</f>
        <v>Eigen vermogen (regel 927 bijlage G)</v>
      </c>
      <c r="C18" s="331"/>
      <c r="D18" s="331"/>
      <c r="E18" s="331"/>
      <c r="F18" s="331"/>
      <c r="G18" s="331"/>
      <c r="H18" s="303"/>
      <c r="I18" s="317"/>
      <c r="J18" s="37">
        <f>'G-H'!E20</f>
        <v>0</v>
      </c>
    </row>
    <row r="19" spans="1:10" ht="12.75" customHeight="1">
      <c r="A19" s="327">
        <f>A18+1</f>
        <v>111</v>
      </c>
      <c r="B19" s="322" t="str">
        <f>CONCATENATE("Totaal in aanmerking te nemen passiva (regel ",A17," + ",A18,")")</f>
        <v>Totaal in aanmerking te nemen passiva (regel 109 + 110)</v>
      </c>
      <c r="C19" s="323"/>
      <c r="D19" s="323"/>
      <c r="E19" s="323"/>
      <c r="F19" s="323"/>
      <c r="G19" s="323"/>
      <c r="H19" s="324"/>
      <c r="I19" s="325"/>
      <c r="J19" s="38">
        <f>J17+J18</f>
        <v>0</v>
      </c>
    </row>
    <row r="20" spans="1:10" ht="12.75" customHeight="1">
      <c r="A20" s="326"/>
      <c r="B20" s="6"/>
      <c r="C20" s="6"/>
      <c r="D20" s="6"/>
      <c r="E20" s="6"/>
      <c r="F20" s="6"/>
      <c r="G20" s="6"/>
      <c r="H20" s="60"/>
      <c r="I20" s="60"/>
      <c r="J20" s="60"/>
    </row>
    <row r="21" spans="1:10" ht="12.75" customHeight="1">
      <c r="A21" s="327">
        <f>A19+1</f>
        <v>112</v>
      </c>
      <c r="B21" s="332" t="str">
        <f>CONCATENATE("Verschil tussen activa en passiva (regel ",A15," -/- ",A19,")")</f>
        <v>Verschil tussen activa en passiva (regel 108 -/- 111)</v>
      </c>
      <c r="C21" s="333"/>
      <c r="D21" s="333"/>
      <c r="E21" s="333"/>
      <c r="F21" s="333"/>
      <c r="G21" s="333"/>
      <c r="H21" s="324"/>
      <c r="I21" s="325"/>
      <c r="J21" s="42">
        <f>J15-J19</f>
        <v>0</v>
      </c>
    </row>
    <row r="22" spans="1:9" ht="11.25">
      <c r="A22" s="171"/>
      <c r="H22" s="6"/>
      <c r="I22" s="5"/>
    </row>
    <row r="23" spans="1:10" ht="11.25">
      <c r="A23" s="327">
        <f>A21+1</f>
        <v>113</v>
      </c>
      <c r="B23" s="141" t="str">
        <f>CONCATENATE('G-H'!B24," (regel ",'G-H'!A26," bijlage ",LEFT('G-H'!A24,1),")")</f>
        <v>Rentekosten langlopende leningen (regel 928 bijlage H)</v>
      </c>
      <c r="C23" s="141"/>
      <c r="D23" s="141"/>
      <c r="E23" s="141"/>
      <c r="F23" s="141"/>
      <c r="G23" s="141"/>
      <c r="H23" s="329"/>
      <c r="I23" s="330" t="s">
        <v>121</v>
      </c>
      <c r="J23" s="35">
        <f>'G-H'!E30</f>
        <v>0</v>
      </c>
    </row>
    <row r="24" spans="1:10" ht="11.25">
      <c r="A24" s="327">
        <f>A23+1</f>
        <v>114</v>
      </c>
      <c r="B24" s="141" t="s">
        <v>326</v>
      </c>
      <c r="C24" s="141"/>
      <c r="D24" s="141"/>
      <c r="E24" s="141"/>
      <c r="F24" s="141"/>
      <c r="G24" s="141"/>
      <c r="H24" s="141"/>
      <c r="I24" s="199"/>
      <c r="J24" s="35">
        <f>ROUND(IF(J21&gt;0,J33*J21,(J33-J31)*J21),0)</f>
        <v>0</v>
      </c>
    </row>
    <row r="25" spans="1:10" ht="11.25">
      <c r="A25" s="327">
        <f>A24+1</f>
        <v>115</v>
      </c>
      <c r="B25" s="331" t="str">
        <f>CONCATENATE("Inflatievergoeding over eigen vermogen ",J34*100,"% over regel ",'G-H'!A20," bijlage ",LEFT('G-H'!A1,1)," (exclusief instandhoudingsreserve)")</f>
        <v>Inflatievergoeding over eigen vermogen 0,87% over regel 927 bijlage G (exclusief instandhoudingsreserve)</v>
      </c>
      <c r="C25" s="331"/>
      <c r="D25" s="331"/>
      <c r="E25" s="331"/>
      <c r="F25" s="331"/>
      <c r="G25" s="331"/>
      <c r="H25" s="303"/>
      <c r="I25" s="317"/>
      <c r="J25" s="66">
        <f>ROUND(IF(('G-H'!E20-'G-H'!E6)&gt;0,J34*('G-H'!E20-'G-H'!E6),0),0)</f>
        <v>0</v>
      </c>
    </row>
    <row r="26" spans="1:10" ht="11.25">
      <c r="A26" s="327">
        <f>A25+1</f>
        <v>116</v>
      </c>
      <c r="B26" s="168" t="s">
        <v>139</v>
      </c>
      <c r="C26" s="331"/>
      <c r="D26" s="331"/>
      <c r="E26" s="331"/>
      <c r="F26" s="331"/>
      <c r="G26" s="331"/>
      <c r="H26" s="303"/>
      <c r="I26" s="317"/>
      <c r="J26" s="169"/>
    </row>
    <row r="27" spans="1:10" ht="11.25">
      <c r="A27" s="327">
        <f>A26+1</f>
        <v>117</v>
      </c>
      <c r="B27" s="322" t="str">
        <f>CONCATENATE("Totaal aanvaardbare rentekosten (regel ",A23," tot en met ",A26,")")</f>
        <v>Totaal aanvaardbare rentekosten (regel 113 tot en met 116)</v>
      </c>
      <c r="C27" s="323"/>
      <c r="D27" s="323"/>
      <c r="E27" s="323"/>
      <c r="F27" s="323"/>
      <c r="G27" s="323"/>
      <c r="H27" s="324"/>
      <c r="I27" s="325"/>
      <c r="J27" s="42">
        <f>SUM(J23:J26)</f>
        <v>0</v>
      </c>
    </row>
    <row r="28" ht="11.25">
      <c r="A28" s="170"/>
    </row>
    <row r="29" ht="11.25">
      <c r="A29" s="170"/>
    </row>
    <row r="30" ht="11.25">
      <c r="A30" s="170"/>
    </row>
    <row r="31" spans="1:10" ht="11.25">
      <c r="A31" s="170"/>
      <c r="B31" s="28" t="s">
        <v>38</v>
      </c>
      <c r="C31" s="28"/>
      <c r="D31" s="28"/>
      <c r="E31" s="28"/>
      <c r="F31" s="28"/>
      <c r="G31" s="28"/>
      <c r="J31" s="572">
        <v>0.005</v>
      </c>
    </row>
    <row r="32" spans="1:10" ht="11.25">
      <c r="A32" s="170"/>
      <c r="B32" s="67"/>
      <c r="C32" s="164"/>
      <c r="D32" s="164"/>
      <c r="E32" s="164"/>
      <c r="F32" s="164"/>
      <c r="G32" s="164"/>
      <c r="H32" s="68"/>
      <c r="I32" s="64"/>
      <c r="J32" s="69" t="s">
        <v>92</v>
      </c>
    </row>
    <row r="33" spans="1:10" ht="12.75">
      <c r="A33" s="327">
        <f>A27+1</f>
        <v>118</v>
      </c>
      <c r="B33" s="70" t="s">
        <v>201</v>
      </c>
      <c r="C33" s="163"/>
      <c r="D33" s="163"/>
      <c r="E33" s="163"/>
      <c r="F33" s="163"/>
      <c r="G33" s="163"/>
      <c r="H33" s="71"/>
      <c r="I33" s="72"/>
      <c r="J33" s="174">
        <v>0.0214</v>
      </c>
    </row>
    <row r="34" spans="1:10" ht="12.75">
      <c r="A34" s="327">
        <f>A33+1</f>
        <v>119</v>
      </c>
      <c r="B34" s="74" t="s">
        <v>48</v>
      </c>
      <c r="C34" s="58"/>
      <c r="D34" s="58"/>
      <c r="E34" s="58"/>
      <c r="F34" s="58"/>
      <c r="G34" s="58"/>
      <c r="H34" s="75"/>
      <c r="I34" s="76"/>
      <c r="J34" s="73">
        <v>0.0087</v>
      </c>
    </row>
    <row r="35" spans="2:11" ht="11.25">
      <c r="B35" s="578" t="s">
        <v>9</v>
      </c>
      <c r="C35" s="579"/>
      <c r="D35" s="579"/>
      <c r="E35" s="579"/>
      <c r="F35" s="579"/>
      <c r="G35" s="579"/>
      <c r="H35" s="579"/>
      <c r="I35" s="579"/>
      <c r="J35" s="579"/>
      <c r="K35" s="3"/>
    </row>
    <row r="36" spans="2:11" ht="11.25">
      <c r="B36" s="580"/>
      <c r="C36" s="580"/>
      <c r="D36" s="580"/>
      <c r="E36" s="580"/>
      <c r="F36" s="580"/>
      <c r="G36" s="580"/>
      <c r="H36" s="580"/>
      <c r="I36" s="580"/>
      <c r="J36" s="580"/>
      <c r="K36" s="3"/>
    </row>
    <row r="37" ht="11.25">
      <c r="B37" s="158" t="s">
        <v>42</v>
      </c>
    </row>
  </sheetData>
  <sheetProtection password="E296" sheet="1" objects="1" scenarios="1"/>
  <mergeCells count="2">
    <mergeCell ref="A3:B3"/>
    <mergeCell ref="B35:J36"/>
  </mergeCells>
  <conditionalFormatting sqref="A3">
    <cfRule type="expression" priority="1" dxfId="0" stopIfTrue="1">
      <formula>$A3&lt;&gt;""</formula>
    </cfRule>
  </conditionalFormatting>
  <conditionalFormatting sqref="J26 I3:J3 C4:D4">
    <cfRule type="expression" priority="2" dxfId="1" stopIfTrue="1">
      <formula>$I$4=TRUE</formula>
    </cfRule>
  </conditionalFormatting>
  <conditionalFormatting sqref="M7:M13">
    <cfRule type="expression" priority="3" dxfId="2" stopIfTrue="1">
      <formula>#REF!=TRUE</formula>
    </cfRule>
  </conditionalFormatting>
  <conditionalFormatting sqref="J11:J13">
    <cfRule type="expression" priority="4" dxfId="3" stopIfTrue="1">
      <formula>$C$4121</formula>
    </cfRule>
  </conditionalFormatting>
  <dataValidations count="2">
    <dataValidation type="whole" allowBlank="1" showInputMessage="1" showErrorMessage="1" errorTitle="Onjuiste invoer:" error="- de invoer moet het juiste nummer zijn" sqref="D4">
      <formula1>$U4</formula1>
      <formula2>$V4</formula2>
    </dataValidation>
    <dataValidation type="list" allowBlank="1" showInputMessage="1" showErrorMessage="1" sqref="C4">
      <formula1>"120,600,650"</formula1>
    </dataValidation>
  </dataValidations>
  <printOptions/>
  <pageMargins left="0.3937007874015748" right="0.3937007874015748" top="0.7874015748031497" bottom="0.3937007874015748" header="0.5118110236220472" footer="0.5118110236220472"/>
  <pageSetup firstPageNumber="1" useFirstPageNumber="1" horizontalDpi="600" verticalDpi="600" orientation="landscape" paperSize="9" scale="95" r:id="rId3"/>
  <headerFooter alignWithMargins="0">
    <oddHeader>&amp;R&amp;G</oddHeader>
  </headerFooter>
  <ignoredErrors>
    <ignoredError sqref="J27" emptyCellReference="1"/>
  </ignoredErrors>
  <legacyDrawing r:id="rId1"/>
  <legacyDrawingHF r:id="rId2"/>
</worksheet>
</file>

<file path=xl/worksheets/sheet2.xml><?xml version="1.0" encoding="utf-8"?>
<worksheet xmlns="http://schemas.openxmlformats.org/spreadsheetml/2006/main" xmlns:r="http://schemas.openxmlformats.org/officeDocument/2006/relationships">
  <sheetPr codeName="Blad3"/>
  <dimension ref="A1:M104"/>
  <sheetViews>
    <sheetView showGridLines="0" zoomScale="95" zoomScaleNormal="95" zoomScaleSheetLayoutView="95" workbookViewId="0" topLeftCell="A1">
      <selection activeCell="A1" sqref="A1"/>
    </sheetView>
  </sheetViews>
  <sheetFormatPr defaultColWidth="9.140625" defaultRowHeight="12.75" zeroHeight="1"/>
  <cols>
    <col min="1" max="1" width="2.7109375" style="9" customWidth="1"/>
    <col min="2" max="2" width="5.57421875" style="23" customWidth="1"/>
    <col min="3" max="3" width="60.8515625" style="10" customWidth="1"/>
    <col min="4" max="4" width="9.140625" style="438" customWidth="1"/>
    <col min="5" max="5" width="14.28125" style="10" customWidth="1"/>
    <col min="6" max="6" width="2.8515625" style="10" customWidth="1"/>
    <col min="7" max="7" width="9.140625" style="438" customWidth="1"/>
    <col min="8" max="8" width="5.57421875" style="10" customWidth="1"/>
    <col min="9" max="9" width="2.421875" style="10" customWidth="1"/>
    <col min="10" max="16384" width="9.140625" style="10" hidden="1" customWidth="1"/>
  </cols>
  <sheetData>
    <row r="1" spans="1:10" s="5" customFormat="1" ht="15.75" customHeight="1">
      <c r="A1" s="1"/>
      <c r="B1" s="2"/>
      <c r="C1" s="3"/>
      <c r="E1" s="4"/>
      <c r="F1" s="1"/>
      <c r="H1" s="4"/>
      <c r="J1" s="6"/>
    </row>
    <row r="2" spans="1:10" s="8" customFormat="1" ht="15.75" customHeight="1">
      <c r="A2" s="520"/>
      <c r="B2" s="25"/>
      <c r="C2" s="26"/>
      <c r="E2" s="26"/>
      <c r="F2" s="26"/>
      <c r="H2" s="26"/>
      <c r="I2" s="27"/>
      <c r="J2" s="7"/>
    </row>
    <row r="3" spans="2:8" ht="12.75">
      <c r="B3" s="10"/>
      <c r="E3" s="11"/>
      <c r="F3" s="9"/>
      <c r="H3" s="11"/>
    </row>
    <row r="4" spans="2:9" s="3" customFormat="1" ht="11.25">
      <c r="B4" s="12"/>
      <c r="C4" s="1" t="s">
        <v>132</v>
      </c>
      <c r="H4" s="13" t="s">
        <v>36</v>
      </c>
      <c r="I4" s="13"/>
    </row>
    <row r="5" spans="1:9" s="3" customFormat="1" ht="11.25">
      <c r="A5" s="1"/>
      <c r="B5" s="1"/>
      <c r="C5" s="1"/>
      <c r="E5" s="1"/>
      <c r="F5" s="1"/>
      <c r="H5" s="14"/>
      <c r="I5" s="14"/>
    </row>
    <row r="6" spans="1:9" s="15" customFormat="1" ht="11.25">
      <c r="A6" s="16"/>
      <c r="B6" s="521"/>
      <c r="C6" s="20" t="s">
        <v>131</v>
      </c>
      <c r="H6" s="522">
        <v>2</v>
      </c>
      <c r="I6" s="522"/>
    </row>
    <row r="7" s="3" customFormat="1" ht="11.25">
      <c r="I7" s="523"/>
    </row>
    <row r="8" spans="1:8" s="3" customFormat="1" ht="12" customHeight="1">
      <c r="A8" s="16"/>
      <c r="B8" s="521"/>
      <c r="C8" s="16" t="str">
        <f>'A-E'!A1</f>
        <v>BIJLAGEN BIJ CALCULATIEMODEL RENTEKOSTEN</v>
      </c>
      <c r="H8" s="522"/>
    </row>
    <row r="9" spans="2:9" s="3" customFormat="1" ht="12" customHeight="1">
      <c r="B9" s="18" t="str">
        <f>'A-E'!A2</f>
        <v>A.</v>
      </c>
      <c r="C9" s="18" t="str">
        <f>'A-E'!B2</f>
        <v>Boekwaarde investeringen vaste activa </v>
      </c>
      <c r="H9" s="522">
        <v>5</v>
      </c>
      <c r="I9" s="523"/>
    </row>
    <row r="10" spans="2:8" s="3" customFormat="1" ht="12" customHeight="1">
      <c r="B10" s="18" t="str">
        <f>'A-E'!A23</f>
        <v>B.</v>
      </c>
      <c r="C10" s="524" t="str">
        <f>'A-E'!B23</f>
        <v>Onderhanden bouwprojecten </v>
      </c>
      <c r="H10" s="522">
        <v>5</v>
      </c>
    </row>
    <row r="11" spans="1:9" s="3" customFormat="1" ht="11.25">
      <c r="A11" s="16"/>
      <c r="B11" s="18" t="str">
        <f>'A-E'!A47</f>
        <v>C.</v>
      </c>
      <c r="C11" s="18" t="str">
        <f>'A-E'!B47</f>
        <v>GGZ: Normatieve boekwaarde medische en overige inventarissen </v>
      </c>
      <c r="H11" s="522">
        <v>6</v>
      </c>
      <c r="I11" s="522"/>
    </row>
    <row r="12" spans="2:9" s="3" customFormat="1" ht="11.25" customHeight="1">
      <c r="B12" s="18" t="str">
        <f>'A-E'!A63</f>
        <v>D.</v>
      </c>
      <c r="C12" s="525" t="str">
        <f>'A-E'!B63</f>
        <v>Werkelijke boekwaarde instandhoudingsinvesteringen</v>
      </c>
      <c r="H12" s="522">
        <v>6</v>
      </c>
      <c r="I12" s="523"/>
    </row>
    <row r="13" spans="1:13" ht="11.25" customHeight="1">
      <c r="A13" s="10"/>
      <c r="B13" s="18" t="str">
        <f>'A-E'!A87</f>
        <v>E.</v>
      </c>
      <c r="C13" s="18" t="str">
        <f>'A-E'!B87</f>
        <v>Normatief werkkapitaal</v>
      </c>
      <c r="F13" s="3"/>
      <c r="H13" s="522">
        <v>6</v>
      </c>
      <c r="I13" s="522"/>
      <c r="J13" s="17"/>
      <c r="K13" s="17"/>
      <c r="L13" s="17"/>
      <c r="M13" s="17"/>
    </row>
    <row r="14" spans="1:9" s="15" customFormat="1" ht="11.25" customHeight="1">
      <c r="A14" s="3"/>
      <c r="B14" s="18" t="str">
        <f>F!A1</f>
        <v>F. </v>
      </c>
      <c r="C14" s="526" t="str">
        <f>F!B1</f>
        <v>Langlopende leningen (incl. langlopende leasecontracten) </v>
      </c>
      <c r="F14" s="18"/>
      <c r="H14" s="522">
        <v>7</v>
      </c>
      <c r="I14" s="522"/>
    </row>
    <row r="15" spans="1:9" s="15" customFormat="1" ht="11.25" customHeight="1">
      <c r="A15" s="3"/>
      <c r="B15" s="18" t="str">
        <f>'G-H'!A1</f>
        <v>G.</v>
      </c>
      <c r="C15" s="527" t="str">
        <f>'G-H'!B1</f>
        <v>Eigen vermogen</v>
      </c>
      <c r="F15" s="18"/>
      <c r="H15" s="522">
        <v>9</v>
      </c>
      <c r="I15" s="522"/>
    </row>
    <row r="16" spans="1:8" ht="12.75">
      <c r="A16" s="15"/>
      <c r="B16" s="18" t="str">
        <f>'G-H'!A24</f>
        <v>H. </v>
      </c>
      <c r="C16" s="18" t="str">
        <f>'G-H'!B24</f>
        <v>Rentekosten langlopende leningen</v>
      </c>
      <c r="F16" s="16"/>
      <c r="H16" s="3">
        <v>9</v>
      </c>
    </row>
    <row r="17" spans="2:8" ht="12.75">
      <c r="B17" s="23" t="str">
        <f>I!A3</f>
        <v>I. </v>
      </c>
      <c r="C17" s="10" t="str">
        <f>I!B3</f>
        <v>Toerekening aanvaardbare rentekosten</v>
      </c>
      <c r="H17" s="274">
        <v>10</v>
      </c>
    </row>
    <row r="18" ht="12.75" customHeight="1">
      <c r="I18" s="15"/>
    </row>
    <row r="19" spans="3:9" ht="11.25" customHeight="1">
      <c r="C19" s="234" t="s">
        <v>187</v>
      </c>
      <c r="I19" s="15"/>
    </row>
    <row r="20" spans="2:9" ht="11.25" customHeight="1">
      <c r="B20" s="23" t="str">
        <f>GHZ!A3</f>
        <v>J.1</v>
      </c>
      <c r="C20" s="581" t="str">
        <f>GHZ!B3</f>
        <v>GHZ: Normatieve boekwaarde medische en overige inventarissen </v>
      </c>
      <c r="D20" s="582"/>
      <c r="E20" s="582"/>
      <c r="F20" s="582"/>
      <c r="G20" s="582"/>
      <c r="H20" s="274">
        <v>11</v>
      </c>
      <c r="I20" s="15"/>
    </row>
    <row r="21" spans="1:9" ht="12.75">
      <c r="A21" s="10"/>
      <c r="B21" s="18" t="str">
        <f>'V&amp;V'!A3</f>
        <v>J.2</v>
      </c>
      <c r="C21" s="18" t="str">
        <f>'V&amp;V'!B3</f>
        <v>V&amp;V: Normatieve boekwaarde medische en overige inventarissen </v>
      </c>
      <c r="F21" s="19"/>
      <c r="H21" s="522">
        <v>13</v>
      </c>
      <c r="I21" s="15"/>
    </row>
    <row r="22" ht="12.75"/>
    <row r="23" spans="1:6" ht="12.75">
      <c r="A23" s="10"/>
      <c r="F23" s="19"/>
    </row>
    <row r="24" spans="1:8" ht="12.75">
      <c r="A24" s="10"/>
      <c r="B24" s="5"/>
      <c r="C24" s="18"/>
      <c r="H24" s="522"/>
    </row>
    <row r="25" spans="1:8" s="15" customFormat="1" ht="11.25">
      <c r="A25" s="10"/>
      <c r="B25" s="23"/>
      <c r="C25" s="10"/>
      <c r="F25" s="20"/>
      <c r="H25" s="10"/>
    </row>
    <row r="26" spans="1:8" ht="12.75">
      <c r="A26" s="16"/>
      <c r="B26" s="15"/>
      <c r="C26" s="521"/>
      <c r="H26" s="522"/>
    </row>
    <row r="27" spans="1:8" s="15" customFormat="1" ht="11.25">
      <c r="A27" s="16"/>
      <c r="B27" s="18"/>
      <c r="C27" s="18"/>
      <c r="F27" s="20"/>
      <c r="H27" s="522"/>
    </row>
    <row r="28" spans="1:8" ht="12.75">
      <c r="A28" s="16"/>
      <c r="B28" s="18"/>
      <c r="C28" s="18"/>
      <c r="H28" s="522"/>
    </row>
    <row r="29" spans="1:9" ht="12.75">
      <c r="A29" s="3"/>
      <c r="B29" s="18"/>
      <c r="C29" s="18"/>
      <c r="H29" s="522"/>
      <c r="I29" s="522"/>
    </row>
    <row r="30" spans="8:9" ht="12.75">
      <c r="H30" s="522"/>
      <c r="I30" s="522"/>
    </row>
    <row r="31" ht="12.75">
      <c r="I31" s="522"/>
    </row>
    <row r="32" spans="8:9" ht="12.75">
      <c r="H32" s="528"/>
      <c r="I32" s="522"/>
    </row>
    <row r="33" spans="8:9" ht="12.75">
      <c r="H33" s="528"/>
      <c r="I33" s="522"/>
    </row>
    <row r="34" spans="8:9" ht="12.75">
      <c r="H34" s="528"/>
      <c r="I34" s="13"/>
    </row>
    <row r="35" spans="5:9" s="3" customFormat="1" ht="11.25" hidden="1">
      <c r="E35" s="5"/>
      <c r="H35" s="529"/>
      <c r="I35" s="13"/>
    </row>
    <row r="36" spans="5:9" s="15" customFormat="1" ht="11.25" hidden="1">
      <c r="E36" s="5"/>
      <c r="F36" s="20"/>
      <c r="H36" s="529"/>
      <c r="I36" s="13"/>
    </row>
    <row r="37" spans="5:9" s="3" customFormat="1" ht="11.25" hidden="1">
      <c r="E37" s="5"/>
      <c r="F37" s="21"/>
      <c r="H37" s="530"/>
      <c r="I37" s="13"/>
    </row>
    <row r="38" spans="5:9" s="3" customFormat="1" ht="11.25" hidden="1">
      <c r="E38" s="5"/>
      <c r="H38" s="529"/>
      <c r="I38" s="13"/>
    </row>
    <row r="39" spans="5:9" s="3" customFormat="1" ht="11.25" hidden="1">
      <c r="E39" s="5"/>
      <c r="H39" s="529"/>
      <c r="I39" s="13"/>
    </row>
    <row r="40" s="3" customFormat="1" ht="11.25" hidden="1"/>
    <row r="41" s="3" customFormat="1" ht="11.25" hidden="1"/>
    <row r="42" s="3" customFormat="1" ht="11.25" hidden="1"/>
    <row r="43" s="3" customFormat="1" ht="11.25" hidden="1"/>
    <row r="44" s="3" customFormat="1" ht="11.25" hidden="1"/>
    <row r="45" s="3" customFormat="1" ht="11.25" hidden="1">
      <c r="B45" s="12"/>
    </row>
    <row r="46" s="3" customFormat="1" ht="11.25" hidden="1">
      <c r="B46" s="12"/>
    </row>
    <row r="47" spans="1:2" s="3" customFormat="1" ht="146.25" customHeight="1" hidden="1">
      <c r="A47" s="1"/>
      <c r="B47" s="12"/>
    </row>
    <row r="48" spans="1:2" s="3" customFormat="1" ht="11.25" hidden="1">
      <c r="A48" s="1"/>
      <c r="B48" s="12"/>
    </row>
    <row r="49" spans="1:2" s="3" customFormat="1" ht="11.25" hidden="1">
      <c r="A49" s="1"/>
      <c r="B49" s="12"/>
    </row>
    <row r="50" spans="1:2" s="3" customFormat="1" ht="11.25" hidden="1">
      <c r="A50" s="1"/>
      <c r="B50" s="12"/>
    </row>
    <row r="51" spans="1:2" s="3" customFormat="1" ht="11.25" hidden="1">
      <c r="A51" s="1"/>
      <c r="B51" s="12"/>
    </row>
    <row r="52" spans="1:2" s="3" customFormat="1" ht="11.25" hidden="1">
      <c r="A52" s="1"/>
      <c r="B52" s="12"/>
    </row>
    <row r="53" spans="1:2" s="3" customFormat="1" ht="11.25" hidden="1">
      <c r="A53" s="1"/>
      <c r="B53" s="12"/>
    </row>
    <row r="54" spans="1:2" s="3" customFormat="1" ht="11.25" hidden="1">
      <c r="A54" s="1"/>
      <c r="B54" s="12"/>
    </row>
    <row r="55" spans="1:2" s="3" customFormat="1" ht="11.25" hidden="1">
      <c r="A55" s="1"/>
      <c r="B55" s="12"/>
    </row>
    <row r="56" spans="1:2" s="3" customFormat="1" ht="11.25" hidden="1">
      <c r="A56" s="1"/>
      <c r="B56" s="12"/>
    </row>
    <row r="57" spans="1:2" s="3" customFormat="1" ht="11.25" hidden="1">
      <c r="A57" s="1"/>
      <c r="B57" s="12"/>
    </row>
    <row r="58" spans="1:2" s="3" customFormat="1" ht="11.25" hidden="1">
      <c r="A58" s="1"/>
      <c r="B58" s="12"/>
    </row>
    <row r="59" spans="1:2" s="3" customFormat="1" ht="11.25" hidden="1">
      <c r="A59" s="1"/>
      <c r="B59" s="12"/>
    </row>
    <row r="60" spans="1:2" s="3" customFormat="1" ht="11.25" hidden="1">
      <c r="A60" s="1"/>
      <c r="B60" s="12"/>
    </row>
    <row r="61" spans="1:2" s="3" customFormat="1" ht="11.25" hidden="1">
      <c r="A61" s="1"/>
      <c r="B61" s="12"/>
    </row>
    <row r="62" spans="1:2" s="3" customFormat="1" ht="11.25" hidden="1">
      <c r="A62" s="1"/>
      <c r="B62" s="12"/>
    </row>
    <row r="63" spans="1:2" s="3" customFormat="1" ht="11.25" hidden="1">
      <c r="A63" s="1"/>
      <c r="B63" s="12"/>
    </row>
    <row r="64" spans="1:2" s="3" customFormat="1" ht="11.25" hidden="1">
      <c r="A64" s="1"/>
      <c r="B64" s="12"/>
    </row>
    <row r="65" spans="1:2" s="3" customFormat="1" ht="11.25" hidden="1">
      <c r="A65" s="1"/>
      <c r="B65" s="12"/>
    </row>
    <row r="66" spans="1:2" s="3" customFormat="1" ht="11.25" hidden="1">
      <c r="A66" s="1"/>
      <c r="B66" s="12"/>
    </row>
    <row r="67" spans="1:2" s="3" customFormat="1" ht="11.25" hidden="1">
      <c r="A67" s="1"/>
      <c r="B67" s="12"/>
    </row>
    <row r="68" spans="1:2" s="3" customFormat="1" ht="11.25" hidden="1">
      <c r="A68" s="1"/>
      <c r="B68" s="12"/>
    </row>
    <row r="69" spans="1:2" s="3" customFormat="1" ht="11.25" hidden="1">
      <c r="A69" s="1"/>
      <c r="B69" s="12"/>
    </row>
    <row r="70" spans="1:2" s="3" customFormat="1" ht="11.25" hidden="1">
      <c r="A70" s="1"/>
      <c r="B70" s="12"/>
    </row>
    <row r="71" spans="1:2" s="3" customFormat="1" ht="11.25" hidden="1">
      <c r="A71" s="1"/>
      <c r="B71" s="12"/>
    </row>
    <row r="72" spans="1:2" s="3" customFormat="1" ht="11.25" hidden="1">
      <c r="A72" s="1"/>
      <c r="B72" s="12"/>
    </row>
    <row r="73" spans="1:2" s="3" customFormat="1" ht="11.25" hidden="1">
      <c r="A73" s="1"/>
      <c r="B73" s="12"/>
    </row>
    <row r="74" spans="1:2" s="3" customFormat="1" ht="11.25" hidden="1">
      <c r="A74" s="1"/>
      <c r="B74" s="12"/>
    </row>
    <row r="75" spans="1:2" s="3" customFormat="1" ht="11.25" hidden="1">
      <c r="A75" s="1"/>
      <c r="B75" s="12"/>
    </row>
    <row r="76" spans="1:2" s="3" customFormat="1" ht="11.25" hidden="1">
      <c r="A76" s="1"/>
      <c r="B76" s="12"/>
    </row>
    <row r="77" spans="1:2" s="3" customFormat="1" ht="11.25" hidden="1">
      <c r="A77" s="1"/>
      <c r="B77" s="12"/>
    </row>
    <row r="78" spans="1:2" s="3" customFormat="1" ht="11.25" hidden="1">
      <c r="A78" s="1"/>
      <c r="B78" s="12"/>
    </row>
    <row r="79" spans="1:2" s="3" customFormat="1" ht="11.25" hidden="1">
      <c r="A79" s="1"/>
      <c r="B79" s="12"/>
    </row>
    <row r="80" spans="1:2" s="3" customFormat="1" ht="11.25" hidden="1">
      <c r="A80" s="1"/>
      <c r="B80" s="12"/>
    </row>
    <row r="81" spans="1:2" s="3" customFormat="1" ht="11.25" hidden="1">
      <c r="A81" s="1"/>
      <c r="B81" s="12"/>
    </row>
    <row r="82" spans="1:2" s="3" customFormat="1" ht="11.25" hidden="1">
      <c r="A82" s="1"/>
      <c r="B82" s="12"/>
    </row>
    <row r="83" spans="1:2" s="3" customFormat="1" ht="11.25" hidden="1">
      <c r="A83" s="1"/>
      <c r="B83" s="12"/>
    </row>
    <row r="84" spans="1:2" s="3" customFormat="1" ht="11.25" hidden="1">
      <c r="A84" s="1"/>
      <c r="B84" s="12"/>
    </row>
    <row r="85" spans="1:2" s="3" customFormat="1" ht="11.25" hidden="1">
      <c r="A85" s="1"/>
      <c r="B85" s="12"/>
    </row>
    <row r="86" spans="1:2" s="3" customFormat="1" ht="11.25" hidden="1">
      <c r="A86" s="1"/>
      <c r="B86" s="12"/>
    </row>
    <row r="87" spans="1:2" s="3" customFormat="1" ht="11.25" hidden="1">
      <c r="A87" s="1"/>
      <c r="B87" s="12"/>
    </row>
    <row r="88" spans="1:2" s="3" customFormat="1" ht="11.25" hidden="1">
      <c r="A88" s="1"/>
      <c r="B88" s="12"/>
    </row>
    <row r="89" spans="1:2" s="3" customFormat="1" ht="11.25" hidden="1">
      <c r="A89" s="1"/>
      <c r="B89" s="12"/>
    </row>
    <row r="90" spans="1:2" s="3" customFormat="1" ht="11.25" hidden="1">
      <c r="A90" s="1"/>
      <c r="B90" s="12"/>
    </row>
    <row r="91" spans="1:2" s="3" customFormat="1" ht="11.25" hidden="1">
      <c r="A91" s="1"/>
      <c r="B91" s="12"/>
    </row>
    <row r="92" spans="1:2" s="3" customFormat="1" ht="11.25" hidden="1">
      <c r="A92" s="1"/>
      <c r="B92" s="12"/>
    </row>
    <row r="93" spans="1:2" s="3" customFormat="1" ht="11.25" hidden="1">
      <c r="A93" s="1"/>
      <c r="B93" s="12"/>
    </row>
    <row r="94" spans="1:2" s="3" customFormat="1" ht="11.25" hidden="1">
      <c r="A94" s="1"/>
      <c r="B94" s="12"/>
    </row>
    <row r="95" spans="1:2" s="3" customFormat="1" ht="11.25" hidden="1">
      <c r="A95" s="1"/>
      <c r="B95" s="12"/>
    </row>
    <row r="96" spans="1:2" s="3" customFormat="1" ht="11.25" hidden="1">
      <c r="A96" s="1"/>
      <c r="B96" s="12"/>
    </row>
    <row r="97" spans="1:2" s="3" customFormat="1" ht="11.25" hidden="1">
      <c r="A97" s="1"/>
      <c r="B97" s="12"/>
    </row>
    <row r="98" spans="1:2" s="3" customFormat="1" ht="11.25" hidden="1">
      <c r="A98" s="1"/>
      <c r="B98" s="12"/>
    </row>
    <row r="99" spans="1:2" s="3" customFormat="1" ht="11.25" hidden="1">
      <c r="A99" s="1"/>
      <c r="B99" s="12"/>
    </row>
    <row r="100" spans="1:2" s="3" customFormat="1" ht="11.25" hidden="1">
      <c r="A100" s="1"/>
      <c r="B100" s="12"/>
    </row>
    <row r="101" spans="1:2" s="3" customFormat="1" ht="11.25" hidden="1">
      <c r="A101" s="1"/>
      <c r="B101" s="12"/>
    </row>
    <row r="102" spans="1:2" s="3" customFormat="1" ht="11.25" hidden="1">
      <c r="A102" s="1"/>
      <c r="B102" s="12"/>
    </row>
    <row r="103" ht="12.75" hidden="1">
      <c r="A103" s="1"/>
    </row>
    <row r="104" ht="12.75" hidden="1">
      <c r="A104" s="1"/>
    </row>
    <row r="105" ht="24.75" customHeight="1" hidden="1"/>
    <row r="106" ht="12.75" hidden="1"/>
    <row r="107" ht="12.75" hidden="1"/>
    <row r="108" ht="12.75" hidden="1"/>
  </sheetData>
  <sheetProtection password="E296" sheet="1" objects="1" scenarios="1"/>
  <mergeCells count="1">
    <mergeCell ref="C20:G20"/>
  </mergeCells>
  <printOptions/>
  <pageMargins left="0.3937007874015748" right="0.3937007874015748" top="0.3937007874015748" bottom="0.3937007874015748" header="0.5118110236220472" footer="0.5118110236220472"/>
  <pageSetup firstPageNumber="1" useFirstPageNumber="1" horizontalDpi="300" verticalDpi="300" orientation="landscape" pageOrder="overThenDown" paperSize="9" scale="95" r:id="rId2"/>
  <headerFooter alignWithMargins="0">
    <oddHeader>&amp;LAWBZ-BREED CALCULATIEMODEL RENTEKOSTEN 2009
&amp;R&amp;G</oddHeader>
    <oddFooter>&amp;R&amp;P</oddFooter>
  </headerFooter>
  <legacyDrawingHF r:id="rId1"/>
</worksheet>
</file>

<file path=xl/worksheets/sheet3.xml><?xml version="1.0" encoding="utf-8"?>
<worksheet xmlns="http://schemas.openxmlformats.org/spreadsheetml/2006/main" xmlns:r="http://schemas.openxmlformats.org/officeDocument/2006/relationships">
  <dimension ref="B2:R130"/>
  <sheetViews>
    <sheetView showGridLines="0" zoomScale="95" zoomScaleNormal="95" zoomScaleSheetLayoutView="95" workbookViewId="0" topLeftCell="A1">
      <selection activeCell="A1" sqref="A1"/>
    </sheetView>
  </sheetViews>
  <sheetFormatPr defaultColWidth="9.140625" defaultRowHeight="11.25" customHeight="1" zeroHeight="1"/>
  <cols>
    <col min="1" max="15" width="9.140625" style="22" customWidth="1"/>
    <col min="16" max="16384" width="0" style="22" hidden="1" customWidth="1"/>
  </cols>
  <sheetData>
    <row r="1" ht="11.25" customHeight="1"/>
    <row r="2" ht="11.25" customHeight="1">
      <c r="B2" s="334" t="s">
        <v>206</v>
      </c>
    </row>
    <row r="3" ht="11.25" customHeight="1"/>
    <row r="4" spans="2:14" ht="11.25" customHeight="1">
      <c r="B4" s="583" t="s">
        <v>18</v>
      </c>
      <c r="C4" s="583"/>
      <c r="D4" s="583"/>
      <c r="E4" s="583"/>
      <c r="F4" s="583"/>
      <c r="G4" s="583"/>
      <c r="H4" s="583"/>
      <c r="I4" s="583"/>
      <c r="J4" s="583"/>
      <c r="K4" s="583"/>
      <c r="L4" s="583"/>
      <c r="M4" s="583"/>
      <c r="N4" s="583"/>
    </row>
    <row r="5" spans="2:14" ht="11.25" customHeight="1">
      <c r="B5" s="583"/>
      <c r="C5" s="583"/>
      <c r="D5" s="583"/>
      <c r="E5" s="583"/>
      <c r="F5" s="583"/>
      <c r="G5" s="583"/>
      <c r="H5" s="583"/>
      <c r="I5" s="583"/>
      <c r="J5" s="583"/>
      <c r="K5" s="583"/>
      <c r="L5" s="583"/>
      <c r="M5" s="583"/>
      <c r="N5" s="583"/>
    </row>
    <row r="6" spans="2:14" ht="11.25" customHeight="1">
      <c r="B6" s="583"/>
      <c r="C6" s="583"/>
      <c r="D6" s="583"/>
      <c r="E6" s="583"/>
      <c r="F6" s="583"/>
      <c r="G6" s="583"/>
      <c r="H6" s="583"/>
      <c r="I6" s="583"/>
      <c r="J6" s="583"/>
      <c r="K6" s="583"/>
      <c r="L6" s="583"/>
      <c r="M6" s="583"/>
      <c r="N6" s="583"/>
    </row>
    <row r="7" spans="2:14" ht="11.25" customHeight="1">
      <c r="B7" s="583"/>
      <c r="C7" s="583"/>
      <c r="D7" s="583"/>
      <c r="E7" s="583"/>
      <c r="F7" s="583"/>
      <c r="G7" s="583"/>
      <c r="H7" s="583"/>
      <c r="I7" s="583"/>
      <c r="J7" s="583"/>
      <c r="K7" s="583"/>
      <c r="L7" s="583"/>
      <c r="M7" s="583"/>
      <c r="N7" s="583"/>
    </row>
    <row r="8" spans="2:14" ht="11.25" customHeight="1">
      <c r="B8" s="585"/>
      <c r="C8" s="585"/>
      <c r="D8" s="585"/>
      <c r="E8" s="585"/>
      <c r="F8" s="585"/>
      <c r="G8" s="585"/>
      <c r="H8" s="585"/>
      <c r="I8" s="585"/>
      <c r="J8" s="585"/>
      <c r="K8" s="585"/>
      <c r="L8" s="585"/>
      <c r="M8" s="585"/>
      <c r="N8" s="585"/>
    </row>
    <row r="9" spans="2:14" ht="11.25" customHeight="1">
      <c r="B9" s="544" t="s">
        <v>310</v>
      </c>
      <c r="C9" s="544"/>
      <c r="D9" s="544"/>
      <c r="E9" s="544"/>
      <c r="F9" s="544"/>
      <c r="G9" s="544"/>
      <c r="H9" s="544"/>
      <c r="I9" s="544"/>
      <c r="J9" s="544"/>
      <c r="K9" s="544"/>
      <c r="L9" s="544"/>
      <c r="M9" s="544"/>
      <c r="N9" s="544"/>
    </row>
    <row r="10" spans="2:14" ht="11.25" customHeight="1">
      <c r="B10" s="544"/>
      <c r="C10" s="544"/>
      <c r="D10" s="544"/>
      <c r="E10" s="544"/>
      <c r="F10" s="544"/>
      <c r="G10" s="544"/>
      <c r="H10" s="544"/>
      <c r="I10" s="544"/>
      <c r="J10" s="544"/>
      <c r="K10" s="544"/>
      <c r="L10" s="544"/>
      <c r="M10" s="544"/>
      <c r="N10" s="544"/>
    </row>
    <row r="11" spans="2:14" ht="11.25" customHeight="1">
      <c r="B11" s="583" t="s">
        <v>309</v>
      </c>
      <c r="C11" s="583"/>
      <c r="D11" s="583"/>
      <c r="E11" s="583"/>
      <c r="F11" s="583"/>
      <c r="G11" s="583"/>
      <c r="H11" s="583"/>
      <c r="I11" s="583"/>
      <c r="J11" s="583"/>
      <c r="K11" s="583"/>
      <c r="L11" s="583"/>
      <c r="M11" s="583"/>
      <c r="N11" s="583"/>
    </row>
    <row r="12" spans="2:14" ht="11.25" customHeight="1">
      <c r="B12" s="583"/>
      <c r="C12" s="583"/>
      <c r="D12" s="583"/>
      <c r="E12" s="583"/>
      <c r="F12" s="583"/>
      <c r="G12" s="583"/>
      <c r="H12" s="583"/>
      <c r="I12" s="583"/>
      <c r="J12" s="583"/>
      <c r="K12" s="583"/>
      <c r="L12" s="583"/>
      <c r="M12" s="583"/>
      <c r="N12" s="583"/>
    </row>
    <row r="13" spans="2:14" ht="11.25" customHeight="1">
      <c r="B13" s="583"/>
      <c r="C13" s="583"/>
      <c r="D13" s="583"/>
      <c r="E13" s="583"/>
      <c r="F13" s="583"/>
      <c r="G13" s="583"/>
      <c r="H13" s="583"/>
      <c r="I13" s="583"/>
      <c r="J13" s="583"/>
      <c r="K13" s="583"/>
      <c r="L13" s="583"/>
      <c r="M13" s="583"/>
      <c r="N13" s="583"/>
    </row>
    <row r="14" spans="2:14" ht="11.25" customHeight="1">
      <c r="B14" s="575"/>
      <c r="C14" s="575"/>
      <c r="D14" s="575"/>
      <c r="E14" s="575"/>
      <c r="F14" s="575"/>
      <c r="G14" s="575"/>
      <c r="H14" s="575"/>
      <c r="I14" s="575"/>
      <c r="J14" s="575"/>
      <c r="K14" s="575"/>
      <c r="L14" s="575"/>
      <c r="M14" s="575"/>
      <c r="N14" s="575"/>
    </row>
    <row r="15" spans="2:14" ht="11.25" customHeight="1">
      <c r="B15" s="583" t="s">
        <v>207</v>
      </c>
      <c r="C15" s="583"/>
      <c r="D15" s="583"/>
      <c r="E15" s="583"/>
      <c r="F15" s="583"/>
      <c r="G15" s="583"/>
      <c r="H15" s="583"/>
      <c r="I15" s="583"/>
      <c r="J15" s="583"/>
      <c r="K15" s="583"/>
      <c r="L15" s="583"/>
      <c r="M15" s="583"/>
      <c r="N15" s="583"/>
    </row>
    <row r="16" spans="2:14" ht="15.75" customHeight="1">
      <c r="B16" s="583"/>
      <c r="C16" s="583"/>
      <c r="D16" s="583"/>
      <c r="E16" s="583"/>
      <c r="F16" s="583"/>
      <c r="G16" s="583"/>
      <c r="H16" s="583"/>
      <c r="I16" s="583"/>
      <c r="J16" s="583"/>
      <c r="K16" s="583"/>
      <c r="L16" s="583"/>
      <c r="M16" s="583"/>
      <c r="N16" s="583"/>
    </row>
    <row r="17" spans="2:14" ht="11.25" customHeight="1">
      <c r="B17" s="336"/>
      <c r="C17" s="336"/>
      <c r="D17" s="336"/>
      <c r="E17" s="336"/>
      <c r="F17" s="336"/>
      <c r="G17" s="336"/>
      <c r="H17" s="336"/>
      <c r="I17" s="336"/>
      <c r="J17" s="336"/>
      <c r="K17" s="336"/>
      <c r="L17" s="336"/>
      <c r="M17" s="336"/>
      <c r="N17" s="336"/>
    </row>
    <row r="18" ht="11.25" customHeight="1">
      <c r="B18" s="22" t="s">
        <v>208</v>
      </c>
    </row>
    <row r="19" spans="2:14" ht="11.25" customHeight="1">
      <c r="B19" s="583" t="s">
        <v>13</v>
      </c>
      <c r="C19" s="583"/>
      <c r="D19" s="583"/>
      <c r="E19" s="583"/>
      <c r="F19" s="583"/>
      <c r="G19" s="583"/>
      <c r="H19" s="583"/>
      <c r="I19" s="583"/>
      <c r="J19" s="583"/>
      <c r="K19" s="583"/>
      <c r="L19" s="583"/>
      <c r="M19" s="583"/>
      <c r="N19" s="583"/>
    </row>
    <row r="20" spans="2:14" ht="15.75" customHeight="1">
      <c r="B20" s="583"/>
      <c r="C20" s="583"/>
      <c r="D20" s="583"/>
      <c r="E20" s="583"/>
      <c r="F20" s="583"/>
      <c r="G20" s="583"/>
      <c r="H20" s="583"/>
      <c r="I20" s="583"/>
      <c r="J20" s="583"/>
      <c r="K20" s="583"/>
      <c r="L20" s="583"/>
      <c r="M20" s="583"/>
      <c r="N20" s="583"/>
    </row>
    <row r="21" spans="2:14" ht="11.25" customHeight="1">
      <c r="B21" s="336"/>
      <c r="C21" s="336"/>
      <c r="D21" s="336"/>
      <c r="E21" s="336"/>
      <c r="F21" s="336"/>
      <c r="G21" s="336"/>
      <c r="H21" s="336"/>
      <c r="I21" s="336"/>
      <c r="J21" s="336"/>
      <c r="K21" s="336"/>
      <c r="L21" s="336"/>
      <c r="M21" s="336"/>
      <c r="N21" s="336"/>
    </row>
    <row r="22" ht="11.25" customHeight="1">
      <c r="B22" s="22" t="s">
        <v>209</v>
      </c>
    </row>
    <row r="23" ht="11.25" customHeight="1">
      <c r="B23" s="22" t="s">
        <v>16</v>
      </c>
    </row>
    <row r="24" ht="11.25" customHeight="1"/>
    <row r="25" ht="11.25" customHeight="1">
      <c r="B25" s="334" t="s">
        <v>210</v>
      </c>
    </row>
    <row r="26" ht="11.25" customHeight="1"/>
    <row r="27" ht="11.25" customHeight="1">
      <c r="B27" s="334" t="s">
        <v>211</v>
      </c>
    </row>
    <row r="28" spans="2:14" ht="11.25" customHeight="1">
      <c r="B28" s="583" t="s">
        <v>317</v>
      </c>
      <c r="C28" s="583"/>
      <c r="D28" s="583"/>
      <c r="E28" s="583"/>
      <c r="F28" s="583"/>
      <c r="G28" s="583"/>
      <c r="H28" s="583"/>
      <c r="I28" s="583"/>
      <c r="J28" s="583"/>
      <c r="K28" s="583"/>
      <c r="L28" s="583"/>
      <c r="M28" s="583"/>
      <c r="N28" s="583"/>
    </row>
    <row r="29" spans="2:14" ht="11.25" customHeight="1">
      <c r="B29" s="583"/>
      <c r="C29" s="583"/>
      <c r="D29" s="583"/>
      <c r="E29" s="583"/>
      <c r="F29" s="583"/>
      <c r="G29" s="583"/>
      <c r="H29" s="583"/>
      <c r="I29" s="583"/>
      <c r="J29" s="583"/>
      <c r="K29" s="583"/>
      <c r="L29" s="583"/>
      <c r="M29" s="583"/>
      <c r="N29" s="583"/>
    </row>
    <row r="30" spans="2:14" ht="11.25" customHeight="1">
      <c r="B30" s="583"/>
      <c r="C30" s="583"/>
      <c r="D30" s="583"/>
      <c r="E30" s="583"/>
      <c r="F30" s="583"/>
      <c r="G30" s="583"/>
      <c r="H30" s="583"/>
      <c r="I30" s="583"/>
      <c r="J30" s="583"/>
      <c r="K30" s="583"/>
      <c r="L30" s="583"/>
      <c r="M30" s="583"/>
      <c r="N30" s="583"/>
    </row>
    <row r="31" spans="2:14" ht="29.25" customHeight="1">
      <c r="B31" s="583"/>
      <c r="C31" s="583"/>
      <c r="D31" s="583"/>
      <c r="E31" s="583"/>
      <c r="F31" s="583"/>
      <c r="G31" s="583"/>
      <c r="H31" s="583"/>
      <c r="I31" s="583"/>
      <c r="J31" s="583"/>
      <c r="K31" s="583"/>
      <c r="L31" s="583"/>
      <c r="M31" s="583"/>
      <c r="N31" s="583"/>
    </row>
    <row r="32" ht="11.25" customHeight="1"/>
    <row r="33" ht="11.25" customHeight="1">
      <c r="B33" s="334" t="s">
        <v>212</v>
      </c>
    </row>
    <row r="34" spans="2:14" ht="11.25" customHeight="1">
      <c r="B34" s="583" t="s">
        <v>318</v>
      </c>
      <c r="C34" s="583"/>
      <c r="D34" s="583"/>
      <c r="E34" s="583"/>
      <c r="F34" s="583"/>
      <c r="G34" s="583"/>
      <c r="H34" s="583"/>
      <c r="I34" s="583"/>
      <c r="J34" s="583"/>
      <c r="K34" s="583"/>
      <c r="L34" s="583"/>
      <c r="M34" s="583"/>
      <c r="N34" s="583"/>
    </row>
    <row r="35" spans="2:14" ht="11.25" customHeight="1">
      <c r="B35" s="583"/>
      <c r="C35" s="583"/>
      <c r="D35" s="583"/>
      <c r="E35" s="583"/>
      <c r="F35" s="583"/>
      <c r="G35" s="583"/>
      <c r="H35" s="583"/>
      <c r="I35" s="583"/>
      <c r="J35" s="583"/>
      <c r="K35" s="583"/>
      <c r="L35" s="583"/>
      <c r="M35" s="583"/>
      <c r="N35" s="583"/>
    </row>
    <row r="36" spans="2:14" ht="29.25" customHeight="1">
      <c r="B36" s="583"/>
      <c r="C36" s="583"/>
      <c r="D36" s="583"/>
      <c r="E36" s="583"/>
      <c r="F36" s="583"/>
      <c r="G36" s="583"/>
      <c r="H36" s="583"/>
      <c r="I36" s="583"/>
      <c r="J36" s="583"/>
      <c r="K36" s="583"/>
      <c r="L36" s="583"/>
      <c r="M36" s="583"/>
      <c r="N36" s="583"/>
    </row>
    <row r="37" ht="11.25" customHeight="1"/>
    <row r="38" ht="11.25" customHeight="1">
      <c r="B38" s="334" t="s">
        <v>311</v>
      </c>
    </row>
    <row r="39" spans="2:14" ht="11.25" customHeight="1">
      <c r="B39" s="583" t="s">
        <v>312</v>
      </c>
      <c r="C39" s="583"/>
      <c r="D39" s="583"/>
      <c r="E39" s="583"/>
      <c r="F39" s="583"/>
      <c r="G39" s="583"/>
      <c r="H39" s="583"/>
      <c r="I39" s="583"/>
      <c r="J39" s="583"/>
      <c r="K39" s="583"/>
      <c r="L39" s="583"/>
      <c r="M39" s="583"/>
      <c r="N39" s="583"/>
    </row>
    <row r="40" spans="2:14" ht="19.5" customHeight="1">
      <c r="B40" s="583"/>
      <c r="C40" s="583"/>
      <c r="D40" s="583"/>
      <c r="E40" s="583"/>
      <c r="F40" s="583"/>
      <c r="G40" s="583"/>
      <c r="H40" s="583"/>
      <c r="I40" s="583"/>
      <c r="J40" s="583"/>
      <c r="K40" s="583"/>
      <c r="L40" s="583"/>
      <c r="M40" s="583"/>
      <c r="N40" s="583"/>
    </row>
    <row r="41" spans="2:14" ht="11.25" customHeight="1">
      <c r="B41" s="334" t="s">
        <v>213</v>
      </c>
      <c r="C41" s="334"/>
      <c r="D41" s="334"/>
      <c r="E41" s="334"/>
      <c r="F41" s="334"/>
      <c r="G41" s="334"/>
      <c r="H41" s="334"/>
      <c r="I41" s="334"/>
      <c r="J41" s="334"/>
      <c r="K41" s="334"/>
      <c r="L41" s="334"/>
      <c r="M41" s="334"/>
      <c r="N41" s="334"/>
    </row>
    <row r="42" ht="11.25" customHeight="1"/>
    <row r="43" ht="11.25" customHeight="1"/>
    <row r="44" ht="11.25" customHeight="1">
      <c r="B44" s="334" t="s">
        <v>214</v>
      </c>
    </row>
    <row r="45" spans="2:14" ht="11.25" customHeight="1">
      <c r="B45" s="583" t="s">
        <v>319</v>
      </c>
      <c r="C45" s="583"/>
      <c r="D45" s="583"/>
      <c r="E45" s="583"/>
      <c r="F45" s="583"/>
      <c r="G45" s="583"/>
      <c r="H45" s="583"/>
      <c r="I45" s="583"/>
      <c r="J45" s="583"/>
      <c r="K45" s="583"/>
      <c r="L45" s="583"/>
      <c r="M45" s="583"/>
      <c r="N45" s="583"/>
    </row>
    <row r="46" spans="2:14" ht="11.25" customHeight="1">
      <c r="B46" s="583"/>
      <c r="C46" s="583"/>
      <c r="D46" s="583"/>
      <c r="E46" s="583"/>
      <c r="F46" s="583"/>
      <c r="G46" s="583"/>
      <c r="H46" s="583"/>
      <c r="I46" s="583"/>
      <c r="J46" s="583"/>
      <c r="K46" s="583"/>
      <c r="L46" s="583"/>
      <c r="M46" s="583"/>
      <c r="N46" s="583"/>
    </row>
    <row r="47" spans="2:14" ht="11.25" customHeight="1">
      <c r="B47" s="583"/>
      <c r="C47" s="583"/>
      <c r="D47" s="583"/>
      <c r="E47" s="583"/>
      <c r="F47" s="583"/>
      <c r="G47" s="583"/>
      <c r="H47" s="583"/>
      <c r="I47" s="583"/>
      <c r="J47" s="583"/>
      <c r="K47" s="583"/>
      <c r="L47" s="583"/>
      <c r="M47" s="583"/>
      <c r="N47" s="583"/>
    </row>
    <row r="48" spans="2:14" ht="11.25" customHeight="1">
      <c r="B48" s="583"/>
      <c r="C48" s="583"/>
      <c r="D48" s="583"/>
      <c r="E48" s="583"/>
      <c r="F48" s="583"/>
      <c r="G48" s="583"/>
      <c r="H48" s="583"/>
      <c r="I48" s="583"/>
      <c r="J48" s="583"/>
      <c r="K48" s="583"/>
      <c r="L48" s="583"/>
      <c r="M48" s="583"/>
      <c r="N48" s="583"/>
    </row>
    <row r="49" spans="2:14" ht="11.25" customHeight="1">
      <c r="B49" s="583"/>
      <c r="C49" s="583"/>
      <c r="D49" s="583"/>
      <c r="E49" s="583"/>
      <c r="F49" s="583"/>
      <c r="G49" s="583"/>
      <c r="H49" s="583"/>
      <c r="I49" s="583"/>
      <c r="J49" s="583"/>
      <c r="K49" s="583"/>
      <c r="L49" s="583"/>
      <c r="M49" s="583"/>
      <c r="N49" s="583"/>
    </row>
    <row r="50" spans="2:14" ht="11.25" customHeight="1">
      <c r="B50" s="583"/>
      <c r="C50" s="583"/>
      <c r="D50" s="583"/>
      <c r="E50" s="583"/>
      <c r="F50" s="583"/>
      <c r="G50" s="583"/>
      <c r="H50" s="583"/>
      <c r="I50" s="583"/>
      <c r="J50" s="583"/>
      <c r="K50" s="583"/>
      <c r="L50" s="583"/>
      <c r="M50" s="583"/>
      <c r="N50" s="583"/>
    </row>
    <row r="51" spans="2:14" ht="11.25" customHeight="1">
      <c r="B51" s="583"/>
      <c r="C51" s="583"/>
      <c r="D51" s="583"/>
      <c r="E51" s="583"/>
      <c r="F51" s="583"/>
      <c r="G51" s="583"/>
      <c r="H51" s="583"/>
      <c r="I51" s="583"/>
      <c r="J51" s="583"/>
      <c r="K51" s="583"/>
      <c r="L51" s="583"/>
      <c r="M51" s="583"/>
      <c r="N51" s="583"/>
    </row>
    <row r="52" spans="2:14" ht="23.25" customHeight="1">
      <c r="B52" s="583"/>
      <c r="C52" s="583"/>
      <c r="D52" s="583"/>
      <c r="E52" s="583"/>
      <c r="F52" s="583"/>
      <c r="G52" s="583"/>
      <c r="H52" s="583"/>
      <c r="I52" s="583"/>
      <c r="J52" s="583"/>
      <c r="K52" s="583"/>
      <c r="L52" s="583"/>
      <c r="M52" s="583"/>
      <c r="N52" s="583"/>
    </row>
    <row r="53" spans="2:14" ht="11.25" customHeight="1">
      <c r="B53" s="336"/>
      <c r="C53" s="336"/>
      <c r="D53" s="336"/>
      <c r="E53" s="336"/>
      <c r="F53" s="336"/>
      <c r="G53" s="336"/>
      <c r="H53" s="336"/>
      <c r="I53" s="336"/>
      <c r="J53" s="336"/>
      <c r="K53" s="336"/>
      <c r="L53" s="336"/>
      <c r="M53" s="336"/>
      <c r="N53" s="336"/>
    </row>
    <row r="54" spans="2:14" ht="11.25" customHeight="1">
      <c r="B54" s="334" t="s">
        <v>215</v>
      </c>
      <c r="C54" s="336"/>
      <c r="D54" s="336"/>
      <c r="E54" s="336"/>
      <c r="F54" s="336"/>
      <c r="G54" s="336"/>
      <c r="H54" s="336"/>
      <c r="I54" s="336"/>
      <c r="J54" s="336"/>
      <c r="K54" s="336"/>
      <c r="L54" s="336"/>
      <c r="M54" s="336"/>
      <c r="N54" s="336"/>
    </row>
    <row r="55" spans="2:14" ht="11.25" customHeight="1">
      <c r="B55" s="583" t="s">
        <v>320</v>
      </c>
      <c r="C55" s="583"/>
      <c r="D55" s="583"/>
      <c r="E55" s="583"/>
      <c r="F55" s="583"/>
      <c r="G55" s="583"/>
      <c r="H55" s="583"/>
      <c r="I55" s="583"/>
      <c r="J55" s="583"/>
      <c r="K55" s="583"/>
      <c r="L55" s="583"/>
      <c r="M55" s="583"/>
      <c r="N55" s="583"/>
    </row>
    <row r="56" spans="2:14" ht="11.25" customHeight="1">
      <c r="B56" s="583"/>
      <c r="C56" s="583"/>
      <c r="D56" s="583"/>
      <c r="E56" s="583"/>
      <c r="F56" s="583"/>
      <c r="G56" s="583"/>
      <c r="H56" s="583"/>
      <c r="I56" s="583"/>
      <c r="J56" s="583"/>
      <c r="K56" s="583"/>
      <c r="L56" s="583"/>
      <c r="M56" s="583"/>
      <c r="N56" s="583"/>
    </row>
    <row r="57" spans="2:14" ht="11.25" customHeight="1">
      <c r="B57" s="583" t="s">
        <v>321</v>
      </c>
      <c r="C57" s="583"/>
      <c r="D57" s="583"/>
      <c r="E57" s="583"/>
      <c r="F57" s="583"/>
      <c r="G57" s="583"/>
      <c r="H57" s="583"/>
      <c r="I57" s="583"/>
      <c r="J57" s="583"/>
      <c r="K57" s="583"/>
      <c r="L57" s="583"/>
      <c r="M57" s="583"/>
      <c r="N57" s="583"/>
    </row>
    <row r="58" spans="2:14" ht="12.75" customHeight="1">
      <c r="B58" s="583"/>
      <c r="C58" s="583"/>
      <c r="D58" s="583"/>
      <c r="E58" s="583"/>
      <c r="F58" s="583"/>
      <c r="G58" s="583"/>
      <c r="H58" s="583"/>
      <c r="I58" s="583"/>
      <c r="J58" s="583"/>
      <c r="K58" s="583"/>
      <c r="L58" s="583"/>
      <c r="M58" s="583"/>
      <c r="N58" s="583"/>
    </row>
    <row r="59" spans="2:14" ht="11.25" customHeight="1">
      <c r="B59" s="583" t="s">
        <v>322</v>
      </c>
      <c r="C59" s="583"/>
      <c r="D59" s="583"/>
      <c r="E59" s="583"/>
      <c r="F59" s="583"/>
      <c r="G59" s="583"/>
      <c r="H59" s="583"/>
      <c r="I59" s="583"/>
      <c r="J59" s="583"/>
      <c r="K59" s="583"/>
      <c r="L59" s="583"/>
      <c r="M59" s="583"/>
      <c r="N59" s="583"/>
    </row>
    <row r="60" spans="2:14" ht="11.25" customHeight="1">
      <c r="B60" s="583"/>
      <c r="C60" s="583"/>
      <c r="D60" s="583"/>
      <c r="E60" s="583"/>
      <c r="F60" s="583"/>
      <c r="G60" s="583"/>
      <c r="H60" s="583"/>
      <c r="I60" s="583"/>
      <c r="J60" s="583"/>
      <c r="K60" s="583"/>
      <c r="L60" s="583"/>
      <c r="M60" s="583"/>
      <c r="N60" s="583"/>
    </row>
    <row r="61" spans="2:14" ht="15.75" customHeight="1">
      <c r="B61" s="583"/>
      <c r="C61" s="583"/>
      <c r="D61" s="583"/>
      <c r="E61" s="583"/>
      <c r="F61" s="583"/>
      <c r="G61" s="583"/>
      <c r="H61" s="583"/>
      <c r="I61" s="583"/>
      <c r="J61" s="583"/>
      <c r="K61" s="583"/>
      <c r="L61" s="583"/>
      <c r="M61" s="583"/>
      <c r="N61" s="583"/>
    </row>
    <row r="62" ht="11.25" customHeight="1"/>
    <row r="63" ht="11.25" customHeight="1">
      <c r="B63" s="334" t="s">
        <v>5</v>
      </c>
    </row>
    <row r="64" spans="2:14" ht="11.25" customHeight="1">
      <c r="B64" s="583" t="s">
        <v>14</v>
      </c>
      <c r="C64" s="583"/>
      <c r="D64" s="583"/>
      <c r="E64" s="583"/>
      <c r="F64" s="583"/>
      <c r="G64" s="583"/>
      <c r="H64" s="583"/>
      <c r="I64" s="583"/>
      <c r="J64" s="583"/>
      <c r="K64" s="583"/>
      <c r="L64" s="583"/>
      <c r="M64" s="583"/>
      <c r="N64" s="583"/>
    </row>
    <row r="65" spans="2:14" ht="11.25" customHeight="1">
      <c r="B65" s="583"/>
      <c r="C65" s="583"/>
      <c r="D65" s="583"/>
      <c r="E65" s="583"/>
      <c r="F65" s="583"/>
      <c r="G65" s="583"/>
      <c r="H65" s="583"/>
      <c r="I65" s="583"/>
      <c r="J65" s="583"/>
      <c r="K65" s="583"/>
      <c r="L65" s="583"/>
      <c r="M65" s="583"/>
      <c r="N65" s="583"/>
    </row>
    <row r="66" spans="2:14" ht="15.75" customHeight="1">
      <c r="B66" s="583"/>
      <c r="C66" s="583"/>
      <c r="D66" s="583"/>
      <c r="E66" s="583"/>
      <c r="F66" s="583"/>
      <c r="G66" s="583"/>
      <c r="H66" s="583"/>
      <c r="I66" s="583"/>
      <c r="J66" s="583"/>
      <c r="K66" s="583"/>
      <c r="L66" s="583"/>
      <c r="M66" s="583"/>
      <c r="N66" s="583"/>
    </row>
    <row r="67" spans="2:14" ht="11.25" customHeight="1">
      <c r="B67" s="583" t="s">
        <v>11</v>
      </c>
      <c r="C67" s="583"/>
      <c r="D67" s="583"/>
      <c r="E67" s="583"/>
      <c r="F67" s="583"/>
      <c r="G67" s="583"/>
      <c r="H67" s="583"/>
      <c r="I67" s="583"/>
      <c r="J67" s="583"/>
      <c r="K67" s="583"/>
      <c r="L67" s="583"/>
      <c r="M67" s="583"/>
      <c r="N67" s="583"/>
    </row>
    <row r="68" spans="2:14" ht="11.25" customHeight="1">
      <c r="B68" s="583"/>
      <c r="C68" s="583"/>
      <c r="D68" s="583"/>
      <c r="E68" s="583"/>
      <c r="F68" s="583"/>
      <c r="G68" s="583"/>
      <c r="H68" s="583"/>
      <c r="I68" s="583"/>
      <c r="J68" s="583"/>
      <c r="K68" s="583"/>
      <c r="L68" s="583"/>
      <c r="M68" s="583"/>
      <c r="N68" s="583"/>
    </row>
    <row r="69" spans="2:14" ht="15.75" customHeight="1">
      <c r="B69" s="575"/>
      <c r="C69" s="575"/>
      <c r="D69" s="575"/>
      <c r="E69" s="575"/>
      <c r="F69" s="575"/>
      <c r="G69" s="575"/>
      <c r="H69" s="575"/>
      <c r="I69" s="575"/>
      <c r="J69" s="575"/>
      <c r="K69" s="575"/>
      <c r="L69" s="575"/>
      <c r="M69" s="575"/>
      <c r="N69" s="575"/>
    </row>
    <row r="70" spans="2:14" ht="11.25" customHeight="1">
      <c r="B70" s="583" t="s">
        <v>12</v>
      </c>
      <c r="C70" s="583"/>
      <c r="D70" s="583"/>
      <c r="E70" s="583"/>
      <c r="F70" s="583"/>
      <c r="G70" s="583"/>
      <c r="H70" s="583"/>
      <c r="I70" s="583"/>
      <c r="J70" s="583"/>
      <c r="K70" s="583"/>
      <c r="L70" s="583"/>
      <c r="M70" s="583"/>
      <c r="N70" s="583"/>
    </row>
    <row r="71" spans="2:14" ht="11.25" customHeight="1">
      <c r="B71" s="583"/>
      <c r="C71" s="583"/>
      <c r="D71" s="583"/>
      <c r="E71" s="583"/>
      <c r="F71" s="583"/>
      <c r="G71" s="583"/>
      <c r="H71" s="583"/>
      <c r="I71" s="583"/>
      <c r="J71" s="583"/>
      <c r="K71" s="583"/>
      <c r="L71" s="583"/>
      <c r="M71" s="583"/>
      <c r="N71" s="583"/>
    </row>
    <row r="72" spans="2:14" ht="11.25" customHeight="1">
      <c r="B72" s="583"/>
      <c r="C72" s="583"/>
      <c r="D72" s="583"/>
      <c r="E72" s="583"/>
      <c r="F72" s="583"/>
      <c r="G72" s="583"/>
      <c r="H72" s="583"/>
      <c r="I72" s="583"/>
      <c r="J72" s="583"/>
      <c r="K72" s="583"/>
      <c r="L72" s="583"/>
      <c r="M72" s="583"/>
      <c r="N72" s="583"/>
    </row>
    <row r="73" spans="2:14" ht="11.25" customHeight="1">
      <c r="B73" s="583"/>
      <c r="C73" s="583"/>
      <c r="D73" s="583"/>
      <c r="E73" s="583"/>
      <c r="F73" s="583"/>
      <c r="G73" s="583"/>
      <c r="H73" s="583"/>
      <c r="I73" s="583"/>
      <c r="J73" s="583"/>
      <c r="K73" s="583"/>
      <c r="L73" s="583"/>
      <c r="M73" s="583"/>
      <c r="N73" s="583"/>
    </row>
    <row r="74" spans="2:14" ht="11.25" customHeight="1">
      <c r="B74" s="583"/>
      <c r="C74" s="583"/>
      <c r="D74" s="583"/>
      <c r="E74" s="583"/>
      <c r="F74" s="583"/>
      <c r="G74" s="583"/>
      <c r="H74" s="583"/>
      <c r="I74" s="583"/>
      <c r="J74" s="583"/>
      <c r="K74" s="583"/>
      <c r="L74" s="583"/>
      <c r="M74" s="583"/>
      <c r="N74" s="583"/>
    </row>
    <row r="75" spans="2:14" ht="16.5" customHeight="1">
      <c r="B75" s="583"/>
      <c r="C75" s="583"/>
      <c r="D75" s="583"/>
      <c r="E75" s="583"/>
      <c r="F75" s="583"/>
      <c r="G75" s="583"/>
      <c r="H75" s="583"/>
      <c r="I75" s="583"/>
      <c r="J75" s="583"/>
      <c r="K75" s="583"/>
      <c r="L75" s="583"/>
      <c r="M75" s="583"/>
      <c r="N75" s="583"/>
    </row>
    <row r="76" spans="2:14" ht="11.25" customHeight="1">
      <c r="B76" s="583" t="s">
        <v>216</v>
      </c>
      <c r="C76" s="583"/>
      <c r="D76" s="583"/>
      <c r="E76" s="583"/>
      <c r="F76" s="583"/>
      <c r="G76" s="583"/>
      <c r="H76" s="583"/>
      <c r="I76" s="583"/>
      <c r="J76" s="583"/>
      <c r="K76" s="583"/>
      <c r="L76" s="583"/>
      <c r="M76" s="583"/>
      <c r="N76" s="583"/>
    </row>
    <row r="77" spans="2:14" ht="11.25" customHeight="1">
      <c r="B77" s="583"/>
      <c r="C77" s="583"/>
      <c r="D77" s="583"/>
      <c r="E77" s="583"/>
      <c r="F77" s="583"/>
      <c r="G77" s="583"/>
      <c r="H77" s="583"/>
      <c r="I77" s="583"/>
      <c r="J77" s="583"/>
      <c r="K77" s="583"/>
      <c r="L77" s="583"/>
      <c r="M77" s="583"/>
      <c r="N77" s="583"/>
    </row>
    <row r="78" spans="2:14" ht="11.25" customHeight="1">
      <c r="B78" s="583"/>
      <c r="C78" s="583"/>
      <c r="D78" s="583"/>
      <c r="E78" s="583"/>
      <c r="F78" s="583"/>
      <c r="G78" s="583"/>
      <c r="H78" s="583"/>
      <c r="I78" s="583"/>
      <c r="J78" s="583"/>
      <c r="K78" s="583"/>
      <c r="L78" s="583"/>
      <c r="M78" s="583"/>
      <c r="N78" s="583"/>
    </row>
    <row r="79" spans="2:14" ht="11.25" customHeight="1">
      <c r="B79" s="583"/>
      <c r="C79" s="583"/>
      <c r="D79" s="583"/>
      <c r="E79" s="583"/>
      <c r="F79" s="583"/>
      <c r="G79" s="583"/>
      <c r="H79" s="583"/>
      <c r="I79" s="583"/>
      <c r="J79" s="583"/>
      <c r="K79" s="583"/>
      <c r="L79" s="583"/>
      <c r="M79" s="583"/>
      <c r="N79" s="583"/>
    </row>
    <row r="80" spans="2:14" ht="11.25" customHeight="1">
      <c r="B80" s="583" t="s">
        <v>325</v>
      </c>
      <c r="C80" s="583"/>
      <c r="D80" s="583"/>
      <c r="E80" s="583"/>
      <c r="F80" s="583"/>
      <c r="G80" s="583"/>
      <c r="H80" s="583"/>
      <c r="I80" s="583"/>
      <c r="J80" s="583"/>
      <c r="K80" s="583"/>
      <c r="L80" s="583"/>
      <c r="M80" s="583"/>
      <c r="N80" s="583"/>
    </row>
    <row r="81" spans="2:14" ht="11.25" customHeight="1">
      <c r="B81" s="583"/>
      <c r="C81" s="583"/>
      <c r="D81" s="583"/>
      <c r="E81" s="583"/>
      <c r="F81" s="583"/>
      <c r="G81" s="583"/>
      <c r="H81" s="583"/>
      <c r="I81" s="583"/>
      <c r="J81" s="583"/>
      <c r="K81" s="583"/>
      <c r="L81" s="583"/>
      <c r="M81" s="583"/>
      <c r="N81" s="583"/>
    </row>
    <row r="82" spans="2:14" ht="11.25" customHeight="1">
      <c r="B82" s="583"/>
      <c r="C82" s="583"/>
      <c r="D82" s="583"/>
      <c r="E82" s="583"/>
      <c r="F82" s="583"/>
      <c r="G82" s="583"/>
      <c r="H82" s="583"/>
      <c r="I82" s="583"/>
      <c r="J82" s="583"/>
      <c r="K82" s="583"/>
      <c r="L82" s="583"/>
      <c r="M82" s="583"/>
      <c r="N82" s="583"/>
    </row>
    <row r="83" spans="2:14" ht="11.25" customHeight="1">
      <c r="B83" s="583"/>
      <c r="C83" s="583"/>
      <c r="D83" s="583"/>
      <c r="E83" s="583"/>
      <c r="F83" s="583"/>
      <c r="G83" s="583"/>
      <c r="H83" s="583"/>
      <c r="I83" s="583"/>
      <c r="J83" s="583"/>
      <c r="K83" s="583"/>
      <c r="L83" s="583"/>
      <c r="M83" s="583"/>
      <c r="N83" s="583"/>
    </row>
    <row r="84" spans="2:14" ht="11.25" customHeight="1">
      <c r="B84" s="583"/>
      <c r="C84" s="583"/>
      <c r="D84" s="583"/>
      <c r="E84" s="583"/>
      <c r="F84" s="583"/>
      <c r="G84" s="583"/>
      <c r="H84" s="583"/>
      <c r="I84" s="583"/>
      <c r="J84" s="583"/>
      <c r="K84" s="583"/>
      <c r="L84" s="583"/>
      <c r="M84" s="583"/>
      <c r="N84" s="583"/>
    </row>
    <row r="85" spans="2:14" ht="11.25" customHeight="1">
      <c r="B85" s="583" t="s">
        <v>217</v>
      </c>
      <c r="C85" s="583"/>
      <c r="D85" s="583"/>
      <c r="E85" s="583"/>
      <c r="F85" s="583"/>
      <c r="G85" s="583"/>
      <c r="H85" s="583"/>
      <c r="I85" s="583"/>
      <c r="J85" s="583"/>
      <c r="K85" s="583"/>
      <c r="L85" s="583"/>
      <c r="M85" s="583"/>
      <c r="N85" s="583"/>
    </row>
    <row r="86" spans="2:14" ht="11.25" customHeight="1">
      <c r="B86" s="583"/>
      <c r="C86" s="583"/>
      <c r="D86" s="583"/>
      <c r="E86" s="583"/>
      <c r="F86" s="583"/>
      <c r="G86" s="583"/>
      <c r="H86" s="583"/>
      <c r="I86" s="583"/>
      <c r="J86" s="583"/>
      <c r="K86" s="583"/>
      <c r="L86" s="583"/>
      <c r="M86" s="583"/>
      <c r="N86" s="583"/>
    </row>
    <row r="87" spans="2:14" ht="11.25" customHeight="1">
      <c r="B87" s="583"/>
      <c r="C87" s="583"/>
      <c r="D87" s="583"/>
      <c r="E87" s="583"/>
      <c r="F87" s="583"/>
      <c r="G87" s="583"/>
      <c r="H87" s="583"/>
      <c r="I87" s="583"/>
      <c r="J87" s="583"/>
      <c r="K87" s="583"/>
      <c r="L87" s="583"/>
      <c r="M87" s="583"/>
      <c r="N87" s="583"/>
    </row>
    <row r="88" spans="2:14" ht="11.25" customHeight="1">
      <c r="B88" s="583"/>
      <c r="C88" s="583"/>
      <c r="D88" s="583"/>
      <c r="E88" s="583"/>
      <c r="F88" s="583"/>
      <c r="G88" s="583"/>
      <c r="H88" s="583"/>
      <c r="I88" s="583"/>
      <c r="J88" s="583"/>
      <c r="K88" s="583"/>
      <c r="L88" s="583"/>
      <c r="M88" s="583"/>
      <c r="N88" s="583"/>
    </row>
    <row r="89" spans="2:14" ht="11.25" customHeight="1">
      <c r="B89" s="583"/>
      <c r="C89" s="583"/>
      <c r="D89" s="583"/>
      <c r="E89" s="583"/>
      <c r="F89" s="583"/>
      <c r="G89" s="583"/>
      <c r="H89" s="583"/>
      <c r="I89" s="583"/>
      <c r="J89" s="583"/>
      <c r="K89" s="583"/>
      <c r="L89" s="583"/>
      <c r="M89" s="583"/>
      <c r="N89" s="583"/>
    </row>
    <row r="90" spans="2:14" ht="11.25" customHeight="1">
      <c r="B90" s="583" t="s">
        <v>218</v>
      </c>
      <c r="C90" s="583"/>
      <c r="D90" s="583"/>
      <c r="E90" s="583"/>
      <c r="F90" s="583"/>
      <c r="G90" s="583"/>
      <c r="H90" s="583"/>
      <c r="I90" s="583"/>
      <c r="J90" s="583"/>
      <c r="K90" s="583"/>
      <c r="L90" s="583"/>
      <c r="M90" s="583"/>
      <c r="N90" s="583"/>
    </row>
    <row r="91" spans="2:14" ht="16.5" customHeight="1">
      <c r="B91" s="583"/>
      <c r="C91" s="583"/>
      <c r="D91" s="583"/>
      <c r="E91" s="583"/>
      <c r="F91" s="583"/>
      <c r="G91" s="583"/>
      <c r="H91" s="583"/>
      <c r="I91" s="583"/>
      <c r="J91" s="583"/>
      <c r="K91" s="583"/>
      <c r="L91" s="583"/>
      <c r="M91" s="583"/>
      <c r="N91" s="583"/>
    </row>
    <row r="92" ht="11.25" customHeight="1"/>
    <row r="93" spans="2:14" ht="11.25" customHeight="1">
      <c r="B93" s="584" t="s">
        <v>225</v>
      </c>
      <c r="C93" s="583"/>
      <c r="D93" s="583"/>
      <c r="E93" s="583"/>
      <c r="F93" s="583"/>
      <c r="G93" s="583"/>
      <c r="H93" s="583"/>
      <c r="I93" s="583"/>
      <c r="J93" s="583"/>
      <c r="K93" s="583"/>
      <c r="L93" s="583"/>
      <c r="M93" s="583"/>
      <c r="N93" s="583"/>
    </row>
    <row r="94" spans="2:14" ht="11.25" customHeight="1">
      <c r="B94" s="583" t="s">
        <v>15</v>
      </c>
      <c r="C94" s="574"/>
      <c r="D94" s="574"/>
      <c r="E94" s="574"/>
      <c r="F94" s="574"/>
      <c r="G94" s="574"/>
      <c r="H94" s="574"/>
      <c r="I94" s="574"/>
      <c r="J94" s="574"/>
      <c r="K94" s="574"/>
      <c r="L94" s="574"/>
      <c r="M94" s="574"/>
      <c r="N94" s="574"/>
    </row>
    <row r="95" spans="2:14" ht="11.25" customHeight="1">
      <c r="B95" s="574"/>
      <c r="C95" s="574"/>
      <c r="D95" s="574"/>
      <c r="E95" s="574"/>
      <c r="F95" s="574"/>
      <c r="G95" s="574"/>
      <c r="H95" s="574"/>
      <c r="I95" s="574"/>
      <c r="J95" s="574"/>
      <c r="K95" s="574"/>
      <c r="L95" s="574"/>
      <c r="M95" s="574"/>
      <c r="N95" s="574"/>
    </row>
    <row r="96" spans="2:14" ht="15" customHeight="1">
      <c r="B96" s="574"/>
      <c r="C96" s="574"/>
      <c r="D96" s="574"/>
      <c r="E96" s="574"/>
      <c r="F96" s="574"/>
      <c r="G96" s="574"/>
      <c r="H96" s="574"/>
      <c r="I96" s="574"/>
      <c r="J96" s="574"/>
      <c r="K96" s="574"/>
      <c r="L96" s="574"/>
      <c r="M96" s="574"/>
      <c r="N96" s="574"/>
    </row>
    <row r="97" ht="11.25" customHeight="1"/>
    <row r="98" ht="11.25" customHeight="1">
      <c r="B98" s="334" t="s">
        <v>219</v>
      </c>
    </row>
    <row r="99" spans="2:14" ht="11.25" customHeight="1">
      <c r="B99" s="583" t="s">
        <v>323</v>
      </c>
      <c r="C99" s="583"/>
      <c r="D99" s="583"/>
      <c r="E99" s="583"/>
      <c r="F99" s="583"/>
      <c r="G99" s="583"/>
      <c r="H99" s="583"/>
      <c r="I99" s="583"/>
      <c r="J99" s="583"/>
      <c r="K99" s="583"/>
      <c r="L99" s="583"/>
      <c r="M99" s="583"/>
      <c r="N99" s="583"/>
    </row>
    <row r="100" spans="2:18" ht="11.25" customHeight="1">
      <c r="B100" s="583"/>
      <c r="C100" s="583"/>
      <c r="D100" s="583"/>
      <c r="E100" s="583"/>
      <c r="F100" s="583"/>
      <c r="G100" s="583"/>
      <c r="H100" s="583"/>
      <c r="I100" s="583"/>
      <c r="J100" s="583"/>
      <c r="K100" s="583"/>
      <c r="L100" s="583"/>
      <c r="M100" s="583"/>
      <c r="N100" s="583"/>
      <c r="R100" s="22">
        <v>95</v>
      </c>
    </row>
    <row r="101" spans="2:14" ht="16.5" customHeight="1">
      <c r="B101" s="583"/>
      <c r="C101" s="583"/>
      <c r="D101" s="583"/>
      <c r="E101" s="583"/>
      <c r="F101" s="583"/>
      <c r="G101" s="583"/>
      <c r="H101" s="583"/>
      <c r="I101" s="583"/>
      <c r="J101" s="583"/>
      <c r="K101" s="583"/>
      <c r="L101" s="583"/>
      <c r="M101" s="583"/>
      <c r="N101" s="583"/>
    </row>
    <row r="102" spans="2:14" ht="11.25" customHeight="1">
      <c r="B102" s="583" t="s">
        <v>324</v>
      </c>
      <c r="C102" s="583"/>
      <c r="D102" s="583"/>
      <c r="E102" s="583"/>
      <c r="F102" s="583"/>
      <c r="G102" s="583"/>
      <c r="H102" s="583"/>
      <c r="I102" s="583"/>
      <c r="J102" s="583"/>
      <c r="K102" s="583"/>
      <c r="L102" s="583"/>
      <c r="M102" s="583"/>
      <c r="N102" s="583"/>
    </row>
    <row r="103" spans="2:14" ht="11.25" customHeight="1">
      <c r="B103" s="583"/>
      <c r="C103" s="583"/>
      <c r="D103" s="583"/>
      <c r="E103" s="583"/>
      <c r="F103" s="583"/>
      <c r="G103" s="583"/>
      <c r="H103" s="583"/>
      <c r="I103" s="583"/>
      <c r="J103" s="583"/>
      <c r="K103" s="583"/>
      <c r="L103" s="583"/>
      <c r="M103" s="583"/>
      <c r="N103" s="583"/>
    </row>
    <row r="104" spans="2:14" ht="11.25" customHeight="1">
      <c r="B104" s="583"/>
      <c r="C104" s="583"/>
      <c r="D104" s="583"/>
      <c r="E104" s="583"/>
      <c r="F104" s="583"/>
      <c r="G104" s="583"/>
      <c r="H104" s="583"/>
      <c r="I104" s="583"/>
      <c r="J104" s="583"/>
      <c r="K104" s="583"/>
      <c r="L104" s="583"/>
      <c r="M104" s="583"/>
      <c r="N104" s="583"/>
    </row>
    <row r="105" spans="2:14" ht="11.25" customHeight="1">
      <c r="B105" s="583"/>
      <c r="C105" s="583"/>
      <c r="D105" s="583"/>
      <c r="E105" s="583"/>
      <c r="F105" s="583"/>
      <c r="G105" s="583"/>
      <c r="H105" s="583"/>
      <c r="I105" s="583"/>
      <c r="J105" s="583"/>
      <c r="K105" s="583"/>
      <c r="L105" s="583"/>
      <c r="M105" s="583"/>
      <c r="N105" s="583"/>
    </row>
    <row r="106" spans="2:14" ht="11.25" customHeight="1">
      <c r="B106" s="583"/>
      <c r="C106" s="583"/>
      <c r="D106" s="583"/>
      <c r="E106" s="583"/>
      <c r="F106" s="583"/>
      <c r="G106" s="583"/>
      <c r="H106" s="583"/>
      <c r="I106" s="583"/>
      <c r="J106" s="583"/>
      <c r="K106" s="583"/>
      <c r="L106" s="583"/>
      <c r="M106" s="583"/>
      <c r="N106" s="583"/>
    </row>
    <row r="107" spans="2:14" ht="11.25" customHeight="1">
      <c r="B107" s="583"/>
      <c r="C107" s="583"/>
      <c r="D107" s="583"/>
      <c r="E107" s="583"/>
      <c r="F107" s="583"/>
      <c r="G107" s="583"/>
      <c r="H107" s="583"/>
      <c r="I107" s="583"/>
      <c r="J107" s="583"/>
      <c r="K107" s="583"/>
      <c r="L107" s="583"/>
      <c r="M107" s="583"/>
      <c r="N107" s="583"/>
    </row>
    <row r="108" spans="2:14" ht="11.25" customHeight="1">
      <c r="B108" s="336"/>
      <c r="C108" s="336"/>
      <c r="D108" s="336"/>
      <c r="E108" s="336"/>
      <c r="F108" s="336"/>
      <c r="G108" s="336"/>
      <c r="H108" s="336"/>
      <c r="I108" s="336"/>
      <c r="J108" s="336"/>
      <c r="K108" s="336"/>
      <c r="L108" s="336"/>
      <c r="M108" s="336"/>
      <c r="N108" s="336"/>
    </row>
    <row r="109" ht="11.25" customHeight="1">
      <c r="B109" s="334" t="s">
        <v>220</v>
      </c>
    </row>
    <row r="110" ht="11.25" customHeight="1">
      <c r="B110" s="22" t="s">
        <v>222</v>
      </c>
    </row>
    <row r="111" ht="11.25" customHeight="1"/>
    <row r="112" ht="11.25" customHeight="1">
      <c r="B112" s="334" t="s">
        <v>221</v>
      </c>
    </row>
    <row r="113" spans="2:14" ht="11.25" customHeight="1">
      <c r="B113" s="583" t="s">
        <v>223</v>
      </c>
      <c r="C113" s="583"/>
      <c r="D113" s="583"/>
      <c r="E113" s="583"/>
      <c r="F113" s="583"/>
      <c r="G113" s="583"/>
      <c r="H113" s="583"/>
      <c r="I113" s="583"/>
      <c r="J113" s="583"/>
      <c r="K113" s="583"/>
      <c r="L113" s="583"/>
      <c r="M113" s="583"/>
      <c r="N113" s="583"/>
    </row>
    <row r="114" spans="2:14" ht="11.25" customHeight="1">
      <c r="B114" s="583"/>
      <c r="C114" s="583"/>
      <c r="D114" s="583"/>
      <c r="E114" s="583"/>
      <c r="F114" s="583"/>
      <c r="G114" s="583"/>
      <c r="H114" s="583"/>
      <c r="I114" s="583"/>
      <c r="J114" s="583"/>
      <c r="K114" s="583"/>
      <c r="L114" s="583"/>
      <c r="M114" s="583"/>
      <c r="N114" s="583"/>
    </row>
    <row r="115" spans="2:14" ht="11.25" customHeight="1">
      <c r="B115" s="337"/>
      <c r="C115" s="337"/>
      <c r="D115" s="337"/>
      <c r="E115" s="337"/>
      <c r="F115" s="337"/>
      <c r="G115" s="337"/>
      <c r="H115" s="337"/>
      <c r="I115" s="337"/>
      <c r="J115" s="337"/>
      <c r="K115" s="337"/>
      <c r="L115" s="337"/>
      <c r="M115" s="337"/>
      <c r="N115" s="337"/>
    </row>
    <row r="116" ht="11.25" customHeight="1"/>
    <row r="117" ht="11.25" customHeight="1">
      <c r="B117" s="334" t="s">
        <v>242</v>
      </c>
    </row>
    <row r="118" spans="2:14" ht="11.25" customHeight="1">
      <c r="B118" s="583" t="s">
        <v>246</v>
      </c>
      <c r="C118" s="583"/>
      <c r="D118" s="583"/>
      <c r="E118" s="583"/>
      <c r="F118" s="583"/>
      <c r="G118" s="583"/>
      <c r="H118" s="583"/>
      <c r="I118" s="583"/>
      <c r="J118" s="583"/>
      <c r="K118" s="583"/>
      <c r="L118" s="583"/>
      <c r="M118" s="583"/>
      <c r="N118" s="583"/>
    </row>
    <row r="119" spans="2:14" ht="17.25" customHeight="1">
      <c r="B119" s="583"/>
      <c r="C119" s="583"/>
      <c r="D119" s="583"/>
      <c r="E119" s="583"/>
      <c r="F119" s="583"/>
      <c r="G119" s="583"/>
      <c r="H119" s="583"/>
      <c r="I119" s="583"/>
      <c r="J119" s="583"/>
      <c r="K119" s="583"/>
      <c r="L119" s="583"/>
      <c r="M119" s="583"/>
      <c r="N119" s="583"/>
    </row>
    <row r="120" spans="2:14" ht="11.25" customHeight="1">
      <c r="B120" s="335"/>
      <c r="C120" s="335"/>
      <c r="D120" s="335"/>
      <c r="E120" s="335"/>
      <c r="F120" s="335"/>
      <c r="G120" s="335"/>
      <c r="H120" s="335"/>
      <c r="I120" s="335"/>
      <c r="J120" s="335"/>
      <c r="K120" s="335"/>
      <c r="L120" s="335"/>
      <c r="M120" s="335"/>
      <c r="N120" s="335"/>
    </row>
    <row r="121" ht="11.25" customHeight="1">
      <c r="B121" s="338" t="s">
        <v>240</v>
      </c>
    </row>
    <row r="122" spans="2:14" ht="11.25" customHeight="1">
      <c r="B122" s="583" t="s">
        <v>315</v>
      </c>
      <c r="C122" s="583"/>
      <c r="D122" s="583"/>
      <c r="E122" s="583"/>
      <c r="F122" s="583"/>
      <c r="G122" s="583"/>
      <c r="H122" s="583"/>
      <c r="I122" s="583"/>
      <c r="J122" s="583"/>
      <c r="K122" s="583"/>
      <c r="L122" s="583"/>
      <c r="M122" s="583"/>
      <c r="N122" s="583"/>
    </row>
    <row r="123" spans="2:14" ht="11.25" customHeight="1">
      <c r="B123" s="335"/>
      <c r="C123" s="335"/>
      <c r="D123" s="335"/>
      <c r="E123" s="335"/>
      <c r="F123" s="335"/>
      <c r="G123" s="335"/>
      <c r="H123" s="335"/>
      <c r="I123" s="335"/>
      <c r="J123" s="335"/>
      <c r="K123" s="335"/>
      <c r="L123" s="335"/>
      <c r="M123" s="335"/>
      <c r="N123" s="335"/>
    </row>
    <row r="124" spans="2:14" ht="11.25" customHeight="1">
      <c r="B124" s="583" t="s">
        <v>313</v>
      </c>
      <c r="C124" s="583"/>
      <c r="D124" s="583"/>
      <c r="E124" s="583"/>
      <c r="F124" s="583"/>
      <c r="G124" s="583"/>
      <c r="H124" s="583"/>
      <c r="I124" s="583"/>
      <c r="J124" s="583"/>
      <c r="K124" s="583"/>
      <c r="L124" s="583"/>
      <c r="M124" s="583"/>
      <c r="N124" s="583"/>
    </row>
    <row r="125" spans="2:14" ht="11.25" customHeight="1">
      <c r="B125" s="583"/>
      <c r="C125" s="583"/>
      <c r="D125" s="583"/>
      <c r="E125" s="583"/>
      <c r="F125" s="583"/>
      <c r="G125" s="583"/>
      <c r="H125" s="583"/>
      <c r="I125" s="583"/>
      <c r="J125" s="583"/>
      <c r="K125" s="583"/>
      <c r="L125" s="583"/>
      <c r="M125" s="583"/>
      <c r="N125" s="583"/>
    </row>
    <row r="126" ht="11.25" customHeight="1"/>
    <row r="127" ht="11.25" customHeight="1">
      <c r="B127" s="334" t="s">
        <v>241</v>
      </c>
    </row>
    <row r="128" spans="2:14" ht="11.25" customHeight="1">
      <c r="B128" s="583" t="s">
        <v>314</v>
      </c>
      <c r="C128" s="583"/>
      <c r="D128" s="583"/>
      <c r="E128" s="583"/>
      <c r="F128" s="583"/>
      <c r="G128" s="583"/>
      <c r="H128" s="583"/>
      <c r="I128" s="583"/>
      <c r="J128" s="583"/>
      <c r="K128" s="583"/>
      <c r="L128" s="583"/>
      <c r="M128" s="583"/>
      <c r="N128" s="583"/>
    </row>
    <row r="129" spans="2:14" ht="11.25" customHeight="1">
      <c r="B129" s="583"/>
      <c r="C129" s="583"/>
      <c r="D129" s="583"/>
      <c r="E129" s="583"/>
      <c r="F129" s="583"/>
      <c r="G129" s="583"/>
      <c r="H129" s="583"/>
      <c r="I129" s="583"/>
      <c r="J129" s="583"/>
      <c r="K129" s="583"/>
      <c r="L129" s="583"/>
      <c r="M129" s="583"/>
      <c r="N129" s="583"/>
    </row>
    <row r="130" spans="2:14" ht="21" customHeight="1">
      <c r="B130" s="583"/>
      <c r="C130" s="583"/>
      <c r="D130" s="583"/>
      <c r="E130" s="583"/>
      <c r="F130" s="583"/>
      <c r="G130" s="583"/>
      <c r="H130" s="583"/>
      <c r="I130" s="583"/>
      <c r="J130" s="583"/>
      <c r="K130" s="583"/>
      <c r="L130" s="583"/>
      <c r="M130" s="583"/>
      <c r="N130" s="583"/>
    </row>
  </sheetData>
  <sheetProtection password="E296" sheet="1" objects="1" scenarios="1"/>
  <mergeCells count="27">
    <mergeCell ref="B128:N130"/>
    <mergeCell ref="B102:N107"/>
    <mergeCell ref="B113:N114"/>
    <mergeCell ref="B122:N122"/>
    <mergeCell ref="B118:N119"/>
    <mergeCell ref="B124:N125"/>
    <mergeCell ref="B4:N8"/>
    <mergeCell ref="B55:N56"/>
    <mergeCell ref="B57:N58"/>
    <mergeCell ref="B59:N61"/>
    <mergeCell ref="B99:N101"/>
    <mergeCell ref="B19:N20"/>
    <mergeCell ref="B28:N31"/>
    <mergeCell ref="B34:N36"/>
    <mergeCell ref="B39:N40"/>
    <mergeCell ref="B45:N52"/>
    <mergeCell ref="B64:N66"/>
    <mergeCell ref="B70:N75"/>
    <mergeCell ref="B93:N93"/>
    <mergeCell ref="B76:N79"/>
    <mergeCell ref="B94:N96"/>
    <mergeCell ref="B11:N14"/>
    <mergeCell ref="B67:N69"/>
    <mergeCell ref="B15:N16"/>
    <mergeCell ref="B80:N84"/>
    <mergeCell ref="B85:N89"/>
    <mergeCell ref="B90:N91"/>
  </mergeCells>
  <printOptions/>
  <pageMargins left="0.75" right="0.75" top="1" bottom="1" header="0.5" footer="0.5"/>
  <pageSetup firstPageNumber="2" useFirstPageNumber="1" horizontalDpi="600" verticalDpi="600" orientation="landscape" paperSize="9" scale="83" r:id="rId2"/>
  <headerFooter alignWithMargins="0">
    <oddHeader>&amp;LAWBZ-BREED CALCULATIEMODEL RENTEKOSTEN 2009&amp;R&amp;G</oddHeader>
    <oddFooter>&amp;R&amp;P</oddFooter>
  </headerFooter>
  <rowBreaks count="2" manualBreakCount="2">
    <brk id="41" max="14" man="1"/>
    <brk id="84" max="14" man="1"/>
  </rowBreaks>
  <legacyDrawingHF r:id="rId1"/>
</worksheet>
</file>

<file path=xl/worksheets/sheet4.xml><?xml version="1.0" encoding="utf-8"?>
<worksheet xmlns="http://schemas.openxmlformats.org/spreadsheetml/2006/main" xmlns:r="http://schemas.openxmlformats.org/officeDocument/2006/relationships">
  <sheetPr codeName="Blad13"/>
  <dimension ref="A1:M92"/>
  <sheetViews>
    <sheetView showGridLines="0" zoomScale="95" zoomScaleNormal="95" zoomScaleSheetLayoutView="95" workbookViewId="0" topLeftCell="A1">
      <selection activeCell="A1" sqref="A1"/>
    </sheetView>
  </sheetViews>
  <sheetFormatPr defaultColWidth="9.140625" defaultRowHeight="12.75" zeroHeight="1"/>
  <cols>
    <col min="1" max="1" width="5.7109375" style="45" customWidth="1"/>
    <col min="2" max="2" width="46.7109375" style="5" customWidth="1"/>
    <col min="3" max="6" width="17.7109375" style="3" customWidth="1"/>
    <col min="7" max="7" width="17.7109375" style="5" customWidth="1"/>
    <col min="8" max="8" width="2.57421875" style="5" customWidth="1"/>
    <col min="9" max="9" width="10.7109375" style="5" hidden="1" customWidth="1"/>
    <col min="10" max="10" width="10.7109375" style="6" hidden="1" customWidth="1"/>
    <col min="11" max="15" width="10.7109375" style="5" hidden="1" customWidth="1"/>
    <col min="16" max="23" width="0" style="5" hidden="1" customWidth="1"/>
    <col min="24" max="24" width="1.7109375" style="5" hidden="1" customWidth="1"/>
    <col min="25" max="16384" width="0" style="5" hidden="1" customWidth="1"/>
  </cols>
  <sheetData>
    <row r="1" spans="1:7" ht="12.75" customHeight="1">
      <c r="A1" s="16" t="s">
        <v>37</v>
      </c>
      <c r="C1" s="24"/>
      <c r="D1" s="24"/>
      <c r="E1" s="268" t="b">
        <f>'Rentecalc.'!I4</f>
        <v>1</v>
      </c>
      <c r="F1" s="24"/>
      <c r="G1" s="6"/>
    </row>
    <row r="2" spans="1:6" ht="12.75" customHeight="1">
      <c r="A2" s="339" t="s">
        <v>202</v>
      </c>
      <c r="B2" s="340" t="s">
        <v>203</v>
      </c>
      <c r="C2" s="24"/>
      <c r="D2" s="24"/>
      <c r="E2" s="24"/>
      <c r="F2" s="24"/>
    </row>
    <row r="3" s="8" customFormat="1" ht="12.75" customHeight="1">
      <c r="B3" s="5" t="s">
        <v>17</v>
      </c>
    </row>
    <row r="4" spans="1:7" s="8" customFormat="1" ht="12" customHeight="1">
      <c r="A4" s="341"/>
      <c r="B4" s="342"/>
      <c r="C4" s="343" t="s">
        <v>125</v>
      </c>
      <c r="D4" s="344" t="s">
        <v>46</v>
      </c>
      <c r="E4" s="345" t="s">
        <v>119</v>
      </c>
      <c r="F4" s="586" t="s">
        <v>93</v>
      </c>
      <c r="G4" s="587"/>
    </row>
    <row r="5" spans="1:7" s="6" customFormat="1" ht="12" customHeight="1">
      <c r="A5" s="339"/>
      <c r="B5" s="346"/>
      <c r="C5" s="347"/>
      <c r="D5" s="347"/>
      <c r="E5" s="347"/>
      <c r="F5" s="348" t="s">
        <v>118</v>
      </c>
      <c r="G5" s="349" t="s">
        <v>113</v>
      </c>
    </row>
    <row r="6" spans="1:10" ht="12" customHeight="1">
      <c r="A6" s="313">
        <v>501</v>
      </c>
      <c r="B6" s="350" t="str">
        <f>CONCATENATE("Stand per 31-12-",'Rentecalc.'!J1-1)</f>
        <v>Stand per 31-12-2008</v>
      </c>
      <c r="C6" s="56"/>
      <c r="D6" s="77">
        <v>0</v>
      </c>
      <c r="E6" s="78">
        <f>C6-D6</f>
        <v>0</v>
      </c>
      <c r="F6" s="351">
        <v>1</v>
      </c>
      <c r="G6" s="51">
        <f>E6*F6</f>
        <v>0</v>
      </c>
      <c r="J6" s="5"/>
    </row>
    <row r="7" spans="1:10" ht="12" customHeight="1">
      <c r="A7" s="313">
        <f aca="true" t="shared" si="0" ref="A7:A20">A6+1</f>
        <v>502</v>
      </c>
      <c r="B7" s="352" t="str">
        <f>CONCATENATE("Geheel afgeschreven in ",'Rentecalc.'!J1-1)</f>
        <v>Geheel afgeschreven in 2008</v>
      </c>
      <c r="C7" s="39"/>
      <c r="D7" s="56"/>
      <c r="E7" s="78">
        <f>C7-D7</f>
        <v>0</v>
      </c>
      <c r="F7" s="353"/>
      <c r="G7" s="51"/>
      <c r="J7" s="5"/>
    </row>
    <row r="8" spans="1:10" ht="12" customHeight="1">
      <c r="A8" s="313">
        <f t="shared" si="0"/>
        <v>503</v>
      </c>
      <c r="B8" s="352" t="s">
        <v>52</v>
      </c>
      <c r="C8" s="56"/>
      <c r="D8" s="77"/>
      <c r="E8" s="78">
        <f aca="true" t="shared" si="1" ref="E8:E19">C8-D8</f>
        <v>0</v>
      </c>
      <c r="F8" s="351">
        <v>0.9583</v>
      </c>
      <c r="G8" s="51">
        <f aca="true" t="shared" si="2" ref="G8:G19">E8*F8</f>
        <v>0</v>
      </c>
      <c r="J8" s="5"/>
    </row>
    <row r="9" spans="1:10" ht="12" customHeight="1">
      <c r="A9" s="313">
        <f t="shared" si="0"/>
        <v>504</v>
      </c>
      <c r="B9" s="352" t="s">
        <v>53</v>
      </c>
      <c r="C9" s="56"/>
      <c r="D9" s="77">
        <v>0</v>
      </c>
      <c r="E9" s="78">
        <f t="shared" si="1"/>
        <v>0</v>
      </c>
      <c r="F9" s="351">
        <v>0.875</v>
      </c>
      <c r="G9" s="51">
        <f t="shared" si="2"/>
        <v>0</v>
      </c>
      <c r="J9" s="5"/>
    </row>
    <row r="10" spans="1:10" ht="12" customHeight="1">
      <c r="A10" s="313">
        <f t="shared" si="0"/>
        <v>505</v>
      </c>
      <c r="B10" s="352" t="s">
        <v>54</v>
      </c>
      <c r="C10" s="56"/>
      <c r="D10" s="77">
        <v>0</v>
      </c>
      <c r="E10" s="78">
        <f t="shared" si="1"/>
        <v>0</v>
      </c>
      <c r="F10" s="351">
        <v>0.7917</v>
      </c>
      <c r="G10" s="51">
        <f t="shared" si="2"/>
        <v>0</v>
      </c>
      <c r="J10" s="5"/>
    </row>
    <row r="11" spans="1:10" ht="12" customHeight="1">
      <c r="A11" s="313">
        <f t="shared" si="0"/>
        <v>506</v>
      </c>
      <c r="B11" s="352" t="s">
        <v>55</v>
      </c>
      <c r="C11" s="56"/>
      <c r="D11" s="77">
        <v>0</v>
      </c>
      <c r="E11" s="78">
        <f t="shared" si="1"/>
        <v>0</v>
      </c>
      <c r="F11" s="351">
        <v>0.7083</v>
      </c>
      <c r="G11" s="51">
        <f t="shared" si="2"/>
        <v>0</v>
      </c>
      <c r="J11" s="5"/>
    </row>
    <row r="12" spans="1:10" ht="12" customHeight="1">
      <c r="A12" s="313">
        <f t="shared" si="0"/>
        <v>507</v>
      </c>
      <c r="B12" s="352" t="s">
        <v>56</v>
      </c>
      <c r="C12" s="56"/>
      <c r="D12" s="77">
        <v>0</v>
      </c>
      <c r="E12" s="78">
        <f t="shared" si="1"/>
        <v>0</v>
      </c>
      <c r="F12" s="351">
        <v>0.625</v>
      </c>
      <c r="G12" s="51">
        <f t="shared" si="2"/>
        <v>0</v>
      </c>
      <c r="J12" s="5"/>
    </row>
    <row r="13" spans="1:10" ht="12" customHeight="1">
      <c r="A13" s="313">
        <f t="shared" si="0"/>
        <v>508</v>
      </c>
      <c r="B13" s="352" t="s">
        <v>57</v>
      </c>
      <c r="C13" s="56"/>
      <c r="D13" s="77">
        <v>0</v>
      </c>
      <c r="E13" s="78">
        <f t="shared" si="1"/>
        <v>0</v>
      </c>
      <c r="F13" s="351">
        <v>0.5417</v>
      </c>
      <c r="G13" s="51">
        <f t="shared" si="2"/>
        <v>0</v>
      </c>
      <c r="J13" s="5"/>
    </row>
    <row r="14" spans="1:10" ht="12" customHeight="1">
      <c r="A14" s="313">
        <f t="shared" si="0"/>
        <v>509</v>
      </c>
      <c r="B14" s="352" t="s">
        <v>58</v>
      </c>
      <c r="C14" s="56"/>
      <c r="D14" s="77">
        <v>0</v>
      </c>
      <c r="E14" s="78">
        <f t="shared" si="1"/>
        <v>0</v>
      </c>
      <c r="F14" s="351">
        <v>0.4583</v>
      </c>
      <c r="G14" s="51">
        <f t="shared" si="2"/>
        <v>0</v>
      </c>
      <c r="J14" s="5"/>
    </row>
    <row r="15" spans="1:10" ht="12" customHeight="1">
      <c r="A15" s="313">
        <f t="shared" si="0"/>
        <v>510</v>
      </c>
      <c r="B15" s="352" t="s">
        <v>59</v>
      </c>
      <c r="C15" s="56"/>
      <c r="D15" s="77">
        <v>0</v>
      </c>
      <c r="E15" s="78">
        <f t="shared" si="1"/>
        <v>0</v>
      </c>
      <c r="F15" s="351">
        <v>0.375</v>
      </c>
      <c r="G15" s="51">
        <f t="shared" si="2"/>
        <v>0</v>
      </c>
      <c r="J15" s="5"/>
    </row>
    <row r="16" spans="1:10" ht="12" customHeight="1">
      <c r="A16" s="313">
        <f t="shared" si="0"/>
        <v>511</v>
      </c>
      <c r="B16" s="352" t="s">
        <v>60</v>
      </c>
      <c r="C16" s="56"/>
      <c r="D16" s="77">
        <v>0</v>
      </c>
      <c r="E16" s="78">
        <f t="shared" si="1"/>
        <v>0</v>
      </c>
      <c r="F16" s="351">
        <v>0.2917</v>
      </c>
      <c r="G16" s="51">
        <f t="shared" si="2"/>
        <v>0</v>
      </c>
      <c r="J16" s="5"/>
    </row>
    <row r="17" spans="1:10" ht="12" customHeight="1">
      <c r="A17" s="313">
        <f t="shared" si="0"/>
        <v>512</v>
      </c>
      <c r="B17" s="352" t="s">
        <v>61</v>
      </c>
      <c r="C17" s="56"/>
      <c r="D17" s="77">
        <v>0</v>
      </c>
      <c r="E17" s="78">
        <f t="shared" si="1"/>
        <v>0</v>
      </c>
      <c r="F17" s="351">
        <v>0.2083</v>
      </c>
      <c r="G17" s="51">
        <f t="shared" si="2"/>
        <v>0</v>
      </c>
      <c r="J17" s="5"/>
    </row>
    <row r="18" spans="1:10" ht="12" customHeight="1">
      <c r="A18" s="313">
        <f t="shared" si="0"/>
        <v>513</v>
      </c>
      <c r="B18" s="352" t="s">
        <v>62</v>
      </c>
      <c r="C18" s="56"/>
      <c r="D18" s="77">
        <v>0</v>
      </c>
      <c r="E18" s="78">
        <f t="shared" si="1"/>
        <v>0</v>
      </c>
      <c r="F18" s="351">
        <v>0.125</v>
      </c>
      <c r="G18" s="51">
        <f t="shared" si="2"/>
        <v>0</v>
      </c>
      <c r="J18" s="5"/>
    </row>
    <row r="19" spans="1:10" ht="12" customHeight="1">
      <c r="A19" s="313">
        <f t="shared" si="0"/>
        <v>514</v>
      </c>
      <c r="B19" s="354" t="s">
        <v>63</v>
      </c>
      <c r="C19" s="79"/>
      <c r="D19" s="80">
        <v>0</v>
      </c>
      <c r="E19" s="81">
        <f t="shared" si="1"/>
        <v>0</v>
      </c>
      <c r="F19" s="355">
        <v>0.0417</v>
      </c>
      <c r="G19" s="61">
        <f t="shared" si="2"/>
        <v>0</v>
      </c>
      <c r="J19" s="5"/>
    </row>
    <row r="20" spans="1:7" ht="12" customHeight="1">
      <c r="A20" s="313">
        <f t="shared" si="0"/>
        <v>515</v>
      </c>
      <c r="B20" s="356" t="str">
        <f>CONCATENATE("Stand per 31-12-",'Rentecalc.'!$J$1," (",A6," t/m ",A19,")")</f>
        <v>Stand per 31-12-2009 (501 t/m 514)</v>
      </c>
      <c r="C20" s="82">
        <f>C6-C7+SUM(C8:C19)</f>
        <v>0</v>
      </c>
      <c r="D20" s="83">
        <f>D6-D7+SUM(D8:D19)</f>
        <v>0</v>
      </c>
      <c r="E20" s="84">
        <f>SUM(E6:E19)</f>
        <v>0</v>
      </c>
      <c r="F20" s="85"/>
      <c r="G20" s="38">
        <f>SUM(G6:G19)</f>
        <v>0</v>
      </c>
    </row>
    <row r="21" spans="2:6" ht="11.25">
      <c r="B21" s="357" t="str">
        <f>CONCATENATE("* Afschrijvingen ",'Rentecalc.'!J1," exclusief niet-nacalculeerbare afschrijvingen ")</f>
        <v>* Afschrijvingen 2009 exclusief niet-nacalculeerbare afschrijvingen </v>
      </c>
      <c r="F21" s="5"/>
    </row>
    <row r="22" ht="11.25">
      <c r="A22" s="5"/>
    </row>
    <row r="23" spans="1:3" ht="12" customHeight="1">
      <c r="A23" s="339" t="s">
        <v>127</v>
      </c>
      <c r="B23" s="358" t="s">
        <v>200</v>
      </c>
      <c r="C23" s="24"/>
    </row>
    <row r="24" spans="1:3" ht="12" customHeight="1">
      <c r="A24" s="339"/>
      <c r="B24" s="5" t="s">
        <v>17</v>
      </c>
      <c r="C24" s="87"/>
    </row>
    <row r="25" spans="1:7" ht="12" customHeight="1">
      <c r="A25" s="341"/>
      <c r="B25" s="342"/>
      <c r="C25" s="595" t="s">
        <v>198</v>
      </c>
      <c r="D25" s="595" t="s">
        <v>199</v>
      </c>
      <c r="E25" s="589" t="s">
        <v>96</v>
      </c>
      <c r="F25" s="590"/>
      <c r="G25" s="591"/>
    </row>
    <row r="26" spans="1:7" ht="12" customHeight="1">
      <c r="A26" s="339"/>
      <c r="B26" s="359"/>
      <c r="C26" s="596"/>
      <c r="D26" s="596"/>
      <c r="E26" s="592"/>
      <c r="F26" s="593"/>
      <c r="G26" s="594"/>
    </row>
    <row r="27" spans="1:7" ht="12" customHeight="1">
      <c r="A27" s="339"/>
      <c r="B27" s="346"/>
      <c r="C27" s="597"/>
      <c r="D27" s="597"/>
      <c r="E27" s="348" t="s">
        <v>64</v>
      </c>
      <c r="F27" s="348" t="s">
        <v>65</v>
      </c>
      <c r="G27" s="349" t="s">
        <v>113</v>
      </c>
    </row>
    <row r="28" spans="1:7" ht="12" customHeight="1">
      <c r="A28" s="313">
        <f>A20*1</f>
        <v>515</v>
      </c>
      <c r="B28" s="350" t="str">
        <f>CONCATENATE("Stand per 31-12-",'Rentecalc.'!J1-1)</f>
        <v>Stand per 31-12-2008</v>
      </c>
      <c r="C28" s="56"/>
      <c r="D28" s="5"/>
      <c r="E28" s="360">
        <v>1</v>
      </c>
      <c r="F28" s="361"/>
      <c r="G28" s="51">
        <f>C28*E28</f>
        <v>0</v>
      </c>
    </row>
    <row r="29" spans="1:7" ht="12" customHeight="1">
      <c r="A29" s="313">
        <f>A28+1</f>
        <v>516</v>
      </c>
      <c r="B29" s="352" t="s">
        <v>66</v>
      </c>
      <c r="C29" s="56"/>
      <c r="D29" s="77">
        <v>0</v>
      </c>
      <c r="E29" s="360">
        <f>10.5/12</f>
        <v>0.875</v>
      </c>
      <c r="F29" s="360">
        <v>0.9583</v>
      </c>
      <c r="G29" s="51">
        <f>C29*E29-D29*F29</f>
        <v>0</v>
      </c>
    </row>
    <row r="30" spans="1:7" ht="12" customHeight="1">
      <c r="A30" s="313">
        <f aca="true" t="shared" si="3" ref="A30:A41">A29+1</f>
        <v>517</v>
      </c>
      <c r="B30" s="352" t="s">
        <v>67</v>
      </c>
      <c r="C30" s="56"/>
      <c r="D30" s="77">
        <v>0</v>
      </c>
      <c r="E30" s="360">
        <f>9.5/12</f>
        <v>0.7916666666666666</v>
      </c>
      <c r="F30" s="360">
        <v>0.875</v>
      </c>
      <c r="G30" s="51">
        <f aca="true" t="shared" si="4" ref="G30:G40">C30*E30-D30*F30</f>
        <v>0</v>
      </c>
    </row>
    <row r="31" spans="1:7" ht="12" customHeight="1">
      <c r="A31" s="313">
        <f t="shared" si="3"/>
        <v>518</v>
      </c>
      <c r="B31" s="352" t="s">
        <v>68</v>
      </c>
      <c r="C31" s="56"/>
      <c r="D31" s="77">
        <v>0</v>
      </c>
      <c r="E31" s="360">
        <f>8.5/12</f>
        <v>0.7083333333333334</v>
      </c>
      <c r="F31" s="360">
        <v>0.7917</v>
      </c>
      <c r="G31" s="51">
        <f t="shared" si="4"/>
        <v>0</v>
      </c>
    </row>
    <row r="32" spans="1:7" ht="12" customHeight="1">
      <c r="A32" s="313">
        <f t="shared" si="3"/>
        <v>519</v>
      </c>
      <c r="B32" s="352" t="s">
        <v>69</v>
      </c>
      <c r="C32" s="56"/>
      <c r="D32" s="77">
        <v>0</v>
      </c>
      <c r="E32" s="360">
        <f>7.5/12</f>
        <v>0.625</v>
      </c>
      <c r="F32" s="360">
        <v>0.7083</v>
      </c>
      <c r="G32" s="51">
        <f t="shared" si="4"/>
        <v>0</v>
      </c>
    </row>
    <row r="33" spans="1:7" ht="12" customHeight="1">
      <c r="A33" s="313">
        <f t="shared" si="3"/>
        <v>520</v>
      </c>
      <c r="B33" s="352" t="s">
        <v>70</v>
      </c>
      <c r="C33" s="56"/>
      <c r="D33" s="77"/>
      <c r="E33" s="360">
        <f>6.5/12</f>
        <v>0.5416666666666666</v>
      </c>
      <c r="F33" s="360">
        <v>0.625</v>
      </c>
      <c r="G33" s="51">
        <f t="shared" si="4"/>
        <v>0</v>
      </c>
    </row>
    <row r="34" spans="1:7" ht="12" customHeight="1">
      <c r="A34" s="313">
        <f t="shared" si="3"/>
        <v>521</v>
      </c>
      <c r="B34" s="352" t="s">
        <v>71</v>
      </c>
      <c r="C34" s="56"/>
      <c r="D34" s="77">
        <v>0</v>
      </c>
      <c r="E34" s="360">
        <f>5.5/12</f>
        <v>0.4583333333333333</v>
      </c>
      <c r="F34" s="360">
        <v>0.5417</v>
      </c>
      <c r="G34" s="51">
        <f t="shared" si="4"/>
        <v>0</v>
      </c>
    </row>
    <row r="35" spans="1:7" ht="12" customHeight="1">
      <c r="A35" s="313">
        <f t="shared" si="3"/>
        <v>522</v>
      </c>
      <c r="B35" s="352" t="s">
        <v>72</v>
      </c>
      <c r="C35" s="56"/>
      <c r="D35" s="77">
        <v>0</v>
      </c>
      <c r="E35" s="360">
        <f>4.5/12</f>
        <v>0.375</v>
      </c>
      <c r="F35" s="360">
        <v>0.4583</v>
      </c>
      <c r="G35" s="51">
        <f t="shared" si="4"/>
        <v>0</v>
      </c>
    </row>
    <row r="36" spans="1:7" ht="12" customHeight="1">
      <c r="A36" s="313">
        <f t="shared" si="3"/>
        <v>523</v>
      </c>
      <c r="B36" s="352" t="s">
        <v>73</v>
      </c>
      <c r="C36" s="56"/>
      <c r="D36" s="77">
        <v>0</v>
      </c>
      <c r="E36" s="360">
        <f>3.5/12</f>
        <v>0.2916666666666667</v>
      </c>
      <c r="F36" s="360">
        <v>0.375</v>
      </c>
      <c r="G36" s="51">
        <f t="shared" si="4"/>
        <v>0</v>
      </c>
    </row>
    <row r="37" spans="1:7" ht="12" customHeight="1">
      <c r="A37" s="313">
        <f t="shared" si="3"/>
        <v>524</v>
      </c>
      <c r="B37" s="352" t="s">
        <v>74</v>
      </c>
      <c r="C37" s="56"/>
      <c r="D37" s="77">
        <v>0</v>
      </c>
      <c r="E37" s="360">
        <f>2.5/12</f>
        <v>0.20833333333333334</v>
      </c>
      <c r="F37" s="360">
        <v>0.2917</v>
      </c>
      <c r="G37" s="51">
        <f t="shared" si="4"/>
        <v>0</v>
      </c>
    </row>
    <row r="38" spans="1:7" ht="12" customHeight="1">
      <c r="A38" s="313">
        <f t="shared" si="3"/>
        <v>525</v>
      </c>
      <c r="B38" s="352" t="s">
        <v>75</v>
      </c>
      <c r="C38" s="56"/>
      <c r="D38" s="77">
        <v>0</v>
      </c>
      <c r="E38" s="360">
        <f>1.5/12</f>
        <v>0.125</v>
      </c>
      <c r="F38" s="360">
        <v>0.2083</v>
      </c>
      <c r="G38" s="51">
        <f t="shared" si="4"/>
        <v>0</v>
      </c>
    </row>
    <row r="39" spans="1:7" ht="12" customHeight="1">
      <c r="A39" s="313">
        <f t="shared" si="3"/>
        <v>526</v>
      </c>
      <c r="B39" s="352" t="s">
        <v>76</v>
      </c>
      <c r="C39" s="56"/>
      <c r="D39" s="77">
        <v>0</v>
      </c>
      <c r="E39" s="360">
        <f>0.5/12</f>
        <v>0.041666666666666664</v>
      </c>
      <c r="F39" s="360">
        <v>0.125</v>
      </c>
      <c r="G39" s="51">
        <f t="shared" si="4"/>
        <v>0</v>
      </c>
    </row>
    <row r="40" spans="1:7" ht="12" customHeight="1">
      <c r="A40" s="313">
        <f t="shared" si="3"/>
        <v>527</v>
      </c>
      <c r="B40" s="352" t="s">
        <v>77</v>
      </c>
      <c r="C40" s="56"/>
      <c r="D40" s="77">
        <v>0</v>
      </c>
      <c r="E40" s="88">
        <f>-0.5/12</f>
        <v>-0.041666666666666664</v>
      </c>
      <c r="F40" s="360">
        <v>0.0417</v>
      </c>
      <c r="G40" s="51">
        <f t="shared" si="4"/>
        <v>0</v>
      </c>
    </row>
    <row r="41" spans="1:7" ht="12" customHeight="1">
      <c r="A41" s="313">
        <f t="shared" si="3"/>
        <v>528</v>
      </c>
      <c r="B41" s="356" t="str">
        <f>CONCATENATE("Stand per 31-12-",'Rentecalc.'!$J$1," (",A28," t/m ",A40,")")</f>
        <v>Stand per 31-12-2009 (515 t/m 527)</v>
      </c>
      <c r="C41" s="42">
        <f>SUM(C28:C40)</f>
        <v>0</v>
      </c>
      <c r="D41" s="83">
        <f>SUM(D29:D40)</f>
        <v>0</v>
      </c>
      <c r="E41" s="5"/>
      <c r="F41" s="5"/>
      <c r="G41" s="42">
        <f>SUM(G28:G40)</f>
        <v>0</v>
      </c>
    </row>
    <row r="42" spans="1:5" ht="12" customHeight="1">
      <c r="A42" s="313">
        <f>A41+1</f>
        <v>529</v>
      </c>
      <c r="B42" s="356" t="str">
        <f>CONCATENATE("Saldo per 31-12-",'Rentecalc.'!$J$1,)</f>
        <v>Saldo per 31-12-2009</v>
      </c>
      <c r="C42" s="42">
        <f>C41-D41</f>
        <v>0</v>
      </c>
      <c r="D42" s="5"/>
      <c r="E42" s="24"/>
    </row>
    <row r="43" spans="1:13" ht="12" customHeight="1">
      <c r="A43" s="313">
        <f>A42+1</f>
        <v>530</v>
      </c>
      <c r="B43" s="356" t="str">
        <f>CONCATENATE("Totaal regel ",A8," t/m ",A19," (onderdeel A)")</f>
        <v>Totaal regel 503 t/m 514 (onderdeel A)</v>
      </c>
      <c r="C43" s="89"/>
      <c r="D43" s="42">
        <f>SUM(C8:C19)</f>
        <v>0</v>
      </c>
      <c r="E43" s="24"/>
      <c r="I43" s="3"/>
      <c r="J43" s="24"/>
      <c r="K43" s="3"/>
      <c r="L43" s="3"/>
      <c r="M43" s="3"/>
    </row>
    <row r="44" spans="1:13" ht="11.25">
      <c r="A44" s="313">
        <f>A43+1</f>
        <v>531</v>
      </c>
      <c r="B44" s="356" t="s">
        <v>49</v>
      </c>
      <c r="C44" s="90"/>
      <c r="D44" s="86">
        <f>D41-D43</f>
        <v>0</v>
      </c>
      <c r="E44" s="50">
        <f>E41-E42</f>
        <v>0</v>
      </c>
      <c r="I44" s="3"/>
      <c r="J44" s="24"/>
      <c r="K44" s="3"/>
      <c r="L44" s="3"/>
      <c r="M44" s="3"/>
    </row>
    <row r="45" spans="1:13" ht="11.25" customHeight="1">
      <c r="A45" s="171"/>
      <c r="B45" s="598" t="str">
        <f>CONCATENATE("¹ Het totaal van de ingebruikgenomen investeringen van regel ",A41," moet gelijk zijn aan het totaal van ingebruikgenomen investeringen van regel ",A8," t/m ",A19," onderdeel A")</f>
        <v>¹ Het totaal van de ingebruikgenomen investeringen van regel 528 moet gelijk zijn aan het totaal van ingebruikgenomen investeringen van regel 503 t/m 514 onderdeel A</v>
      </c>
      <c r="C45" s="598"/>
      <c r="D45" s="598"/>
      <c r="E45" s="598"/>
      <c r="F45" s="598"/>
      <c r="G45" s="598"/>
      <c r="I45" s="3"/>
      <c r="J45" s="24"/>
      <c r="K45" s="3"/>
      <c r="L45" s="3"/>
      <c r="M45" s="3"/>
    </row>
    <row r="46" spans="1:13" ht="11.25" customHeight="1">
      <c r="A46" s="171"/>
      <c r="B46" s="362" t="s">
        <v>120</v>
      </c>
      <c r="C46" s="362"/>
      <c r="D46" s="362"/>
      <c r="E46" s="362"/>
      <c r="F46" s="362"/>
      <c r="G46" s="362"/>
      <c r="I46" s="3"/>
      <c r="J46" s="24"/>
      <c r="K46" s="3"/>
      <c r="L46" s="3"/>
      <c r="M46" s="3"/>
    </row>
    <row r="47" spans="1:13" ht="12" customHeight="1">
      <c r="A47" s="363" t="s">
        <v>134</v>
      </c>
      <c r="B47" s="364" t="s">
        <v>298</v>
      </c>
      <c r="C47" s="44"/>
      <c r="D47" s="44"/>
      <c r="F47" s="5"/>
      <c r="I47" s="3"/>
      <c r="J47" s="24"/>
      <c r="K47" s="3"/>
      <c r="L47" s="3"/>
      <c r="M47" s="3"/>
    </row>
    <row r="48" spans="1:13" ht="12" customHeight="1">
      <c r="A48" s="339"/>
      <c r="B48" s="365"/>
      <c r="C48" s="345" t="s">
        <v>19</v>
      </c>
      <c r="D48" s="345" t="s">
        <v>94</v>
      </c>
      <c r="E48" s="345" t="s">
        <v>19</v>
      </c>
      <c r="F48" s="291">
        <f>IF('Rentecalc.'!C4=650,1,0)</f>
        <v>0</v>
      </c>
      <c r="I48" s="3"/>
      <c r="J48" s="24"/>
      <c r="K48" s="3"/>
      <c r="L48" s="290"/>
      <c r="M48" s="3"/>
    </row>
    <row r="49" spans="1:13" ht="12" customHeight="1">
      <c r="A49" s="170"/>
      <c r="B49" s="506" t="s">
        <v>305</v>
      </c>
      <c r="C49" s="366" t="s">
        <v>20</v>
      </c>
      <c r="D49" s="366"/>
      <c r="E49" s="366" t="s">
        <v>21</v>
      </c>
      <c r="F49" s="292"/>
      <c r="I49" s="3"/>
      <c r="J49" s="24"/>
      <c r="K49" s="3"/>
      <c r="L49" s="3"/>
      <c r="M49" s="3"/>
    </row>
    <row r="50" spans="1:13" ht="12" customHeight="1">
      <c r="A50" s="313">
        <v>601</v>
      </c>
      <c r="B50" s="367">
        <f>'Rentecalc.'!J$1</f>
        <v>2009</v>
      </c>
      <c r="C50" s="34"/>
      <c r="D50" s="91">
        <v>9.5</v>
      </c>
      <c r="E50" s="51">
        <f>IF('Rentecalc.'!$C$4=650,0,C50*D50)</f>
        <v>0</v>
      </c>
      <c r="F50" s="286">
        <f>IF(OR($F$48=1),"Niet bestemd voor een V&amp;V instelling","")</f>
      </c>
      <c r="G50" s="286"/>
      <c r="I50" s="287"/>
      <c r="J50" s="287"/>
      <c r="K50" s="287"/>
      <c r="L50" s="287"/>
      <c r="M50" s="288"/>
    </row>
    <row r="51" spans="1:13" ht="12" customHeight="1">
      <c r="A51" s="313">
        <f>A50+1</f>
        <v>602</v>
      </c>
      <c r="B51" s="368">
        <f>'Rentecalc.'!J$1-1</f>
        <v>2008</v>
      </c>
      <c r="C51" s="34"/>
      <c r="D51" s="91">
        <v>8.5</v>
      </c>
      <c r="E51" s="51">
        <f>IF('Rentecalc.'!$C$4=650,0,C51*D51)</f>
        <v>0</v>
      </c>
      <c r="F51" s="286">
        <f aca="true" t="shared" si="5" ref="F51:F59">IF(OR($F$48=1),"Niet bestemd voor een V&amp;V instelling","")</f>
      </c>
      <c r="G51" s="286"/>
      <c r="I51" s="285"/>
      <c r="K51" s="285"/>
      <c r="L51" s="285"/>
      <c r="M51" s="289"/>
    </row>
    <row r="52" spans="1:13" ht="12" customHeight="1">
      <c r="A52" s="313">
        <f>A51+1</f>
        <v>603</v>
      </c>
      <c r="B52" s="368">
        <f>'Rentecalc.'!J$1-2</f>
        <v>2007</v>
      </c>
      <c r="C52" s="34"/>
      <c r="D52" s="91">
        <v>7.5</v>
      </c>
      <c r="E52" s="51">
        <f>IF('Rentecalc.'!$C$4=650,0,C52*D52)</f>
        <v>0</v>
      </c>
      <c r="F52" s="286">
        <f t="shared" si="5"/>
      </c>
      <c r="G52" s="286"/>
      <c r="I52" s="3"/>
      <c r="J52" s="24"/>
      <c r="K52" s="3"/>
      <c r="L52" s="3"/>
      <c r="M52" s="3"/>
    </row>
    <row r="53" spans="1:13" ht="12" customHeight="1">
      <c r="A53" s="313">
        <f>A52+1</f>
        <v>604</v>
      </c>
      <c r="B53" s="368">
        <f>'Rentecalc.'!J$1-3</f>
        <v>2006</v>
      </c>
      <c r="C53" s="34"/>
      <c r="D53" s="91">
        <v>6.5</v>
      </c>
      <c r="E53" s="51">
        <f>IF('Rentecalc.'!$C$4=650,0,C53*D53)</f>
        <v>0</v>
      </c>
      <c r="F53" s="286">
        <f t="shared" si="5"/>
      </c>
      <c r="G53" s="286"/>
      <c r="I53" s="3"/>
      <c r="J53" s="24"/>
      <c r="K53" s="3"/>
      <c r="L53" s="3"/>
      <c r="M53" s="3"/>
    </row>
    <row r="54" spans="1:13" ht="12" customHeight="1">
      <c r="A54" s="313">
        <f aca="true" t="shared" si="6" ref="A54:A59">A53+1</f>
        <v>605</v>
      </c>
      <c r="B54" s="368">
        <f>'Rentecalc.'!J$1-4</f>
        <v>2005</v>
      </c>
      <c r="C54" s="34"/>
      <c r="D54" s="91">
        <v>5.5</v>
      </c>
      <c r="E54" s="51">
        <f>IF('Rentecalc.'!$C$4=650,0,C54*D54)</f>
        <v>0</v>
      </c>
      <c r="F54" s="286">
        <f t="shared" si="5"/>
      </c>
      <c r="G54" s="286"/>
      <c r="I54" s="3"/>
      <c r="J54" s="24"/>
      <c r="K54" s="3"/>
      <c r="L54" s="3"/>
      <c r="M54" s="3"/>
    </row>
    <row r="55" spans="1:13" ht="12" customHeight="1">
      <c r="A55" s="313">
        <f t="shared" si="6"/>
        <v>606</v>
      </c>
      <c r="B55" s="368">
        <f>'Rentecalc.'!J$1-5</f>
        <v>2004</v>
      </c>
      <c r="C55" s="34"/>
      <c r="D55" s="91">
        <v>4.5</v>
      </c>
      <c r="E55" s="51">
        <f>IF('Rentecalc.'!$C$4=650,0,C55*D55)</f>
        <v>0</v>
      </c>
      <c r="F55" s="286">
        <f t="shared" si="5"/>
      </c>
      <c r="G55" s="286"/>
      <c r="I55" s="3"/>
      <c r="J55" s="24"/>
      <c r="K55" s="3"/>
      <c r="L55" s="3"/>
      <c r="M55" s="3"/>
    </row>
    <row r="56" spans="1:13" ht="12" customHeight="1">
      <c r="A56" s="313">
        <f t="shared" si="6"/>
        <v>607</v>
      </c>
      <c r="B56" s="368">
        <f>'Rentecalc.'!J$1-6</f>
        <v>2003</v>
      </c>
      <c r="C56" s="34"/>
      <c r="D56" s="91">
        <v>3.5</v>
      </c>
      <c r="E56" s="51">
        <f>IF('Rentecalc.'!$C$4=650,0,C56*D56)</f>
        <v>0</v>
      </c>
      <c r="F56" s="286">
        <f t="shared" si="5"/>
      </c>
      <c r="G56" s="286"/>
      <c r="I56" s="3"/>
      <c r="J56" s="24"/>
      <c r="K56" s="3"/>
      <c r="L56" s="3"/>
      <c r="M56" s="3"/>
    </row>
    <row r="57" spans="1:13" ht="12" customHeight="1">
      <c r="A57" s="313">
        <f t="shared" si="6"/>
        <v>608</v>
      </c>
      <c r="B57" s="368">
        <f>'Rentecalc.'!J$1-7</f>
        <v>2002</v>
      </c>
      <c r="C57" s="34"/>
      <c r="D57" s="91">
        <v>2.5</v>
      </c>
      <c r="E57" s="51">
        <f>IF('Rentecalc.'!$C$4=650,0,C57*D57)</f>
        <v>0</v>
      </c>
      <c r="F57" s="286">
        <f t="shared" si="5"/>
      </c>
      <c r="G57" s="286"/>
      <c r="I57" s="3"/>
      <c r="J57" s="24"/>
      <c r="K57" s="3"/>
      <c r="L57" s="3"/>
      <c r="M57" s="3"/>
    </row>
    <row r="58" spans="1:13" ht="12" customHeight="1">
      <c r="A58" s="313">
        <f t="shared" si="6"/>
        <v>609</v>
      </c>
      <c r="B58" s="368">
        <f>'Rentecalc.'!J$1-8</f>
        <v>2001</v>
      </c>
      <c r="C58" s="34"/>
      <c r="D58" s="91">
        <v>1.5</v>
      </c>
      <c r="E58" s="51">
        <f>IF('Rentecalc.'!$C$4=650,0,C58*D58)</f>
        <v>0</v>
      </c>
      <c r="F58" s="286">
        <f t="shared" si="5"/>
      </c>
      <c r="G58" s="286"/>
      <c r="I58" s="3"/>
      <c r="J58" s="24"/>
      <c r="K58" s="3"/>
      <c r="L58" s="3"/>
      <c r="M58" s="3"/>
    </row>
    <row r="59" spans="1:13" ht="12" customHeight="1">
      <c r="A59" s="313">
        <f t="shared" si="6"/>
        <v>610</v>
      </c>
      <c r="B59" s="369">
        <f>'Rentecalc.'!J$1-9</f>
        <v>2000</v>
      </c>
      <c r="C59" s="34"/>
      <c r="D59" s="92">
        <v>0.5</v>
      </c>
      <c r="E59" s="51">
        <f>IF('Rentecalc.'!$C$4=650,0,C59*D59)</f>
        <v>0</v>
      </c>
      <c r="F59" s="286">
        <f t="shared" si="5"/>
      </c>
      <c r="G59" s="286"/>
      <c r="I59" s="3"/>
      <c r="J59" s="24"/>
      <c r="K59" s="3"/>
      <c r="L59" s="3"/>
      <c r="M59" s="3"/>
    </row>
    <row r="60" spans="1:13" ht="12" customHeight="1">
      <c r="A60" s="313">
        <f>A59+1</f>
        <v>611</v>
      </c>
      <c r="B60" s="356" t="str">
        <f>CONCATENATE("Totaal (regel ",A50," t/m ",A59,")")</f>
        <v>Totaal (regel 601 t/m 610)</v>
      </c>
      <c r="C60" s="42">
        <f>SUM(C50:C59)</f>
        <v>0</v>
      </c>
      <c r="D60" s="42"/>
      <c r="E60" s="42">
        <f>SUM(E50:E59)</f>
        <v>0</v>
      </c>
      <c r="F60" s="5"/>
      <c r="I60" s="3"/>
      <c r="J60" s="24"/>
      <c r="K60" s="3"/>
      <c r="L60" s="3"/>
      <c r="M60" s="3"/>
    </row>
    <row r="61" spans="1:13" ht="12" customHeight="1">
      <c r="A61" s="171"/>
      <c r="B61" s="370" t="s">
        <v>299</v>
      </c>
      <c r="C61" s="5"/>
      <c r="D61" s="5"/>
      <c r="E61" s="5"/>
      <c r="F61" s="5"/>
      <c r="I61" s="3"/>
      <c r="J61" s="24"/>
      <c r="K61" s="3"/>
      <c r="L61" s="3"/>
      <c r="M61" s="3"/>
    </row>
    <row r="62" spans="1:13" ht="12" customHeight="1">
      <c r="A62" s="171"/>
      <c r="B62" s="370"/>
      <c r="C62" s="5"/>
      <c r="D62" s="5"/>
      <c r="E62" s="5"/>
      <c r="F62" s="5"/>
      <c r="I62" s="3"/>
      <c r="J62" s="24"/>
      <c r="K62" s="3"/>
      <c r="L62" s="3"/>
      <c r="M62" s="3"/>
    </row>
    <row r="63" spans="1:6" ht="12" customHeight="1">
      <c r="A63" s="339" t="s">
        <v>135</v>
      </c>
      <c r="B63" s="340" t="s">
        <v>307</v>
      </c>
      <c r="C63" s="5"/>
      <c r="D63" s="5"/>
      <c r="E63" s="5"/>
      <c r="F63" s="5"/>
    </row>
    <row r="64" spans="1:3" ht="11.25">
      <c r="A64" s="5"/>
      <c r="B64" s="568" t="s">
        <v>308</v>
      </c>
      <c r="C64" s="24"/>
    </row>
    <row r="65" spans="1:3" ht="11.25">
      <c r="A65" s="339"/>
      <c r="B65" s="5" t="s">
        <v>17</v>
      </c>
      <c r="C65" s="87"/>
    </row>
    <row r="66" spans="1:7" ht="11.25">
      <c r="A66" s="339"/>
      <c r="B66" s="371"/>
      <c r="C66" s="345" t="s">
        <v>125</v>
      </c>
      <c r="D66" s="345" t="s">
        <v>126</v>
      </c>
      <c r="E66" s="372" t="s">
        <v>119</v>
      </c>
      <c r="F66" s="588" t="s">
        <v>93</v>
      </c>
      <c r="G66" s="587"/>
    </row>
    <row r="67" spans="1:7" ht="11.25">
      <c r="A67" s="170"/>
      <c r="B67" s="54"/>
      <c r="C67" s="347"/>
      <c r="D67" s="373"/>
      <c r="E67" s="347"/>
      <c r="F67" s="374" t="s">
        <v>118</v>
      </c>
      <c r="G67" s="349" t="s">
        <v>113</v>
      </c>
    </row>
    <row r="68" spans="1:7" ht="12" customHeight="1">
      <c r="A68" s="313">
        <f>A60+1</f>
        <v>612</v>
      </c>
      <c r="B68" s="350" t="str">
        <f>CONCATENATE("Stand per 31-12-",'Rentecalc.'!J1-1)</f>
        <v>Stand per 31-12-2008</v>
      </c>
      <c r="C68" s="56"/>
      <c r="D68" s="39">
        <v>0</v>
      </c>
      <c r="E68" s="55">
        <f>C68-D68</f>
        <v>0</v>
      </c>
      <c r="F68" s="375">
        <v>1</v>
      </c>
      <c r="G68" s="51">
        <f>E68*F68</f>
        <v>0</v>
      </c>
    </row>
    <row r="69" spans="1:7" ht="12" customHeight="1">
      <c r="A69" s="313">
        <f aca="true" t="shared" si="7" ref="A69:A85">A68+1</f>
        <v>613</v>
      </c>
      <c r="B69" s="352" t="str">
        <f>CONCATENATE("Geheel afgeschreven in ",'Rentecalc.'!J1-1)</f>
        <v>Geheel afgeschreven in 2008</v>
      </c>
      <c r="C69" s="39"/>
      <c r="D69" s="56"/>
      <c r="E69" s="78">
        <f>C69-D69</f>
        <v>0</v>
      </c>
      <c r="F69" s="375"/>
      <c r="G69" s="51"/>
    </row>
    <row r="70" spans="1:7" ht="12" customHeight="1">
      <c r="A70" s="313">
        <f t="shared" si="7"/>
        <v>614</v>
      </c>
      <c r="B70" s="352" t="str">
        <f>CONCATENATE("Onderhanden werk per  31-12-",'Rentecalc.'!J1-1)</f>
        <v>Onderhanden werk per  31-12-2008</v>
      </c>
      <c r="C70" s="56"/>
      <c r="D70" s="5"/>
      <c r="E70" s="55">
        <f>C70</f>
        <v>0</v>
      </c>
      <c r="F70" s="375">
        <v>1</v>
      </c>
      <c r="G70" s="51">
        <f>E70*F70</f>
        <v>0</v>
      </c>
    </row>
    <row r="71" spans="1:7" ht="12" customHeight="1">
      <c r="A71" s="313">
        <f t="shared" si="7"/>
        <v>615</v>
      </c>
      <c r="B71" s="352" t="s">
        <v>79</v>
      </c>
      <c r="C71" s="56"/>
      <c r="D71" s="5"/>
      <c r="E71" s="55">
        <f aca="true" t="shared" si="8" ref="E71:E81">C71</f>
        <v>0</v>
      </c>
      <c r="F71" s="360">
        <f>10.5/12</f>
        <v>0.875</v>
      </c>
      <c r="G71" s="51">
        <f aca="true" t="shared" si="9" ref="G71:G82">E71*F71</f>
        <v>0</v>
      </c>
    </row>
    <row r="72" spans="1:7" ht="12" customHeight="1">
      <c r="A72" s="313">
        <f t="shared" si="7"/>
        <v>616</v>
      </c>
      <c r="B72" s="352" t="s">
        <v>80</v>
      </c>
      <c r="C72" s="56"/>
      <c r="D72" s="5"/>
      <c r="E72" s="55">
        <f t="shared" si="8"/>
        <v>0</v>
      </c>
      <c r="F72" s="360">
        <f>9.5/12</f>
        <v>0.7916666666666666</v>
      </c>
      <c r="G72" s="51">
        <f t="shared" si="9"/>
        <v>0</v>
      </c>
    </row>
    <row r="73" spans="1:7" ht="12" customHeight="1">
      <c r="A73" s="313">
        <f t="shared" si="7"/>
        <v>617</v>
      </c>
      <c r="B73" s="352" t="s">
        <v>81</v>
      </c>
      <c r="C73" s="56"/>
      <c r="D73" s="5"/>
      <c r="E73" s="55">
        <f t="shared" si="8"/>
        <v>0</v>
      </c>
      <c r="F73" s="360">
        <f>8.5/12</f>
        <v>0.7083333333333334</v>
      </c>
      <c r="G73" s="51">
        <f t="shared" si="9"/>
        <v>0</v>
      </c>
    </row>
    <row r="74" spans="1:7" ht="12" customHeight="1">
      <c r="A74" s="313">
        <f t="shared" si="7"/>
        <v>618</v>
      </c>
      <c r="B74" s="352" t="s">
        <v>82</v>
      </c>
      <c r="C74" s="56"/>
      <c r="D74" s="5"/>
      <c r="E74" s="55">
        <f t="shared" si="8"/>
        <v>0</v>
      </c>
      <c r="F74" s="360">
        <f>7.5/12</f>
        <v>0.625</v>
      </c>
      <c r="G74" s="51">
        <f t="shared" si="9"/>
        <v>0</v>
      </c>
    </row>
    <row r="75" spans="1:7" ht="12" customHeight="1">
      <c r="A75" s="313">
        <f t="shared" si="7"/>
        <v>619</v>
      </c>
      <c r="B75" s="352" t="s">
        <v>83</v>
      </c>
      <c r="C75" s="56"/>
      <c r="D75" s="5"/>
      <c r="E75" s="55">
        <f t="shared" si="8"/>
        <v>0</v>
      </c>
      <c r="F75" s="360">
        <f>6.5/12</f>
        <v>0.5416666666666666</v>
      </c>
      <c r="G75" s="51">
        <f t="shared" si="9"/>
        <v>0</v>
      </c>
    </row>
    <row r="76" spans="1:7" ht="12" customHeight="1">
      <c r="A76" s="313">
        <f t="shared" si="7"/>
        <v>620</v>
      </c>
      <c r="B76" s="352" t="s">
        <v>84</v>
      </c>
      <c r="C76" s="56"/>
      <c r="D76" s="5"/>
      <c r="E76" s="55">
        <f t="shared" si="8"/>
        <v>0</v>
      </c>
      <c r="F76" s="360">
        <f>5.5/12</f>
        <v>0.4583333333333333</v>
      </c>
      <c r="G76" s="51">
        <f t="shared" si="9"/>
        <v>0</v>
      </c>
    </row>
    <row r="77" spans="1:7" ht="12" customHeight="1">
      <c r="A77" s="313">
        <f t="shared" si="7"/>
        <v>621</v>
      </c>
      <c r="B77" s="352" t="s">
        <v>85</v>
      </c>
      <c r="C77" s="56"/>
      <c r="D77" s="5"/>
      <c r="E77" s="55">
        <f t="shared" si="8"/>
        <v>0</v>
      </c>
      <c r="F77" s="360">
        <f>4.5/12</f>
        <v>0.375</v>
      </c>
      <c r="G77" s="51">
        <f t="shared" si="9"/>
        <v>0</v>
      </c>
    </row>
    <row r="78" spans="1:7" ht="12" customHeight="1">
      <c r="A78" s="313">
        <f t="shared" si="7"/>
        <v>622</v>
      </c>
      <c r="B78" s="352" t="s">
        <v>86</v>
      </c>
      <c r="C78" s="56"/>
      <c r="D78" s="5"/>
      <c r="E78" s="55">
        <f t="shared" si="8"/>
        <v>0</v>
      </c>
      <c r="F78" s="360">
        <f>3.5/12</f>
        <v>0.2916666666666667</v>
      </c>
      <c r="G78" s="51">
        <f t="shared" si="9"/>
        <v>0</v>
      </c>
    </row>
    <row r="79" spans="1:7" ht="12" customHeight="1">
      <c r="A79" s="313">
        <f t="shared" si="7"/>
        <v>623</v>
      </c>
      <c r="B79" s="352" t="s">
        <v>87</v>
      </c>
      <c r="C79" s="56"/>
      <c r="D79" s="5"/>
      <c r="E79" s="55">
        <f t="shared" si="8"/>
        <v>0</v>
      </c>
      <c r="F79" s="360">
        <f>2.5/12</f>
        <v>0.20833333333333334</v>
      </c>
      <c r="G79" s="51">
        <f t="shared" si="9"/>
        <v>0</v>
      </c>
    </row>
    <row r="80" spans="1:7" ht="12" customHeight="1">
      <c r="A80" s="313">
        <f t="shared" si="7"/>
        <v>624</v>
      </c>
      <c r="B80" s="352" t="s">
        <v>88</v>
      </c>
      <c r="C80" s="56"/>
      <c r="D80" s="5"/>
      <c r="E80" s="55">
        <f t="shared" si="8"/>
        <v>0</v>
      </c>
      <c r="F80" s="360">
        <f>1.5/12</f>
        <v>0.125</v>
      </c>
      <c r="G80" s="51">
        <f t="shared" si="9"/>
        <v>0</v>
      </c>
    </row>
    <row r="81" spans="1:10" ht="11.25">
      <c r="A81" s="313">
        <f t="shared" si="7"/>
        <v>625</v>
      </c>
      <c r="B81" s="352" t="s">
        <v>89</v>
      </c>
      <c r="C81" s="56"/>
      <c r="D81" s="5"/>
      <c r="E81" s="55">
        <f t="shared" si="8"/>
        <v>0</v>
      </c>
      <c r="F81" s="360">
        <f>0.5/12</f>
        <v>0.041666666666666664</v>
      </c>
      <c r="G81" s="51">
        <f t="shared" si="9"/>
        <v>0</v>
      </c>
      <c r="I81" s="6"/>
      <c r="J81" s="5"/>
    </row>
    <row r="82" spans="1:10" ht="11.25">
      <c r="A82" s="313">
        <f t="shared" si="7"/>
        <v>626</v>
      </c>
      <c r="B82" s="352" t="s">
        <v>90</v>
      </c>
      <c r="C82" s="56"/>
      <c r="D82" s="5"/>
      <c r="E82" s="55">
        <f>C82</f>
        <v>0</v>
      </c>
      <c r="F82" s="88">
        <f>-0.5/12</f>
        <v>-0.041666666666666664</v>
      </c>
      <c r="G82" s="51">
        <f t="shared" si="9"/>
        <v>0</v>
      </c>
      <c r="J82" s="5"/>
    </row>
    <row r="83" spans="1:10" ht="11.25">
      <c r="A83" s="313">
        <f t="shared" si="7"/>
        <v>627</v>
      </c>
      <c r="B83" s="352" t="str">
        <f>CONCATENATE("Afschrijving ",'Rentecalc.'!J1)</f>
        <v>Afschrijving 2009</v>
      </c>
      <c r="C83" s="5"/>
      <c r="D83" s="39"/>
      <c r="E83" s="93">
        <f>D83</f>
        <v>0</v>
      </c>
      <c r="F83" s="375">
        <v>0.5</v>
      </c>
      <c r="G83" s="93">
        <f>E83*F83</f>
        <v>0</v>
      </c>
      <c r="J83" s="5"/>
    </row>
    <row r="84" spans="1:10" ht="11.25">
      <c r="A84" s="313">
        <f t="shared" si="7"/>
        <v>628</v>
      </c>
      <c r="B84" s="352" t="str">
        <f>CONCATENATE("Onderhanden werk per  31-12-",'Rentecalc.'!J1)</f>
        <v>Onderhanden werk per  31-12-2009</v>
      </c>
      <c r="C84" s="39"/>
      <c r="D84" s="5"/>
      <c r="E84" s="93">
        <f>C84</f>
        <v>0</v>
      </c>
      <c r="F84" s="5"/>
      <c r="J84" s="94"/>
    </row>
    <row r="85" spans="1:10" ht="11.25">
      <c r="A85" s="313">
        <f t="shared" si="7"/>
        <v>629</v>
      </c>
      <c r="B85" s="356" t="str">
        <f>CONCATENATE("Geactiveerd per 31-12-",'Rentecalc.'!J1," (",A68," t/m ",A84,")")</f>
        <v>Geactiveerd per 31-12-2009 (612 t/m 628)</v>
      </c>
      <c r="C85" s="42">
        <f>C68-C69+SUM(C70:C82)-C84</f>
        <v>0</v>
      </c>
      <c r="D85" s="41">
        <f>D68-D69+D83</f>
        <v>0</v>
      </c>
      <c r="E85" s="42">
        <f>E68+SUM(E70:E82)-E83-E84</f>
        <v>0</v>
      </c>
      <c r="F85" s="5"/>
      <c r="G85" s="42">
        <f>SUM(G68:G82)-G83</f>
        <v>0</v>
      </c>
      <c r="I85" s="3"/>
      <c r="J85" s="3"/>
    </row>
    <row r="86" ht="12" customHeight="1">
      <c r="A86" s="387"/>
    </row>
    <row r="87" spans="1:5" ht="11.25">
      <c r="A87" s="170" t="s">
        <v>78</v>
      </c>
      <c r="B87" s="376" t="s">
        <v>128</v>
      </c>
      <c r="C87" s="377"/>
      <c r="D87" s="378"/>
      <c r="E87" s="378"/>
    </row>
    <row r="88" spans="1:7" ht="11.25">
      <c r="A88" s="313">
        <f>A85+1</f>
        <v>630</v>
      </c>
      <c r="B88" s="140" t="str">
        <f>CONCATENATE("Aanvaardbare kosten op kasbasis volgens laatste rekenstaat ",'Rentecalc.'!$J$1," AWBZ én Zvw (voor GGZ)")</f>
        <v>Aanvaardbare kosten op kasbasis volgens laatste rekenstaat 2009 AWBZ én Zvw (voor GGZ)</v>
      </c>
      <c r="C88" s="379"/>
      <c r="D88" s="379"/>
      <c r="E88" s="380"/>
      <c r="F88" s="76"/>
      <c r="G88" s="36"/>
    </row>
    <row r="89" spans="1:7" ht="11.25">
      <c r="A89" s="381">
        <f>A88+1</f>
        <v>631</v>
      </c>
      <c r="B89" s="168" t="s">
        <v>4</v>
      </c>
      <c r="C89" s="382"/>
      <c r="D89" s="382"/>
      <c r="E89" s="382"/>
      <c r="F89" s="382"/>
      <c r="G89" s="39"/>
    </row>
    <row r="90" spans="1:7" ht="11.25">
      <c r="A90" s="381">
        <f>A89+1</f>
        <v>632</v>
      </c>
      <c r="B90" s="156" t="s">
        <v>133</v>
      </c>
      <c r="C90" s="382"/>
      <c r="D90" s="382"/>
      <c r="E90" s="383"/>
      <c r="F90" s="384"/>
      <c r="G90" s="36"/>
    </row>
    <row r="91" spans="1:7" ht="11.25" customHeight="1">
      <c r="A91" s="381">
        <f>A90+1</f>
        <v>633</v>
      </c>
      <c r="B91" s="385" t="str">
        <f>CONCATENATE("Normatief werkkapitaal ((-/- 7,7% van (regel ",A88," + regel ",A89,")) + regel ",A90,")")</f>
        <v>Normatief werkkapitaal ((-/- 7,7% van (regel 630 + regel 631)) + regel 632)</v>
      </c>
      <c r="C91" s="386"/>
      <c r="D91" s="386"/>
      <c r="E91" s="43"/>
      <c r="F91" s="155"/>
      <c r="G91" s="95">
        <f>(-0.077*(G88-G89))+G90</f>
        <v>0</v>
      </c>
    </row>
    <row r="92" spans="1:9" ht="11.25">
      <c r="A92" s="387"/>
      <c r="F92" s="5"/>
      <c r="H92" s="6"/>
      <c r="I92" s="6"/>
    </row>
    <row r="93" ht="11.25" hidden="1"/>
    <row r="94" ht="11.25" hidden="1"/>
    <row r="95" ht="11.25" hidden="1"/>
    <row r="96" ht="11.25" hidden="1"/>
    <row r="97" ht="11.25" hidden="1"/>
    <row r="98" ht="11.25" hidden="1"/>
    <row r="99" ht="11.25" hidden="1"/>
    <row r="100" ht="11.25" hidden="1"/>
    <row r="101" ht="11.25" hidden="1"/>
    <row r="102" ht="11.25" hidden="1"/>
    <row r="103" ht="11.25" hidden="1"/>
    <row r="104" ht="11.25" hidden="1"/>
    <row r="105" ht="11.25" hidden="1"/>
    <row r="106" ht="11.25" hidden="1"/>
    <row r="107" ht="11.25" hidden="1"/>
    <row r="108" ht="11.25" hidden="1"/>
    <row r="109" ht="11.25" hidden="1"/>
    <row r="110" ht="11.25" hidden="1"/>
    <row r="111" ht="11.25" hidden="1"/>
    <row r="112" ht="11.25" hidden="1"/>
    <row r="113" ht="11.25" hidden="1"/>
    <row r="114" ht="11.25" hidden="1"/>
    <row r="115" ht="11.25" hidden="1"/>
    <row r="116" ht="11.25" hidden="1"/>
    <row r="117" ht="11.25" hidden="1"/>
    <row r="118" ht="11.25" hidden="1"/>
    <row r="119" ht="11.25" hidden="1"/>
    <row r="120" ht="11.25" hidden="1"/>
    <row r="121" ht="11.25" hidden="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6" customHeight="1" hidden="1"/>
    <row r="142" ht="11.25" hidden="1"/>
  </sheetData>
  <sheetProtection password="E296" sheet="1" objects="1" scenarios="1"/>
  <mergeCells count="6">
    <mergeCell ref="F4:G4"/>
    <mergeCell ref="F66:G66"/>
    <mergeCell ref="E25:G26"/>
    <mergeCell ref="C25:C27"/>
    <mergeCell ref="D25:D27"/>
    <mergeCell ref="B45:G45"/>
  </mergeCells>
  <conditionalFormatting sqref="I50:M50">
    <cfRule type="expression" priority="1" dxfId="4" stopIfTrue="1">
      <formula>$L50&lt;&gt;""</formula>
    </cfRule>
  </conditionalFormatting>
  <conditionalFormatting sqref="I51">
    <cfRule type="expression" priority="2" dxfId="4" stopIfTrue="1">
      <formula>$A51&lt;&gt;""</formula>
    </cfRule>
  </conditionalFormatting>
  <conditionalFormatting sqref="G88:G90 C68:C82 C84 D68:D69 D83 C50:C59 C28:C40 D29:D40 C6:D19">
    <cfRule type="expression" priority="3" dxfId="1" stopIfTrue="1">
      <formula>$E$1=TRUE</formula>
    </cfRule>
  </conditionalFormatting>
  <conditionalFormatting sqref="C44:E44">
    <cfRule type="cellIs" priority="4" dxfId="5" operator="notEqual" stopIfTrue="1">
      <formula>0</formula>
    </cfRule>
  </conditionalFormatting>
  <conditionalFormatting sqref="G50:G59 F50">
    <cfRule type="expression" priority="5" dxfId="4" stopIfTrue="1">
      <formula>$E$50=""</formula>
    </cfRule>
  </conditionalFormatting>
  <conditionalFormatting sqref="F51:F59">
    <cfRule type="expression" priority="6" dxfId="4" stopIfTrue="1">
      <formula>$E$50=" "</formula>
    </cfRule>
  </conditionalFormatting>
  <conditionalFormatting sqref="E50:E59">
    <cfRule type="expression" priority="7" dxfId="6" stopIfTrue="1">
      <formula>$F$48=1</formula>
    </cfRule>
  </conditionalFormatting>
  <printOptions/>
  <pageMargins left="0.3937007874015748" right="0.3937007874015748" top="0.7874015748031497" bottom="0.3937007874015748" header="0.5118110236220472" footer="0.5118110236220472"/>
  <pageSetup firstPageNumber="5" useFirstPageNumber="1" horizontalDpi="300" verticalDpi="300" orientation="landscape" paperSize="9" scale="86" r:id="rId2"/>
  <headerFooter alignWithMargins="0">
    <oddHeader>&amp;LAWBZ-BREED CALCULATIEMODEL RENTEKOSTEN 2009
&amp;R&amp;G</oddHeader>
    <oddFooter>&amp;R&amp;P</oddFooter>
  </headerFooter>
  <rowBreaks count="1" manualBreakCount="1">
    <brk id="46" max="7" man="1"/>
  </rowBreaks>
  <ignoredErrors>
    <ignoredError sqref="E6:E19 C20:G20 G28:G40 C41 D43:D44 E50:E59 E44 C60 C85:G85 G91:G92 E68:E84" emptyCellReference="1"/>
  </ignoredErrors>
  <legacyDrawingHF r:id="rId1"/>
</worksheet>
</file>

<file path=xl/worksheets/sheet5.xml><?xml version="1.0" encoding="utf-8"?>
<worksheet xmlns="http://schemas.openxmlformats.org/spreadsheetml/2006/main" xmlns:r="http://schemas.openxmlformats.org/officeDocument/2006/relationships">
  <sheetPr codeName="Blad14"/>
  <dimension ref="A1:AN82"/>
  <sheetViews>
    <sheetView showGridLines="0" zoomScale="95" zoomScaleNormal="95" zoomScaleSheetLayoutView="100" workbookViewId="0" topLeftCell="A1">
      <selection activeCell="O1" sqref="O1"/>
    </sheetView>
  </sheetViews>
  <sheetFormatPr defaultColWidth="9.140625" defaultRowHeight="12.75" zeroHeight="1"/>
  <cols>
    <col min="1" max="1" width="6.421875" style="45" customWidth="1"/>
    <col min="2" max="2" width="18.28125" style="5" customWidth="1"/>
    <col min="3" max="3" width="9.7109375" style="5" customWidth="1"/>
    <col min="4" max="4" width="11.421875" style="2" customWidth="1"/>
    <col min="5" max="6" width="5.8515625" style="5" customWidth="1"/>
    <col min="7" max="7" width="6.7109375" style="5" customWidth="1"/>
    <col min="8" max="8" width="11.28125" style="3" customWidth="1"/>
    <col min="9" max="9" width="10.7109375" style="3" customWidth="1"/>
    <col min="10" max="10" width="3.7109375" style="3" customWidth="1"/>
    <col min="11" max="16" width="2.7109375" style="3" customWidth="1"/>
    <col min="17" max="18" width="11.28125" style="3" customWidth="1"/>
    <col min="19" max="19" width="10.28125" style="5" customWidth="1"/>
    <col min="20" max="20" width="13.00390625" style="5" customWidth="1"/>
    <col min="21" max="21" width="3.7109375" style="277" customWidth="1"/>
    <col min="22" max="22" width="18.421875" style="277" hidden="1" customWidth="1"/>
    <col min="23" max="25" width="5.28125" style="277" hidden="1" customWidth="1"/>
    <col min="26" max="29" width="7.57421875" style="277" hidden="1" customWidth="1"/>
    <col min="30" max="30" width="13.7109375" style="277" hidden="1" customWidth="1"/>
    <col min="31" max="31" width="12.8515625" style="277" hidden="1" customWidth="1"/>
    <col min="32" max="32" width="13.28125" style="277" hidden="1" customWidth="1"/>
    <col min="33" max="33" width="12.421875" style="277" hidden="1" customWidth="1"/>
    <col min="34" max="34" width="12.8515625" style="277" hidden="1" customWidth="1"/>
    <col min="35" max="35" width="11.8515625" style="277" hidden="1" customWidth="1"/>
    <col min="36" max="37" width="10.28125" style="277" hidden="1" customWidth="1"/>
    <col min="38" max="40" width="10.28125" style="5" hidden="1" customWidth="1"/>
    <col min="41" max="16384" width="9.140625" style="5" hidden="1" customWidth="1"/>
  </cols>
  <sheetData>
    <row r="1" spans="1:39" s="96" customFormat="1" ht="12.75" customHeight="1">
      <c r="A1" s="170" t="s">
        <v>7</v>
      </c>
      <c r="B1" s="388" t="s">
        <v>50</v>
      </c>
      <c r="H1" s="97" t="s">
        <v>28</v>
      </c>
      <c r="Q1" s="389" t="b">
        <f>'Rentecalc.'!I4</f>
        <v>1</v>
      </c>
      <c r="U1" s="275"/>
      <c r="V1" s="275"/>
      <c r="W1" s="275"/>
      <c r="X1" s="275"/>
      <c r="Y1" s="275"/>
      <c r="Z1" s="275"/>
      <c r="AA1" s="275"/>
      <c r="AB1" s="275"/>
      <c r="AC1" s="275"/>
      <c r="AD1" s="275"/>
      <c r="AE1" s="275"/>
      <c r="AF1" s="275"/>
      <c r="AG1" s="275"/>
      <c r="AH1" s="275"/>
      <c r="AI1" s="275"/>
      <c r="AJ1" s="275"/>
      <c r="AK1" s="275"/>
      <c r="AL1" s="98"/>
      <c r="AM1" s="98"/>
    </row>
    <row r="2" spans="1:37" s="8" customFormat="1" ht="12.75" customHeight="1">
      <c r="A2" s="390"/>
      <c r="B2" s="391" t="s">
        <v>95</v>
      </c>
      <c r="C2" s="392" t="s">
        <v>108</v>
      </c>
      <c r="D2" s="391" t="s">
        <v>22</v>
      </c>
      <c r="E2" s="391" t="s">
        <v>112</v>
      </c>
      <c r="F2" s="391" t="s">
        <v>92</v>
      </c>
      <c r="G2" s="391" t="s">
        <v>25</v>
      </c>
      <c r="H2" s="391" t="s">
        <v>96</v>
      </c>
      <c r="I2" s="603" t="str">
        <f>CONCATENATE("Storting/Aflossing ",'Rentecalc.'!J1)</f>
        <v>Storting/Aflossing 2009</v>
      </c>
      <c r="J2" s="606"/>
      <c r="K2" s="606"/>
      <c r="L2" s="606"/>
      <c r="M2" s="606"/>
      <c r="N2" s="606"/>
      <c r="O2" s="606"/>
      <c r="P2" s="607"/>
      <c r="Q2" s="393" t="s">
        <v>96</v>
      </c>
      <c r="R2" s="391" t="s">
        <v>117</v>
      </c>
      <c r="S2" s="391" t="s">
        <v>31</v>
      </c>
      <c r="T2" s="394" t="s">
        <v>27</v>
      </c>
      <c r="U2" s="276"/>
      <c r="V2" s="276"/>
      <c r="W2" s="276"/>
      <c r="X2" s="276"/>
      <c r="Y2" s="276"/>
      <c r="Z2" s="276"/>
      <c r="AA2" s="276"/>
      <c r="AB2" s="276"/>
      <c r="AC2" s="276"/>
      <c r="AD2" s="276"/>
      <c r="AE2" s="276"/>
      <c r="AF2" s="276"/>
      <c r="AG2" s="276"/>
      <c r="AH2" s="276"/>
      <c r="AI2" s="276"/>
      <c r="AJ2" s="276"/>
      <c r="AK2" s="276"/>
    </row>
    <row r="3" spans="1:20" ht="12.75" customHeight="1">
      <c r="A3" s="171"/>
      <c r="B3" s="395"/>
      <c r="C3" s="396" t="s">
        <v>0</v>
      </c>
      <c r="D3" s="397" t="s">
        <v>1</v>
      </c>
      <c r="E3" s="397" t="s">
        <v>23</v>
      </c>
      <c r="F3" s="397" t="s">
        <v>24</v>
      </c>
      <c r="G3" s="397" t="s">
        <v>10</v>
      </c>
      <c r="H3" s="398" t="str">
        <f>CONCATENATE("31-12-",'Rentecalc.'!J1-1," ")</f>
        <v>31-12-2008 </v>
      </c>
      <c r="I3" s="396" t="s">
        <v>114</v>
      </c>
      <c r="J3" s="399" t="s">
        <v>109</v>
      </c>
      <c r="K3" s="603" t="s">
        <v>110</v>
      </c>
      <c r="L3" s="604"/>
      <c r="M3" s="604"/>
      <c r="N3" s="604"/>
      <c r="O3" s="604"/>
      <c r="P3" s="605"/>
      <c r="Q3" s="398" t="str">
        <f>CONCATENATE("31-12-",'Rentecalc.'!J1," ")</f>
        <v>31-12-2009 </v>
      </c>
      <c r="R3" s="400" t="s">
        <v>35</v>
      </c>
      <c r="S3" s="400" t="s">
        <v>26</v>
      </c>
      <c r="T3" s="400" t="s">
        <v>47</v>
      </c>
    </row>
    <row r="4" spans="1:39" ht="12.75" customHeight="1">
      <c r="A4" s="313">
        <v>701</v>
      </c>
      <c r="B4" s="99"/>
      <c r="C4" s="100"/>
      <c r="D4" s="100"/>
      <c r="E4" s="101"/>
      <c r="F4" s="101"/>
      <c r="G4" s="102"/>
      <c r="H4" s="103"/>
      <c r="I4" s="103"/>
      <c r="J4" s="104"/>
      <c r="K4" s="104"/>
      <c r="L4" s="104"/>
      <c r="M4" s="104"/>
      <c r="N4" s="104"/>
      <c r="O4" s="104"/>
      <c r="P4" s="104"/>
      <c r="Q4" s="105">
        <f>H4-AB4</f>
        <v>0</v>
      </c>
      <c r="R4" s="106">
        <f>R45</f>
        <v>0</v>
      </c>
      <c r="S4" s="105">
        <f>R4*F4/100</f>
        <v>0</v>
      </c>
      <c r="T4" s="106">
        <f>IF(G4="n",S4,E4/100*R4)</f>
        <v>0</v>
      </c>
      <c r="U4" s="278">
        <f aca="true" t="shared" si="0" ref="U4:Z4">IF(K4&gt;0,1,0)</f>
        <v>0</v>
      </c>
      <c r="V4" s="278">
        <f t="shared" si="0"/>
        <v>0</v>
      </c>
      <c r="W4" s="278">
        <f t="shared" si="0"/>
        <v>0</v>
      </c>
      <c r="X4" s="278">
        <f t="shared" si="0"/>
        <v>0</v>
      </c>
      <c r="Y4" s="278">
        <f t="shared" si="0"/>
        <v>0</v>
      </c>
      <c r="Z4" s="278">
        <f t="shared" si="0"/>
        <v>0</v>
      </c>
      <c r="AA4" s="278">
        <f>SUM(U4:Z4)</f>
        <v>0</v>
      </c>
      <c r="AB4" s="278">
        <f>AA4*I4</f>
        <v>0</v>
      </c>
      <c r="AJ4" s="279"/>
      <c r="AK4" s="279"/>
      <c r="AL4" s="108"/>
      <c r="AM4" s="108"/>
    </row>
    <row r="5" spans="1:39" ht="12.75" customHeight="1">
      <c r="A5" s="313">
        <f>A4+1</f>
        <v>702</v>
      </c>
      <c r="B5" s="109"/>
      <c r="C5" s="100"/>
      <c r="D5" s="100"/>
      <c r="E5" s="101"/>
      <c r="F5" s="101"/>
      <c r="G5" s="102"/>
      <c r="H5" s="103"/>
      <c r="I5" s="103"/>
      <c r="J5" s="104"/>
      <c r="K5" s="104"/>
      <c r="L5" s="104"/>
      <c r="M5" s="104"/>
      <c r="N5" s="104"/>
      <c r="O5" s="104"/>
      <c r="P5" s="104"/>
      <c r="Q5" s="105">
        <f aca="true" t="shared" si="1" ref="Q5:Q31">H5-AB5</f>
        <v>0</v>
      </c>
      <c r="R5" s="106">
        <f>R46</f>
        <v>0</v>
      </c>
      <c r="S5" s="105">
        <f>R5*F5/100</f>
        <v>0</v>
      </c>
      <c r="T5" s="106">
        <f aca="true" t="shared" si="2" ref="T5:T31">IF(G5="n",S5,E5/100*R5)</f>
        <v>0</v>
      </c>
      <c r="U5" s="278">
        <f aca="true" t="shared" si="3" ref="U5:Z7">IF(K5&gt;0,1,0)</f>
        <v>0</v>
      </c>
      <c r="V5" s="278">
        <f t="shared" si="3"/>
        <v>0</v>
      </c>
      <c r="W5" s="278">
        <f t="shared" si="3"/>
        <v>0</v>
      </c>
      <c r="X5" s="278">
        <f t="shared" si="3"/>
        <v>0</v>
      </c>
      <c r="Y5" s="278">
        <f t="shared" si="3"/>
        <v>0</v>
      </c>
      <c r="Z5" s="278">
        <f t="shared" si="3"/>
        <v>0</v>
      </c>
      <c r="AA5" s="278">
        <f>SUM(U5:Z5)</f>
        <v>0</v>
      </c>
      <c r="AB5" s="278">
        <f>AA5*I5</f>
        <v>0</v>
      </c>
      <c r="AJ5" s="279"/>
      <c r="AK5" s="279"/>
      <c r="AL5" s="108"/>
      <c r="AM5" s="108"/>
    </row>
    <row r="6" spans="1:39" ht="12.75" customHeight="1">
      <c r="A6" s="313">
        <f aca="true" t="shared" si="4" ref="A6:A36">A5+1</f>
        <v>703</v>
      </c>
      <c r="B6" s="109"/>
      <c r="C6" s="100"/>
      <c r="D6" s="100"/>
      <c r="E6" s="101"/>
      <c r="F6" s="101"/>
      <c r="G6" s="102"/>
      <c r="H6" s="103"/>
      <c r="I6" s="103"/>
      <c r="J6" s="104"/>
      <c r="K6" s="104"/>
      <c r="L6" s="104"/>
      <c r="M6" s="104"/>
      <c r="N6" s="104"/>
      <c r="O6" s="104"/>
      <c r="P6" s="104"/>
      <c r="Q6" s="105">
        <f t="shared" si="1"/>
        <v>0</v>
      </c>
      <c r="R6" s="106">
        <f>R47</f>
        <v>0</v>
      </c>
      <c r="S6" s="105">
        <f aca="true" t="shared" si="5" ref="S6:S31">R6*F6/100</f>
        <v>0</v>
      </c>
      <c r="T6" s="106">
        <f t="shared" si="2"/>
        <v>0</v>
      </c>
      <c r="U6" s="278">
        <f t="shared" si="3"/>
        <v>0</v>
      </c>
      <c r="V6" s="278">
        <f t="shared" si="3"/>
        <v>0</v>
      </c>
      <c r="W6" s="278">
        <f t="shared" si="3"/>
        <v>0</v>
      </c>
      <c r="X6" s="278">
        <f t="shared" si="3"/>
        <v>0</v>
      </c>
      <c r="Y6" s="278">
        <f t="shared" si="3"/>
        <v>0</v>
      </c>
      <c r="Z6" s="278">
        <f t="shared" si="3"/>
        <v>0</v>
      </c>
      <c r="AA6" s="278">
        <f>SUM(U6:Z6)</f>
        <v>0</v>
      </c>
      <c r="AB6" s="278">
        <f>AA6*I6</f>
        <v>0</v>
      </c>
      <c r="AJ6" s="279"/>
      <c r="AK6" s="279"/>
      <c r="AL6" s="108"/>
      <c r="AM6" s="108"/>
    </row>
    <row r="7" spans="1:39" ht="12.75" customHeight="1">
      <c r="A7" s="313">
        <f t="shared" si="4"/>
        <v>704</v>
      </c>
      <c r="B7" s="109"/>
      <c r="C7" s="100"/>
      <c r="D7" s="100"/>
      <c r="E7" s="101"/>
      <c r="F7" s="101"/>
      <c r="G7" s="102"/>
      <c r="H7" s="103"/>
      <c r="I7" s="103"/>
      <c r="J7" s="104"/>
      <c r="K7" s="104"/>
      <c r="L7" s="104"/>
      <c r="M7" s="104"/>
      <c r="N7" s="104"/>
      <c r="O7" s="104"/>
      <c r="P7" s="104"/>
      <c r="Q7" s="105">
        <f t="shared" si="1"/>
        <v>0</v>
      </c>
      <c r="R7" s="106">
        <f>R48</f>
        <v>0</v>
      </c>
      <c r="S7" s="105">
        <f t="shared" si="5"/>
        <v>0</v>
      </c>
      <c r="T7" s="106">
        <f t="shared" si="2"/>
        <v>0</v>
      </c>
      <c r="U7" s="278">
        <f t="shared" si="3"/>
        <v>0</v>
      </c>
      <c r="V7" s="278">
        <f t="shared" si="3"/>
        <v>0</v>
      </c>
      <c r="W7" s="278">
        <f t="shared" si="3"/>
        <v>0</v>
      </c>
      <c r="X7" s="278">
        <f t="shared" si="3"/>
        <v>0</v>
      </c>
      <c r="Y7" s="278">
        <f t="shared" si="3"/>
        <v>0</v>
      </c>
      <c r="Z7" s="278">
        <f t="shared" si="3"/>
        <v>0</v>
      </c>
      <c r="AA7" s="278">
        <f>SUM(U7:Z7)</f>
        <v>0</v>
      </c>
      <c r="AB7" s="278">
        <f>AA7*I7</f>
        <v>0</v>
      </c>
      <c r="AJ7" s="279"/>
      <c r="AK7" s="279"/>
      <c r="AL7" s="108"/>
      <c r="AM7" s="108"/>
    </row>
    <row r="8" spans="1:39" ht="12.75" customHeight="1">
      <c r="A8" s="313">
        <f t="shared" si="4"/>
        <v>705</v>
      </c>
      <c r="B8" s="109"/>
      <c r="C8" s="100"/>
      <c r="D8" s="100"/>
      <c r="E8" s="101"/>
      <c r="F8" s="101"/>
      <c r="G8" s="102"/>
      <c r="H8" s="103"/>
      <c r="I8" s="103"/>
      <c r="J8" s="104"/>
      <c r="K8" s="104"/>
      <c r="L8" s="104"/>
      <c r="M8" s="104"/>
      <c r="N8" s="104"/>
      <c r="O8" s="104"/>
      <c r="P8" s="104"/>
      <c r="Q8" s="105">
        <f t="shared" si="1"/>
        <v>0</v>
      </c>
      <c r="R8" s="106">
        <f>R49</f>
        <v>0</v>
      </c>
      <c r="S8" s="105">
        <f t="shared" si="5"/>
        <v>0</v>
      </c>
      <c r="T8" s="106">
        <f t="shared" si="2"/>
        <v>0</v>
      </c>
      <c r="U8" s="278">
        <f aca="true" t="shared" si="6" ref="U8:U32">IF(K8&gt;0,1,0)</f>
        <v>0</v>
      </c>
      <c r="V8" s="278">
        <f aca="true" t="shared" si="7" ref="V8:V32">IF(L8&gt;0,1,0)</f>
        <v>0</v>
      </c>
      <c r="W8" s="278">
        <f aca="true" t="shared" si="8" ref="W8:W32">IF(M8&gt;0,1,0)</f>
        <v>0</v>
      </c>
      <c r="X8" s="278">
        <f aca="true" t="shared" si="9" ref="X8:X32">IF(N8&gt;0,1,0)</f>
        <v>0</v>
      </c>
      <c r="Y8" s="278">
        <f aca="true" t="shared" si="10" ref="Y8:Y32">IF(O8&gt;0,1,0)</f>
        <v>0</v>
      </c>
      <c r="Z8" s="278">
        <f aca="true" t="shared" si="11" ref="Z8:Z32">IF(P8&gt;0,1,0)</f>
        <v>0</v>
      </c>
      <c r="AA8" s="278">
        <f aca="true" t="shared" si="12" ref="AA8:AA32">SUM(U8:Z8)</f>
        <v>0</v>
      </c>
      <c r="AB8" s="278">
        <f aca="true" t="shared" si="13" ref="AB8:AB32">AA8*I8</f>
        <v>0</v>
      </c>
      <c r="AJ8" s="279"/>
      <c r="AK8" s="279"/>
      <c r="AL8" s="108"/>
      <c r="AM8" s="108"/>
    </row>
    <row r="9" spans="1:39" ht="12.75" customHeight="1">
      <c r="A9" s="313">
        <f t="shared" si="4"/>
        <v>706</v>
      </c>
      <c r="B9" s="109"/>
      <c r="C9" s="100"/>
      <c r="D9" s="100"/>
      <c r="E9" s="101"/>
      <c r="F9" s="101"/>
      <c r="G9" s="102"/>
      <c r="H9" s="103"/>
      <c r="I9" s="103"/>
      <c r="J9" s="104"/>
      <c r="K9" s="104"/>
      <c r="L9" s="104"/>
      <c r="M9" s="104"/>
      <c r="N9" s="104"/>
      <c r="O9" s="104"/>
      <c r="P9" s="104"/>
      <c r="Q9" s="105">
        <f t="shared" si="1"/>
        <v>0</v>
      </c>
      <c r="R9" s="106">
        <f aca="true" t="shared" si="14" ref="R9:R31">R50</f>
        <v>0</v>
      </c>
      <c r="S9" s="105">
        <f t="shared" si="5"/>
        <v>0</v>
      </c>
      <c r="T9" s="106">
        <f t="shared" si="2"/>
        <v>0</v>
      </c>
      <c r="U9" s="278">
        <f t="shared" si="6"/>
        <v>0</v>
      </c>
      <c r="V9" s="278">
        <f t="shared" si="7"/>
        <v>0</v>
      </c>
      <c r="W9" s="278">
        <f t="shared" si="8"/>
        <v>0</v>
      </c>
      <c r="X9" s="278">
        <f t="shared" si="9"/>
        <v>0</v>
      </c>
      <c r="Y9" s="278">
        <f t="shared" si="10"/>
        <v>0</v>
      </c>
      <c r="Z9" s="278">
        <f t="shared" si="11"/>
        <v>0</v>
      </c>
      <c r="AA9" s="278">
        <f t="shared" si="12"/>
        <v>0</v>
      </c>
      <c r="AB9" s="278">
        <f t="shared" si="13"/>
        <v>0</v>
      </c>
      <c r="AJ9" s="279"/>
      <c r="AK9" s="279"/>
      <c r="AL9" s="108"/>
      <c r="AM9" s="108"/>
    </row>
    <row r="10" spans="1:39" ht="12.75" customHeight="1">
      <c r="A10" s="313">
        <f t="shared" si="4"/>
        <v>707</v>
      </c>
      <c r="B10" s="109"/>
      <c r="C10" s="100"/>
      <c r="D10" s="100"/>
      <c r="E10" s="101"/>
      <c r="F10" s="101"/>
      <c r="G10" s="102"/>
      <c r="H10" s="103"/>
      <c r="I10" s="103"/>
      <c r="J10" s="104"/>
      <c r="K10" s="104"/>
      <c r="L10" s="104"/>
      <c r="M10" s="104"/>
      <c r="N10" s="104"/>
      <c r="O10" s="104"/>
      <c r="P10" s="104"/>
      <c r="Q10" s="105">
        <f t="shared" si="1"/>
        <v>0</v>
      </c>
      <c r="R10" s="106">
        <f t="shared" si="14"/>
        <v>0</v>
      </c>
      <c r="S10" s="105">
        <f t="shared" si="5"/>
        <v>0</v>
      </c>
      <c r="T10" s="106">
        <f t="shared" si="2"/>
        <v>0</v>
      </c>
      <c r="U10" s="278">
        <f t="shared" si="6"/>
        <v>0</v>
      </c>
      <c r="V10" s="278">
        <f t="shared" si="7"/>
        <v>0</v>
      </c>
      <c r="W10" s="278">
        <f t="shared" si="8"/>
        <v>0</v>
      </c>
      <c r="X10" s="278">
        <f t="shared" si="9"/>
        <v>0</v>
      </c>
      <c r="Y10" s="278">
        <f t="shared" si="10"/>
        <v>0</v>
      </c>
      <c r="Z10" s="278">
        <f t="shared" si="11"/>
        <v>0</v>
      </c>
      <c r="AA10" s="278">
        <f t="shared" si="12"/>
        <v>0</v>
      </c>
      <c r="AB10" s="278">
        <f t="shared" si="13"/>
        <v>0</v>
      </c>
      <c r="AJ10" s="279"/>
      <c r="AK10" s="279"/>
      <c r="AL10" s="108"/>
      <c r="AM10" s="108"/>
    </row>
    <row r="11" spans="1:39" ht="12.75" customHeight="1">
      <c r="A11" s="313">
        <f t="shared" si="4"/>
        <v>708</v>
      </c>
      <c r="B11" s="109"/>
      <c r="C11" s="100"/>
      <c r="D11" s="100"/>
      <c r="E11" s="101"/>
      <c r="F11" s="101"/>
      <c r="G11" s="102"/>
      <c r="H11" s="103"/>
      <c r="I11" s="103"/>
      <c r="J11" s="104"/>
      <c r="K11" s="104"/>
      <c r="L11" s="104"/>
      <c r="M11" s="104"/>
      <c r="N11" s="104"/>
      <c r="O11" s="104"/>
      <c r="P11" s="104"/>
      <c r="Q11" s="105">
        <f t="shared" si="1"/>
        <v>0</v>
      </c>
      <c r="R11" s="106">
        <f t="shared" si="14"/>
        <v>0</v>
      </c>
      <c r="S11" s="105">
        <f t="shared" si="5"/>
        <v>0</v>
      </c>
      <c r="T11" s="106">
        <f t="shared" si="2"/>
        <v>0</v>
      </c>
      <c r="U11" s="278">
        <f t="shared" si="6"/>
        <v>0</v>
      </c>
      <c r="V11" s="278">
        <f t="shared" si="7"/>
        <v>0</v>
      </c>
      <c r="W11" s="278">
        <f t="shared" si="8"/>
        <v>0</v>
      </c>
      <c r="X11" s="278">
        <f t="shared" si="9"/>
        <v>0</v>
      </c>
      <c r="Y11" s="278">
        <f t="shared" si="10"/>
        <v>0</v>
      </c>
      <c r="Z11" s="278">
        <f t="shared" si="11"/>
        <v>0</v>
      </c>
      <c r="AA11" s="278">
        <f t="shared" si="12"/>
        <v>0</v>
      </c>
      <c r="AB11" s="278">
        <f t="shared" si="13"/>
        <v>0</v>
      </c>
      <c r="AJ11" s="279"/>
      <c r="AK11" s="279"/>
      <c r="AL11" s="108"/>
      <c r="AM11" s="108"/>
    </row>
    <row r="12" spans="1:39" ht="12.75" customHeight="1">
      <c r="A12" s="313">
        <f t="shared" si="4"/>
        <v>709</v>
      </c>
      <c r="B12" s="109"/>
      <c r="C12" s="100"/>
      <c r="D12" s="100"/>
      <c r="E12" s="101"/>
      <c r="F12" s="101"/>
      <c r="G12" s="102"/>
      <c r="H12" s="103"/>
      <c r="I12" s="103"/>
      <c r="J12" s="104"/>
      <c r="K12" s="104"/>
      <c r="L12" s="104"/>
      <c r="M12" s="104"/>
      <c r="N12" s="104"/>
      <c r="O12" s="104"/>
      <c r="P12" s="104"/>
      <c r="Q12" s="105">
        <f t="shared" si="1"/>
        <v>0</v>
      </c>
      <c r="R12" s="106">
        <f t="shared" si="14"/>
        <v>0</v>
      </c>
      <c r="S12" s="105">
        <f t="shared" si="5"/>
        <v>0</v>
      </c>
      <c r="T12" s="106">
        <f t="shared" si="2"/>
        <v>0</v>
      </c>
      <c r="U12" s="278">
        <f t="shared" si="6"/>
        <v>0</v>
      </c>
      <c r="V12" s="278">
        <f t="shared" si="7"/>
        <v>0</v>
      </c>
      <c r="W12" s="278">
        <f t="shared" si="8"/>
        <v>0</v>
      </c>
      <c r="X12" s="278">
        <f t="shared" si="9"/>
        <v>0</v>
      </c>
      <c r="Y12" s="278">
        <f t="shared" si="10"/>
        <v>0</v>
      </c>
      <c r="Z12" s="278">
        <f t="shared" si="11"/>
        <v>0</v>
      </c>
      <c r="AA12" s="278">
        <f t="shared" si="12"/>
        <v>0</v>
      </c>
      <c r="AB12" s="278">
        <f t="shared" si="13"/>
        <v>0</v>
      </c>
      <c r="AJ12" s="279"/>
      <c r="AK12" s="279"/>
      <c r="AL12" s="108"/>
      <c r="AM12" s="108"/>
    </row>
    <row r="13" spans="1:39" ht="12.75" customHeight="1">
      <c r="A13" s="313">
        <f t="shared" si="4"/>
        <v>710</v>
      </c>
      <c r="B13" s="109"/>
      <c r="C13" s="100"/>
      <c r="D13" s="100"/>
      <c r="E13" s="101"/>
      <c r="F13" s="101"/>
      <c r="G13" s="102"/>
      <c r="H13" s="103"/>
      <c r="I13" s="103"/>
      <c r="J13" s="104"/>
      <c r="K13" s="104"/>
      <c r="L13" s="104"/>
      <c r="M13" s="104"/>
      <c r="N13" s="104"/>
      <c r="O13" s="104"/>
      <c r="P13" s="104"/>
      <c r="Q13" s="105">
        <f t="shared" si="1"/>
        <v>0</v>
      </c>
      <c r="R13" s="106">
        <f t="shared" si="14"/>
        <v>0</v>
      </c>
      <c r="S13" s="105">
        <f t="shared" si="5"/>
        <v>0</v>
      </c>
      <c r="T13" s="106">
        <f t="shared" si="2"/>
        <v>0</v>
      </c>
      <c r="U13" s="278">
        <f t="shared" si="6"/>
        <v>0</v>
      </c>
      <c r="V13" s="278">
        <f t="shared" si="7"/>
        <v>0</v>
      </c>
      <c r="W13" s="278">
        <f t="shared" si="8"/>
        <v>0</v>
      </c>
      <c r="X13" s="278">
        <f t="shared" si="9"/>
        <v>0</v>
      </c>
      <c r="Y13" s="278">
        <f t="shared" si="10"/>
        <v>0</v>
      </c>
      <c r="Z13" s="278">
        <f t="shared" si="11"/>
        <v>0</v>
      </c>
      <c r="AA13" s="278">
        <f t="shared" si="12"/>
        <v>0</v>
      </c>
      <c r="AB13" s="278">
        <f t="shared" si="13"/>
        <v>0</v>
      </c>
      <c r="AJ13" s="279"/>
      <c r="AK13" s="279"/>
      <c r="AL13" s="108"/>
      <c r="AM13" s="108"/>
    </row>
    <row r="14" spans="1:39" ht="12.75" customHeight="1">
      <c r="A14" s="313">
        <f t="shared" si="4"/>
        <v>711</v>
      </c>
      <c r="B14" s="109"/>
      <c r="C14" s="100"/>
      <c r="D14" s="100"/>
      <c r="E14" s="101"/>
      <c r="F14" s="101"/>
      <c r="G14" s="102"/>
      <c r="H14" s="103"/>
      <c r="I14" s="103"/>
      <c r="J14" s="104"/>
      <c r="K14" s="104"/>
      <c r="L14" s="104"/>
      <c r="M14" s="104"/>
      <c r="N14" s="104"/>
      <c r="O14" s="104"/>
      <c r="P14" s="104"/>
      <c r="Q14" s="105">
        <f t="shared" si="1"/>
        <v>0</v>
      </c>
      <c r="R14" s="106">
        <f t="shared" si="14"/>
        <v>0</v>
      </c>
      <c r="S14" s="105">
        <f t="shared" si="5"/>
        <v>0</v>
      </c>
      <c r="T14" s="106">
        <f t="shared" si="2"/>
        <v>0</v>
      </c>
      <c r="U14" s="278">
        <f t="shared" si="6"/>
        <v>0</v>
      </c>
      <c r="V14" s="278">
        <f t="shared" si="7"/>
        <v>0</v>
      </c>
      <c r="W14" s="278">
        <f t="shared" si="8"/>
        <v>0</v>
      </c>
      <c r="X14" s="278">
        <f t="shared" si="9"/>
        <v>0</v>
      </c>
      <c r="Y14" s="278">
        <f t="shared" si="10"/>
        <v>0</v>
      </c>
      <c r="Z14" s="278">
        <f t="shared" si="11"/>
        <v>0</v>
      </c>
      <c r="AA14" s="278">
        <f t="shared" si="12"/>
        <v>0</v>
      </c>
      <c r="AB14" s="278">
        <f t="shared" si="13"/>
        <v>0</v>
      </c>
      <c r="AJ14" s="279"/>
      <c r="AK14" s="279"/>
      <c r="AL14" s="108"/>
      <c r="AM14" s="108"/>
    </row>
    <row r="15" spans="1:39" ht="12.75" customHeight="1">
      <c r="A15" s="313">
        <f t="shared" si="4"/>
        <v>712</v>
      </c>
      <c r="B15" s="109"/>
      <c r="C15" s="100"/>
      <c r="D15" s="100"/>
      <c r="E15" s="101"/>
      <c r="F15" s="101"/>
      <c r="G15" s="102"/>
      <c r="H15" s="103"/>
      <c r="I15" s="103"/>
      <c r="J15" s="104"/>
      <c r="K15" s="104"/>
      <c r="L15" s="104"/>
      <c r="M15" s="104"/>
      <c r="N15" s="104"/>
      <c r="O15" s="104"/>
      <c r="P15" s="104"/>
      <c r="Q15" s="105">
        <f t="shared" si="1"/>
        <v>0</v>
      </c>
      <c r="R15" s="106">
        <f t="shared" si="14"/>
        <v>0</v>
      </c>
      <c r="S15" s="105">
        <f t="shared" si="5"/>
        <v>0</v>
      </c>
      <c r="T15" s="106">
        <f t="shared" si="2"/>
        <v>0</v>
      </c>
      <c r="U15" s="278">
        <f t="shared" si="6"/>
        <v>0</v>
      </c>
      <c r="V15" s="278">
        <f t="shared" si="7"/>
        <v>0</v>
      </c>
      <c r="W15" s="278">
        <f t="shared" si="8"/>
        <v>0</v>
      </c>
      <c r="X15" s="278">
        <f t="shared" si="9"/>
        <v>0</v>
      </c>
      <c r="Y15" s="278">
        <f t="shared" si="10"/>
        <v>0</v>
      </c>
      <c r="Z15" s="278">
        <f t="shared" si="11"/>
        <v>0</v>
      </c>
      <c r="AA15" s="278">
        <f t="shared" si="12"/>
        <v>0</v>
      </c>
      <c r="AB15" s="278">
        <f t="shared" si="13"/>
        <v>0</v>
      </c>
      <c r="AJ15" s="279"/>
      <c r="AK15" s="279"/>
      <c r="AL15" s="108"/>
      <c r="AM15" s="108"/>
    </row>
    <row r="16" spans="1:39" ht="12.75" customHeight="1">
      <c r="A16" s="313">
        <f t="shared" si="4"/>
        <v>713</v>
      </c>
      <c r="B16" s="109"/>
      <c r="C16" s="100"/>
      <c r="D16" s="100"/>
      <c r="E16" s="101"/>
      <c r="F16" s="101"/>
      <c r="G16" s="102"/>
      <c r="H16" s="103"/>
      <c r="I16" s="103"/>
      <c r="J16" s="104"/>
      <c r="K16" s="104"/>
      <c r="L16" s="104"/>
      <c r="M16" s="104"/>
      <c r="N16" s="104"/>
      <c r="O16" s="104"/>
      <c r="P16" s="104"/>
      <c r="Q16" s="105">
        <f t="shared" si="1"/>
        <v>0</v>
      </c>
      <c r="R16" s="106">
        <f t="shared" si="14"/>
        <v>0</v>
      </c>
      <c r="S16" s="105">
        <f t="shared" si="5"/>
        <v>0</v>
      </c>
      <c r="T16" s="106">
        <f t="shared" si="2"/>
        <v>0</v>
      </c>
      <c r="U16" s="278">
        <f t="shared" si="6"/>
        <v>0</v>
      </c>
      <c r="V16" s="278">
        <f t="shared" si="7"/>
        <v>0</v>
      </c>
      <c r="W16" s="278">
        <f t="shared" si="8"/>
        <v>0</v>
      </c>
      <c r="X16" s="278">
        <f t="shared" si="9"/>
        <v>0</v>
      </c>
      <c r="Y16" s="278">
        <f t="shared" si="10"/>
        <v>0</v>
      </c>
      <c r="Z16" s="278">
        <f t="shared" si="11"/>
        <v>0</v>
      </c>
      <c r="AA16" s="278">
        <f t="shared" si="12"/>
        <v>0</v>
      </c>
      <c r="AB16" s="278">
        <f t="shared" si="13"/>
        <v>0</v>
      </c>
      <c r="AJ16" s="279"/>
      <c r="AK16" s="279"/>
      <c r="AL16" s="108"/>
      <c r="AM16" s="108"/>
    </row>
    <row r="17" spans="1:39" ht="12.75" customHeight="1">
      <c r="A17" s="313">
        <f t="shared" si="4"/>
        <v>714</v>
      </c>
      <c r="B17" s="109"/>
      <c r="C17" s="100"/>
      <c r="D17" s="100"/>
      <c r="E17" s="101"/>
      <c r="F17" s="101"/>
      <c r="G17" s="102"/>
      <c r="H17" s="103"/>
      <c r="I17" s="103"/>
      <c r="J17" s="104"/>
      <c r="K17" s="104"/>
      <c r="L17" s="104"/>
      <c r="M17" s="104"/>
      <c r="N17" s="104"/>
      <c r="O17" s="104"/>
      <c r="P17" s="104"/>
      <c r="Q17" s="105">
        <f t="shared" si="1"/>
        <v>0</v>
      </c>
      <c r="R17" s="106">
        <f t="shared" si="14"/>
        <v>0</v>
      </c>
      <c r="S17" s="105">
        <f t="shared" si="5"/>
        <v>0</v>
      </c>
      <c r="T17" s="106">
        <f t="shared" si="2"/>
        <v>0</v>
      </c>
      <c r="U17" s="278">
        <f t="shared" si="6"/>
        <v>0</v>
      </c>
      <c r="V17" s="278">
        <f t="shared" si="7"/>
        <v>0</v>
      </c>
      <c r="W17" s="278">
        <f t="shared" si="8"/>
        <v>0</v>
      </c>
      <c r="X17" s="278">
        <f t="shared" si="9"/>
        <v>0</v>
      </c>
      <c r="Y17" s="278">
        <f t="shared" si="10"/>
        <v>0</v>
      </c>
      <c r="Z17" s="278">
        <f t="shared" si="11"/>
        <v>0</v>
      </c>
      <c r="AA17" s="278">
        <f t="shared" si="12"/>
        <v>0</v>
      </c>
      <c r="AB17" s="278">
        <f t="shared" si="13"/>
        <v>0</v>
      </c>
      <c r="AJ17" s="279"/>
      <c r="AK17" s="279"/>
      <c r="AL17" s="108"/>
      <c r="AM17" s="108"/>
    </row>
    <row r="18" spans="1:39" ht="12.75" customHeight="1">
      <c r="A18" s="313">
        <f t="shared" si="4"/>
        <v>715</v>
      </c>
      <c r="B18" s="109"/>
      <c r="C18" s="100"/>
      <c r="D18" s="100"/>
      <c r="E18" s="101"/>
      <c r="F18" s="101"/>
      <c r="G18" s="102"/>
      <c r="H18" s="103"/>
      <c r="I18" s="103"/>
      <c r="J18" s="104"/>
      <c r="K18" s="104"/>
      <c r="L18" s="104"/>
      <c r="M18" s="104"/>
      <c r="N18" s="104"/>
      <c r="O18" s="104"/>
      <c r="P18" s="104"/>
      <c r="Q18" s="105">
        <f>H18-AB18</f>
        <v>0</v>
      </c>
      <c r="R18" s="106">
        <f t="shared" si="14"/>
        <v>0</v>
      </c>
      <c r="S18" s="105">
        <f>R18*F18/100</f>
        <v>0</v>
      </c>
      <c r="T18" s="106">
        <f>IF(G18="n",S18,E18/100*R18)</f>
        <v>0</v>
      </c>
      <c r="U18" s="278">
        <f t="shared" si="6"/>
        <v>0</v>
      </c>
      <c r="V18" s="278">
        <f t="shared" si="7"/>
        <v>0</v>
      </c>
      <c r="W18" s="278">
        <f t="shared" si="8"/>
        <v>0</v>
      </c>
      <c r="X18" s="278">
        <f t="shared" si="9"/>
        <v>0</v>
      </c>
      <c r="Y18" s="278">
        <f t="shared" si="10"/>
        <v>0</v>
      </c>
      <c r="Z18" s="278">
        <f t="shared" si="11"/>
        <v>0</v>
      </c>
      <c r="AA18" s="278">
        <f t="shared" si="12"/>
        <v>0</v>
      </c>
      <c r="AB18" s="278">
        <f t="shared" si="13"/>
        <v>0</v>
      </c>
      <c r="AJ18" s="279"/>
      <c r="AK18" s="279"/>
      <c r="AL18" s="108"/>
      <c r="AM18" s="108"/>
    </row>
    <row r="19" spans="1:39" ht="12.75" customHeight="1">
      <c r="A19" s="313">
        <f t="shared" si="4"/>
        <v>716</v>
      </c>
      <c r="B19" s="109"/>
      <c r="C19" s="100"/>
      <c r="D19" s="100"/>
      <c r="E19" s="101"/>
      <c r="F19" s="101"/>
      <c r="G19" s="102"/>
      <c r="H19" s="103"/>
      <c r="I19" s="103"/>
      <c r="J19" s="104"/>
      <c r="K19" s="104"/>
      <c r="L19" s="104"/>
      <c r="M19" s="104"/>
      <c r="N19" s="104"/>
      <c r="O19" s="104"/>
      <c r="P19" s="104"/>
      <c r="Q19" s="105">
        <f>H19-AB19</f>
        <v>0</v>
      </c>
      <c r="R19" s="106">
        <f t="shared" si="14"/>
        <v>0</v>
      </c>
      <c r="S19" s="105">
        <f>R19*F19/100</f>
        <v>0</v>
      </c>
      <c r="T19" s="106">
        <f>IF(G19="n",S19,E19/100*R19)</f>
        <v>0</v>
      </c>
      <c r="U19" s="278">
        <f t="shared" si="6"/>
        <v>0</v>
      </c>
      <c r="V19" s="278">
        <f t="shared" si="7"/>
        <v>0</v>
      </c>
      <c r="W19" s="278">
        <f t="shared" si="8"/>
        <v>0</v>
      </c>
      <c r="X19" s="278">
        <f t="shared" si="9"/>
        <v>0</v>
      </c>
      <c r="Y19" s="278">
        <f t="shared" si="10"/>
        <v>0</v>
      </c>
      <c r="Z19" s="278">
        <f t="shared" si="11"/>
        <v>0</v>
      </c>
      <c r="AA19" s="278">
        <f t="shared" si="12"/>
        <v>0</v>
      </c>
      <c r="AB19" s="278">
        <f t="shared" si="13"/>
        <v>0</v>
      </c>
      <c r="AJ19" s="279"/>
      <c r="AK19" s="279"/>
      <c r="AL19" s="108"/>
      <c r="AM19" s="108"/>
    </row>
    <row r="20" spans="1:39" ht="12.75" customHeight="1">
      <c r="A20" s="313">
        <f t="shared" si="4"/>
        <v>717</v>
      </c>
      <c r="B20" s="109"/>
      <c r="C20" s="100"/>
      <c r="D20" s="100"/>
      <c r="E20" s="101"/>
      <c r="F20" s="101"/>
      <c r="G20" s="102"/>
      <c r="H20" s="103"/>
      <c r="I20" s="103"/>
      <c r="J20" s="104"/>
      <c r="K20" s="104"/>
      <c r="L20" s="104"/>
      <c r="M20" s="104"/>
      <c r="N20" s="104"/>
      <c r="O20" s="104"/>
      <c r="P20" s="104"/>
      <c r="Q20" s="105">
        <f>H20-AB20</f>
        <v>0</v>
      </c>
      <c r="R20" s="106">
        <f t="shared" si="14"/>
        <v>0</v>
      </c>
      <c r="S20" s="105">
        <f>R20*F20/100</f>
        <v>0</v>
      </c>
      <c r="T20" s="106">
        <f>IF(G20="n",S20,E20/100*R20)</f>
        <v>0</v>
      </c>
      <c r="U20" s="278">
        <f t="shared" si="6"/>
        <v>0</v>
      </c>
      <c r="V20" s="278">
        <f t="shared" si="7"/>
        <v>0</v>
      </c>
      <c r="W20" s="278">
        <f t="shared" si="8"/>
        <v>0</v>
      </c>
      <c r="X20" s="278">
        <f t="shared" si="9"/>
        <v>0</v>
      </c>
      <c r="Y20" s="278">
        <f t="shared" si="10"/>
        <v>0</v>
      </c>
      <c r="Z20" s="278">
        <f t="shared" si="11"/>
        <v>0</v>
      </c>
      <c r="AA20" s="278">
        <f t="shared" si="12"/>
        <v>0</v>
      </c>
      <c r="AB20" s="278">
        <f t="shared" si="13"/>
        <v>0</v>
      </c>
      <c r="AJ20" s="279"/>
      <c r="AK20" s="279"/>
      <c r="AL20" s="108"/>
      <c r="AM20" s="108"/>
    </row>
    <row r="21" spans="1:39" ht="12.75" customHeight="1">
      <c r="A21" s="313">
        <f t="shared" si="4"/>
        <v>718</v>
      </c>
      <c r="B21" s="109"/>
      <c r="C21" s="100"/>
      <c r="D21" s="100"/>
      <c r="E21" s="101"/>
      <c r="F21" s="101"/>
      <c r="G21" s="102"/>
      <c r="H21" s="103"/>
      <c r="I21" s="103"/>
      <c r="J21" s="104"/>
      <c r="K21" s="104"/>
      <c r="L21" s="104"/>
      <c r="M21" s="104"/>
      <c r="N21" s="104"/>
      <c r="O21" s="104"/>
      <c r="P21" s="104"/>
      <c r="Q21" s="105">
        <f>H21-AB21</f>
        <v>0</v>
      </c>
      <c r="R21" s="106">
        <f t="shared" si="14"/>
        <v>0</v>
      </c>
      <c r="S21" s="105">
        <f>R21*F21/100</f>
        <v>0</v>
      </c>
      <c r="T21" s="106">
        <f>IF(G21="n",S21,E21/100*R21)</f>
        <v>0</v>
      </c>
      <c r="U21" s="278">
        <f t="shared" si="6"/>
        <v>0</v>
      </c>
      <c r="V21" s="278">
        <f t="shared" si="7"/>
        <v>0</v>
      </c>
      <c r="W21" s="278">
        <f t="shared" si="8"/>
        <v>0</v>
      </c>
      <c r="X21" s="278">
        <f t="shared" si="9"/>
        <v>0</v>
      </c>
      <c r="Y21" s="278">
        <f t="shared" si="10"/>
        <v>0</v>
      </c>
      <c r="Z21" s="278">
        <f t="shared" si="11"/>
        <v>0</v>
      </c>
      <c r="AA21" s="278">
        <f t="shared" si="12"/>
        <v>0</v>
      </c>
      <c r="AB21" s="278">
        <f t="shared" si="13"/>
        <v>0</v>
      </c>
      <c r="AJ21" s="279"/>
      <c r="AK21" s="279"/>
      <c r="AL21" s="108"/>
      <c r="AM21" s="108"/>
    </row>
    <row r="22" spans="1:39" ht="12.75" customHeight="1">
      <c r="A22" s="313">
        <f t="shared" si="4"/>
        <v>719</v>
      </c>
      <c r="B22" s="109"/>
      <c r="C22" s="100"/>
      <c r="D22" s="100"/>
      <c r="E22" s="101"/>
      <c r="F22" s="101"/>
      <c r="G22" s="102"/>
      <c r="H22" s="103"/>
      <c r="I22" s="103"/>
      <c r="J22" s="104"/>
      <c r="K22" s="104"/>
      <c r="L22" s="104"/>
      <c r="M22" s="104"/>
      <c r="N22" s="104"/>
      <c r="O22" s="104"/>
      <c r="P22" s="104"/>
      <c r="Q22" s="105">
        <f>H22-AB22</f>
        <v>0</v>
      </c>
      <c r="R22" s="106">
        <f t="shared" si="14"/>
        <v>0</v>
      </c>
      <c r="S22" s="105">
        <f>R22*F22/100</f>
        <v>0</v>
      </c>
      <c r="T22" s="106">
        <f>IF(G22="n",S22,E22/100*R22)</f>
        <v>0</v>
      </c>
      <c r="U22" s="278">
        <f t="shared" si="6"/>
        <v>0</v>
      </c>
      <c r="V22" s="278">
        <f t="shared" si="7"/>
        <v>0</v>
      </c>
      <c r="W22" s="278">
        <f t="shared" si="8"/>
        <v>0</v>
      </c>
      <c r="X22" s="278">
        <f t="shared" si="9"/>
        <v>0</v>
      </c>
      <c r="Y22" s="278">
        <f t="shared" si="10"/>
        <v>0</v>
      </c>
      <c r="Z22" s="278">
        <f t="shared" si="11"/>
        <v>0</v>
      </c>
      <c r="AA22" s="278">
        <f t="shared" si="12"/>
        <v>0</v>
      </c>
      <c r="AB22" s="278">
        <f t="shared" si="13"/>
        <v>0</v>
      </c>
      <c r="AJ22" s="279"/>
      <c r="AK22" s="279"/>
      <c r="AL22" s="108"/>
      <c r="AM22" s="108"/>
    </row>
    <row r="23" spans="1:39" ht="12.75" customHeight="1">
      <c r="A23" s="313">
        <f t="shared" si="4"/>
        <v>720</v>
      </c>
      <c r="B23" s="109"/>
      <c r="C23" s="100"/>
      <c r="D23" s="100"/>
      <c r="E23" s="101"/>
      <c r="F23" s="101"/>
      <c r="G23" s="102"/>
      <c r="H23" s="103"/>
      <c r="I23" s="103"/>
      <c r="J23" s="104"/>
      <c r="K23" s="104"/>
      <c r="L23" s="104"/>
      <c r="M23" s="104"/>
      <c r="N23" s="104"/>
      <c r="O23" s="104"/>
      <c r="P23" s="104"/>
      <c r="Q23" s="105">
        <f t="shared" si="1"/>
        <v>0</v>
      </c>
      <c r="R23" s="106">
        <f t="shared" si="14"/>
        <v>0</v>
      </c>
      <c r="S23" s="105">
        <f t="shared" si="5"/>
        <v>0</v>
      </c>
      <c r="T23" s="106">
        <f t="shared" si="2"/>
        <v>0</v>
      </c>
      <c r="U23" s="278">
        <f t="shared" si="6"/>
        <v>0</v>
      </c>
      <c r="V23" s="278">
        <f t="shared" si="7"/>
        <v>0</v>
      </c>
      <c r="W23" s="278">
        <f t="shared" si="8"/>
        <v>0</v>
      </c>
      <c r="X23" s="278">
        <f t="shared" si="9"/>
        <v>0</v>
      </c>
      <c r="Y23" s="278">
        <f t="shared" si="10"/>
        <v>0</v>
      </c>
      <c r="Z23" s="278">
        <f t="shared" si="11"/>
        <v>0</v>
      </c>
      <c r="AA23" s="278">
        <f t="shared" si="12"/>
        <v>0</v>
      </c>
      <c r="AB23" s="278">
        <f t="shared" si="13"/>
        <v>0</v>
      </c>
      <c r="AJ23" s="279"/>
      <c r="AK23" s="279"/>
      <c r="AL23" s="108"/>
      <c r="AM23" s="108"/>
    </row>
    <row r="24" spans="1:39" ht="12.75" customHeight="1">
      <c r="A24" s="313">
        <f t="shared" si="4"/>
        <v>721</v>
      </c>
      <c r="B24" s="109"/>
      <c r="C24" s="100"/>
      <c r="D24" s="100"/>
      <c r="E24" s="101"/>
      <c r="F24" s="101"/>
      <c r="G24" s="102"/>
      <c r="H24" s="103"/>
      <c r="I24" s="103"/>
      <c r="J24" s="104"/>
      <c r="K24" s="104"/>
      <c r="L24" s="104"/>
      <c r="M24" s="104"/>
      <c r="N24" s="104"/>
      <c r="O24" s="104"/>
      <c r="P24" s="104"/>
      <c r="Q24" s="105">
        <f t="shared" si="1"/>
        <v>0</v>
      </c>
      <c r="R24" s="106">
        <f t="shared" si="14"/>
        <v>0</v>
      </c>
      <c r="S24" s="105">
        <f t="shared" si="5"/>
        <v>0</v>
      </c>
      <c r="T24" s="106">
        <f t="shared" si="2"/>
        <v>0</v>
      </c>
      <c r="U24" s="278">
        <f t="shared" si="6"/>
        <v>0</v>
      </c>
      <c r="V24" s="278">
        <f t="shared" si="7"/>
        <v>0</v>
      </c>
      <c r="W24" s="278">
        <f t="shared" si="8"/>
        <v>0</v>
      </c>
      <c r="X24" s="278">
        <f t="shared" si="9"/>
        <v>0</v>
      </c>
      <c r="Y24" s="278">
        <f t="shared" si="10"/>
        <v>0</v>
      </c>
      <c r="Z24" s="278">
        <f t="shared" si="11"/>
        <v>0</v>
      </c>
      <c r="AA24" s="278">
        <f t="shared" si="12"/>
        <v>0</v>
      </c>
      <c r="AB24" s="278">
        <f t="shared" si="13"/>
        <v>0</v>
      </c>
      <c r="AJ24" s="279"/>
      <c r="AK24" s="279"/>
      <c r="AL24" s="108"/>
      <c r="AM24" s="108"/>
    </row>
    <row r="25" spans="1:39" ht="12.75" customHeight="1">
      <c r="A25" s="313">
        <f t="shared" si="4"/>
        <v>722</v>
      </c>
      <c r="B25" s="109"/>
      <c r="C25" s="100"/>
      <c r="D25" s="100"/>
      <c r="E25" s="101"/>
      <c r="F25" s="101"/>
      <c r="G25" s="102"/>
      <c r="H25" s="103"/>
      <c r="I25" s="103"/>
      <c r="J25" s="104"/>
      <c r="K25" s="104"/>
      <c r="L25" s="104"/>
      <c r="M25" s="104"/>
      <c r="N25" s="104"/>
      <c r="O25" s="104"/>
      <c r="P25" s="104"/>
      <c r="Q25" s="105">
        <f t="shared" si="1"/>
        <v>0</v>
      </c>
      <c r="R25" s="106">
        <f t="shared" si="14"/>
        <v>0</v>
      </c>
      <c r="S25" s="105">
        <f t="shared" si="5"/>
        <v>0</v>
      </c>
      <c r="T25" s="106">
        <f t="shared" si="2"/>
        <v>0</v>
      </c>
      <c r="U25" s="278">
        <f t="shared" si="6"/>
        <v>0</v>
      </c>
      <c r="V25" s="278">
        <f t="shared" si="7"/>
        <v>0</v>
      </c>
      <c r="W25" s="278">
        <f t="shared" si="8"/>
        <v>0</v>
      </c>
      <c r="X25" s="278">
        <f t="shared" si="9"/>
        <v>0</v>
      </c>
      <c r="Y25" s="278">
        <f t="shared" si="10"/>
        <v>0</v>
      </c>
      <c r="Z25" s="278">
        <f t="shared" si="11"/>
        <v>0</v>
      </c>
      <c r="AA25" s="278">
        <f t="shared" si="12"/>
        <v>0</v>
      </c>
      <c r="AB25" s="278">
        <f t="shared" si="13"/>
        <v>0</v>
      </c>
      <c r="AJ25" s="279"/>
      <c r="AK25" s="279"/>
      <c r="AL25" s="108"/>
      <c r="AM25" s="108"/>
    </row>
    <row r="26" spans="1:39" ht="12.75" customHeight="1">
      <c r="A26" s="313">
        <f t="shared" si="4"/>
        <v>723</v>
      </c>
      <c r="B26" s="109"/>
      <c r="C26" s="100"/>
      <c r="D26" s="100"/>
      <c r="E26" s="101"/>
      <c r="F26" s="101"/>
      <c r="G26" s="102"/>
      <c r="H26" s="103"/>
      <c r="I26" s="103"/>
      <c r="J26" s="104"/>
      <c r="K26" s="104"/>
      <c r="L26" s="104"/>
      <c r="M26" s="104"/>
      <c r="N26" s="104"/>
      <c r="O26" s="104"/>
      <c r="P26" s="104"/>
      <c r="Q26" s="105">
        <f t="shared" si="1"/>
        <v>0</v>
      </c>
      <c r="R26" s="106">
        <f t="shared" si="14"/>
        <v>0</v>
      </c>
      <c r="S26" s="105">
        <f t="shared" si="5"/>
        <v>0</v>
      </c>
      <c r="T26" s="106">
        <f t="shared" si="2"/>
        <v>0</v>
      </c>
      <c r="U26" s="278">
        <f t="shared" si="6"/>
        <v>0</v>
      </c>
      <c r="V26" s="278">
        <f t="shared" si="7"/>
        <v>0</v>
      </c>
      <c r="W26" s="278">
        <f t="shared" si="8"/>
        <v>0</v>
      </c>
      <c r="X26" s="278">
        <f t="shared" si="9"/>
        <v>0</v>
      </c>
      <c r="Y26" s="278">
        <f t="shared" si="10"/>
        <v>0</v>
      </c>
      <c r="Z26" s="278">
        <f t="shared" si="11"/>
        <v>0</v>
      </c>
      <c r="AA26" s="278">
        <f t="shared" si="12"/>
        <v>0</v>
      </c>
      <c r="AB26" s="278">
        <f t="shared" si="13"/>
        <v>0</v>
      </c>
      <c r="AJ26" s="279"/>
      <c r="AK26" s="279"/>
      <c r="AL26" s="108"/>
      <c r="AM26" s="108"/>
    </row>
    <row r="27" spans="1:39" ht="12.75" customHeight="1">
      <c r="A27" s="313">
        <f t="shared" si="4"/>
        <v>724</v>
      </c>
      <c r="B27" s="109"/>
      <c r="C27" s="100"/>
      <c r="D27" s="100"/>
      <c r="E27" s="101"/>
      <c r="F27" s="101"/>
      <c r="G27" s="102"/>
      <c r="H27" s="103"/>
      <c r="I27" s="103"/>
      <c r="J27" s="104"/>
      <c r="K27" s="104"/>
      <c r="L27" s="104"/>
      <c r="M27" s="104"/>
      <c r="N27" s="104"/>
      <c r="O27" s="104"/>
      <c r="P27" s="104"/>
      <c r="Q27" s="105">
        <f t="shared" si="1"/>
        <v>0</v>
      </c>
      <c r="R27" s="106">
        <f t="shared" si="14"/>
        <v>0</v>
      </c>
      <c r="S27" s="105">
        <f t="shared" si="5"/>
        <v>0</v>
      </c>
      <c r="T27" s="106">
        <f t="shared" si="2"/>
        <v>0</v>
      </c>
      <c r="U27" s="278">
        <f t="shared" si="6"/>
        <v>0</v>
      </c>
      <c r="V27" s="278">
        <f t="shared" si="7"/>
        <v>0</v>
      </c>
      <c r="W27" s="278">
        <f t="shared" si="8"/>
        <v>0</v>
      </c>
      <c r="X27" s="278">
        <f t="shared" si="9"/>
        <v>0</v>
      </c>
      <c r="Y27" s="278">
        <f t="shared" si="10"/>
        <v>0</v>
      </c>
      <c r="Z27" s="278">
        <f t="shared" si="11"/>
        <v>0</v>
      </c>
      <c r="AA27" s="278">
        <f t="shared" si="12"/>
        <v>0</v>
      </c>
      <c r="AB27" s="278">
        <f t="shared" si="13"/>
        <v>0</v>
      </c>
      <c r="AJ27" s="279"/>
      <c r="AK27" s="279"/>
      <c r="AL27" s="108"/>
      <c r="AM27" s="108"/>
    </row>
    <row r="28" spans="1:39" ht="12.75" customHeight="1">
      <c r="A28" s="313">
        <f t="shared" si="4"/>
        <v>725</v>
      </c>
      <c r="B28" s="109"/>
      <c r="C28" s="100"/>
      <c r="D28" s="100"/>
      <c r="E28" s="101"/>
      <c r="F28" s="101"/>
      <c r="G28" s="102"/>
      <c r="H28" s="103"/>
      <c r="I28" s="103"/>
      <c r="J28" s="104"/>
      <c r="K28" s="104"/>
      <c r="L28" s="104"/>
      <c r="M28" s="104"/>
      <c r="N28" s="104"/>
      <c r="O28" s="104"/>
      <c r="P28" s="104"/>
      <c r="Q28" s="105">
        <f t="shared" si="1"/>
        <v>0</v>
      </c>
      <c r="R28" s="106">
        <f t="shared" si="14"/>
        <v>0</v>
      </c>
      <c r="S28" s="105">
        <f t="shared" si="5"/>
        <v>0</v>
      </c>
      <c r="T28" s="106">
        <f t="shared" si="2"/>
        <v>0</v>
      </c>
      <c r="U28" s="278">
        <f t="shared" si="6"/>
        <v>0</v>
      </c>
      <c r="V28" s="278">
        <f t="shared" si="7"/>
        <v>0</v>
      </c>
      <c r="W28" s="278">
        <f t="shared" si="8"/>
        <v>0</v>
      </c>
      <c r="X28" s="278">
        <f t="shared" si="9"/>
        <v>0</v>
      </c>
      <c r="Y28" s="278">
        <f t="shared" si="10"/>
        <v>0</v>
      </c>
      <c r="Z28" s="278">
        <f t="shared" si="11"/>
        <v>0</v>
      </c>
      <c r="AA28" s="278">
        <f t="shared" si="12"/>
        <v>0</v>
      </c>
      <c r="AB28" s="278">
        <f t="shared" si="13"/>
        <v>0</v>
      </c>
      <c r="AJ28" s="279"/>
      <c r="AK28" s="279"/>
      <c r="AL28" s="108"/>
      <c r="AM28" s="108"/>
    </row>
    <row r="29" spans="1:39" ht="12.75" customHeight="1">
      <c r="A29" s="313">
        <f t="shared" si="4"/>
        <v>726</v>
      </c>
      <c r="B29" s="109"/>
      <c r="C29" s="100"/>
      <c r="D29" s="100"/>
      <c r="E29" s="101"/>
      <c r="F29" s="101"/>
      <c r="G29" s="102"/>
      <c r="H29" s="103"/>
      <c r="I29" s="103"/>
      <c r="J29" s="104"/>
      <c r="K29" s="104"/>
      <c r="L29" s="104"/>
      <c r="M29" s="104"/>
      <c r="N29" s="104"/>
      <c r="O29" s="104"/>
      <c r="P29" s="104"/>
      <c r="Q29" s="105">
        <f t="shared" si="1"/>
        <v>0</v>
      </c>
      <c r="R29" s="106">
        <f t="shared" si="14"/>
        <v>0</v>
      </c>
      <c r="S29" s="105">
        <f t="shared" si="5"/>
        <v>0</v>
      </c>
      <c r="T29" s="106">
        <f t="shared" si="2"/>
        <v>0</v>
      </c>
      <c r="U29" s="278">
        <f t="shared" si="6"/>
        <v>0</v>
      </c>
      <c r="V29" s="278">
        <f t="shared" si="7"/>
        <v>0</v>
      </c>
      <c r="W29" s="278">
        <f t="shared" si="8"/>
        <v>0</v>
      </c>
      <c r="X29" s="278">
        <f t="shared" si="9"/>
        <v>0</v>
      </c>
      <c r="Y29" s="278">
        <f t="shared" si="10"/>
        <v>0</v>
      </c>
      <c r="Z29" s="278">
        <f t="shared" si="11"/>
        <v>0</v>
      </c>
      <c r="AA29" s="278">
        <f t="shared" si="12"/>
        <v>0</v>
      </c>
      <c r="AB29" s="278">
        <f t="shared" si="13"/>
        <v>0</v>
      </c>
      <c r="AJ29" s="279"/>
      <c r="AK29" s="279"/>
      <c r="AL29" s="108"/>
      <c r="AM29" s="108"/>
    </row>
    <row r="30" spans="1:39" ht="12.75" customHeight="1">
      <c r="A30" s="313">
        <f t="shared" si="4"/>
        <v>727</v>
      </c>
      <c r="B30" s="109"/>
      <c r="C30" s="100"/>
      <c r="D30" s="100"/>
      <c r="E30" s="101"/>
      <c r="F30" s="101"/>
      <c r="G30" s="102"/>
      <c r="H30" s="103"/>
      <c r="I30" s="103"/>
      <c r="J30" s="104"/>
      <c r="K30" s="104"/>
      <c r="L30" s="104"/>
      <c r="M30" s="104"/>
      <c r="N30" s="104"/>
      <c r="O30" s="104"/>
      <c r="P30" s="104"/>
      <c r="Q30" s="105">
        <f t="shared" si="1"/>
        <v>0</v>
      </c>
      <c r="R30" s="106">
        <f t="shared" si="14"/>
        <v>0</v>
      </c>
      <c r="S30" s="105">
        <f t="shared" si="5"/>
        <v>0</v>
      </c>
      <c r="T30" s="106">
        <f t="shared" si="2"/>
        <v>0</v>
      </c>
      <c r="U30" s="278">
        <f t="shared" si="6"/>
        <v>0</v>
      </c>
      <c r="V30" s="278">
        <f t="shared" si="7"/>
        <v>0</v>
      </c>
      <c r="W30" s="278">
        <f t="shared" si="8"/>
        <v>0</v>
      </c>
      <c r="X30" s="278">
        <f t="shared" si="9"/>
        <v>0</v>
      </c>
      <c r="Y30" s="278">
        <f t="shared" si="10"/>
        <v>0</v>
      </c>
      <c r="Z30" s="278">
        <f t="shared" si="11"/>
        <v>0</v>
      </c>
      <c r="AA30" s="278">
        <f t="shared" si="12"/>
        <v>0</v>
      </c>
      <c r="AB30" s="278">
        <f t="shared" si="13"/>
        <v>0</v>
      </c>
      <c r="AJ30" s="279"/>
      <c r="AK30" s="279"/>
      <c r="AL30" s="108"/>
      <c r="AM30" s="108"/>
    </row>
    <row r="31" spans="1:39" ht="12.75" customHeight="1">
      <c r="A31" s="313">
        <f t="shared" si="4"/>
        <v>728</v>
      </c>
      <c r="B31" s="109"/>
      <c r="C31" s="100"/>
      <c r="D31" s="100"/>
      <c r="E31" s="101"/>
      <c r="F31" s="101"/>
      <c r="G31" s="102"/>
      <c r="H31" s="103"/>
      <c r="I31" s="103"/>
      <c r="J31" s="104"/>
      <c r="K31" s="104"/>
      <c r="L31" s="104"/>
      <c r="M31" s="104"/>
      <c r="N31" s="104"/>
      <c r="O31" s="104"/>
      <c r="P31" s="104"/>
      <c r="Q31" s="105">
        <f t="shared" si="1"/>
        <v>0</v>
      </c>
      <c r="R31" s="106">
        <f t="shared" si="14"/>
        <v>0</v>
      </c>
      <c r="S31" s="105">
        <f t="shared" si="5"/>
        <v>0</v>
      </c>
      <c r="T31" s="106">
        <f t="shared" si="2"/>
        <v>0</v>
      </c>
      <c r="U31" s="278">
        <f t="shared" si="6"/>
        <v>0</v>
      </c>
      <c r="V31" s="278">
        <f t="shared" si="7"/>
        <v>0</v>
      </c>
      <c r="W31" s="278">
        <f t="shared" si="8"/>
        <v>0</v>
      </c>
      <c r="X31" s="278">
        <f t="shared" si="9"/>
        <v>0</v>
      </c>
      <c r="Y31" s="278">
        <f t="shared" si="10"/>
        <v>0</v>
      </c>
      <c r="Z31" s="278">
        <f t="shared" si="11"/>
        <v>0</v>
      </c>
      <c r="AA31" s="278">
        <f t="shared" si="12"/>
        <v>0</v>
      </c>
      <c r="AB31" s="278">
        <f t="shared" si="13"/>
        <v>0</v>
      </c>
      <c r="AJ31" s="279"/>
      <c r="AK31" s="279"/>
      <c r="AL31" s="108"/>
      <c r="AM31" s="108"/>
    </row>
    <row r="32" spans="1:39" ht="12.75" customHeight="1">
      <c r="A32" s="313">
        <f t="shared" si="4"/>
        <v>729</v>
      </c>
      <c r="B32" s="110" t="s">
        <v>43</v>
      </c>
      <c r="C32" s="111"/>
      <c r="D32" s="111"/>
      <c r="E32" s="112"/>
      <c r="F32" s="113"/>
      <c r="G32" s="114"/>
      <c r="H32" s="103"/>
      <c r="I32" s="103"/>
      <c r="J32" s="115"/>
      <c r="K32" s="116"/>
      <c r="L32" s="116"/>
      <c r="M32" s="116"/>
      <c r="N32" s="116"/>
      <c r="O32" s="116"/>
      <c r="P32" s="117"/>
      <c r="Q32" s="106"/>
      <c r="R32" s="106"/>
      <c r="S32" s="106"/>
      <c r="T32" s="106"/>
      <c r="U32" s="278">
        <f t="shared" si="6"/>
        <v>0</v>
      </c>
      <c r="V32" s="278">
        <f t="shared" si="7"/>
        <v>0</v>
      </c>
      <c r="W32" s="278">
        <f t="shared" si="8"/>
        <v>0</v>
      </c>
      <c r="X32" s="278">
        <f t="shared" si="9"/>
        <v>0</v>
      </c>
      <c r="Y32" s="278">
        <f t="shared" si="10"/>
        <v>0</v>
      </c>
      <c r="Z32" s="278">
        <f t="shared" si="11"/>
        <v>0</v>
      </c>
      <c r="AA32" s="278">
        <f t="shared" si="12"/>
        <v>0</v>
      </c>
      <c r="AB32" s="278">
        <f t="shared" si="13"/>
        <v>0</v>
      </c>
      <c r="AJ32" s="279"/>
      <c r="AK32" s="279"/>
      <c r="AL32" s="108"/>
      <c r="AM32" s="108"/>
    </row>
    <row r="33" spans="1:39" ht="12.75" customHeight="1">
      <c r="A33" s="313">
        <f t="shared" si="4"/>
        <v>730</v>
      </c>
      <c r="B33" s="401" t="str">
        <f>CONCATENATE("Sub(totaal) regel ",A4," t/m ",A32," conform jaarrekening ")</f>
        <v>Sub(totaal) regel 701 t/m 729 conform jaarrekening </v>
      </c>
      <c r="C33" s="401"/>
      <c r="D33" s="402"/>
      <c r="E33" s="52"/>
      <c r="F33" s="403"/>
      <c r="G33" s="404"/>
      <c r="H33" s="118">
        <f>SUM(H4:H32)</f>
        <v>0</v>
      </c>
      <c r="I33" s="119">
        <f>AB33</f>
        <v>0</v>
      </c>
      <c r="J33" s="120"/>
      <c r="K33" s="121"/>
      <c r="L33" s="121"/>
      <c r="M33" s="121"/>
      <c r="N33" s="121"/>
      <c r="O33" s="121"/>
      <c r="P33" s="122"/>
      <c r="Q33" s="46">
        <f>SUM(Q4:Q32)</f>
        <v>0</v>
      </c>
      <c r="R33" s="46">
        <f>SUM(R4:R32)</f>
        <v>0</v>
      </c>
      <c r="S33" s="46">
        <f>SUM(S4:S32)</f>
        <v>0</v>
      </c>
      <c r="T33" s="46">
        <f>SUM(T4:T32)</f>
        <v>0</v>
      </c>
      <c r="U33" s="278"/>
      <c r="V33" s="278"/>
      <c r="W33" s="278"/>
      <c r="X33" s="278"/>
      <c r="Y33" s="278"/>
      <c r="Z33" s="278"/>
      <c r="AA33" s="278"/>
      <c r="AB33" s="280">
        <f>SUM(AB4:AB32)</f>
        <v>0</v>
      </c>
      <c r="AC33" s="278"/>
      <c r="AD33" s="279"/>
      <c r="AE33" s="279"/>
      <c r="AF33" s="279"/>
      <c r="AG33" s="279"/>
      <c r="AH33" s="279"/>
      <c r="AI33" s="279"/>
      <c r="AJ33" s="279"/>
      <c r="AK33" s="279"/>
      <c r="AL33" s="108"/>
      <c r="AM33" s="108"/>
    </row>
    <row r="34" spans="1:40" ht="12.75" customHeight="1">
      <c r="A34" s="313">
        <f t="shared" si="4"/>
        <v>731</v>
      </c>
      <c r="B34" s="405" t="s">
        <v>111</v>
      </c>
      <c r="C34" s="123"/>
      <c r="D34" s="123"/>
      <c r="E34" s="123"/>
      <c r="F34" s="123"/>
      <c r="G34" s="123"/>
      <c r="H34" s="123"/>
      <c r="I34" s="123"/>
      <c r="J34" s="123"/>
      <c r="K34" s="123"/>
      <c r="L34" s="123"/>
      <c r="M34" s="123"/>
      <c r="N34" s="123"/>
      <c r="O34" s="123"/>
      <c r="P34" s="124"/>
      <c r="Q34" s="125"/>
      <c r="R34" s="126">
        <v>0</v>
      </c>
      <c r="S34" s="107"/>
      <c r="T34" s="108"/>
      <c r="U34" s="278"/>
      <c r="V34" s="279"/>
      <c r="W34" s="279"/>
      <c r="X34" s="279"/>
      <c r="Y34" s="279"/>
      <c r="Z34" s="279"/>
      <c r="AA34" s="279"/>
      <c r="AB34" s="279"/>
      <c r="AC34" s="278"/>
      <c r="AD34" s="279"/>
      <c r="AE34" s="279"/>
      <c r="AF34" s="279"/>
      <c r="AG34" s="279"/>
      <c r="AH34" s="279"/>
      <c r="AI34" s="279"/>
      <c r="AJ34" s="279"/>
      <c r="AK34" s="279"/>
      <c r="AL34" s="108"/>
      <c r="AM34" s="108"/>
      <c r="AN34" s="108"/>
    </row>
    <row r="35" spans="1:40" ht="12.75" customHeight="1">
      <c r="A35" s="313">
        <f t="shared" si="4"/>
        <v>732</v>
      </c>
      <c r="B35" s="406" t="s">
        <v>44</v>
      </c>
      <c r="C35" s="48"/>
      <c r="D35" s="123"/>
      <c r="E35" s="48"/>
      <c r="F35" s="48"/>
      <c r="G35" s="48"/>
      <c r="H35" s="48"/>
      <c r="I35" s="48"/>
      <c r="J35" s="48"/>
      <c r="K35" s="48"/>
      <c r="L35" s="48"/>
      <c r="M35" s="48"/>
      <c r="N35" s="48"/>
      <c r="O35" s="48"/>
      <c r="P35" s="49"/>
      <c r="Q35" s="127"/>
      <c r="R35" s="106"/>
      <c r="S35" s="108"/>
      <c r="T35" s="108"/>
      <c r="U35" s="279"/>
      <c r="V35" s="279"/>
      <c r="W35" s="279"/>
      <c r="X35" s="279"/>
      <c r="Y35" s="279"/>
      <c r="Z35" s="279"/>
      <c r="AA35" s="279"/>
      <c r="AB35" s="279"/>
      <c r="AC35" s="279"/>
      <c r="AD35" s="279"/>
      <c r="AE35" s="279"/>
      <c r="AF35" s="279"/>
      <c r="AG35" s="279"/>
      <c r="AH35" s="279"/>
      <c r="AI35" s="279"/>
      <c r="AJ35" s="279"/>
      <c r="AK35" s="279"/>
      <c r="AL35" s="108"/>
      <c r="AM35" s="108"/>
      <c r="AN35" s="108"/>
    </row>
    <row r="36" spans="1:40" s="28" customFormat="1" ht="12.75" customHeight="1">
      <c r="A36" s="313">
        <f t="shared" si="4"/>
        <v>733</v>
      </c>
      <c r="B36" s="407" t="str">
        <f>CONCATENATE("Totaal regel ",A33," -/- regel ",A34," + regel ",A35)</f>
        <v>Totaal regel 730 -/- regel 731 + regel 732</v>
      </c>
      <c r="C36" s="324"/>
      <c r="D36" s="128"/>
      <c r="E36" s="128"/>
      <c r="F36" s="128"/>
      <c r="G36" s="128"/>
      <c r="H36" s="128"/>
      <c r="I36" s="128"/>
      <c r="J36" s="128"/>
      <c r="K36" s="128"/>
      <c r="L36" s="128"/>
      <c r="M36" s="128"/>
      <c r="N36" s="128"/>
      <c r="O36" s="128"/>
      <c r="P36" s="129"/>
      <c r="Q36" s="130"/>
      <c r="R36" s="46">
        <f>R33-R34+R35</f>
        <v>0</v>
      </c>
      <c r="S36" s="46">
        <f>S33-S34+S35</f>
        <v>0</v>
      </c>
      <c r="T36" s="46">
        <f>T33-T34+T35</f>
        <v>0</v>
      </c>
      <c r="U36" s="281"/>
      <c r="V36" s="281"/>
      <c r="W36" s="281"/>
      <c r="X36" s="281"/>
      <c r="Y36" s="281"/>
      <c r="Z36" s="281"/>
      <c r="AA36" s="281"/>
      <c r="AB36" s="281"/>
      <c r="AC36" s="281"/>
      <c r="AD36" s="281"/>
      <c r="AE36" s="281"/>
      <c r="AF36" s="281"/>
      <c r="AG36" s="281"/>
      <c r="AH36" s="281"/>
      <c r="AI36" s="281"/>
      <c r="AJ36" s="281"/>
      <c r="AK36" s="281"/>
      <c r="AL36" s="131"/>
      <c r="AM36" s="131"/>
      <c r="AN36" s="131"/>
    </row>
    <row r="37" spans="2:40" s="28" customFormat="1" ht="12.75" customHeight="1">
      <c r="B37" s="159" t="s">
        <v>51</v>
      </c>
      <c r="C37" s="408"/>
      <c r="D37" s="160"/>
      <c r="E37" s="160"/>
      <c r="F37" s="160"/>
      <c r="G37" s="160"/>
      <c r="H37" s="160"/>
      <c r="I37" s="160"/>
      <c r="J37" s="160"/>
      <c r="K37" s="160"/>
      <c r="L37" s="160"/>
      <c r="M37" s="160"/>
      <c r="N37" s="160"/>
      <c r="O37" s="160"/>
      <c r="P37" s="160"/>
      <c r="Q37" s="161"/>
      <c r="R37" s="162"/>
      <c r="S37" s="162"/>
      <c r="T37" s="162"/>
      <c r="U37" s="281"/>
      <c r="V37" s="281"/>
      <c r="W37" s="281"/>
      <c r="X37" s="281"/>
      <c r="Y37" s="281"/>
      <c r="Z37" s="281"/>
      <c r="AA37" s="281"/>
      <c r="AB37" s="281"/>
      <c r="AC37" s="281"/>
      <c r="AD37" s="281"/>
      <c r="AE37" s="281"/>
      <c r="AF37" s="281"/>
      <c r="AG37" s="281"/>
      <c r="AH37" s="281"/>
      <c r="AI37" s="281"/>
      <c r="AJ37" s="281"/>
      <c r="AK37" s="281"/>
      <c r="AL37" s="131"/>
      <c r="AM37" s="131"/>
      <c r="AN37" s="131"/>
    </row>
    <row r="38" spans="2:40" s="28" customFormat="1" ht="9.75" customHeight="1">
      <c r="B38" s="284" t="s">
        <v>197</v>
      </c>
      <c r="C38" s="409"/>
      <c r="D38" s="409"/>
      <c r="E38" s="409"/>
      <c r="F38" s="409"/>
      <c r="G38" s="409"/>
      <c r="H38" s="409"/>
      <c r="I38" s="409"/>
      <c r="J38" s="409"/>
      <c r="K38" s="409"/>
      <c r="L38" s="409"/>
      <c r="M38" s="409"/>
      <c r="N38" s="409"/>
      <c r="O38" s="409"/>
      <c r="P38" s="409"/>
      <c r="Q38" s="409"/>
      <c r="R38" s="409"/>
      <c r="S38" s="409"/>
      <c r="T38" s="409"/>
      <c r="U38" s="281"/>
      <c r="V38" s="281"/>
      <c r="W38" s="281"/>
      <c r="X38" s="281"/>
      <c r="Y38" s="281"/>
      <c r="Z38" s="281"/>
      <c r="AA38" s="281"/>
      <c r="AB38" s="281"/>
      <c r="AC38" s="281"/>
      <c r="AD38" s="281"/>
      <c r="AE38" s="281"/>
      <c r="AF38" s="281"/>
      <c r="AG38" s="281"/>
      <c r="AH38" s="281"/>
      <c r="AI38" s="281"/>
      <c r="AJ38" s="281"/>
      <c r="AK38" s="281"/>
      <c r="AL38" s="131"/>
      <c r="AM38" s="131"/>
      <c r="AN38" s="131"/>
    </row>
    <row r="39" spans="2:40" s="28" customFormat="1" ht="11.25" customHeight="1">
      <c r="B39" s="599" t="s">
        <v>2</v>
      </c>
      <c r="C39" s="599"/>
      <c r="D39" s="599"/>
      <c r="E39" s="599"/>
      <c r="F39" s="599"/>
      <c r="G39" s="599"/>
      <c r="H39" s="599"/>
      <c r="I39" s="409"/>
      <c r="J39" s="409"/>
      <c r="K39" s="409"/>
      <c r="L39" s="409"/>
      <c r="M39" s="409"/>
      <c r="N39" s="409"/>
      <c r="O39" s="409"/>
      <c r="P39" s="409"/>
      <c r="Q39" s="409"/>
      <c r="R39" s="409"/>
      <c r="S39" s="409"/>
      <c r="T39" s="409"/>
      <c r="U39" s="281"/>
      <c r="V39" s="281"/>
      <c r="W39" s="281"/>
      <c r="X39" s="281"/>
      <c r="Y39" s="281"/>
      <c r="Z39" s="281"/>
      <c r="AA39" s="281"/>
      <c r="AB39" s="281"/>
      <c r="AC39" s="281"/>
      <c r="AD39" s="281"/>
      <c r="AE39" s="281"/>
      <c r="AF39" s="281"/>
      <c r="AG39" s="281"/>
      <c r="AH39" s="281"/>
      <c r="AI39" s="281"/>
      <c r="AJ39" s="281"/>
      <c r="AK39" s="281"/>
      <c r="AL39" s="131"/>
      <c r="AM39" s="131"/>
      <c r="AN39" s="131"/>
    </row>
    <row r="40" spans="1:40" s="28" customFormat="1" ht="11.25" customHeight="1">
      <c r="A40" s="410"/>
      <c r="B40" s="599" t="s">
        <v>3</v>
      </c>
      <c r="C40" s="599"/>
      <c r="D40" s="599"/>
      <c r="E40" s="599"/>
      <c r="F40" s="599"/>
      <c r="G40" s="599"/>
      <c r="H40" s="599"/>
      <c r="I40" s="409"/>
      <c r="J40" s="409"/>
      <c r="K40" s="409"/>
      <c r="L40" s="409"/>
      <c r="M40" s="409"/>
      <c r="N40" s="409"/>
      <c r="O40" s="409"/>
      <c r="P40" s="409"/>
      <c r="Q40" s="409"/>
      <c r="R40" s="409"/>
      <c r="S40" s="409"/>
      <c r="T40" s="409"/>
      <c r="U40" s="281"/>
      <c r="V40" s="281"/>
      <c r="W40" s="281"/>
      <c r="X40" s="281"/>
      <c r="Y40" s="281"/>
      <c r="Z40" s="281"/>
      <c r="AA40" s="281"/>
      <c r="AB40" s="281"/>
      <c r="AC40" s="281"/>
      <c r="AD40" s="281"/>
      <c r="AE40" s="281"/>
      <c r="AF40" s="281"/>
      <c r="AG40" s="281"/>
      <c r="AH40" s="281"/>
      <c r="AI40" s="281"/>
      <c r="AJ40" s="281"/>
      <c r="AK40" s="281"/>
      <c r="AL40" s="131"/>
      <c r="AM40" s="131"/>
      <c r="AN40" s="131"/>
    </row>
    <row r="41" spans="2:22" ht="10.5" customHeight="1">
      <c r="B41" s="600" t="s">
        <v>6</v>
      </c>
      <c r="C41" s="601"/>
      <c r="D41" s="601"/>
      <c r="E41" s="601"/>
      <c r="F41" s="601"/>
      <c r="G41" s="601"/>
      <c r="S41" s="3"/>
      <c r="V41" s="282"/>
    </row>
    <row r="42" spans="1:18" ht="12.75" customHeight="1">
      <c r="A42" s="411"/>
      <c r="B42" s="4" t="s">
        <v>327</v>
      </c>
      <c r="D42" s="5"/>
      <c r="H42" s="5"/>
      <c r="I42" s="5"/>
      <c r="J42" s="5"/>
      <c r="K42" s="5"/>
      <c r="L42" s="5"/>
      <c r="M42" s="5"/>
      <c r="N42" s="5"/>
      <c r="O42" s="5"/>
      <c r="P42" s="5"/>
      <c r="Q42" s="5"/>
      <c r="R42" s="5"/>
    </row>
    <row r="43" spans="1:19" ht="12.75" customHeight="1">
      <c r="A43" s="411"/>
      <c r="B43" s="412" t="s">
        <v>34</v>
      </c>
      <c r="C43" s="413"/>
      <c r="D43" s="414"/>
      <c r="E43" s="415"/>
      <c r="F43" s="416"/>
      <c r="G43" s="416"/>
      <c r="H43" s="417"/>
      <c r="I43" s="417"/>
      <c r="J43" s="417"/>
      <c r="K43" s="417"/>
      <c r="L43" s="417"/>
      <c r="M43" s="417"/>
      <c r="N43" s="417"/>
      <c r="O43" s="417"/>
      <c r="P43" s="417"/>
      <c r="Q43" s="418"/>
      <c r="R43" s="372" t="s">
        <v>122</v>
      </c>
      <c r="S43" s="372" t="s">
        <v>29</v>
      </c>
    </row>
    <row r="44" spans="1:37" s="6" customFormat="1" ht="12.75" customHeight="1">
      <c r="A44" s="419"/>
      <c r="B44" s="132"/>
      <c r="C44" s="420"/>
      <c r="D44" s="421"/>
      <c r="E44" s="422"/>
      <c r="F44" s="423"/>
      <c r="G44" s="423"/>
      <c r="H44" s="422"/>
      <c r="I44" s="608"/>
      <c r="J44" s="609"/>
      <c r="K44" s="608"/>
      <c r="L44" s="609"/>
      <c r="M44" s="609"/>
      <c r="N44" s="609"/>
      <c r="O44" s="609"/>
      <c r="P44" s="609"/>
      <c r="Q44" s="424"/>
      <c r="R44" s="425"/>
      <c r="S44" s="426" t="s">
        <v>30</v>
      </c>
      <c r="U44" s="282"/>
      <c r="V44" s="282"/>
      <c r="W44" s="282"/>
      <c r="X44" s="282"/>
      <c r="Y44" s="282"/>
      <c r="Z44" s="282"/>
      <c r="AA44" s="282"/>
      <c r="AB44" s="282"/>
      <c r="AC44" s="282"/>
      <c r="AD44" s="282"/>
      <c r="AE44" s="282"/>
      <c r="AF44" s="282"/>
      <c r="AG44" s="282"/>
      <c r="AH44" s="282"/>
      <c r="AI44" s="282"/>
      <c r="AJ44" s="282"/>
      <c r="AK44" s="282"/>
    </row>
    <row r="45" spans="1:37" s="6" customFormat="1" ht="12.75" customHeight="1">
      <c r="A45" s="313">
        <v>801</v>
      </c>
      <c r="B45" s="610">
        <f>IF(I4=0,H4,(((DATE('Rentecalc.'!$J$1,K4,J4)-DATE('Rentecalc.'!$J$1,1,1))*H4)/F!H$82))</f>
        <v>0</v>
      </c>
      <c r="C45" s="610"/>
      <c r="D45" s="602">
        <f>IF(K4=0,0,(IF(L4=0,((DATE('Rentecalc.'!J$1+1,1,1)-DATE('Rentecalc.'!$J$1,(K4),J4))*(H4-(1*I4)))/F!H$82,((DATE('Rentecalc.'!$J$1,(L4),J4)-DATE('Rentecalc.'!$J$1,(K4),J4))*(H4-(1*I4)))/F!H$82)))</f>
        <v>0</v>
      </c>
      <c r="E45" s="602"/>
      <c r="F45" s="602">
        <f>IF(L4=0,0,(IF(M4=0,((DATE('Rentecalc.'!J$1+1,1,1)-DATE('Rentecalc.'!$J$1,(L4),J4))*(H4-(2*I4)))/365,((DATE('Rentecalc.'!$J$1,(M4),J4)-DATE('Rentecalc.'!$J$1,(L4),J4))*(H4-(2*I4)))/F!H$82)))</f>
        <v>0</v>
      </c>
      <c r="G45" s="602"/>
      <c r="H45" s="133">
        <f>IF(M4=0,0,(IF(N4=0,((DATE('Rentecalc.'!J$1+1,1,1)-DATE('Rentecalc.'!$J$1,(M4),J4))*(H4-(3*I4)))/F!H$82,((DATE('Rentecalc.'!$J$1,(N4),J4)-DATE('Rentecalc.'!$J$1,(M4),J4))*(H4-(3*I4)))/F!H$82)))</f>
        <v>0</v>
      </c>
      <c r="I45" s="602">
        <f>IF(N4=0,0,(IF(O4=0,((DATE('Rentecalc.'!J$1+1,1,1)-DATE('Rentecalc.'!$J$1,(N4),J4))*(H4-(4*I4)))/F!H$82,((DATE('Rentecalc.'!$J$1,(O4),J4)-DATE('Rentecalc.'!$J$1,(N4),J4))*(H4-(4*I4)))/F!H$82)))</f>
        <v>0</v>
      </c>
      <c r="J45" s="602"/>
      <c r="K45" s="602">
        <f>IF(O4=0,0,(IF(P4=0,((DATE('Rentecalc.'!J$1+1,1,1)-DATE('Rentecalc.'!$J$1,(O4),J4))*(H4-(5*I4)))/F!H$82,((DATE('Rentecalc.'!$J$1,(P4),J4)-DATE('Rentecalc.'!$J$1,(O4),J4))*(H4-(5*I4)))/F!H$82)))</f>
        <v>0</v>
      </c>
      <c r="L45" s="602"/>
      <c r="M45" s="602"/>
      <c r="N45" s="602"/>
      <c r="O45" s="602"/>
      <c r="P45" s="602"/>
      <c r="Q45" s="134">
        <f>IF(P4=0,0,((DATE('Rentecalc.'!J$1+1,1,1)-DATE('Rentecalc.'!$J$1,(P4),J4))*(H4-(6*I4)))/F!H$82)</f>
        <v>0</v>
      </c>
      <c r="R45" s="135">
        <f aca="true" t="shared" si="15" ref="R45:R73">SUM(B45:Q45)</f>
        <v>0</v>
      </c>
      <c r="S45" s="136">
        <f aca="true" t="shared" si="16" ref="S45:S73">IF(G4="n",R45*(F4/100),R45*(E4/100))</f>
        <v>0</v>
      </c>
      <c r="T45" s="5"/>
      <c r="U45" s="277"/>
      <c r="V45" s="277"/>
      <c r="W45" s="277"/>
      <c r="X45" s="277"/>
      <c r="Y45" s="277"/>
      <c r="Z45" s="277"/>
      <c r="AA45" s="283">
        <f aca="true" t="shared" si="17" ref="AA45:AA73">Q45</f>
        <v>0</v>
      </c>
      <c r="AB45" s="283">
        <f aca="true" t="shared" si="18" ref="AB45:AB73">L45</f>
        <v>0</v>
      </c>
      <c r="AC45" s="282"/>
      <c r="AD45" s="282"/>
      <c r="AE45" s="282"/>
      <c r="AF45" s="282"/>
      <c r="AG45" s="282"/>
      <c r="AH45" s="282"/>
      <c r="AI45" s="282"/>
      <c r="AJ45" s="282"/>
      <c r="AK45" s="282"/>
    </row>
    <row r="46" spans="1:37" s="6" customFormat="1" ht="12.75" customHeight="1">
      <c r="A46" s="313">
        <f>A45+1</f>
        <v>802</v>
      </c>
      <c r="B46" s="610">
        <f>IF(I5=0,H5,(((DATE('Rentecalc.'!$J$1,K5,J5)-DATE('Rentecalc.'!$J$1,1,1))*H5)/F!H$82))</f>
        <v>0</v>
      </c>
      <c r="C46" s="610"/>
      <c r="D46" s="602">
        <f>IF(K5=0,0,(IF(L5=0,((DATE('Rentecalc.'!J$1+1,1,1)-DATE('Rentecalc.'!$J$1,(K5),J5))*(H5-(1*I5)))/F!H$82,((DATE('Rentecalc.'!$J$1,(L5),J5)-DATE('Rentecalc.'!$J$1,(K5),J5))*(H5-(1*I5)))/F!H$82)))</f>
        <v>0</v>
      </c>
      <c r="E46" s="602"/>
      <c r="F46" s="602">
        <f>IF(L5=0,0,(IF(M5=0,((DATE('Rentecalc.'!J$1+1,1,1)-DATE('Rentecalc.'!$J$1,(L5),J5))*(H5-(2*I5)))/365,((DATE('Rentecalc.'!$J$1,(M5),J5)-DATE('Rentecalc.'!$J$1,(L5),J5))*(H5-(2*I5)))/F!H$82)))</f>
        <v>0</v>
      </c>
      <c r="G46" s="602"/>
      <c r="H46" s="133">
        <f>IF(M5=0,0,(IF(N5=0,((DATE('Rentecalc.'!J$1+1,1,1)-DATE('Rentecalc.'!$J$1,(M5),J5))*(H5-(3*I5)))/F!H$82,((DATE('Rentecalc.'!$J$1,(N5),J5)-DATE('Rentecalc.'!$J$1,(M5),J5))*(H5-(3*I5)))/F!H$82)))</f>
        <v>0</v>
      </c>
      <c r="I46" s="602">
        <f>IF(N5=0,0,(IF(O5=0,((DATE('Rentecalc.'!J$1+1,1,1)-DATE('Rentecalc.'!$J$1,(N5),J5))*(H5-(4*I5)))/F!H$82,((DATE('Rentecalc.'!$J$1,(O5),J5)-DATE('Rentecalc.'!$J$1,(N5),J5))*(H5-(4*I5)))/F!H$82)))</f>
        <v>0</v>
      </c>
      <c r="J46" s="602"/>
      <c r="K46" s="602">
        <f>IF(O5=0,0,(IF(P5=0,((DATE('Rentecalc.'!J$1+1,1,1)-DATE('Rentecalc.'!$J$1,(O5),J5))*(H5-(5*I5)))/F!H$82,((DATE('Rentecalc.'!$J$1,(P5),J5)-DATE('Rentecalc.'!$J$1,(O5),J5))*(H5-(5*I5)))/F!H$82)))</f>
        <v>0</v>
      </c>
      <c r="L46" s="602"/>
      <c r="M46" s="602"/>
      <c r="N46" s="602"/>
      <c r="O46" s="602"/>
      <c r="P46" s="602"/>
      <c r="Q46" s="134">
        <f>IF(P5=0,0,((DATE('Rentecalc.'!J$1+1,1,1)-DATE('Rentecalc.'!$J$1,(P5),J5))*(H5-(6*I5)))/F!H$82)</f>
        <v>0</v>
      </c>
      <c r="R46" s="135">
        <f t="shared" si="15"/>
        <v>0</v>
      </c>
      <c r="S46" s="136">
        <f t="shared" si="16"/>
        <v>0</v>
      </c>
      <c r="T46" s="5"/>
      <c r="U46" s="277"/>
      <c r="V46" s="277"/>
      <c r="W46" s="277"/>
      <c r="X46" s="277"/>
      <c r="Y46" s="277"/>
      <c r="Z46" s="277"/>
      <c r="AA46" s="283">
        <f t="shared" si="17"/>
        <v>0</v>
      </c>
      <c r="AB46" s="283">
        <f t="shared" si="18"/>
        <v>0</v>
      </c>
      <c r="AC46" s="282"/>
      <c r="AD46" s="282"/>
      <c r="AE46" s="282"/>
      <c r="AF46" s="282"/>
      <c r="AG46" s="282"/>
      <c r="AH46" s="282"/>
      <c r="AI46" s="282"/>
      <c r="AJ46" s="282"/>
      <c r="AK46" s="282"/>
    </row>
    <row r="47" spans="1:37" s="6" customFormat="1" ht="12.75" customHeight="1">
      <c r="A47" s="313">
        <f aca="true" t="shared" si="19" ref="A47:A74">A46+1</f>
        <v>803</v>
      </c>
      <c r="B47" s="610">
        <f>IF(I6=0,H6,(((DATE('Rentecalc.'!$J$1,K6,J6)-DATE('Rentecalc.'!$J$1,1,1))*H6)/F!H$82))</f>
        <v>0</v>
      </c>
      <c r="C47" s="610"/>
      <c r="D47" s="602">
        <f>IF(K6=0,0,(IF(L6=0,((DATE('Rentecalc.'!J$1+1,1,1)-DATE('Rentecalc.'!$J$1,(K6),J6))*(H6-(1*I6)))/F!H$82,((DATE('Rentecalc.'!$J$1,(L6),J6)-DATE('Rentecalc.'!$J$1,(K6),J6))*(H6-(1*I6)))/F!H$82)))</f>
        <v>0</v>
      </c>
      <c r="E47" s="602"/>
      <c r="F47" s="602">
        <f>IF(L6=0,0,(IF(M6=0,((DATE('Rentecalc.'!J$1+1,1,1)-DATE('Rentecalc.'!$J$1,(L6),J6))*(H6-(2*I6)))/365,((DATE('Rentecalc.'!$J$1,(M6),J6)-DATE('Rentecalc.'!$J$1,(L6),J6))*(H6-(2*I6)))/F!H$82)))</f>
        <v>0</v>
      </c>
      <c r="G47" s="602"/>
      <c r="H47" s="133">
        <f>IF(M6=0,0,(IF(N6=0,((DATE('Rentecalc.'!J$1+1,1,1)-DATE('Rentecalc.'!$J$1,(M6),J6))*(H6-(3*I6)))/F!H$82,((DATE('Rentecalc.'!$J$1,(N6),J6)-DATE('Rentecalc.'!$J$1,(M6),J6))*(H6-(3*I6)))/F!H$82)))</f>
        <v>0</v>
      </c>
      <c r="I47" s="602">
        <f>IF(N6=0,0,(IF(O6=0,((DATE('Rentecalc.'!J$1+1,1,1)-DATE('Rentecalc.'!$J$1,(N6),J6))*(H6-(4*I6)))/F!H$82,((DATE('Rentecalc.'!$J$1,(O6),J6)-DATE('Rentecalc.'!$J$1,(N6),J6))*(H6-(4*I6)))/F!H$82)))</f>
        <v>0</v>
      </c>
      <c r="J47" s="602"/>
      <c r="K47" s="602">
        <f>IF(O6=0,0,(IF(P6=0,((DATE('Rentecalc.'!J$1+1,1,1)-DATE('Rentecalc.'!$J$1,(O6),J6))*(H6-(5*I6)))/F!H$82,((DATE('Rentecalc.'!$J$1,(P6),J6)-DATE('Rentecalc.'!$J$1,(O6),J6))*(H6-(5*I6)))/F!H$82)))</f>
        <v>0</v>
      </c>
      <c r="L47" s="602"/>
      <c r="M47" s="602"/>
      <c r="N47" s="602"/>
      <c r="O47" s="602"/>
      <c r="P47" s="602"/>
      <c r="Q47" s="134">
        <f>IF(P6=0,0,((DATE('Rentecalc.'!J$1+1,1,1)-DATE('Rentecalc.'!$J$1,(P6),J6))*(H6-(6*I6)))/F!H$82)</f>
        <v>0</v>
      </c>
      <c r="R47" s="135">
        <f t="shared" si="15"/>
        <v>0</v>
      </c>
      <c r="S47" s="136">
        <f t="shared" si="16"/>
        <v>0</v>
      </c>
      <c r="T47" s="5"/>
      <c r="U47" s="277"/>
      <c r="V47" s="277"/>
      <c r="W47" s="277"/>
      <c r="X47" s="277"/>
      <c r="Y47" s="277"/>
      <c r="Z47" s="277"/>
      <c r="AA47" s="283">
        <f t="shared" si="17"/>
        <v>0</v>
      </c>
      <c r="AB47" s="283">
        <f t="shared" si="18"/>
        <v>0</v>
      </c>
      <c r="AC47" s="282"/>
      <c r="AD47" s="282"/>
      <c r="AE47" s="282"/>
      <c r="AF47" s="282"/>
      <c r="AG47" s="282"/>
      <c r="AH47" s="282"/>
      <c r="AI47" s="282"/>
      <c r="AJ47" s="282"/>
      <c r="AK47" s="282"/>
    </row>
    <row r="48" spans="1:37" s="6" customFormat="1" ht="12.75" customHeight="1">
      <c r="A48" s="313">
        <f t="shared" si="19"/>
        <v>804</v>
      </c>
      <c r="B48" s="610">
        <f>IF(I7=0,H7,(((DATE('Rentecalc.'!$J$1,K7,J7)-DATE('Rentecalc.'!$J$1,1,1))*H7)/F!H$82))</f>
        <v>0</v>
      </c>
      <c r="C48" s="610"/>
      <c r="D48" s="602">
        <f>IF(K7=0,0,(IF(L7=0,((DATE('Rentecalc.'!J$1+1,1,1)-DATE('Rentecalc.'!$J$1,(K7),J7))*(H7-(1*I7)))/F!H$82,((DATE('Rentecalc.'!$J$1,(L7),J7)-DATE('Rentecalc.'!$J$1,(K7),J7))*(H7-(1*I7)))/F!H$82)))</f>
        <v>0</v>
      </c>
      <c r="E48" s="602"/>
      <c r="F48" s="602">
        <f>IF(L7=0,0,(IF(M7=0,((DATE('Rentecalc.'!J$1+1,1,1)-DATE('Rentecalc.'!$J$1,(L7),J7))*(H7-(2*I7)))/365,((DATE('Rentecalc.'!$J$1,(M7),J7)-DATE('Rentecalc.'!$J$1,(L7),J7))*(H7-(2*I7)))/F!H$82)))</f>
        <v>0</v>
      </c>
      <c r="G48" s="602"/>
      <c r="H48" s="133">
        <f>IF(M7=0,0,(IF(N7=0,((DATE('Rentecalc.'!J$1+1,1,1)-DATE('Rentecalc.'!$J$1,(M7),J7))*(H7-(3*I7)))/F!H$82,((DATE('Rentecalc.'!$J$1,(N7),J7)-DATE('Rentecalc.'!$J$1,(M7),J7))*(H7-(3*I7)))/F!H$82)))</f>
        <v>0</v>
      </c>
      <c r="I48" s="602">
        <f>IF(N7=0,0,(IF(O7=0,((DATE('Rentecalc.'!J$1+1,1,1)-DATE('Rentecalc.'!$J$1,(N7),J7))*(H7-(4*I7)))/F!H$82,((DATE('Rentecalc.'!$J$1,(O7),J7)-DATE('Rentecalc.'!$J$1,(N7),J7))*(H7-(4*I7)))/F!H$82)))</f>
        <v>0</v>
      </c>
      <c r="J48" s="602"/>
      <c r="K48" s="602">
        <f>IF(O7=0,0,(IF(P7=0,((DATE('Rentecalc.'!J$1+1,1,1)-DATE('Rentecalc.'!$J$1,(O7),J7))*(H7-(5*I7)))/F!H$82,((DATE('Rentecalc.'!$J$1,(P7),J7)-DATE('Rentecalc.'!$J$1,(O7),J7))*(H7-(5*I7)))/F!H$82)))</f>
        <v>0</v>
      </c>
      <c r="L48" s="602"/>
      <c r="M48" s="602"/>
      <c r="N48" s="602"/>
      <c r="O48" s="602"/>
      <c r="P48" s="602"/>
      <c r="Q48" s="134">
        <f>IF(P7=0,0,((DATE('Rentecalc.'!J$1+1,1,1)-DATE('Rentecalc.'!$J$1,(P7),J7))*(H7-(6*I7)))/F!H$82)</f>
        <v>0</v>
      </c>
      <c r="R48" s="135">
        <f t="shared" si="15"/>
        <v>0</v>
      </c>
      <c r="S48" s="136">
        <f t="shared" si="16"/>
        <v>0</v>
      </c>
      <c r="T48" s="5"/>
      <c r="U48" s="277"/>
      <c r="V48" s="277"/>
      <c r="W48" s="277"/>
      <c r="X48" s="277"/>
      <c r="Y48" s="277"/>
      <c r="Z48" s="277"/>
      <c r="AA48" s="283">
        <f t="shared" si="17"/>
        <v>0</v>
      </c>
      <c r="AB48" s="283">
        <f t="shared" si="18"/>
        <v>0</v>
      </c>
      <c r="AC48" s="282"/>
      <c r="AD48" s="282"/>
      <c r="AE48" s="282"/>
      <c r="AF48" s="282"/>
      <c r="AG48" s="282"/>
      <c r="AH48" s="282"/>
      <c r="AI48" s="282"/>
      <c r="AJ48" s="282"/>
      <c r="AK48" s="282"/>
    </row>
    <row r="49" spans="1:37" s="6" customFormat="1" ht="12.75" customHeight="1">
      <c r="A49" s="313">
        <f t="shared" si="19"/>
        <v>805</v>
      </c>
      <c r="B49" s="610">
        <f>IF(I8=0,H8,(((DATE('Rentecalc.'!$J$1,K8,J8)-DATE('Rentecalc.'!$J$1,1,1))*H8)/F!H$82))</f>
        <v>0</v>
      </c>
      <c r="C49" s="610"/>
      <c r="D49" s="602">
        <f>IF(K8=0,0,(IF(L8=0,((DATE('Rentecalc.'!J$1+1,1,1)-DATE('Rentecalc.'!$J$1,(K8),J8))*(H8-(1*I8)))/F!H$82,((DATE('Rentecalc.'!$J$1,(L8),J8)-DATE('Rentecalc.'!$J$1,(K8),J8))*(H8-(1*I8)))/F!H$82)))</f>
        <v>0</v>
      </c>
      <c r="E49" s="602"/>
      <c r="F49" s="602">
        <f>IF(L8=0,0,(IF(M8=0,((DATE('Rentecalc.'!J$1+1,1,1)-DATE('Rentecalc.'!$J$1,(L8),J8))*(H8-(2*I8)))/365,((DATE('Rentecalc.'!$J$1,(M8),J8)-DATE('Rentecalc.'!$J$1,(L8),J8))*(H8-(2*I8)))/F!H$82)))</f>
        <v>0</v>
      </c>
      <c r="G49" s="602"/>
      <c r="H49" s="133">
        <f>IF(M8=0,0,(IF(N8=0,((DATE('Rentecalc.'!J$1+1,1,1)-DATE('Rentecalc.'!$J$1,(M8),J8))*(H8-(3*I8)))/F!H$82,((DATE('Rentecalc.'!$J$1,(N8),J8)-DATE('Rentecalc.'!$J$1,(M8),J8))*(H8-(3*I8)))/F!H$82)))</f>
        <v>0</v>
      </c>
      <c r="I49" s="602">
        <f>IF(N8=0,0,(IF(O8=0,((DATE('Rentecalc.'!J$1+1,1,1)-DATE('Rentecalc.'!$J$1,(N8),J8))*(H8-(4*I8)))/F!H$82,((DATE('Rentecalc.'!$J$1,(O8),J8)-DATE('Rentecalc.'!$J$1,(N8),J8))*(H8-(4*I8)))/F!H$82)))</f>
        <v>0</v>
      </c>
      <c r="J49" s="602"/>
      <c r="K49" s="602">
        <f>IF(O8=0,0,(IF(P8=0,((DATE('Rentecalc.'!J$1+1,1,1)-DATE('Rentecalc.'!$J$1,(O8),J8))*(H8-(5*I8)))/F!H$82,((DATE('Rentecalc.'!$J$1,(P8),J8)-DATE('Rentecalc.'!$J$1,(O8),J8))*(H8-(5*I8)))/F!H$82)))</f>
        <v>0</v>
      </c>
      <c r="L49" s="602"/>
      <c r="M49" s="602"/>
      <c r="N49" s="602"/>
      <c r="O49" s="602"/>
      <c r="P49" s="602"/>
      <c r="Q49" s="134">
        <f>IF(P8=0,0,((DATE('Rentecalc.'!J$1+1,1,1)-DATE('Rentecalc.'!$J$1,(P8),J8))*(H8-(6*I8)))/F!H$82)</f>
        <v>0</v>
      </c>
      <c r="R49" s="135">
        <f t="shared" si="15"/>
        <v>0</v>
      </c>
      <c r="S49" s="136">
        <f t="shared" si="16"/>
        <v>0</v>
      </c>
      <c r="T49" s="5"/>
      <c r="U49" s="277"/>
      <c r="V49" s="277"/>
      <c r="W49" s="277"/>
      <c r="X49" s="277"/>
      <c r="Y49" s="277"/>
      <c r="Z49" s="277"/>
      <c r="AA49" s="283">
        <f t="shared" si="17"/>
        <v>0</v>
      </c>
      <c r="AB49" s="283">
        <f t="shared" si="18"/>
        <v>0</v>
      </c>
      <c r="AC49" s="282"/>
      <c r="AD49" s="282"/>
      <c r="AE49" s="282"/>
      <c r="AF49" s="282"/>
      <c r="AG49" s="282"/>
      <c r="AH49" s="282"/>
      <c r="AI49" s="282"/>
      <c r="AJ49" s="282"/>
      <c r="AK49" s="282"/>
    </row>
    <row r="50" spans="1:37" s="6" customFormat="1" ht="12.75" customHeight="1">
      <c r="A50" s="313">
        <f t="shared" si="19"/>
        <v>806</v>
      </c>
      <c r="B50" s="610">
        <f>IF(I9=0,H9,(((DATE('Rentecalc.'!$J$1,K9,J9)-DATE('Rentecalc.'!$J$1,1,1))*H9)/F!H$82))</f>
        <v>0</v>
      </c>
      <c r="C50" s="610"/>
      <c r="D50" s="602">
        <f>IF(K9=0,0,(IF(L9=0,((DATE('Rentecalc.'!J$1+1,1,1)-DATE('Rentecalc.'!$J$1,(K9),J9))*(H9-(1*I9)))/F!H$82,((DATE('Rentecalc.'!$J$1,(L9),J9)-DATE('Rentecalc.'!$J$1,(K9),J9))*(H9-(1*I9)))/F!H$82)))</f>
        <v>0</v>
      </c>
      <c r="E50" s="602"/>
      <c r="F50" s="602">
        <f>IF(L9=0,0,(IF(M9=0,((DATE('Rentecalc.'!J$1+1,1,1)-DATE('Rentecalc.'!$J$1,(L9),J9))*(H9-(2*I9)))/365,((DATE('Rentecalc.'!$J$1,(M9),J9)-DATE('Rentecalc.'!$J$1,(L9),J9))*(H9-(2*I9)))/F!H$82)))</f>
        <v>0</v>
      </c>
      <c r="G50" s="602"/>
      <c r="H50" s="133">
        <f>IF(M9=0,0,(IF(N9=0,((DATE('Rentecalc.'!J$1+1,1,1)-DATE('Rentecalc.'!$J$1,(M9),J9))*(H9-(3*I9)))/F!H$82,((DATE('Rentecalc.'!$J$1,(N9),J9)-DATE('Rentecalc.'!$J$1,(M9),J9))*(H9-(3*I9)))/F!H$82)))</f>
        <v>0</v>
      </c>
      <c r="I50" s="602">
        <f>IF(N9=0,0,(IF(O9=0,((DATE('Rentecalc.'!J$1+1,1,1)-DATE('Rentecalc.'!$J$1,(N9),J9))*(H9-(4*I9)))/F!H$82,((DATE('Rentecalc.'!$J$1,(O9),J9)-DATE('Rentecalc.'!$J$1,(N9),J9))*(H9-(4*I9)))/F!H$82)))</f>
        <v>0</v>
      </c>
      <c r="J50" s="602"/>
      <c r="K50" s="602">
        <f>IF(O9=0,0,(IF(P9=0,((DATE('Rentecalc.'!J$1+1,1,1)-DATE('Rentecalc.'!$J$1,(O9),J9))*(H9-(5*I9)))/F!H$82,((DATE('Rentecalc.'!$J$1,(P9),J9)-DATE('Rentecalc.'!$J$1,(O9),J9))*(H9-(5*I9)))/F!H$82)))</f>
        <v>0</v>
      </c>
      <c r="L50" s="602"/>
      <c r="M50" s="602"/>
      <c r="N50" s="602"/>
      <c r="O50" s="602"/>
      <c r="P50" s="602"/>
      <c r="Q50" s="134">
        <f>IF(P9=0,0,((DATE('Rentecalc.'!J$1+1,1,1)-DATE('Rentecalc.'!$J$1,(P9),J9))*(H9-(6*I9)))/F!H$82)</f>
        <v>0</v>
      </c>
      <c r="R50" s="135">
        <f t="shared" si="15"/>
        <v>0</v>
      </c>
      <c r="S50" s="136">
        <f t="shared" si="16"/>
        <v>0</v>
      </c>
      <c r="T50" s="5"/>
      <c r="U50" s="277"/>
      <c r="V50" s="277"/>
      <c r="W50" s="277"/>
      <c r="X50" s="277"/>
      <c r="Y50" s="277"/>
      <c r="Z50" s="277"/>
      <c r="AA50" s="283">
        <f>Q50</f>
        <v>0</v>
      </c>
      <c r="AB50" s="283">
        <f>L50</f>
        <v>0</v>
      </c>
      <c r="AC50" s="282"/>
      <c r="AD50" s="282"/>
      <c r="AE50" s="282"/>
      <c r="AF50" s="282"/>
      <c r="AG50" s="282"/>
      <c r="AH50" s="282"/>
      <c r="AI50" s="282"/>
      <c r="AJ50" s="282"/>
      <c r="AK50" s="282"/>
    </row>
    <row r="51" spans="1:37" s="6" customFormat="1" ht="12.75" customHeight="1">
      <c r="A51" s="313">
        <f t="shared" si="19"/>
        <v>807</v>
      </c>
      <c r="B51" s="610">
        <f>IF(I10=0,H10,(((DATE('Rentecalc.'!$J$1,K10,J10)-DATE('Rentecalc.'!$J$1,1,1))*H10)/F!H$82))</f>
        <v>0</v>
      </c>
      <c r="C51" s="610"/>
      <c r="D51" s="602">
        <f>IF(K10=0,0,(IF(L10=0,((DATE('Rentecalc.'!J$1+1,1,1)-DATE('Rentecalc.'!$J$1,(K10),J10))*(H10-(1*I10)))/F!H$82,((DATE('Rentecalc.'!$J$1,(L10),J10)-DATE('Rentecalc.'!$J$1,(K10),J10))*(H10-(1*I10)))/F!H$82)))</f>
        <v>0</v>
      </c>
      <c r="E51" s="602"/>
      <c r="F51" s="602">
        <f>IF(L10=0,0,(IF(M10=0,((DATE('Rentecalc.'!J$1+1,1,1)-DATE('Rentecalc.'!$J$1,(L10),J10))*(H10-(2*I10)))/365,((DATE('Rentecalc.'!$J$1,(M10),J10)-DATE('Rentecalc.'!$J$1,(L10),J10))*(H10-(2*I10)))/F!H$82)))</f>
        <v>0</v>
      </c>
      <c r="G51" s="602"/>
      <c r="H51" s="133">
        <f>IF(M10=0,0,(IF(N10=0,((DATE('Rentecalc.'!J$1+1,1,1)-DATE('Rentecalc.'!$J$1,(M10),J10))*(H10-(3*I10)))/F!H$82,((DATE('Rentecalc.'!$J$1,(N10),J10)-DATE('Rentecalc.'!$J$1,(M10),J10))*(H10-(3*I10)))/F!H$82)))</f>
        <v>0</v>
      </c>
      <c r="I51" s="602">
        <f>IF(N10=0,0,(IF(O10=0,((DATE('Rentecalc.'!J$1+1,1,1)-DATE('Rentecalc.'!$J$1,(N10),J10))*(H10-(4*I10)))/F!H$82,((DATE('Rentecalc.'!$J$1,(O10),J10)-DATE('Rentecalc.'!$J$1,(N10),J10))*(H10-(4*I10)))/F!H$82)))</f>
        <v>0</v>
      </c>
      <c r="J51" s="602"/>
      <c r="K51" s="602">
        <f>IF(O10=0,0,(IF(P10=0,((DATE('Rentecalc.'!J$1+1,1,1)-DATE('Rentecalc.'!$J$1,(O10),J10))*(H10-(5*I10)))/F!H$82,((DATE('Rentecalc.'!$J$1,(P10),J10)-DATE('Rentecalc.'!$J$1,(O10),J10))*(H10-(5*I10)))/F!H$82)))</f>
        <v>0</v>
      </c>
      <c r="L51" s="602"/>
      <c r="M51" s="602"/>
      <c r="N51" s="602"/>
      <c r="O51" s="602"/>
      <c r="P51" s="602"/>
      <c r="Q51" s="134">
        <f>IF(P10=0,0,((DATE('Rentecalc.'!J$1+1,1,1)-DATE('Rentecalc.'!$J$1,(P10),J10))*(H10-(6*I10)))/F!H$82)</f>
        <v>0</v>
      </c>
      <c r="R51" s="135">
        <f t="shared" si="15"/>
        <v>0</v>
      </c>
      <c r="S51" s="136">
        <f t="shared" si="16"/>
        <v>0</v>
      </c>
      <c r="T51" s="5"/>
      <c r="U51" s="277"/>
      <c r="V51" s="277"/>
      <c r="W51" s="277"/>
      <c r="X51" s="277"/>
      <c r="Y51" s="277"/>
      <c r="Z51" s="277"/>
      <c r="AA51" s="283">
        <f>Q51</f>
        <v>0</v>
      </c>
      <c r="AB51" s="283">
        <f>L51</f>
        <v>0</v>
      </c>
      <c r="AC51" s="282"/>
      <c r="AD51" s="282"/>
      <c r="AE51" s="282"/>
      <c r="AF51" s="282"/>
      <c r="AG51" s="282"/>
      <c r="AH51" s="282"/>
      <c r="AI51" s="282"/>
      <c r="AJ51" s="282"/>
      <c r="AK51" s="282"/>
    </row>
    <row r="52" spans="1:37" s="6" customFormat="1" ht="12.75" customHeight="1">
      <c r="A52" s="313">
        <f t="shared" si="19"/>
        <v>808</v>
      </c>
      <c r="B52" s="610">
        <f>IF(I11=0,H11,(((DATE('Rentecalc.'!$J$1,K11,J11)-DATE('Rentecalc.'!$J$1,1,1))*H11)/F!H$82))</f>
        <v>0</v>
      </c>
      <c r="C52" s="610"/>
      <c r="D52" s="602">
        <f>IF(K11=0,0,(IF(L11=0,((DATE('Rentecalc.'!J$1+1,1,1)-DATE('Rentecalc.'!$J$1,(K11),J11))*(H11-(1*I11)))/F!H$82,((DATE('Rentecalc.'!$J$1,(L11),J11)-DATE('Rentecalc.'!$J$1,(K11),J11))*(H11-(1*I11)))/F!H$82)))</f>
        <v>0</v>
      </c>
      <c r="E52" s="602"/>
      <c r="F52" s="602">
        <f>IF(L11=0,0,(IF(M11=0,((DATE('Rentecalc.'!J$1+1,1,1)-DATE('Rentecalc.'!$J$1,(L11),J11))*(H11-(2*I11)))/365,((DATE('Rentecalc.'!$J$1,(M11),J11)-DATE('Rentecalc.'!$J$1,(L11),J11))*(H11-(2*I11)))/F!H$82)))</f>
        <v>0</v>
      </c>
      <c r="G52" s="602"/>
      <c r="H52" s="133">
        <f>IF(M11=0,0,(IF(N11=0,((DATE('Rentecalc.'!J$1+1,1,1)-DATE('Rentecalc.'!$J$1,(M11),J11))*(H11-(3*I11)))/F!H$82,((DATE('Rentecalc.'!$J$1,(N11),J11)-DATE('Rentecalc.'!$J$1,(M11),J11))*(H11-(3*I11)))/F!H$82)))</f>
        <v>0</v>
      </c>
      <c r="I52" s="602">
        <f>IF(N11=0,0,(IF(O11=0,((DATE('Rentecalc.'!J$1+1,1,1)-DATE('Rentecalc.'!$J$1,(N11),J11))*(H11-(4*I11)))/F!H$82,((DATE('Rentecalc.'!$J$1,(O11),J11)-DATE('Rentecalc.'!$J$1,(N11),J11))*(H11-(4*I11)))/F!H$82)))</f>
        <v>0</v>
      </c>
      <c r="J52" s="602"/>
      <c r="K52" s="602">
        <f>IF(O11=0,0,(IF(P11=0,((DATE('Rentecalc.'!J$1+1,1,1)-DATE('Rentecalc.'!$J$1,(O11),J11))*(H11-(5*I11)))/F!H$82,((DATE('Rentecalc.'!$J$1,(P11),J11)-DATE('Rentecalc.'!$J$1,(O11),J11))*(H11-(5*I11)))/F!H$82)))</f>
        <v>0</v>
      </c>
      <c r="L52" s="602"/>
      <c r="M52" s="602"/>
      <c r="N52" s="602"/>
      <c r="O52" s="602"/>
      <c r="P52" s="602"/>
      <c r="Q52" s="134">
        <f>IF(P11=0,0,((DATE('Rentecalc.'!J$1+1,1,1)-DATE('Rentecalc.'!$J$1,(P11),J11))*(H11-(6*I11)))/F!H$82)</f>
        <v>0</v>
      </c>
      <c r="R52" s="135">
        <f t="shared" si="15"/>
        <v>0</v>
      </c>
      <c r="S52" s="136">
        <f t="shared" si="16"/>
        <v>0</v>
      </c>
      <c r="T52" s="5"/>
      <c r="U52" s="277"/>
      <c r="V52" s="277"/>
      <c r="W52" s="277"/>
      <c r="X52" s="277"/>
      <c r="Y52" s="277"/>
      <c r="Z52" s="277"/>
      <c r="AA52" s="283">
        <f>Q52</f>
        <v>0</v>
      </c>
      <c r="AB52" s="283">
        <f>L52</f>
        <v>0</v>
      </c>
      <c r="AC52" s="282"/>
      <c r="AD52" s="282"/>
      <c r="AE52" s="282"/>
      <c r="AF52" s="282"/>
      <c r="AG52" s="282"/>
      <c r="AH52" s="282"/>
      <c r="AI52" s="282"/>
      <c r="AJ52" s="282"/>
      <c r="AK52" s="282"/>
    </row>
    <row r="53" spans="1:37" s="6" customFormat="1" ht="12.75" customHeight="1">
      <c r="A53" s="313">
        <f t="shared" si="19"/>
        <v>809</v>
      </c>
      <c r="B53" s="610">
        <f>IF(I12=0,H12,(((DATE('Rentecalc.'!$J$1,K12,J12)-DATE('Rentecalc.'!$J$1,1,1))*H12)/F!H$82))</f>
        <v>0</v>
      </c>
      <c r="C53" s="610"/>
      <c r="D53" s="602">
        <f>IF(K12=0,0,(IF(L12=0,((DATE('Rentecalc.'!J$1+1,1,1)-DATE('Rentecalc.'!$J$1,(K12),J12))*(H12-(1*I12)))/F!H$82,((DATE('Rentecalc.'!$J$1,(L12),J12)-DATE('Rentecalc.'!$J$1,(K12),J12))*(H12-(1*I12)))/F!H$82)))</f>
        <v>0</v>
      </c>
      <c r="E53" s="602"/>
      <c r="F53" s="602">
        <f>IF(L12=0,0,(IF(M12=0,((DATE('Rentecalc.'!J$1+1,1,1)-DATE('Rentecalc.'!$J$1,(L12),J12))*(H12-(2*I12)))/365,((DATE('Rentecalc.'!$J$1,(M12),J12)-DATE('Rentecalc.'!$J$1,(L12),J12))*(H12-(2*I12)))/F!H$82)))</f>
        <v>0</v>
      </c>
      <c r="G53" s="602"/>
      <c r="H53" s="133">
        <f>IF(M12=0,0,(IF(N12=0,((DATE('Rentecalc.'!J$1+1,1,1)-DATE('Rentecalc.'!$J$1,(M12),J12))*(H12-(3*I12)))/F!H$82,((DATE('Rentecalc.'!$J$1,(N12),J12)-DATE('Rentecalc.'!$J$1,(M12),J12))*(H12-(3*I12)))/F!H$82)))</f>
        <v>0</v>
      </c>
      <c r="I53" s="602">
        <f>IF(N12=0,0,(IF(O12=0,((DATE('Rentecalc.'!J$1+1,1,1)-DATE('Rentecalc.'!$J$1,(N12),J12))*(H12-(4*I12)))/F!H$82,((DATE('Rentecalc.'!$J$1,(O12),J12)-DATE('Rentecalc.'!$J$1,(N12),J12))*(H12-(4*I12)))/F!H$82)))</f>
        <v>0</v>
      </c>
      <c r="J53" s="602"/>
      <c r="K53" s="602">
        <f>IF(O12=0,0,(IF(P12=0,((DATE('Rentecalc.'!J$1+1,1,1)-DATE('Rentecalc.'!$J$1,(O12),J12))*(H12-(5*I12)))/F!H$82,((DATE('Rentecalc.'!$J$1,(P12),J12)-DATE('Rentecalc.'!$J$1,(O12),J12))*(H12-(5*I12)))/F!H$82)))</f>
        <v>0</v>
      </c>
      <c r="L53" s="602"/>
      <c r="M53" s="602"/>
      <c r="N53" s="602"/>
      <c r="O53" s="602"/>
      <c r="P53" s="602"/>
      <c r="Q53" s="134">
        <f>IF(P12=0,0,((DATE('Rentecalc.'!J$1+1,1,1)-DATE('Rentecalc.'!$J$1,(P12),J12))*(H12-(6*I12)))/F!H$82)</f>
        <v>0</v>
      </c>
      <c r="R53" s="135">
        <f t="shared" si="15"/>
        <v>0</v>
      </c>
      <c r="S53" s="136">
        <f t="shared" si="16"/>
        <v>0</v>
      </c>
      <c r="T53" s="5"/>
      <c r="U53" s="277"/>
      <c r="V53" s="277"/>
      <c r="W53" s="277"/>
      <c r="X53" s="277"/>
      <c r="Y53" s="277"/>
      <c r="Z53" s="277"/>
      <c r="AA53" s="283"/>
      <c r="AB53" s="283"/>
      <c r="AC53" s="282"/>
      <c r="AD53" s="282"/>
      <c r="AE53" s="282"/>
      <c r="AF53" s="282"/>
      <c r="AG53" s="282"/>
      <c r="AH53" s="282"/>
      <c r="AI53" s="282"/>
      <c r="AJ53" s="282"/>
      <c r="AK53" s="282"/>
    </row>
    <row r="54" spans="1:37" s="6" customFormat="1" ht="12.75" customHeight="1">
      <c r="A54" s="313">
        <f t="shared" si="19"/>
        <v>810</v>
      </c>
      <c r="B54" s="610">
        <f>IF(I13=0,H13,(((DATE('Rentecalc.'!$J$1,K13,J13)-DATE('Rentecalc.'!$J$1,1,1))*H13)/F!H$82))</f>
        <v>0</v>
      </c>
      <c r="C54" s="610"/>
      <c r="D54" s="602">
        <f>IF(K13=0,0,(IF(L13=0,((DATE('Rentecalc.'!J$1+1,1,1)-DATE('Rentecalc.'!$J$1,(K13),J13))*(H13-(1*I13)))/F!H$82,((DATE('Rentecalc.'!$J$1,(L13),J13)-DATE('Rentecalc.'!$J$1,(K13),J13))*(H13-(1*I13)))/F!H$82)))</f>
        <v>0</v>
      </c>
      <c r="E54" s="602"/>
      <c r="F54" s="602">
        <f>IF(L13=0,0,(IF(M13=0,((DATE('Rentecalc.'!J$1+1,1,1)-DATE('Rentecalc.'!$J$1,(L13),J13))*(H13-(2*I13)))/365,((DATE('Rentecalc.'!$J$1,(M13),J13)-DATE('Rentecalc.'!$J$1,(L13),J13))*(H13-(2*I13)))/F!H$82)))</f>
        <v>0</v>
      </c>
      <c r="G54" s="602"/>
      <c r="H54" s="133">
        <f>IF(M13=0,0,(IF(N13=0,((DATE('Rentecalc.'!J$1+1,1,1)-DATE('Rentecalc.'!$J$1,(M13),J13))*(H13-(3*I13)))/F!H$82,((DATE('Rentecalc.'!$J$1,(N13),J13)-DATE('Rentecalc.'!$J$1,(M13),J13))*(H13-(3*I13)))/F!H$82)))</f>
        <v>0</v>
      </c>
      <c r="I54" s="602">
        <f>IF(N13=0,0,(IF(O13=0,((DATE('Rentecalc.'!J$1+1,1,1)-DATE('Rentecalc.'!$J$1,(N13),J13))*(H13-(4*I13)))/F!H$82,((DATE('Rentecalc.'!$J$1,(O13),J13)-DATE('Rentecalc.'!$J$1,(N13),J13))*(H13-(4*I13)))/F!H$82)))</f>
        <v>0</v>
      </c>
      <c r="J54" s="602"/>
      <c r="K54" s="602">
        <f>IF(O13=0,0,(IF(P13=0,((DATE('Rentecalc.'!J$1+1,1,1)-DATE('Rentecalc.'!$J$1,(O13),J13))*(H13-(5*I13)))/F!H$82,((DATE('Rentecalc.'!$J$1,(P13),J13)-DATE('Rentecalc.'!$J$1,(O13),J13))*(H13-(5*I13)))/F!H$82)))</f>
        <v>0</v>
      </c>
      <c r="L54" s="602"/>
      <c r="M54" s="602"/>
      <c r="N54" s="602"/>
      <c r="O54" s="602"/>
      <c r="P54" s="602"/>
      <c r="Q54" s="134">
        <f>IF(P13=0,0,((DATE('Rentecalc.'!J$1+1,1,1)-DATE('Rentecalc.'!$J$1,(P13),J13))*(H13-(6*I13)))/F!H$82)</f>
        <v>0</v>
      </c>
      <c r="R54" s="135">
        <f t="shared" si="15"/>
        <v>0</v>
      </c>
      <c r="S54" s="136">
        <f t="shared" si="16"/>
        <v>0</v>
      </c>
      <c r="T54" s="5"/>
      <c r="U54" s="277"/>
      <c r="V54" s="277"/>
      <c r="W54" s="277"/>
      <c r="X54" s="277"/>
      <c r="Y54" s="277"/>
      <c r="Z54" s="277"/>
      <c r="AA54" s="283"/>
      <c r="AB54" s="283"/>
      <c r="AC54" s="282"/>
      <c r="AD54" s="282"/>
      <c r="AE54" s="282"/>
      <c r="AF54" s="282"/>
      <c r="AG54" s="282"/>
      <c r="AH54" s="282"/>
      <c r="AI54" s="282"/>
      <c r="AJ54" s="282"/>
      <c r="AK54" s="282"/>
    </row>
    <row r="55" spans="1:37" s="6" customFormat="1" ht="12.75" customHeight="1">
      <c r="A55" s="313">
        <f t="shared" si="19"/>
        <v>811</v>
      </c>
      <c r="B55" s="610">
        <f>IF(I14=0,H14,(((DATE('Rentecalc.'!$J$1,K14,J14)-DATE('Rentecalc.'!$J$1,1,1))*H14)/F!H$82))</f>
        <v>0</v>
      </c>
      <c r="C55" s="610"/>
      <c r="D55" s="602">
        <f>IF(K14=0,0,(IF(L14=0,((DATE('Rentecalc.'!J$1+1,1,1)-DATE('Rentecalc.'!$J$1,(K14),J14))*(H14-(1*I14)))/F!H$82,((DATE('Rentecalc.'!$J$1,(L14),J14)-DATE('Rentecalc.'!$J$1,(K14),J14))*(H14-(1*I14)))/F!H$82)))</f>
        <v>0</v>
      </c>
      <c r="E55" s="602"/>
      <c r="F55" s="602">
        <f>IF(L14=0,0,(IF(M14=0,((DATE('Rentecalc.'!J$1+1,1,1)-DATE('Rentecalc.'!$J$1,(L14),J14))*(H14-(2*I14)))/365,((DATE('Rentecalc.'!$J$1,(M14),J14)-DATE('Rentecalc.'!$J$1,(L14),J14))*(H14-(2*I14)))/F!H$82)))</f>
        <v>0</v>
      </c>
      <c r="G55" s="602"/>
      <c r="H55" s="133">
        <f>IF(M14=0,0,(IF(N14=0,((DATE('Rentecalc.'!J$1+1,1,1)-DATE('Rentecalc.'!$J$1,(M14),J14))*(H14-(3*I14)))/F!H$82,((DATE('Rentecalc.'!$J$1,(N14),J14)-DATE('Rentecalc.'!$J$1,(M14),J14))*(H14-(3*I14)))/F!H$82)))</f>
        <v>0</v>
      </c>
      <c r="I55" s="602">
        <f>IF(N14=0,0,(IF(O14=0,((DATE('Rentecalc.'!J$1+1,1,1)-DATE('Rentecalc.'!$J$1,(N14),J14))*(H14-(4*I14)))/F!H$82,((DATE('Rentecalc.'!$J$1,(O14),J14)-DATE('Rentecalc.'!$J$1,(N14),J14))*(H14-(4*I14)))/F!H$82)))</f>
        <v>0</v>
      </c>
      <c r="J55" s="602"/>
      <c r="K55" s="602">
        <f>IF(O14=0,0,(IF(P14=0,((DATE('Rentecalc.'!J$1+1,1,1)-DATE('Rentecalc.'!$J$1,(O14),J14))*(H14-(5*I14)))/F!H$82,((DATE('Rentecalc.'!$J$1,(P14),J14)-DATE('Rentecalc.'!$J$1,(O14),J14))*(H14-(5*I14)))/F!H$82)))</f>
        <v>0</v>
      </c>
      <c r="L55" s="602"/>
      <c r="M55" s="602"/>
      <c r="N55" s="602"/>
      <c r="O55" s="602"/>
      <c r="P55" s="602"/>
      <c r="Q55" s="134">
        <f>IF(P14=0,0,((DATE('Rentecalc.'!J$1+1,1,1)-DATE('Rentecalc.'!$J$1,(P14),J14))*(H14-(6*I14)))/F!H$82)</f>
        <v>0</v>
      </c>
      <c r="R55" s="135">
        <f t="shared" si="15"/>
        <v>0</v>
      </c>
      <c r="S55" s="136">
        <f t="shared" si="16"/>
        <v>0</v>
      </c>
      <c r="T55" s="5"/>
      <c r="U55" s="277"/>
      <c r="V55" s="277"/>
      <c r="W55" s="277"/>
      <c r="X55" s="277"/>
      <c r="Y55" s="277"/>
      <c r="Z55" s="277"/>
      <c r="AA55" s="283">
        <f t="shared" si="17"/>
        <v>0</v>
      </c>
      <c r="AB55" s="283">
        <f t="shared" si="18"/>
        <v>0</v>
      </c>
      <c r="AC55" s="282"/>
      <c r="AD55" s="282"/>
      <c r="AE55" s="282"/>
      <c r="AF55" s="282"/>
      <c r="AG55" s="282"/>
      <c r="AH55" s="282"/>
      <c r="AI55" s="282"/>
      <c r="AJ55" s="282"/>
      <c r="AK55" s="282"/>
    </row>
    <row r="56" spans="1:37" s="6" customFormat="1" ht="12.75" customHeight="1">
      <c r="A56" s="313">
        <f t="shared" si="19"/>
        <v>812</v>
      </c>
      <c r="B56" s="610">
        <f>IF(I15=0,H15,(((DATE('Rentecalc.'!$J$1,K15,J15)-DATE('Rentecalc.'!$J$1,1,1))*H15)/F!H$82))</f>
        <v>0</v>
      </c>
      <c r="C56" s="610"/>
      <c r="D56" s="602">
        <f>IF(K15=0,0,(IF(L15=0,((DATE('Rentecalc.'!J$1+1,1,1)-DATE('Rentecalc.'!$J$1,(K15),J15))*(H15-(1*I15)))/F!H$82,((DATE('Rentecalc.'!$J$1,(L15),J15)-DATE('Rentecalc.'!$J$1,(K15),J15))*(H15-(1*I15)))/F!H$82)))</f>
        <v>0</v>
      </c>
      <c r="E56" s="602"/>
      <c r="F56" s="602">
        <f>IF(L15=0,0,(IF(M15=0,((DATE('Rentecalc.'!J$1+1,1,1)-DATE('Rentecalc.'!$J$1,(L15),J15))*(H15-(2*I15)))/365,((DATE('Rentecalc.'!$J$1,(M15),J15)-DATE('Rentecalc.'!$J$1,(L15),J15))*(H15-(2*I15)))/F!H$82)))</f>
        <v>0</v>
      </c>
      <c r="G56" s="602"/>
      <c r="H56" s="133">
        <f>IF(M15=0,0,(IF(N15=0,((DATE('Rentecalc.'!J$1+1,1,1)-DATE('Rentecalc.'!$J$1,(M15),J15))*(H15-(3*I15)))/F!H$82,((DATE('Rentecalc.'!$J$1,(N15),J15)-DATE('Rentecalc.'!$J$1,(M15),J15))*(H15-(3*I15)))/F!H$82)))</f>
        <v>0</v>
      </c>
      <c r="I56" s="602">
        <f>IF(N15=0,0,(IF(O15=0,((DATE('Rentecalc.'!J$1+1,1,1)-DATE('Rentecalc.'!$J$1,(N15),J15))*(H15-(4*I15)))/F!H$82,((DATE('Rentecalc.'!$J$1,(O15),J15)-DATE('Rentecalc.'!$J$1,(N15),J15))*(H15-(4*I15)))/F!H$82)))</f>
        <v>0</v>
      </c>
      <c r="J56" s="602"/>
      <c r="K56" s="602">
        <f>IF(O15=0,0,(IF(P15=0,((DATE('Rentecalc.'!J$1+1,1,1)-DATE('Rentecalc.'!$J$1,(O15),J15))*(H15-(5*I15)))/F!H$82,((DATE('Rentecalc.'!$J$1,(P15),J15)-DATE('Rentecalc.'!$J$1,(O15),J15))*(H15-(5*I15)))/F!H$82)))</f>
        <v>0</v>
      </c>
      <c r="L56" s="602"/>
      <c r="M56" s="602"/>
      <c r="N56" s="602"/>
      <c r="O56" s="602"/>
      <c r="P56" s="602"/>
      <c r="Q56" s="134">
        <f>IF(P15=0,0,((DATE('Rentecalc.'!J$1+1,1,1)-DATE('Rentecalc.'!$J$1,(P15),J15))*(H15-(6*I15)))/F!H$82)</f>
        <v>0</v>
      </c>
      <c r="R56" s="135">
        <f t="shared" si="15"/>
        <v>0</v>
      </c>
      <c r="S56" s="136">
        <f t="shared" si="16"/>
        <v>0</v>
      </c>
      <c r="T56" s="5"/>
      <c r="U56" s="277"/>
      <c r="V56" s="277"/>
      <c r="W56" s="277"/>
      <c r="X56" s="277"/>
      <c r="Y56" s="277"/>
      <c r="Z56" s="277"/>
      <c r="AA56" s="283">
        <f t="shared" si="17"/>
        <v>0</v>
      </c>
      <c r="AB56" s="283">
        <f t="shared" si="18"/>
        <v>0</v>
      </c>
      <c r="AC56" s="282"/>
      <c r="AD56" s="282"/>
      <c r="AE56" s="282"/>
      <c r="AF56" s="282"/>
      <c r="AG56" s="282"/>
      <c r="AH56" s="282"/>
      <c r="AI56" s="282"/>
      <c r="AJ56" s="282"/>
      <c r="AK56" s="282"/>
    </row>
    <row r="57" spans="1:37" s="6" customFormat="1" ht="12.75" customHeight="1">
      <c r="A57" s="313">
        <f t="shared" si="19"/>
        <v>813</v>
      </c>
      <c r="B57" s="610">
        <f>IF(I16=0,H16,(((DATE('Rentecalc.'!$J$1,K16,J16)-DATE('Rentecalc.'!$J$1,1,1))*H16)/F!H$82))</f>
        <v>0</v>
      </c>
      <c r="C57" s="610"/>
      <c r="D57" s="602">
        <f>IF(K16=0,0,(IF(L16=0,((DATE('Rentecalc.'!J$1+1,1,1)-DATE('Rentecalc.'!$J$1,(K16),J16))*(H16-(1*I16)))/F!H$82,((DATE('Rentecalc.'!$J$1,(L16),J16)-DATE('Rentecalc.'!$J$1,(K16),J16))*(H16-(1*I16)))/F!H$82)))</f>
        <v>0</v>
      </c>
      <c r="E57" s="602"/>
      <c r="F57" s="602">
        <f>IF(L16=0,0,(IF(M16=0,((DATE('Rentecalc.'!J$1+1,1,1)-DATE('Rentecalc.'!$J$1,(L16),J16))*(H16-(2*I16)))/365,((DATE('Rentecalc.'!$J$1,(M16),J16)-DATE('Rentecalc.'!$J$1,(L16),J16))*(H16-(2*I16)))/F!H$82)))</f>
        <v>0</v>
      </c>
      <c r="G57" s="602"/>
      <c r="H57" s="133">
        <f>IF(M16=0,0,(IF(N16=0,((DATE('Rentecalc.'!J$1+1,1,1)-DATE('Rentecalc.'!$J$1,(M16),J16))*(H16-(3*I16)))/F!H$82,((DATE('Rentecalc.'!$J$1,(N16),J16)-DATE('Rentecalc.'!$J$1,(M16),J16))*(H16-(3*I16)))/F!H$82)))</f>
        <v>0</v>
      </c>
      <c r="I57" s="602">
        <f>IF(N16=0,0,(IF(O16=0,((DATE('Rentecalc.'!J$1+1,1,1)-DATE('Rentecalc.'!$J$1,(N16),J16))*(H16-(4*I16)))/F!H$82,((DATE('Rentecalc.'!$J$1,(O16),J16)-DATE('Rentecalc.'!$J$1,(N16),J16))*(H16-(4*I16)))/F!H$82)))</f>
        <v>0</v>
      </c>
      <c r="J57" s="602"/>
      <c r="K57" s="602">
        <f>IF(O16=0,0,(IF(P16=0,((DATE('Rentecalc.'!J$1+1,1,1)-DATE('Rentecalc.'!$J$1,(O16),J16))*(H16-(5*I16)))/F!H$82,((DATE('Rentecalc.'!$J$1,(P16),J16)-DATE('Rentecalc.'!$J$1,(O16),J16))*(H16-(5*I16)))/F!H$82)))</f>
        <v>0</v>
      </c>
      <c r="L57" s="602"/>
      <c r="M57" s="602"/>
      <c r="N57" s="602"/>
      <c r="O57" s="602"/>
      <c r="P57" s="602"/>
      <c r="Q57" s="134">
        <f>IF(P16=0,0,((DATE('Rentecalc.'!J$1+1,1,1)-DATE('Rentecalc.'!$J$1,(P16),J16))*(H16-(6*I16)))/F!H$82)</f>
        <v>0</v>
      </c>
      <c r="R57" s="135">
        <f t="shared" si="15"/>
        <v>0</v>
      </c>
      <c r="S57" s="136">
        <f t="shared" si="16"/>
        <v>0</v>
      </c>
      <c r="T57" s="5"/>
      <c r="U57" s="277"/>
      <c r="V57" s="277"/>
      <c r="W57" s="277"/>
      <c r="X57" s="277"/>
      <c r="Y57" s="277"/>
      <c r="Z57" s="277"/>
      <c r="AA57" s="283">
        <f t="shared" si="17"/>
        <v>0</v>
      </c>
      <c r="AB57" s="283">
        <f t="shared" si="18"/>
        <v>0</v>
      </c>
      <c r="AC57" s="282"/>
      <c r="AD57" s="282"/>
      <c r="AE57" s="282"/>
      <c r="AF57" s="282"/>
      <c r="AG57" s="282"/>
      <c r="AH57" s="282"/>
      <c r="AI57" s="282"/>
      <c r="AJ57" s="282"/>
      <c r="AK57" s="282"/>
    </row>
    <row r="58" spans="1:37" s="6" customFormat="1" ht="12.75" customHeight="1">
      <c r="A58" s="313">
        <f t="shared" si="19"/>
        <v>814</v>
      </c>
      <c r="B58" s="610">
        <f>IF(I17=0,H17,(((DATE('Rentecalc.'!$J$1,K17,J17)-DATE('Rentecalc.'!$J$1,1,1))*H17)/F!H$82))</f>
        <v>0</v>
      </c>
      <c r="C58" s="610"/>
      <c r="D58" s="602">
        <f>IF(K17=0,0,(IF(L17=0,((DATE('Rentecalc.'!J$1+1,1,1)-DATE('Rentecalc.'!$J$1,(K17),J17))*(H17-(1*I17)))/F!H$82,((DATE('Rentecalc.'!$J$1,(L17),J17)-DATE('Rentecalc.'!$J$1,(K17),J17))*(H17-(1*I17)))/F!H$82)))</f>
        <v>0</v>
      </c>
      <c r="E58" s="602"/>
      <c r="F58" s="602">
        <f>IF(L17=0,0,(IF(M17=0,((DATE('Rentecalc.'!J$1+1,1,1)-DATE('Rentecalc.'!$J$1,(L17),J17))*(H17-(2*I17)))/365,((DATE('Rentecalc.'!$J$1,(M17),J17)-DATE('Rentecalc.'!$J$1,(L17),J17))*(H17-(2*I17)))/F!H$82)))</f>
        <v>0</v>
      </c>
      <c r="G58" s="602"/>
      <c r="H58" s="133">
        <f>IF(M17=0,0,(IF(N17=0,((DATE('Rentecalc.'!J$1+1,1,1)-DATE('Rentecalc.'!$J$1,(M17),J17))*(H17-(3*I17)))/F!H$82,((DATE('Rentecalc.'!$J$1,(N17),J17)-DATE('Rentecalc.'!$J$1,(M17),J17))*(H17-(3*I17)))/F!H$82)))</f>
        <v>0</v>
      </c>
      <c r="I58" s="602">
        <f>IF(N17=0,0,(IF(O17=0,((DATE('Rentecalc.'!J$1+1,1,1)-DATE('Rentecalc.'!$J$1,(N17),J17))*(H17-(4*I17)))/F!H$82,((DATE('Rentecalc.'!$J$1,(O17),J17)-DATE('Rentecalc.'!$J$1,(N17),J17))*(H17-(4*I17)))/F!H$82)))</f>
        <v>0</v>
      </c>
      <c r="J58" s="602"/>
      <c r="K58" s="602">
        <f>IF(O17=0,0,(IF(P17=0,((DATE('Rentecalc.'!J$1+1,1,1)-DATE('Rentecalc.'!$J$1,(O17),J17))*(H17-(5*I17)))/F!H$82,((DATE('Rentecalc.'!$J$1,(P17),J17)-DATE('Rentecalc.'!$J$1,(O17),J17))*(H17-(5*I17)))/F!H$82)))</f>
        <v>0</v>
      </c>
      <c r="L58" s="602"/>
      <c r="M58" s="602"/>
      <c r="N58" s="602"/>
      <c r="O58" s="602"/>
      <c r="P58" s="602"/>
      <c r="Q58" s="134">
        <f>IF(P17=0,0,((DATE('Rentecalc.'!J$1+1,1,1)-DATE('Rentecalc.'!$J$1,(P17),J17))*(H17-(6*I17)))/F!H$82)</f>
        <v>0</v>
      </c>
      <c r="R58" s="135">
        <f t="shared" si="15"/>
        <v>0</v>
      </c>
      <c r="S58" s="136">
        <f t="shared" si="16"/>
        <v>0</v>
      </c>
      <c r="T58" s="5"/>
      <c r="U58" s="277"/>
      <c r="V58" s="277"/>
      <c r="W58" s="277"/>
      <c r="X58" s="277"/>
      <c r="Y58" s="277"/>
      <c r="Z58" s="277"/>
      <c r="AA58" s="283"/>
      <c r="AB58" s="283"/>
      <c r="AC58" s="282"/>
      <c r="AD58" s="282"/>
      <c r="AE58" s="282"/>
      <c r="AF58" s="282"/>
      <c r="AG58" s="282"/>
      <c r="AH58" s="282"/>
      <c r="AI58" s="282"/>
      <c r="AJ58" s="282"/>
      <c r="AK58" s="282"/>
    </row>
    <row r="59" spans="1:37" s="6" customFormat="1" ht="12.75" customHeight="1">
      <c r="A59" s="313">
        <f t="shared" si="19"/>
        <v>815</v>
      </c>
      <c r="B59" s="610">
        <f>IF(I18=0,H18,(((DATE('Rentecalc.'!$J$1,K18,J18)-DATE('Rentecalc.'!$J$1,1,1))*H18)/F!H$82))</f>
        <v>0</v>
      </c>
      <c r="C59" s="610"/>
      <c r="D59" s="602">
        <f>IF(K18=0,0,(IF(L18=0,((DATE('Rentecalc.'!J$1+1,1,1)-DATE('Rentecalc.'!$J$1,(K18),J18))*(H18-(1*I18)))/F!H$82,((DATE('Rentecalc.'!$J$1,(L18),J18)-DATE('Rentecalc.'!$J$1,(K18),J18))*(H18-(1*I18)))/F!H$82)))</f>
        <v>0</v>
      </c>
      <c r="E59" s="602"/>
      <c r="F59" s="602">
        <f>IF(L18=0,0,(IF(M18=0,((DATE('Rentecalc.'!J$1+1,1,1)-DATE('Rentecalc.'!$J$1,(L18),J18))*(H18-(2*I18)))/365,((DATE('Rentecalc.'!$J$1,(M18),J18)-DATE('Rentecalc.'!$J$1,(L18),J18))*(H18-(2*I18)))/F!H$82)))</f>
        <v>0</v>
      </c>
      <c r="G59" s="602"/>
      <c r="H59" s="133">
        <f>IF(M18=0,0,(IF(N18=0,((DATE('Rentecalc.'!J$1+1,1,1)-DATE('Rentecalc.'!$J$1,(M18),J18))*(H18-(3*I18)))/F!H$82,((DATE('Rentecalc.'!$J$1,(N18),J18)-DATE('Rentecalc.'!$J$1,(M18),J18))*(H18-(3*I18)))/F!H$82)))</f>
        <v>0</v>
      </c>
      <c r="I59" s="602">
        <f>IF(N18=0,0,(IF(O18=0,((DATE('Rentecalc.'!J$1+1,1,1)-DATE('Rentecalc.'!$J$1,(N18),J18))*(H18-(4*I18)))/F!H$82,((DATE('Rentecalc.'!$J$1,(O18),J18)-DATE('Rentecalc.'!$J$1,(N18),J18))*(H18-(4*I18)))/F!H$82)))</f>
        <v>0</v>
      </c>
      <c r="J59" s="602"/>
      <c r="K59" s="602">
        <f>IF(O18=0,0,(IF(P18=0,((DATE('Rentecalc.'!J$1+1,1,1)-DATE('Rentecalc.'!$J$1,(O18),J18))*(H18-(5*I18)))/F!H$82,((DATE('Rentecalc.'!$J$1,(P18),J18)-DATE('Rentecalc.'!$J$1,(O18),J18))*(H18-(5*I18)))/F!H$82)))</f>
        <v>0</v>
      </c>
      <c r="L59" s="602"/>
      <c r="M59" s="602"/>
      <c r="N59" s="602"/>
      <c r="O59" s="602"/>
      <c r="P59" s="602"/>
      <c r="Q59" s="134">
        <f>IF(P18=0,0,((DATE('Rentecalc.'!J$1+1,1,1)-DATE('Rentecalc.'!$J$1,(P18),J18))*(H18-(6*I18)))/F!H$82)</f>
        <v>0</v>
      </c>
      <c r="R59" s="135">
        <f t="shared" si="15"/>
        <v>0</v>
      </c>
      <c r="S59" s="136">
        <f t="shared" si="16"/>
        <v>0</v>
      </c>
      <c r="T59" s="5"/>
      <c r="U59" s="277"/>
      <c r="V59" s="277"/>
      <c r="W59" s="277"/>
      <c r="X59" s="277"/>
      <c r="Y59" s="277"/>
      <c r="Z59" s="277"/>
      <c r="AA59" s="283"/>
      <c r="AB59" s="283"/>
      <c r="AC59" s="282"/>
      <c r="AD59" s="282"/>
      <c r="AE59" s="282"/>
      <c r="AF59" s="282"/>
      <c r="AG59" s="282"/>
      <c r="AH59" s="282"/>
      <c r="AI59" s="282"/>
      <c r="AJ59" s="282"/>
      <c r="AK59" s="282"/>
    </row>
    <row r="60" spans="1:37" s="6" customFormat="1" ht="12.75" customHeight="1">
      <c r="A60" s="313">
        <f t="shared" si="19"/>
        <v>816</v>
      </c>
      <c r="B60" s="610">
        <f>IF(I19=0,H19,(((DATE('Rentecalc.'!$J$1,K19,J19)-DATE('Rentecalc.'!$J$1,1,1))*H19)/F!H$82))</f>
        <v>0</v>
      </c>
      <c r="C60" s="610"/>
      <c r="D60" s="602">
        <f>IF(K19=0,0,(IF(L19=0,((DATE('Rentecalc.'!J$1+1,1,1)-DATE('Rentecalc.'!$J$1,(K19),J19))*(H19-(1*I19)))/F!H$82,((DATE('Rentecalc.'!$J$1,(L19),J19)-DATE('Rentecalc.'!$J$1,(K19),J19))*(H19-(1*I19)))/F!H$82)))</f>
        <v>0</v>
      </c>
      <c r="E60" s="602"/>
      <c r="F60" s="602">
        <f>IF(L19=0,0,(IF(M19=0,((DATE('Rentecalc.'!J$1+1,1,1)-DATE('Rentecalc.'!$J$1,(L19),J19))*(H19-(2*I19)))/365,((DATE('Rentecalc.'!$J$1,(M19),J19)-DATE('Rentecalc.'!$J$1,(L19),J19))*(H19-(2*I19)))/F!H$82)))</f>
        <v>0</v>
      </c>
      <c r="G60" s="602"/>
      <c r="H60" s="133">
        <f>IF(M19=0,0,(IF(N19=0,((DATE('Rentecalc.'!J$1+1,1,1)-DATE('Rentecalc.'!$J$1,(M19),J19))*(H19-(3*I19)))/F!H$82,((DATE('Rentecalc.'!$J$1,(N19),J19)-DATE('Rentecalc.'!$J$1,(M19),J19))*(H19-(3*I19)))/F!H$82)))</f>
        <v>0</v>
      </c>
      <c r="I60" s="602">
        <f>IF(N19=0,0,(IF(O19=0,((DATE('Rentecalc.'!J$1+1,1,1)-DATE('Rentecalc.'!$J$1,(N19),J19))*(H19-(4*I19)))/F!H$82,((DATE('Rentecalc.'!$J$1,(O19),J19)-DATE('Rentecalc.'!$J$1,(N19),J19))*(H19-(4*I19)))/F!H$82)))</f>
        <v>0</v>
      </c>
      <c r="J60" s="602"/>
      <c r="K60" s="602">
        <f>IF(O19=0,0,(IF(P19=0,((DATE('Rentecalc.'!J$1+1,1,1)-DATE('Rentecalc.'!$J$1,(O19),J19))*(H19-(5*I19)))/F!H$82,((DATE('Rentecalc.'!$J$1,(P19),J19)-DATE('Rentecalc.'!$J$1,(O19),J19))*(H19-(5*I19)))/F!H$82)))</f>
        <v>0</v>
      </c>
      <c r="L60" s="602"/>
      <c r="M60" s="602"/>
      <c r="N60" s="602"/>
      <c r="O60" s="602"/>
      <c r="P60" s="602"/>
      <c r="Q60" s="134">
        <f>IF(P19=0,0,((DATE('Rentecalc.'!J$1+1,1,1)-DATE('Rentecalc.'!$J$1,(P19),J19))*(H19-(6*I19)))/F!H$82)</f>
        <v>0</v>
      </c>
      <c r="R60" s="135">
        <f t="shared" si="15"/>
        <v>0</v>
      </c>
      <c r="S60" s="136">
        <f t="shared" si="16"/>
        <v>0</v>
      </c>
      <c r="T60" s="5"/>
      <c r="U60" s="277"/>
      <c r="V60" s="277"/>
      <c r="W60" s="277"/>
      <c r="X60" s="277"/>
      <c r="Y60" s="277"/>
      <c r="Z60" s="277"/>
      <c r="AA60" s="283"/>
      <c r="AB60" s="283"/>
      <c r="AC60" s="282"/>
      <c r="AD60" s="282"/>
      <c r="AE60" s="282"/>
      <c r="AF60" s="282"/>
      <c r="AG60" s="282"/>
      <c r="AH60" s="282"/>
      <c r="AI60" s="282"/>
      <c r="AJ60" s="282"/>
      <c r="AK60" s="282"/>
    </row>
    <row r="61" spans="1:37" s="6" customFormat="1" ht="12.75" customHeight="1">
      <c r="A61" s="313">
        <f t="shared" si="19"/>
        <v>817</v>
      </c>
      <c r="B61" s="610">
        <f>IF(I20=0,H20,(((DATE('Rentecalc.'!$J$1,K20,J20)-DATE('Rentecalc.'!$J$1,1,1))*H20)/F!H$82))</f>
        <v>0</v>
      </c>
      <c r="C61" s="610"/>
      <c r="D61" s="602">
        <f>IF(K20=0,0,(IF(L20=0,((DATE('Rentecalc.'!J$1+1,1,1)-DATE('Rentecalc.'!$J$1,(K20),J20))*(H20-(1*I20)))/F!H$82,((DATE('Rentecalc.'!$J$1,(L20),J20)-DATE('Rentecalc.'!$J$1,(K20),J20))*(H20-(1*I20)))/F!H$82)))</f>
        <v>0</v>
      </c>
      <c r="E61" s="602"/>
      <c r="F61" s="602">
        <f>IF(L20=0,0,(IF(M20=0,((DATE('Rentecalc.'!J$1+1,1,1)-DATE('Rentecalc.'!$J$1,(L20),J20))*(H20-(2*I20)))/365,((DATE('Rentecalc.'!$J$1,(M20),J20)-DATE('Rentecalc.'!$J$1,(L20),J20))*(H20-(2*I20)))/F!H$82)))</f>
        <v>0</v>
      </c>
      <c r="G61" s="602"/>
      <c r="H61" s="133">
        <f>IF(M20=0,0,(IF(N20=0,((DATE('Rentecalc.'!J$1+1,1,1)-DATE('Rentecalc.'!$J$1,(M20),J20))*(H20-(3*I20)))/F!H$82,((DATE('Rentecalc.'!$J$1,(N20),J20)-DATE('Rentecalc.'!$J$1,(M20),J20))*(H20-(3*I20)))/F!H$82)))</f>
        <v>0</v>
      </c>
      <c r="I61" s="602">
        <f>IF(N20=0,0,(IF(O20=0,((DATE('Rentecalc.'!J$1+1,1,1)-DATE('Rentecalc.'!$J$1,(N20),J20))*(H20-(4*I20)))/F!H$82,((DATE('Rentecalc.'!$J$1,(O20),J20)-DATE('Rentecalc.'!$J$1,(N20),J20))*(H20-(4*I20)))/F!H$82)))</f>
        <v>0</v>
      </c>
      <c r="J61" s="602"/>
      <c r="K61" s="602">
        <f>IF(O20=0,0,(IF(P20=0,((DATE('Rentecalc.'!J$1+1,1,1)-DATE('Rentecalc.'!$J$1,(O20),J20))*(H20-(5*I20)))/F!H$82,((DATE('Rentecalc.'!$J$1,(P20),J20)-DATE('Rentecalc.'!$J$1,(O20),J20))*(H20-(5*I20)))/F!H$82)))</f>
        <v>0</v>
      </c>
      <c r="L61" s="602"/>
      <c r="M61" s="602"/>
      <c r="N61" s="602"/>
      <c r="O61" s="602"/>
      <c r="P61" s="602"/>
      <c r="Q61" s="134">
        <f>IF(P20=0,0,((DATE('Rentecalc.'!J$1+1,1,1)-DATE('Rentecalc.'!$J$1,(P20),J20))*(H20-(6*I20)))/F!H$82)</f>
        <v>0</v>
      </c>
      <c r="R61" s="135">
        <f t="shared" si="15"/>
        <v>0</v>
      </c>
      <c r="S61" s="136">
        <f t="shared" si="16"/>
        <v>0</v>
      </c>
      <c r="T61" s="5"/>
      <c r="U61" s="277"/>
      <c r="V61" s="277"/>
      <c r="W61" s="277"/>
      <c r="X61" s="277"/>
      <c r="Y61" s="277"/>
      <c r="Z61" s="277"/>
      <c r="AA61" s="283"/>
      <c r="AB61" s="283"/>
      <c r="AC61" s="282"/>
      <c r="AD61" s="282"/>
      <c r="AE61" s="282"/>
      <c r="AF61" s="282"/>
      <c r="AG61" s="282"/>
      <c r="AH61" s="282"/>
      <c r="AI61" s="282"/>
      <c r="AJ61" s="282"/>
      <c r="AK61" s="282"/>
    </row>
    <row r="62" spans="1:37" s="6" customFormat="1" ht="12.75" customHeight="1">
      <c r="A62" s="313">
        <f t="shared" si="19"/>
        <v>818</v>
      </c>
      <c r="B62" s="610">
        <f>IF(I21=0,H21,(((DATE('Rentecalc.'!$J$1,K21,J21)-DATE('Rentecalc.'!$J$1,1,1))*H21)/F!H$82))</f>
        <v>0</v>
      </c>
      <c r="C62" s="610"/>
      <c r="D62" s="602">
        <f>IF(K21=0,0,(IF(L21=0,((DATE('Rentecalc.'!J$1+1,1,1)-DATE('Rentecalc.'!$J$1,(K21),J21))*(H21-(1*I21)))/F!H$82,((DATE('Rentecalc.'!$J$1,(L21),J21)-DATE('Rentecalc.'!$J$1,(K21),J21))*(H21-(1*I21)))/F!H$82)))</f>
        <v>0</v>
      </c>
      <c r="E62" s="602"/>
      <c r="F62" s="602">
        <f>IF(L21=0,0,(IF(M21=0,((DATE('Rentecalc.'!J$1+1,1,1)-DATE('Rentecalc.'!$J$1,(L21),J21))*(H21-(2*I21)))/365,((DATE('Rentecalc.'!$J$1,(M21),J21)-DATE('Rentecalc.'!$J$1,(L21),J21))*(H21-(2*I21)))/F!H$82)))</f>
        <v>0</v>
      </c>
      <c r="G62" s="602"/>
      <c r="H62" s="133">
        <f>IF(M21=0,0,(IF(N21=0,((DATE('Rentecalc.'!J$1+1,1,1)-DATE('Rentecalc.'!$J$1,(M21),J21))*(H21-(3*I21)))/F!H$82,((DATE('Rentecalc.'!$J$1,(N21),J21)-DATE('Rentecalc.'!$J$1,(M21),J21))*(H21-(3*I21)))/F!H$82)))</f>
        <v>0</v>
      </c>
      <c r="I62" s="602">
        <f>IF(N21=0,0,(IF(O21=0,((DATE('Rentecalc.'!J$1+1,1,1)-DATE('Rentecalc.'!$J$1,(N21),J21))*(H21-(4*I21)))/F!H$82,((DATE('Rentecalc.'!$J$1,(O21),J21)-DATE('Rentecalc.'!$J$1,(N21),J21))*(H21-(4*I21)))/F!H$82)))</f>
        <v>0</v>
      </c>
      <c r="J62" s="602"/>
      <c r="K62" s="602">
        <f>IF(O21=0,0,(IF(P21=0,((DATE('Rentecalc.'!J$1+1,1,1)-DATE('Rentecalc.'!$J$1,(O21),J21))*(H21-(5*I21)))/F!H$82,((DATE('Rentecalc.'!$J$1,(P21),J21)-DATE('Rentecalc.'!$J$1,(O21),J21))*(H21-(5*I21)))/F!H$82)))</f>
        <v>0</v>
      </c>
      <c r="L62" s="602"/>
      <c r="M62" s="602"/>
      <c r="N62" s="602"/>
      <c r="O62" s="602"/>
      <c r="P62" s="602"/>
      <c r="Q62" s="134">
        <f>IF(P21=0,0,((DATE('Rentecalc.'!J$1+1,1,1)-DATE('Rentecalc.'!$J$1,(P21),J21))*(H21-(6*I21)))/F!H$82)</f>
        <v>0</v>
      </c>
      <c r="R62" s="135">
        <f t="shared" si="15"/>
        <v>0</v>
      </c>
      <c r="S62" s="136">
        <f t="shared" si="16"/>
        <v>0</v>
      </c>
      <c r="T62" s="5"/>
      <c r="U62" s="277"/>
      <c r="V62" s="277"/>
      <c r="W62" s="277"/>
      <c r="X62" s="277"/>
      <c r="Y62" s="277"/>
      <c r="Z62" s="277"/>
      <c r="AA62" s="283"/>
      <c r="AB62" s="283"/>
      <c r="AC62" s="282"/>
      <c r="AD62" s="282"/>
      <c r="AE62" s="282"/>
      <c r="AF62" s="282"/>
      <c r="AG62" s="282"/>
      <c r="AH62" s="282"/>
      <c r="AI62" s="282"/>
      <c r="AJ62" s="282"/>
      <c r="AK62" s="282"/>
    </row>
    <row r="63" spans="1:37" s="6" customFormat="1" ht="12.75" customHeight="1">
      <c r="A63" s="313">
        <f t="shared" si="19"/>
        <v>819</v>
      </c>
      <c r="B63" s="610">
        <f>IF(I22=0,H22,(((DATE('Rentecalc.'!$J$1,K22,J22)-DATE('Rentecalc.'!$J$1,1,1))*H22)/F!H$82))</f>
        <v>0</v>
      </c>
      <c r="C63" s="610"/>
      <c r="D63" s="602">
        <f>IF(K22=0,0,(IF(L22=0,((DATE('Rentecalc.'!J$1+1,1,1)-DATE('Rentecalc.'!$J$1,(K22),J22))*(H22-(1*I22)))/F!H$82,((DATE('Rentecalc.'!$J$1,(L22),J22)-DATE('Rentecalc.'!$J$1,(K22),J22))*(H22-(1*I22)))/F!H$82)))</f>
        <v>0</v>
      </c>
      <c r="E63" s="602"/>
      <c r="F63" s="602">
        <f>IF(L22=0,0,(IF(M22=0,((DATE('Rentecalc.'!J$1+1,1,1)-DATE('Rentecalc.'!$J$1,(L22),J22))*(H22-(2*I22)))/365,((DATE('Rentecalc.'!$J$1,(M22),J22)-DATE('Rentecalc.'!$J$1,(L22),J22))*(H22-(2*I22)))/F!H$82)))</f>
        <v>0</v>
      </c>
      <c r="G63" s="602"/>
      <c r="H63" s="133">
        <f>IF(M22=0,0,(IF(N22=0,((DATE('Rentecalc.'!J$1+1,1,1)-DATE('Rentecalc.'!$J$1,(M22),J22))*(H22-(3*I22)))/F!H$82,((DATE('Rentecalc.'!$J$1,(N22),J22)-DATE('Rentecalc.'!$J$1,(M22),J22))*(H22-(3*I22)))/F!H$82)))</f>
        <v>0</v>
      </c>
      <c r="I63" s="602">
        <f>IF(N22=0,0,(IF(O22=0,((DATE('Rentecalc.'!J$1+1,1,1)-DATE('Rentecalc.'!$J$1,(N22),J22))*(H22-(4*I22)))/F!H$82,((DATE('Rentecalc.'!$J$1,(O22),J22)-DATE('Rentecalc.'!$J$1,(N22),J22))*(H22-(4*I22)))/F!H$82)))</f>
        <v>0</v>
      </c>
      <c r="J63" s="602"/>
      <c r="K63" s="602">
        <f>IF(O22=0,0,(IF(P22=0,((DATE('Rentecalc.'!J$1+1,1,1)-DATE('Rentecalc.'!$J$1,(O22),J22))*(H22-(5*I22)))/F!H$82,((DATE('Rentecalc.'!$J$1,(P22),J22)-DATE('Rentecalc.'!$J$1,(O22),J22))*(H22-(5*I22)))/F!H$82)))</f>
        <v>0</v>
      </c>
      <c r="L63" s="602"/>
      <c r="M63" s="602"/>
      <c r="N63" s="602"/>
      <c r="O63" s="602"/>
      <c r="P63" s="602"/>
      <c r="Q63" s="134">
        <f>IF(P22=0,0,((DATE('Rentecalc.'!J$1+1,1,1)-DATE('Rentecalc.'!$J$1,(P22),J22))*(H22-(6*I22)))/F!H$82)</f>
        <v>0</v>
      </c>
      <c r="R63" s="135">
        <f t="shared" si="15"/>
        <v>0</v>
      </c>
      <c r="S63" s="136">
        <f t="shared" si="16"/>
        <v>0</v>
      </c>
      <c r="T63" s="5"/>
      <c r="U63" s="277"/>
      <c r="V63" s="277"/>
      <c r="W63" s="277"/>
      <c r="X63" s="277"/>
      <c r="Y63" s="277"/>
      <c r="Z63" s="277"/>
      <c r="AA63" s="283"/>
      <c r="AB63" s="283"/>
      <c r="AC63" s="282"/>
      <c r="AD63" s="282"/>
      <c r="AE63" s="282"/>
      <c r="AF63" s="282"/>
      <c r="AG63" s="282"/>
      <c r="AH63" s="282"/>
      <c r="AI63" s="282"/>
      <c r="AJ63" s="282"/>
      <c r="AK63" s="282"/>
    </row>
    <row r="64" spans="1:37" s="6" customFormat="1" ht="12.75" customHeight="1">
      <c r="A64" s="313">
        <f t="shared" si="19"/>
        <v>820</v>
      </c>
      <c r="B64" s="610">
        <f>IF(I23=0,H23,(((DATE('Rentecalc.'!$J$1,K23,J23)-DATE('Rentecalc.'!$J$1,1,1))*H23)/F!H$82))</f>
        <v>0</v>
      </c>
      <c r="C64" s="610"/>
      <c r="D64" s="602">
        <f>IF(K23=0,0,(IF(L23=0,((DATE('Rentecalc.'!J$1+1,1,1)-DATE('Rentecalc.'!$J$1,(K23),J23))*(H23-(1*I23)))/F!H$82,((DATE('Rentecalc.'!$J$1,(L23),J23)-DATE('Rentecalc.'!$J$1,(K23),J23))*(H23-(1*I23)))/F!H$82)))</f>
        <v>0</v>
      </c>
      <c r="E64" s="602"/>
      <c r="F64" s="602">
        <f>IF(L23=0,0,(IF(M23=0,((DATE('Rentecalc.'!J$1+1,1,1)-DATE('Rentecalc.'!$J$1,(L23),J23))*(H23-(2*I23)))/365,((DATE('Rentecalc.'!$J$1,(M23),J23)-DATE('Rentecalc.'!$J$1,(L23),J23))*(H23-(2*I23)))/F!H$82)))</f>
        <v>0</v>
      </c>
      <c r="G64" s="602"/>
      <c r="H64" s="133">
        <f>IF(M23=0,0,(IF(N23=0,((DATE('Rentecalc.'!J$1+1,1,1)-DATE('Rentecalc.'!$J$1,(M23),J23))*(H23-(3*I23)))/F!H$82,((DATE('Rentecalc.'!$J$1,(N23),J23)-DATE('Rentecalc.'!$J$1,(M23),J23))*(H23-(3*I23)))/F!H$82)))</f>
        <v>0</v>
      </c>
      <c r="I64" s="602">
        <f>IF(N23=0,0,(IF(O23=0,((DATE('Rentecalc.'!J$1+1,1,1)-DATE('Rentecalc.'!$J$1,(N23),J23))*(H23-(4*I23)))/F!H$82,((DATE('Rentecalc.'!$J$1,(O23),J23)-DATE('Rentecalc.'!$J$1,(N23),J23))*(H23-(4*I23)))/F!H$82)))</f>
        <v>0</v>
      </c>
      <c r="J64" s="602"/>
      <c r="K64" s="602">
        <f>IF(O23=0,0,(IF(P23=0,((DATE('Rentecalc.'!J$1+1,1,1)-DATE('Rentecalc.'!$J$1,(O23),J23))*(H23-(5*I23)))/F!H$82,((DATE('Rentecalc.'!$J$1,(P23),J23)-DATE('Rentecalc.'!$J$1,(O23),J23))*(H23-(5*I23)))/F!H$82)))</f>
        <v>0</v>
      </c>
      <c r="L64" s="602"/>
      <c r="M64" s="602"/>
      <c r="N64" s="602"/>
      <c r="O64" s="602"/>
      <c r="P64" s="602"/>
      <c r="Q64" s="134">
        <f>IF(P23=0,0,((DATE('Rentecalc.'!J$1+1,1,1)-DATE('Rentecalc.'!$J$1,(P23),J23))*(H23-(6*I23)))/F!H$82)</f>
        <v>0</v>
      </c>
      <c r="R64" s="135">
        <f t="shared" si="15"/>
        <v>0</v>
      </c>
      <c r="S64" s="136">
        <f t="shared" si="16"/>
        <v>0</v>
      </c>
      <c r="T64" s="5"/>
      <c r="U64" s="277"/>
      <c r="V64" s="277"/>
      <c r="W64" s="277"/>
      <c r="X64" s="277"/>
      <c r="Y64" s="277"/>
      <c r="Z64" s="277"/>
      <c r="AA64" s="283"/>
      <c r="AB64" s="283"/>
      <c r="AC64" s="282"/>
      <c r="AD64" s="282"/>
      <c r="AE64" s="282"/>
      <c r="AF64" s="282"/>
      <c r="AG64" s="282"/>
      <c r="AH64" s="282"/>
      <c r="AI64" s="282"/>
      <c r="AJ64" s="282"/>
      <c r="AK64" s="282"/>
    </row>
    <row r="65" spans="1:37" s="6" customFormat="1" ht="12.75" customHeight="1">
      <c r="A65" s="313">
        <f t="shared" si="19"/>
        <v>821</v>
      </c>
      <c r="B65" s="610">
        <f>IF(I24=0,H24,(((DATE('Rentecalc.'!$J$1,K24,J24)-DATE('Rentecalc.'!$J$1,1,1))*H24)/F!H$82))</f>
        <v>0</v>
      </c>
      <c r="C65" s="610"/>
      <c r="D65" s="602">
        <f>IF(K24=0,0,(IF(L24=0,((DATE('Rentecalc.'!J$1+1,1,1)-DATE('Rentecalc.'!$J$1,(K24),J24))*(H24-(1*I24)))/F!H$82,((DATE('Rentecalc.'!$J$1,(L24),J24)-DATE('Rentecalc.'!$J$1,(K24),J24))*(H24-(1*I24)))/F!H$82)))</f>
        <v>0</v>
      </c>
      <c r="E65" s="602"/>
      <c r="F65" s="602">
        <f>IF(L24=0,0,(IF(M24=0,((DATE('Rentecalc.'!J$1+1,1,1)-DATE('Rentecalc.'!$J$1,(L24),J24))*(H24-(2*I24)))/365,((DATE('Rentecalc.'!$J$1,(M24),J24)-DATE('Rentecalc.'!$J$1,(L24),J24))*(H24-(2*I24)))/F!H$82)))</f>
        <v>0</v>
      </c>
      <c r="G65" s="602"/>
      <c r="H65" s="133">
        <f>IF(M24=0,0,(IF(N24=0,((DATE('Rentecalc.'!J$1+1,1,1)-DATE('Rentecalc.'!$J$1,(M24),J24))*(H24-(3*I24)))/F!H$82,((DATE('Rentecalc.'!$J$1,(N24),J24)-DATE('Rentecalc.'!$J$1,(M24),J24))*(H24-(3*I24)))/F!H$82)))</f>
        <v>0</v>
      </c>
      <c r="I65" s="602">
        <f>IF(N24=0,0,(IF(O24=0,((DATE('Rentecalc.'!J$1+1,1,1)-DATE('Rentecalc.'!$J$1,(N24),J24))*(H24-(4*I24)))/F!H$82,((DATE('Rentecalc.'!$J$1,(O24),J24)-DATE('Rentecalc.'!$J$1,(N24),J24))*(H24-(4*I24)))/F!H$82)))</f>
        <v>0</v>
      </c>
      <c r="J65" s="602"/>
      <c r="K65" s="602">
        <f>IF(O24=0,0,(IF(P24=0,((DATE('Rentecalc.'!J$1+1,1,1)-DATE('Rentecalc.'!$J$1,(O24),J24))*(H24-(5*I24)))/F!H$82,((DATE('Rentecalc.'!$J$1,(P24),J24)-DATE('Rentecalc.'!$J$1,(O24),J24))*(H24-(5*I24)))/F!H$82)))</f>
        <v>0</v>
      </c>
      <c r="L65" s="602"/>
      <c r="M65" s="602"/>
      <c r="N65" s="602"/>
      <c r="O65" s="602"/>
      <c r="P65" s="602"/>
      <c r="Q65" s="134">
        <f>IF(P24=0,0,((DATE('Rentecalc.'!J$1+1,1,1)-DATE('Rentecalc.'!$J$1,(P24),J24))*(H24-(6*I24)))/F!H$82)</f>
        <v>0</v>
      </c>
      <c r="R65" s="135">
        <f t="shared" si="15"/>
        <v>0</v>
      </c>
      <c r="S65" s="136">
        <f t="shared" si="16"/>
        <v>0</v>
      </c>
      <c r="T65" s="5"/>
      <c r="U65" s="277"/>
      <c r="V65" s="277"/>
      <c r="W65" s="277"/>
      <c r="X65" s="277"/>
      <c r="Y65" s="277"/>
      <c r="Z65" s="277"/>
      <c r="AA65" s="283"/>
      <c r="AB65" s="283"/>
      <c r="AC65" s="282"/>
      <c r="AD65" s="282"/>
      <c r="AE65" s="282"/>
      <c r="AF65" s="282"/>
      <c r="AG65" s="282"/>
      <c r="AH65" s="282"/>
      <c r="AI65" s="282"/>
      <c r="AJ65" s="282"/>
      <c r="AK65" s="282"/>
    </row>
    <row r="66" spans="1:37" s="6" customFormat="1" ht="12.75" customHeight="1">
      <c r="A66" s="313">
        <f t="shared" si="19"/>
        <v>822</v>
      </c>
      <c r="B66" s="610">
        <f>IF(I25=0,H25,(((DATE('Rentecalc.'!$J$1,K25,J25)-DATE('Rentecalc.'!$J$1,1,1))*H25)/F!H$82))</f>
        <v>0</v>
      </c>
      <c r="C66" s="610"/>
      <c r="D66" s="602">
        <f>IF(K25=0,0,(IF(L25=0,((DATE('Rentecalc.'!J$1+1,1,1)-DATE('Rentecalc.'!$J$1,(K25),J25))*(H25-(1*I25)))/F!H$82,((DATE('Rentecalc.'!$J$1,(L25),J25)-DATE('Rentecalc.'!$J$1,(K25),J25))*(H25-(1*I25)))/F!H$82)))</f>
        <v>0</v>
      </c>
      <c r="E66" s="602"/>
      <c r="F66" s="602">
        <f>IF(L25=0,0,(IF(M25=0,((DATE('Rentecalc.'!J$1+1,1,1)-DATE('Rentecalc.'!$J$1,(L25),J25))*(H25-(2*I25)))/365,((DATE('Rentecalc.'!$J$1,(M25),J25)-DATE('Rentecalc.'!$J$1,(L25),J25))*(H25-(2*I25)))/F!H$82)))</f>
        <v>0</v>
      </c>
      <c r="G66" s="602"/>
      <c r="H66" s="133">
        <f>IF(M25=0,0,(IF(N25=0,((DATE('Rentecalc.'!J$1+1,1,1)-DATE('Rentecalc.'!$J$1,(M25),J25))*(H25-(3*I25)))/F!H$82,((DATE('Rentecalc.'!$J$1,(N25),J25)-DATE('Rentecalc.'!$J$1,(M25),J25))*(H25-(3*I25)))/F!H$82)))</f>
        <v>0</v>
      </c>
      <c r="I66" s="602">
        <f>IF(N25=0,0,(IF(O25=0,((DATE('Rentecalc.'!J$1+1,1,1)-DATE('Rentecalc.'!$J$1,(N25),J25))*(H25-(4*I25)))/F!H$82,((DATE('Rentecalc.'!$J$1,(O25),J25)-DATE('Rentecalc.'!$J$1,(N25),J25))*(H25-(4*I25)))/F!H$82)))</f>
        <v>0</v>
      </c>
      <c r="J66" s="602"/>
      <c r="K66" s="602">
        <f>IF(O25=0,0,(IF(P25=0,((DATE('Rentecalc.'!J$1+1,1,1)-DATE('Rentecalc.'!$J$1,(O25),J25))*(H25-(5*I25)))/F!H$82,((DATE('Rentecalc.'!$J$1,(P25),J25)-DATE('Rentecalc.'!$J$1,(O25),J25))*(H25-(5*I25)))/F!H$82)))</f>
        <v>0</v>
      </c>
      <c r="L66" s="602"/>
      <c r="M66" s="602"/>
      <c r="N66" s="602"/>
      <c r="O66" s="602"/>
      <c r="P66" s="602"/>
      <c r="Q66" s="134">
        <f>IF(P25=0,0,((DATE('Rentecalc.'!J$1+1,1,1)-DATE('Rentecalc.'!$J$1,(P25),J25))*(H25-(6*I25)))/F!H$82)</f>
        <v>0</v>
      </c>
      <c r="R66" s="135">
        <f t="shared" si="15"/>
        <v>0</v>
      </c>
      <c r="S66" s="136">
        <f t="shared" si="16"/>
        <v>0</v>
      </c>
      <c r="T66" s="5"/>
      <c r="U66" s="277"/>
      <c r="V66" s="277"/>
      <c r="W66" s="277"/>
      <c r="X66" s="277"/>
      <c r="Y66" s="277"/>
      <c r="Z66" s="277"/>
      <c r="AA66" s="283"/>
      <c r="AB66" s="283"/>
      <c r="AC66" s="282"/>
      <c r="AD66" s="282"/>
      <c r="AE66" s="282"/>
      <c r="AF66" s="282"/>
      <c r="AG66" s="282"/>
      <c r="AH66" s="282"/>
      <c r="AI66" s="282"/>
      <c r="AJ66" s="282"/>
      <c r="AK66" s="282"/>
    </row>
    <row r="67" spans="1:37" s="6" customFormat="1" ht="12.75" customHeight="1">
      <c r="A67" s="313">
        <f t="shared" si="19"/>
        <v>823</v>
      </c>
      <c r="B67" s="610">
        <f>IF(I26=0,H26,(((DATE('Rentecalc.'!$J$1,K26,J26)-DATE('Rentecalc.'!$J$1,1,1))*H26)/F!H$82))</f>
        <v>0</v>
      </c>
      <c r="C67" s="610"/>
      <c r="D67" s="602">
        <f>IF(K26=0,0,(IF(L26=0,((DATE('Rentecalc.'!J$1+1,1,1)-DATE('Rentecalc.'!$J$1,(K26),J26))*(H26-(1*I26)))/F!H$82,((DATE('Rentecalc.'!$J$1,(L26),J26)-DATE('Rentecalc.'!$J$1,(K26),J26))*(H26-(1*I26)))/F!H$82)))</f>
        <v>0</v>
      </c>
      <c r="E67" s="602"/>
      <c r="F67" s="602">
        <f>IF(L26=0,0,(IF(M26=0,((DATE('Rentecalc.'!J$1+1,1,1)-DATE('Rentecalc.'!$J$1,(L26),J26))*(H26-(2*I26)))/365,((DATE('Rentecalc.'!$J$1,(M26),J26)-DATE('Rentecalc.'!$J$1,(L26),J26))*(H26-(2*I26)))/F!H$82)))</f>
        <v>0</v>
      </c>
      <c r="G67" s="602"/>
      <c r="H67" s="133">
        <f>IF(M26=0,0,(IF(N26=0,((DATE('Rentecalc.'!J$1+1,1,1)-DATE('Rentecalc.'!$J$1,(M26),J26))*(H26-(3*I26)))/F!H$82,((DATE('Rentecalc.'!$J$1,(N26),J26)-DATE('Rentecalc.'!$J$1,(M26),J26))*(H26-(3*I26)))/F!H$82)))</f>
        <v>0</v>
      </c>
      <c r="I67" s="602">
        <f>IF(N26=0,0,(IF(O26=0,((DATE('Rentecalc.'!J$1+1,1,1)-DATE('Rentecalc.'!$J$1,(N26),J26))*(H26-(4*I26)))/F!H$82,((DATE('Rentecalc.'!$J$1,(O26),J26)-DATE('Rentecalc.'!$J$1,(N26),J26))*(H26-(4*I26)))/F!H$82)))</f>
        <v>0</v>
      </c>
      <c r="J67" s="602"/>
      <c r="K67" s="602">
        <f>IF(O26=0,0,(IF(P26=0,((DATE('Rentecalc.'!J$1+1,1,1)-DATE('Rentecalc.'!$J$1,(O26),J26))*(H26-(5*I26)))/F!H$82,((DATE('Rentecalc.'!$J$1,(P26),J26)-DATE('Rentecalc.'!$J$1,(O26),J26))*(H26-(5*I26)))/F!H$82)))</f>
        <v>0</v>
      </c>
      <c r="L67" s="602"/>
      <c r="M67" s="602"/>
      <c r="N67" s="602"/>
      <c r="O67" s="602"/>
      <c r="P67" s="602"/>
      <c r="Q67" s="134">
        <f>IF(P26=0,0,((DATE('Rentecalc.'!J$1+1,1,1)-DATE('Rentecalc.'!$J$1,(P26),J26))*(H26-(6*I26)))/F!H$82)</f>
        <v>0</v>
      </c>
      <c r="R67" s="135">
        <f t="shared" si="15"/>
        <v>0</v>
      </c>
      <c r="S67" s="136">
        <f t="shared" si="16"/>
        <v>0</v>
      </c>
      <c r="T67" s="5"/>
      <c r="U67" s="277"/>
      <c r="V67" s="277"/>
      <c r="W67" s="277"/>
      <c r="X67" s="277"/>
      <c r="Y67" s="277"/>
      <c r="Z67" s="277"/>
      <c r="AA67" s="283"/>
      <c r="AB67" s="283"/>
      <c r="AC67" s="282"/>
      <c r="AD67" s="282"/>
      <c r="AE67" s="282"/>
      <c r="AF67" s="282"/>
      <c r="AG67" s="282"/>
      <c r="AH67" s="282"/>
      <c r="AI67" s="282"/>
      <c r="AJ67" s="282"/>
      <c r="AK67" s="282"/>
    </row>
    <row r="68" spans="1:37" s="6" customFormat="1" ht="12.75" customHeight="1">
      <c r="A68" s="313">
        <f t="shared" si="19"/>
        <v>824</v>
      </c>
      <c r="B68" s="610">
        <f>IF(I27=0,H27,(((DATE('Rentecalc.'!$J$1,K27,J27)-DATE('Rentecalc.'!$J$1,1,1))*H27)/F!H$82))</f>
        <v>0</v>
      </c>
      <c r="C68" s="610"/>
      <c r="D68" s="602">
        <f>IF(K27=0,0,(IF(L27=0,((DATE('Rentecalc.'!J$1+1,1,1)-DATE('Rentecalc.'!$J$1,(K27),J27))*(H27-(1*I27)))/F!H$82,((DATE('Rentecalc.'!$J$1,(L27),J27)-DATE('Rentecalc.'!$J$1,(K27),J27))*(H27-(1*I27)))/F!H$82)))</f>
        <v>0</v>
      </c>
      <c r="E68" s="602"/>
      <c r="F68" s="602">
        <f>IF(L27=0,0,(IF(M27=0,((DATE('Rentecalc.'!J$1+1,1,1)-DATE('Rentecalc.'!$J$1,(L27),J27))*(H27-(2*I27)))/365,((DATE('Rentecalc.'!$J$1,(M27),J27)-DATE('Rentecalc.'!$J$1,(L27),J27))*(H27-(2*I27)))/F!H$82)))</f>
        <v>0</v>
      </c>
      <c r="G68" s="602"/>
      <c r="H68" s="133">
        <f>IF(M27=0,0,(IF(N27=0,((DATE('Rentecalc.'!J$1+1,1,1)-DATE('Rentecalc.'!$J$1,(M27),J27))*(H27-(3*I27)))/F!H$82,((DATE('Rentecalc.'!$J$1,(N27),J27)-DATE('Rentecalc.'!$J$1,(M27),J27))*(H27-(3*I27)))/F!H$82)))</f>
        <v>0</v>
      </c>
      <c r="I68" s="602">
        <f>IF(N27=0,0,(IF(O27=0,((DATE('Rentecalc.'!J$1+1,1,1)-DATE('Rentecalc.'!$J$1,(N27),J27))*(H27-(4*I27)))/F!H$82,((DATE('Rentecalc.'!$J$1,(O27),J27)-DATE('Rentecalc.'!$J$1,(N27),J27))*(H27-(4*I27)))/F!H$82)))</f>
        <v>0</v>
      </c>
      <c r="J68" s="602"/>
      <c r="K68" s="602">
        <f>IF(O27=0,0,(IF(P27=0,((DATE('Rentecalc.'!J$1+1,1,1)-DATE('Rentecalc.'!$J$1,(O27),J27))*(H27-(5*I27)))/F!H$82,((DATE('Rentecalc.'!$J$1,(P27),J27)-DATE('Rentecalc.'!$J$1,(O27),J27))*(H27-(5*I27)))/F!H$82)))</f>
        <v>0</v>
      </c>
      <c r="L68" s="602"/>
      <c r="M68" s="602"/>
      <c r="N68" s="602"/>
      <c r="O68" s="602"/>
      <c r="P68" s="602"/>
      <c r="Q68" s="134">
        <f>IF(P27=0,0,((DATE('Rentecalc.'!J$1+1,1,1)-DATE('Rentecalc.'!$J$1,(P27),J27))*(H27-(6*I27)))/F!H$82)</f>
        <v>0</v>
      </c>
      <c r="R68" s="135">
        <f t="shared" si="15"/>
        <v>0</v>
      </c>
      <c r="S68" s="136">
        <f t="shared" si="16"/>
        <v>0</v>
      </c>
      <c r="T68" s="5"/>
      <c r="U68" s="277"/>
      <c r="V68" s="277"/>
      <c r="W68" s="277"/>
      <c r="X68" s="277"/>
      <c r="Y68" s="277"/>
      <c r="Z68" s="277"/>
      <c r="AA68" s="283">
        <f t="shared" si="17"/>
        <v>0</v>
      </c>
      <c r="AB68" s="283">
        <f t="shared" si="18"/>
        <v>0</v>
      </c>
      <c r="AC68" s="282"/>
      <c r="AD68" s="282"/>
      <c r="AE68" s="282"/>
      <c r="AF68" s="282"/>
      <c r="AG68" s="282"/>
      <c r="AH68" s="282"/>
      <c r="AI68" s="282"/>
      <c r="AJ68" s="282"/>
      <c r="AK68" s="282"/>
    </row>
    <row r="69" spans="1:37" s="6" customFormat="1" ht="12.75" customHeight="1">
      <c r="A69" s="313">
        <f t="shared" si="19"/>
        <v>825</v>
      </c>
      <c r="B69" s="610">
        <f>IF(I28=0,H28,(((DATE('Rentecalc.'!$J$1,K28,J28)-DATE('Rentecalc.'!$J$1,1,1))*H28)/F!H$82))</f>
        <v>0</v>
      </c>
      <c r="C69" s="610"/>
      <c r="D69" s="602">
        <f>IF(K28=0,0,(IF(L28=0,((DATE('Rentecalc.'!J$1+1,1,1)-DATE('Rentecalc.'!$J$1,(K28),J28))*(H28-(1*I28)))/F!H$82,((DATE('Rentecalc.'!$J$1,(L28),J28)-DATE('Rentecalc.'!$J$1,(K28),J28))*(H28-(1*I28)))/F!H$82)))</f>
        <v>0</v>
      </c>
      <c r="E69" s="602"/>
      <c r="F69" s="602">
        <f>IF(L28=0,0,(IF(M28=0,((DATE('Rentecalc.'!J$1+1,1,1)-DATE('Rentecalc.'!$J$1,(L28),J28))*(H28-(2*I28)))/365,((DATE('Rentecalc.'!$J$1,(M28),J28)-DATE('Rentecalc.'!$J$1,(L28),J28))*(H28-(2*I28)))/F!H$82)))</f>
        <v>0</v>
      </c>
      <c r="G69" s="602"/>
      <c r="H69" s="133">
        <f>IF(M28=0,0,(IF(N28=0,((DATE('Rentecalc.'!J$1+1,1,1)-DATE('Rentecalc.'!$J$1,(M28),J28))*(H28-(3*I28)))/F!H$82,((DATE('Rentecalc.'!$J$1,(N28),J28)-DATE('Rentecalc.'!$J$1,(M28),J28))*(H28-(3*I28)))/F!H$82)))</f>
        <v>0</v>
      </c>
      <c r="I69" s="602">
        <f>IF(N28=0,0,(IF(O28=0,((DATE('Rentecalc.'!J$1+1,1,1)-DATE('Rentecalc.'!$J$1,(N28),J28))*(H28-(4*I28)))/F!H$82,((DATE('Rentecalc.'!$J$1,(O28),J28)-DATE('Rentecalc.'!$J$1,(N28),J28))*(H28-(4*I28)))/F!H$82)))</f>
        <v>0</v>
      </c>
      <c r="J69" s="602"/>
      <c r="K69" s="602">
        <f>IF(O28=0,0,(IF(P28=0,((DATE('Rentecalc.'!J$1+1,1,1)-DATE('Rentecalc.'!$J$1,(O28),J28))*(H28-(5*I28)))/F!H$82,((DATE('Rentecalc.'!$J$1,(P28),J28)-DATE('Rentecalc.'!$J$1,(O28),J28))*(H28-(5*I28)))/F!H$82)))</f>
        <v>0</v>
      </c>
      <c r="L69" s="602"/>
      <c r="M69" s="602"/>
      <c r="N69" s="602"/>
      <c r="O69" s="602"/>
      <c r="P69" s="602"/>
      <c r="Q69" s="134">
        <f>IF(P28=0,0,((DATE('Rentecalc.'!J$1+1,1,1)-DATE('Rentecalc.'!$J$1,(P28),J28))*(H28-(6*I28)))/F!H$82)</f>
        <v>0</v>
      </c>
      <c r="R69" s="135">
        <f t="shared" si="15"/>
        <v>0</v>
      </c>
      <c r="S69" s="136">
        <f t="shared" si="16"/>
        <v>0</v>
      </c>
      <c r="T69" s="5"/>
      <c r="U69" s="277"/>
      <c r="V69" s="277"/>
      <c r="W69" s="277"/>
      <c r="X69" s="277"/>
      <c r="Y69" s="277"/>
      <c r="Z69" s="277"/>
      <c r="AA69" s="283">
        <f t="shared" si="17"/>
        <v>0</v>
      </c>
      <c r="AB69" s="283">
        <f t="shared" si="18"/>
        <v>0</v>
      </c>
      <c r="AC69" s="282"/>
      <c r="AD69" s="282"/>
      <c r="AE69" s="282"/>
      <c r="AF69" s="282"/>
      <c r="AG69" s="282"/>
      <c r="AH69" s="282"/>
      <c r="AI69" s="282"/>
      <c r="AJ69" s="282"/>
      <c r="AK69" s="282"/>
    </row>
    <row r="70" spans="1:37" s="6" customFormat="1" ht="12.75" customHeight="1">
      <c r="A70" s="313">
        <f t="shared" si="19"/>
        <v>826</v>
      </c>
      <c r="B70" s="610">
        <f>IF(I29=0,H29,(((DATE('Rentecalc.'!$J$1,K29,J29)-DATE('Rentecalc.'!$J$1,1,1))*H29)/F!H$82))</f>
        <v>0</v>
      </c>
      <c r="C70" s="610"/>
      <c r="D70" s="602">
        <f>IF(K29=0,0,(IF(L29=0,((DATE('Rentecalc.'!J$1+1,1,1)-DATE('Rentecalc.'!$J$1,(K29),J29))*(H29-(1*I29)))/F!H$82,((DATE('Rentecalc.'!$J$1,(L29),J29)-DATE('Rentecalc.'!$J$1,(K29),J29))*(H29-(1*I29)))/F!H$82)))</f>
        <v>0</v>
      </c>
      <c r="E70" s="602"/>
      <c r="F70" s="602">
        <f>IF(L29=0,0,(IF(M29=0,((DATE('Rentecalc.'!J$1+1,1,1)-DATE('Rentecalc.'!$J$1,(L29),J29))*(H29-(2*I29)))/365,((DATE('Rentecalc.'!$J$1,(M29),J29)-DATE('Rentecalc.'!$J$1,(L29),J29))*(H29-(2*I29)))/F!H$82)))</f>
        <v>0</v>
      </c>
      <c r="G70" s="602"/>
      <c r="H70" s="133">
        <f>IF(M29=0,0,(IF(N29=0,((DATE('Rentecalc.'!J$1+1,1,1)-DATE('Rentecalc.'!$J$1,(M29),J29))*(H29-(3*I29)))/F!H$82,((DATE('Rentecalc.'!$J$1,(N29),J29)-DATE('Rentecalc.'!$J$1,(M29),J29))*(H29-(3*I29)))/F!H$82)))</f>
        <v>0</v>
      </c>
      <c r="I70" s="602">
        <f>IF(N29=0,0,(IF(O29=0,((DATE('Rentecalc.'!J$1+1,1,1)-DATE('Rentecalc.'!$J$1,(N29),J29))*(H29-(4*I29)))/F!H$82,((DATE('Rentecalc.'!$J$1,(O29),J29)-DATE('Rentecalc.'!$J$1,(N29),J29))*(H29-(4*I29)))/F!H$82)))</f>
        <v>0</v>
      </c>
      <c r="J70" s="602"/>
      <c r="K70" s="602">
        <f>IF(O29=0,0,(IF(P29=0,((DATE('Rentecalc.'!J$1+1,1,1)-DATE('Rentecalc.'!$J$1,(O29),J29))*(H29-(5*I29)))/F!H$82,((DATE('Rentecalc.'!$J$1,(P29),J29)-DATE('Rentecalc.'!$J$1,(O29),J29))*(H29-(5*I29)))/F!H$82)))</f>
        <v>0</v>
      </c>
      <c r="L70" s="602"/>
      <c r="M70" s="602"/>
      <c r="N70" s="602"/>
      <c r="O70" s="602"/>
      <c r="P70" s="602"/>
      <c r="Q70" s="134">
        <f>IF(P29=0,0,((DATE('Rentecalc.'!J$1+1,1,1)-DATE('Rentecalc.'!$J$1,(P29),J29))*(H29-(6*I29)))/F!H$82)</f>
        <v>0</v>
      </c>
      <c r="R70" s="135">
        <f t="shared" si="15"/>
        <v>0</v>
      </c>
      <c r="S70" s="136">
        <f t="shared" si="16"/>
        <v>0</v>
      </c>
      <c r="T70" s="5"/>
      <c r="U70" s="277"/>
      <c r="V70" s="277"/>
      <c r="W70" s="277"/>
      <c r="X70" s="277"/>
      <c r="Y70" s="277"/>
      <c r="Z70" s="277"/>
      <c r="AA70" s="283">
        <f t="shared" si="17"/>
        <v>0</v>
      </c>
      <c r="AB70" s="283">
        <f t="shared" si="18"/>
        <v>0</v>
      </c>
      <c r="AC70" s="282"/>
      <c r="AD70" s="282"/>
      <c r="AE70" s="282"/>
      <c r="AF70" s="282"/>
      <c r="AG70" s="282"/>
      <c r="AH70" s="282"/>
      <c r="AI70" s="282"/>
      <c r="AJ70" s="282"/>
      <c r="AK70" s="282"/>
    </row>
    <row r="71" spans="1:37" s="6" customFormat="1" ht="12.75" customHeight="1">
      <c r="A71" s="313">
        <f t="shared" si="19"/>
        <v>827</v>
      </c>
      <c r="B71" s="610">
        <f>IF(I30=0,H30,(((DATE('Rentecalc.'!$J$1,K30,J30)-DATE('Rentecalc.'!$J$1,1,1))*H30)/F!H$82))</f>
        <v>0</v>
      </c>
      <c r="C71" s="610"/>
      <c r="D71" s="602">
        <f>IF(K30=0,0,(IF(L30=0,((DATE('Rentecalc.'!J$1+1,1,1)-DATE('Rentecalc.'!$J$1,(K30),J30))*(H30-(1*I30)))/F!H$82,((DATE('Rentecalc.'!$J$1,(L30),J30)-DATE('Rentecalc.'!$J$1,(K30),J30))*(H30-(1*I30)))/F!H$82)))</f>
        <v>0</v>
      </c>
      <c r="E71" s="602"/>
      <c r="F71" s="602">
        <f>IF(L30=0,0,(IF(M30=0,((DATE('Rentecalc.'!J$1+1,1,1)-DATE('Rentecalc.'!$J$1,(L30),J30))*(H30-(2*I30)))/365,((DATE('Rentecalc.'!$J$1,(M30),J30)-DATE('Rentecalc.'!$J$1,(L30),J30))*(H30-(2*I30)))/F!H$82)))</f>
        <v>0</v>
      </c>
      <c r="G71" s="602"/>
      <c r="H71" s="133">
        <f>IF(M30=0,0,(IF(N30=0,((DATE('Rentecalc.'!J$1+1,1,1)-DATE('Rentecalc.'!$J$1,(M30),J30))*(H30-(3*I30)))/F!H$82,((DATE('Rentecalc.'!$J$1,(N30),J30)-DATE('Rentecalc.'!$J$1,(M30),J30))*(H30-(3*I30)))/F!H$82)))</f>
        <v>0</v>
      </c>
      <c r="I71" s="602">
        <f>IF(N30=0,0,(IF(O30=0,((DATE('Rentecalc.'!J$1+1,1,1)-DATE('Rentecalc.'!$J$1,(N30),J30))*(H30-(4*I30)))/F!H$82,((DATE('Rentecalc.'!$J$1,(O30),J30)-DATE('Rentecalc.'!$J$1,(N30),J30))*(H30-(4*I30)))/F!H$82)))</f>
        <v>0</v>
      </c>
      <c r="J71" s="602"/>
      <c r="K71" s="602">
        <f>IF(O30=0,0,(IF(P30=0,((DATE('Rentecalc.'!J$1+1,1,1)-DATE('Rentecalc.'!$J$1,(O30),J30))*(H30-(5*I30)))/F!H$82,((DATE('Rentecalc.'!$J$1,(P30),J30)-DATE('Rentecalc.'!$J$1,(O30),J30))*(H30-(5*I30)))/F!H$82)))</f>
        <v>0</v>
      </c>
      <c r="L71" s="602"/>
      <c r="M71" s="602"/>
      <c r="N71" s="602"/>
      <c r="O71" s="602"/>
      <c r="P71" s="602"/>
      <c r="Q71" s="134">
        <f>IF(P30=0,0,((DATE('Rentecalc.'!J$1+1,1,1)-DATE('Rentecalc.'!$J$1,(P30),J30))*(H30-(6*I30)))/F!H$82)</f>
        <v>0</v>
      </c>
      <c r="R71" s="135">
        <f t="shared" si="15"/>
        <v>0</v>
      </c>
      <c r="S71" s="136">
        <f t="shared" si="16"/>
        <v>0</v>
      </c>
      <c r="T71" s="5"/>
      <c r="U71" s="277"/>
      <c r="V71" s="277"/>
      <c r="W71" s="277"/>
      <c r="X71" s="277"/>
      <c r="Y71" s="277"/>
      <c r="Z71" s="277"/>
      <c r="AA71" s="283">
        <f t="shared" si="17"/>
        <v>0</v>
      </c>
      <c r="AB71" s="283">
        <f t="shared" si="18"/>
        <v>0</v>
      </c>
      <c r="AC71" s="282"/>
      <c r="AD71" s="282"/>
      <c r="AE71" s="282"/>
      <c r="AF71" s="282"/>
      <c r="AG71" s="282"/>
      <c r="AH71" s="282"/>
      <c r="AI71" s="282"/>
      <c r="AJ71" s="282"/>
      <c r="AK71" s="282"/>
    </row>
    <row r="72" spans="1:37" s="6" customFormat="1" ht="12.75" customHeight="1">
      <c r="A72" s="313">
        <f t="shared" si="19"/>
        <v>828</v>
      </c>
      <c r="B72" s="610">
        <f>IF(I31=0,H31,(((DATE('Rentecalc.'!$J$1,K31,J31)-DATE('Rentecalc.'!$J$1,1,1))*H31)/F!H$82))</f>
        <v>0</v>
      </c>
      <c r="C72" s="610"/>
      <c r="D72" s="602">
        <f>IF(K31=0,0,(IF(L31=0,((DATE('Rentecalc.'!J$1+1,1,1)-DATE('Rentecalc.'!$J$1,(K31),J31))*(H31-(1*I31)))/F!H$82,((DATE('Rentecalc.'!$J$1,(L31),J31)-DATE('Rentecalc.'!$J$1,(K31),J31))*(H31-(1*I31)))/F!H$82)))</f>
        <v>0</v>
      </c>
      <c r="E72" s="602"/>
      <c r="F72" s="602">
        <f>IF(L31=0,0,(IF(M31=0,((DATE('Rentecalc.'!J$1+1,1,1)-DATE('Rentecalc.'!$J$1,(L31),J31))*(H31-(2*I31)))/365,((DATE('Rentecalc.'!$J$1,(M31),J31)-DATE('Rentecalc.'!$J$1,(L31),J31))*(H31-(2*I31)))/F!H$82)))</f>
        <v>0</v>
      </c>
      <c r="G72" s="602"/>
      <c r="H72" s="133">
        <f>IF(M31=0,0,(IF(N31=0,((DATE('Rentecalc.'!J$1+1,1,1)-DATE('Rentecalc.'!$J$1,(M31),J31))*(H31-(3*I31)))/F!H$82,((DATE('Rentecalc.'!$J$1,(N31),J31)-DATE('Rentecalc.'!$J$1,(M31),J31))*(H31-(3*I31)))/F!H$82)))</f>
        <v>0</v>
      </c>
      <c r="I72" s="602">
        <f>IF(N31=0,0,(IF(O31=0,((DATE('Rentecalc.'!J$1+1,1,1)-DATE('Rentecalc.'!$J$1,(N31),J31))*(H31-(4*I31)))/F!H$82,((DATE('Rentecalc.'!$J$1,(O31),J31)-DATE('Rentecalc.'!$J$1,(N31),J31))*(H31-(4*I31)))/F!H$82)))</f>
        <v>0</v>
      </c>
      <c r="J72" s="602"/>
      <c r="K72" s="602">
        <f>IF(O31=0,0,(IF(P31=0,((DATE('Rentecalc.'!J$1+1,1,1)-DATE('Rentecalc.'!$J$1,(O31),J31))*(H31-(5*I31)))/F!H$82,((DATE('Rentecalc.'!$J$1,(P31),J31)-DATE('Rentecalc.'!$J$1,(O31),J31))*(H31-(5*I31)))/F!H$82)))</f>
        <v>0</v>
      </c>
      <c r="L72" s="602"/>
      <c r="M72" s="602"/>
      <c r="N72" s="602"/>
      <c r="O72" s="602"/>
      <c r="P72" s="602"/>
      <c r="Q72" s="134">
        <f>IF(P31=0,0,((DATE('Rentecalc.'!J$1+1,1,1)-DATE('Rentecalc.'!$J$1,(P31),J31))*(H31-(6*I31)))/F!H$82)</f>
        <v>0</v>
      </c>
      <c r="R72" s="135">
        <f t="shared" si="15"/>
        <v>0</v>
      </c>
      <c r="S72" s="136">
        <f t="shared" si="16"/>
        <v>0</v>
      </c>
      <c r="T72" s="5"/>
      <c r="U72" s="277"/>
      <c r="V72" s="277"/>
      <c r="W72" s="277"/>
      <c r="X72" s="277"/>
      <c r="Y72" s="277"/>
      <c r="Z72" s="277"/>
      <c r="AA72" s="283">
        <f t="shared" si="17"/>
        <v>0</v>
      </c>
      <c r="AB72" s="283">
        <f t="shared" si="18"/>
        <v>0</v>
      </c>
      <c r="AC72" s="282"/>
      <c r="AD72" s="282"/>
      <c r="AE72" s="282"/>
      <c r="AF72" s="282"/>
      <c r="AG72" s="282"/>
      <c r="AH72" s="282"/>
      <c r="AI72" s="282"/>
      <c r="AJ72" s="282"/>
      <c r="AK72" s="282"/>
    </row>
    <row r="73" spans="1:37" s="6" customFormat="1" ht="12.75" customHeight="1">
      <c r="A73" s="313">
        <f t="shared" si="19"/>
        <v>829</v>
      </c>
      <c r="B73" s="610">
        <f>IF(I32=0,H32,(((DATE('Rentecalc.'!$J$1,K32,J32)-DATE('Rentecalc.'!$J$1,1,1))*H32)/F!H$82))</f>
        <v>0</v>
      </c>
      <c r="C73" s="610"/>
      <c r="D73" s="602">
        <f>IF(K32=0,0,(IF(L32=0,((DATE('Rentecalc.'!J$1+1,1,1)-DATE('Rentecalc.'!$J$1,(K32),J32))*(H32-(1*I32)))/F!H$82,((DATE('Rentecalc.'!$J$1,(L32),J32)-DATE('Rentecalc.'!$J$1,(K32),J32))*(H32-(1*I32)))/F!H$82)))</f>
        <v>0</v>
      </c>
      <c r="E73" s="602"/>
      <c r="F73" s="602">
        <f>IF(L32=0,0,(IF(M32=0,((DATE('Rentecalc.'!J$1+1,1,1)-DATE('Rentecalc.'!$J$1,(L32),J32))*(H32-(2*I32)))/365,((DATE('Rentecalc.'!$J$1,(M32),J32)-DATE('Rentecalc.'!$J$1,(L32),J32))*(H32-(2*I32)))/F!H$82)))</f>
        <v>0</v>
      </c>
      <c r="G73" s="602"/>
      <c r="H73" s="133">
        <f>IF(M32=0,0,(IF(N32=0,((DATE('Rentecalc.'!J$1+1,1,1)-DATE('Rentecalc.'!$J$1,(M32),J32))*(H32-(3*I32)))/F!H$82,((DATE('Rentecalc.'!$J$1,(N32),J32)-DATE('Rentecalc.'!$J$1,(M32),J32))*(H32-(3*I32)))/F!H$82)))</f>
        <v>0</v>
      </c>
      <c r="I73" s="602">
        <f>IF(N32=0,0,(IF(O32=0,((DATE('Rentecalc.'!J$1+1,1,1)-DATE('Rentecalc.'!$J$1,(N32),J32))*(H32-(4*I32)))/F!H$82,((DATE('Rentecalc.'!$J$1,(O32),J32)-DATE('Rentecalc.'!$J$1,(N32),J32))*(H32-(4*I32)))/F!H$82)))</f>
        <v>0</v>
      </c>
      <c r="J73" s="602"/>
      <c r="K73" s="602">
        <f>IF(O32=0,0,(IF(P32=0,((DATE('Rentecalc.'!J$1+1,1,1)-DATE('Rentecalc.'!$J$1,(O32),J32))*(H32-(5*I32)))/F!H$82,((DATE('Rentecalc.'!$J$1,(P32),J32)-DATE('Rentecalc.'!$J$1,(O32),J32))*(H32-(5*I32)))/F!H$82)))</f>
        <v>0</v>
      </c>
      <c r="L73" s="602"/>
      <c r="M73" s="602"/>
      <c r="N73" s="602"/>
      <c r="O73" s="602"/>
      <c r="P73" s="602"/>
      <c r="Q73" s="134">
        <f>IF(P32=0,0,((DATE('Rentecalc.'!J$1+1,1,1)-DATE('Rentecalc.'!$J$1,(P32),J32))*(H32-(6*I32)))/F!H$82)</f>
        <v>0</v>
      </c>
      <c r="R73" s="135">
        <f t="shared" si="15"/>
        <v>0</v>
      </c>
      <c r="S73" s="136">
        <f t="shared" si="16"/>
        <v>0</v>
      </c>
      <c r="T73" s="5"/>
      <c r="U73" s="277"/>
      <c r="V73" s="277"/>
      <c r="W73" s="277"/>
      <c r="X73" s="277"/>
      <c r="Y73" s="277"/>
      <c r="Z73" s="277"/>
      <c r="AA73" s="283">
        <f t="shared" si="17"/>
        <v>0</v>
      </c>
      <c r="AB73" s="283">
        <f t="shared" si="18"/>
        <v>0</v>
      </c>
      <c r="AC73" s="282"/>
      <c r="AD73" s="282"/>
      <c r="AE73" s="282"/>
      <c r="AF73" s="282"/>
      <c r="AG73" s="282"/>
      <c r="AH73" s="282"/>
      <c r="AI73" s="282"/>
      <c r="AJ73" s="282"/>
      <c r="AK73" s="282"/>
    </row>
    <row r="74" spans="1:37" s="6" customFormat="1" ht="12.75" customHeight="1">
      <c r="A74" s="313">
        <f t="shared" si="19"/>
        <v>830</v>
      </c>
      <c r="B74" s="137"/>
      <c r="C74" s="138"/>
      <c r="D74" s="138"/>
      <c r="E74" s="138"/>
      <c r="F74" s="138"/>
      <c r="G74" s="138"/>
      <c r="H74" s="138"/>
      <c r="I74" s="138"/>
      <c r="J74" s="138"/>
      <c r="K74" s="138"/>
      <c r="L74" s="138"/>
      <c r="M74" s="138"/>
      <c r="N74" s="138"/>
      <c r="O74" s="138"/>
      <c r="P74" s="138"/>
      <c r="Q74" s="139"/>
      <c r="R74" s="46">
        <f>SUM(R45:R73)</f>
        <v>0</v>
      </c>
      <c r="S74" s="46">
        <f>SUM(S45:S73)</f>
        <v>0</v>
      </c>
      <c r="T74" s="5"/>
      <c r="U74" s="277"/>
      <c r="V74" s="277"/>
      <c r="W74" s="277"/>
      <c r="X74" s="277"/>
      <c r="Y74" s="277"/>
      <c r="Z74" s="277"/>
      <c r="AA74" s="283"/>
      <c r="AB74" s="283"/>
      <c r="AC74" s="282"/>
      <c r="AD74" s="282"/>
      <c r="AE74" s="282"/>
      <c r="AF74" s="282"/>
      <c r="AG74" s="282"/>
      <c r="AH74" s="282"/>
      <c r="AI74" s="282"/>
      <c r="AJ74" s="282"/>
      <c r="AK74" s="282"/>
    </row>
    <row r="75" ht="11.25">
      <c r="A75" s="172"/>
    </row>
    <row r="76" ht="11.25"/>
    <row r="77" ht="11.25"/>
    <row r="78" spans="1:9" ht="11.25">
      <c r="A78" s="170"/>
      <c r="B78" s="427" t="s">
        <v>138</v>
      </c>
      <c r="H78" s="428"/>
      <c r="I78" s="428"/>
    </row>
    <row r="79" spans="1:9" ht="11.25">
      <c r="A79" s="313">
        <f>A74+1</f>
        <v>831</v>
      </c>
      <c r="B79" s="140" t="s">
        <v>45</v>
      </c>
      <c r="C79" s="141"/>
      <c r="D79" s="142"/>
      <c r="E79" s="141"/>
      <c r="F79" s="141"/>
      <c r="G79" s="141"/>
      <c r="H79" s="429">
        <f>'Rentecalc.'!J1</f>
        <v>2009</v>
      </c>
      <c r="I79" s="430"/>
    </row>
    <row r="80" spans="1:8" ht="11.25">
      <c r="A80" s="313">
        <f>A79+1</f>
        <v>832</v>
      </c>
      <c r="B80" s="140" t="str">
        <f>CONCATENATE("Datumwaarde van 1-1-",H79)</f>
        <v>Datumwaarde van 1-1-2009</v>
      </c>
      <c r="C80" s="141"/>
      <c r="D80" s="142"/>
      <c r="E80" s="141"/>
      <c r="F80" s="141"/>
      <c r="G80" s="141"/>
      <c r="H80" s="143">
        <f>DATE(H79,1,1)</f>
        <v>39814</v>
      </c>
    </row>
    <row r="81" spans="1:8" ht="11.25">
      <c r="A81" s="313">
        <f>A80+1</f>
        <v>833</v>
      </c>
      <c r="B81" s="140" t="str">
        <f>CONCATENATE("Datumwaarde van 1-1-",H79+1)</f>
        <v>Datumwaarde van 1-1-2010</v>
      </c>
      <c r="C81" s="141"/>
      <c r="D81" s="142"/>
      <c r="E81" s="141"/>
      <c r="F81" s="141"/>
      <c r="G81" s="141"/>
      <c r="H81" s="143">
        <f>DATE(H79+1,1,1)</f>
        <v>40179</v>
      </c>
    </row>
    <row r="82" spans="1:8" ht="11.25">
      <c r="A82" s="313">
        <f>A81+1</f>
        <v>834</v>
      </c>
      <c r="B82" s="332" t="str">
        <f>CONCATENATE("Aantal dagen van ",H79)</f>
        <v>Aantal dagen van 2009</v>
      </c>
      <c r="C82" s="333"/>
      <c r="D82" s="128"/>
      <c r="E82" s="333"/>
      <c r="F82" s="333"/>
      <c r="G82" s="333"/>
      <c r="H82" s="46">
        <f>H81-H80</f>
        <v>365</v>
      </c>
    </row>
    <row r="83" ht="11.25"/>
  </sheetData>
  <sheetProtection password="E296" sheet="1" objects="1" scenarios="1"/>
  <mergeCells count="152">
    <mergeCell ref="I53:J53"/>
    <mergeCell ref="I54:J54"/>
    <mergeCell ref="K54:P54"/>
    <mergeCell ref="I52:J52"/>
    <mergeCell ref="K52:P52"/>
    <mergeCell ref="K53:P53"/>
    <mergeCell ref="B54:C54"/>
    <mergeCell ref="D49:E49"/>
    <mergeCell ref="B53:C53"/>
    <mergeCell ref="D53:E53"/>
    <mergeCell ref="D50:E50"/>
    <mergeCell ref="D54:E54"/>
    <mergeCell ref="D51:E51"/>
    <mergeCell ref="D52:E52"/>
    <mergeCell ref="B73:C73"/>
    <mergeCell ref="B72:C72"/>
    <mergeCell ref="I50:J50"/>
    <mergeCell ref="K50:P50"/>
    <mergeCell ref="B65:C65"/>
    <mergeCell ref="B66:C66"/>
    <mergeCell ref="B69:C69"/>
    <mergeCell ref="B70:C70"/>
    <mergeCell ref="B71:C71"/>
    <mergeCell ref="B51:C51"/>
    <mergeCell ref="B62:C62"/>
    <mergeCell ref="B63:C63"/>
    <mergeCell ref="B64:C64"/>
    <mergeCell ref="B68:C68"/>
    <mergeCell ref="B67:C67"/>
    <mergeCell ref="B58:C58"/>
    <mergeCell ref="B59:C59"/>
    <mergeCell ref="B60:C60"/>
    <mergeCell ref="B61:C61"/>
    <mergeCell ref="B55:C55"/>
    <mergeCell ref="B56:C56"/>
    <mergeCell ref="B57:C57"/>
    <mergeCell ref="B45:C45"/>
    <mergeCell ref="B46:C46"/>
    <mergeCell ref="B47:C47"/>
    <mergeCell ref="B48:C48"/>
    <mergeCell ref="B50:C50"/>
    <mergeCell ref="B49:C49"/>
    <mergeCell ref="B52:C52"/>
    <mergeCell ref="D55:E55"/>
    <mergeCell ref="D59:E59"/>
    <mergeCell ref="F59:G59"/>
    <mergeCell ref="D56:E56"/>
    <mergeCell ref="D58:E58"/>
    <mergeCell ref="F58:G58"/>
    <mergeCell ref="F57:G57"/>
    <mergeCell ref="D60:E60"/>
    <mergeCell ref="F60:G60"/>
    <mergeCell ref="D62:E62"/>
    <mergeCell ref="F62:G62"/>
    <mergeCell ref="D61:E61"/>
    <mergeCell ref="F61:G61"/>
    <mergeCell ref="I73:J73"/>
    <mergeCell ref="I67:J67"/>
    <mergeCell ref="F63:G63"/>
    <mergeCell ref="F64:G64"/>
    <mergeCell ref="I72:J72"/>
    <mergeCell ref="I70:J70"/>
    <mergeCell ref="I71:J71"/>
    <mergeCell ref="I69:J69"/>
    <mergeCell ref="F68:G68"/>
    <mergeCell ref="F65:G65"/>
    <mergeCell ref="D73:E73"/>
    <mergeCell ref="F66:G66"/>
    <mergeCell ref="F73:G73"/>
    <mergeCell ref="D67:E67"/>
    <mergeCell ref="F67:G67"/>
    <mergeCell ref="F70:G70"/>
    <mergeCell ref="F71:G71"/>
    <mergeCell ref="F72:G72"/>
    <mergeCell ref="D69:E69"/>
    <mergeCell ref="F69:G69"/>
    <mergeCell ref="K73:P73"/>
    <mergeCell ref="D46:E46"/>
    <mergeCell ref="D70:E70"/>
    <mergeCell ref="D71:E71"/>
    <mergeCell ref="D72:E72"/>
    <mergeCell ref="D63:E63"/>
    <mergeCell ref="D64:E64"/>
    <mergeCell ref="I51:J51"/>
    <mergeCell ref="K51:P51"/>
    <mergeCell ref="I66:J66"/>
    <mergeCell ref="K70:P70"/>
    <mergeCell ref="K71:P71"/>
    <mergeCell ref="K72:P72"/>
    <mergeCell ref="K66:P66"/>
    <mergeCell ref="K69:P69"/>
    <mergeCell ref="K67:P67"/>
    <mergeCell ref="I2:P2"/>
    <mergeCell ref="I46:J46"/>
    <mergeCell ref="I44:J44"/>
    <mergeCell ref="K44:P44"/>
    <mergeCell ref="K46:P46"/>
    <mergeCell ref="I45:J45"/>
    <mergeCell ref="K45:P45"/>
    <mergeCell ref="K49:P49"/>
    <mergeCell ref="K3:P3"/>
    <mergeCell ref="I48:J48"/>
    <mergeCell ref="K48:P48"/>
    <mergeCell ref="D45:E45"/>
    <mergeCell ref="D48:E48"/>
    <mergeCell ref="D57:E57"/>
    <mergeCell ref="I57:J57"/>
    <mergeCell ref="I55:J55"/>
    <mergeCell ref="F46:G46"/>
    <mergeCell ref="I49:J49"/>
    <mergeCell ref="F45:G45"/>
    <mergeCell ref="F54:G54"/>
    <mergeCell ref="F53:G53"/>
    <mergeCell ref="F51:G51"/>
    <mergeCell ref="F56:G56"/>
    <mergeCell ref="F50:G50"/>
    <mergeCell ref="F52:G52"/>
    <mergeCell ref="F55:G55"/>
    <mergeCell ref="K58:P58"/>
    <mergeCell ref="I59:J59"/>
    <mergeCell ref="K59:P59"/>
    <mergeCell ref="I61:J61"/>
    <mergeCell ref="I58:J58"/>
    <mergeCell ref="K61:P61"/>
    <mergeCell ref="D66:E66"/>
    <mergeCell ref="D65:E65"/>
    <mergeCell ref="K65:P65"/>
    <mergeCell ref="I65:J65"/>
    <mergeCell ref="K56:P56"/>
    <mergeCell ref="K57:P57"/>
    <mergeCell ref="I56:J56"/>
    <mergeCell ref="D68:E68"/>
    <mergeCell ref="I63:J63"/>
    <mergeCell ref="I68:J68"/>
    <mergeCell ref="K68:P68"/>
    <mergeCell ref="K63:P63"/>
    <mergeCell ref="K64:P64"/>
    <mergeCell ref="I64:J64"/>
    <mergeCell ref="K62:P62"/>
    <mergeCell ref="I62:J62"/>
    <mergeCell ref="I60:J60"/>
    <mergeCell ref="K60:P60"/>
    <mergeCell ref="B39:H39"/>
    <mergeCell ref="B40:H40"/>
    <mergeCell ref="B41:G41"/>
    <mergeCell ref="K55:P55"/>
    <mergeCell ref="D47:E47"/>
    <mergeCell ref="I47:J47"/>
    <mergeCell ref="K47:P47"/>
    <mergeCell ref="F47:G47"/>
    <mergeCell ref="F48:G48"/>
    <mergeCell ref="F49:G49"/>
  </mergeCells>
  <conditionalFormatting sqref="A79:A82 A45:A74">
    <cfRule type="cellIs" priority="1" dxfId="7" operator="equal" stopIfTrue="1">
      <formula>0</formula>
    </cfRule>
  </conditionalFormatting>
  <conditionalFormatting sqref="Q32:T32 H32:I32 R34:R35 T4:T31 B4:P31 R4:R31">
    <cfRule type="expression" priority="2" dxfId="1" stopIfTrue="1">
      <formula>$Q$1=TRUE</formula>
    </cfRule>
  </conditionalFormatting>
  <dataValidations count="2">
    <dataValidation type="list" allowBlank="1" showInputMessage="1" showErrorMessage="1" sqref="G5:G31">
      <formula1>"N,W,V"</formula1>
    </dataValidation>
    <dataValidation type="list" allowBlank="1" showInputMessage="1" showErrorMessage="1" sqref="G4">
      <formula1>"N,W,V,R"</formula1>
    </dataValidation>
  </dataValidations>
  <printOptions/>
  <pageMargins left="0.3937007874015748" right="0.3937007874015748" top="0.7874015748031497" bottom="0.3937007874015748" header="0.5118110236220472" footer="0.5118110236220472"/>
  <pageSetup firstPageNumber="7" useFirstPageNumber="1" horizontalDpi="300" verticalDpi="300" orientation="landscape" paperSize="9" scale="89" r:id="rId2"/>
  <headerFooter alignWithMargins="0">
    <oddHeader>&amp;LAWBZ-BREED CALCULATIEMODEL RENTEKOSTEN 2009&amp;R&amp;G</oddHeader>
    <oddFooter>&amp;R&amp;P</oddFooter>
  </headerFooter>
  <rowBreaks count="1" manualBreakCount="1">
    <brk id="41" max="20" man="1"/>
  </rowBreaks>
  <ignoredErrors>
    <ignoredError sqref="B45:S73 Q4:Q36 R33:R36 S4:S36 T33:T36 U4:IV40" emptyCellReference="1"/>
    <ignoredError sqref="R4:R32 T4:T31" emptyCellReference="1" unlockedFormula="1"/>
  </ignoredErrors>
  <legacyDrawingHF r:id="rId1"/>
</worksheet>
</file>

<file path=xl/worksheets/sheet6.xml><?xml version="1.0" encoding="utf-8"?>
<worksheet xmlns="http://schemas.openxmlformats.org/spreadsheetml/2006/main" xmlns:r="http://schemas.openxmlformats.org/officeDocument/2006/relationships">
  <sheetPr codeName="Blad15"/>
  <dimension ref="A1:Q40"/>
  <sheetViews>
    <sheetView showGridLines="0" zoomScale="95" zoomScaleNormal="95" workbookViewId="0" topLeftCell="A1">
      <selection activeCell="A1" sqref="A1"/>
    </sheetView>
  </sheetViews>
  <sheetFormatPr defaultColWidth="9.140625" defaultRowHeight="12.75" zeroHeight="1"/>
  <cols>
    <col min="1" max="1" width="5.7109375" style="45" customWidth="1"/>
    <col min="2" max="2" width="81.8515625" style="5" customWidth="1"/>
    <col min="3" max="4" width="17.7109375" style="3" customWidth="1"/>
    <col min="5" max="5" width="17.7109375" style="5" customWidth="1"/>
    <col min="6" max="6" width="3.140625" style="5" customWidth="1"/>
    <col min="7" max="7" width="10.7109375" style="5" hidden="1" customWidth="1"/>
    <col min="8" max="8" width="10.7109375" style="6" hidden="1" customWidth="1"/>
    <col min="9" max="13" width="10.7109375" style="5" hidden="1" customWidth="1"/>
    <col min="14" max="21" width="9.140625" style="5" hidden="1" customWidth="1"/>
    <col min="22" max="22" width="1.7109375" style="5" hidden="1" customWidth="1"/>
    <col min="23" max="16384" width="9.140625" style="5" hidden="1" customWidth="1"/>
  </cols>
  <sheetData>
    <row r="1" spans="1:8" ht="12.75" customHeight="1">
      <c r="A1" s="170" t="s">
        <v>8</v>
      </c>
      <c r="B1" s="388" t="s">
        <v>130</v>
      </c>
      <c r="C1" s="389" t="b">
        <f>'Rentecalc.'!I4</f>
        <v>1</v>
      </c>
      <c r="H1" s="5"/>
    </row>
    <row r="2" spans="1:5" ht="12.75" customHeight="1">
      <c r="A2" s="171"/>
      <c r="B2" s="144"/>
      <c r="C2" s="431" t="str">
        <f>CONCATENATE("31-12-",'Rentecalc.'!J1-1," ")</f>
        <v>31-12-2008 </v>
      </c>
      <c r="D2" s="431" t="str">
        <f>CONCATENATE("31-12-",'Rentecalc.'!J1," ")</f>
        <v>31-12-2009 </v>
      </c>
      <c r="E2" s="431" t="str">
        <f>CONCATENATE("Gemiddeld ",'Rentecalc.'!J1," ")</f>
        <v>Gemiddeld 2009 </v>
      </c>
    </row>
    <row r="3" spans="1:8" ht="12.75" customHeight="1">
      <c r="A3" s="313">
        <v>910</v>
      </c>
      <c r="B3" s="432" t="s">
        <v>97</v>
      </c>
      <c r="C3" s="34"/>
      <c r="D3" s="34"/>
      <c r="E3" s="51">
        <f aca="true" t="shared" si="0" ref="E3:E14">(C3+D3)/2</f>
        <v>0</v>
      </c>
      <c r="H3" s="5"/>
    </row>
    <row r="4" spans="1:8" ht="12.75" customHeight="1">
      <c r="A4" s="313">
        <f>A3+1</f>
        <v>911</v>
      </c>
      <c r="B4" s="433" t="s">
        <v>98</v>
      </c>
      <c r="C4" s="34"/>
      <c r="D4" s="34"/>
      <c r="E4" s="51">
        <f t="shared" si="0"/>
        <v>0</v>
      </c>
      <c r="H4" s="5"/>
    </row>
    <row r="5" spans="1:8" ht="12.75" customHeight="1">
      <c r="A5" s="313">
        <f aca="true" t="shared" si="1" ref="A5:A20">A4+1</f>
        <v>912</v>
      </c>
      <c r="B5" s="433" t="s">
        <v>99</v>
      </c>
      <c r="C5" s="34"/>
      <c r="D5" s="34"/>
      <c r="E5" s="51">
        <f t="shared" si="0"/>
        <v>0</v>
      </c>
      <c r="H5" s="5"/>
    </row>
    <row r="6" spans="1:17" ht="12.75" customHeight="1">
      <c r="A6" s="313">
        <f t="shared" si="1"/>
        <v>913</v>
      </c>
      <c r="B6" s="433" t="s">
        <v>100</v>
      </c>
      <c r="C6" s="34"/>
      <c r="D6" s="34"/>
      <c r="E6" s="51">
        <f t="shared" si="0"/>
        <v>0</v>
      </c>
      <c r="H6" s="5"/>
      <c r="Q6" s="28"/>
    </row>
    <row r="7" spans="1:8" ht="12.75" customHeight="1">
      <c r="A7" s="313">
        <f t="shared" si="1"/>
        <v>914</v>
      </c>
      <c r="B7" s="433" t="s">
        <v>101</v>
      </c>
      <c r="C7" s="34"/>
      <c r="D7" s="34"/>
      <c r="E7" s="51">
        <f t="shared" si="0"/>
        <v>0</v>
      </c>
      <c r="H7" s="5"/>
    </row>
    <row r="8" spans="1:8" ht="12.75" customHeight="1">
      <c r="A8" s="313">
        <f t="shared" si="1"/>
        <v>915</v>
      </c>
      <c r="B8" s="433" t="s">
        <v>102</v>
      </c>
      <c r="C8" s="34"/>
      <c r="D8" s="34"/>
      <c r="E8" s="51">
        <f t="shared" si="0"/>
        <v>0</v>
      </c>
      <c r="H8" s="5"/>
    </row>
    <row r="9" spans="1:8" ht="12.75" customHeight="1">
      <c r="A9" s="313">
        <f t="shared" si="1"/>
        <v>916</v>
      </c>
      <c r="B9" s="433" t="s">
        <v>103</v>
      </c>
      <c r="C9" s="34"/>
      <c r="D9" s="34"/>
      <c r="E9" s="51">
        <f t="shared" si="0"/>
        <v>0</v>
      </c>
      <c r="H9" s="5"/>
    </row>
    <row r="10" spans="1:8" ht="12.75" customHeight="1">
      <c r="A10" s="313">
        <f t="shared" si="1"/>
        <v>917</v>
      </c>
      <c r="B10" s="433" t="s">
        <v>104</v>
      </c>
      <c r="C10" s="34"/>
      <c r="D10" s="34"/>
      <c r="E10" s="51">
        <f t="shared" si="0"/>
        <v>0</v>
      </c>
      <c r="H10" s="5"/>
    </row>
    <row r="11" spans="1:8" ht="12.75" customHeight="1">
      <c r="A11" s="313">
        <f t="shared" si="1"/>
        <v>918</v>
      </c>
      <c r="B11" s="433" t="s">
        <v>105</v>
      </c>
      <c r="C11" s="34"/>
      <c r="D11" s="34"/>
      <c r="E11" s="51">
        <f t="shared" si="0"/>
        <v>0</v>
      </c>
      <c r="H11" s="5"/>
    </row>
    <row r="12" spans="1:8" ht="12.75" customHeight="1">
      <c r="A12" s="313">
        <f t="shared" si="1"/>
        <v>919</v>
      </c>
      <c r="B12" s="433" t="s">
        <v>106</v>
      </c>
      <c r="C12" s="34"/>
      <c r="D12" s="34"/>
      <c r="E12" s="51">
        <f t="shared" si="0"/>
        <v>0</v>
      </c>
      <c r="H12" s="5"/>
    </row>
    <row r="13" spans="1:8" ht="12.75" customHeight="1">
      <c r="A13" s="313">
        <f t="shared" si="1"/>
        <v>920</v>
      </c>
      <c r="B13" s="433" t="s">
        <v>107</v>
      </c>
      <c r="C13" s="34"/>
      <c r="D13" s="34"/>
      <c r="E13" s="51">
        <f t="shared" si="0"/>
        <v>0</v>
      </c>
      <c r="H13" s="5"/>
    </row>
    <row r="14" spans="1:8" ht="12.75" customHeight="1">
      <c r="A14" s="313">
        <f t="shared" si="1"/>
        <v>921</v>
      </c>
      <c r="B14" s="56"/>
      <c r="C14" s="34"/>
      <c r="D14" s="34"/>
      <c r="E14" s="51">
        <f t="shared" si="0"/>
        <v>0</v>
      </c>
      <c r="H14" s="5"/>
    </row>
    <row r="15" spans="1:8" ht="12.75" customHeight="1">
      <c r="A15" s="313">
        <f t="shared" si="1"/>
        <v>922</v>
      </c>
      <c r="B15" s="356" t="str">
        <f>CONCATENATE("Totaal eigen vermogen *) conform jaarrekening (",A3," t/m ",A14,")")</f>
        <v>Totaal eigen vermogen *) conform jaarrekening (910 t/m 921)</v>
      </c>
      <c r="C15" s="42">
        <f>SUM(C3:C14)</f>
        <v>0</v>
      </c>
      <c r="D15" s="42">
        <f>SUM(D3:D14)</f>
        <v>0</v>
      </c>
      <c r="E15" s="57">
        <f>SUM(E3:E14)</f>
        <v>0</v>
      </c>
      <c r="H15" s="5"/>
    </row>
    <row r="16" spans="1:8" ht="12.75" customHeight="1">
      <c r="A16" s="313">
        <f t="shared" si="1"/>
        <v>923</v>
      </c>
      <c r="B16" s="142" t="s">
        <v>39</v>
      </c>
      <c r="C16" s="145"/>
      <c r="D16" s="40">
        <v>0</v>
      </c>
      <c r="E16" s="146">
        <f>(C16+D16)/2</f>
        <v>0</v>
      </c>
      <c r="H16" s="5"/>
    </row>
    <row r="17" spans="1:8" ht="12.75" customHeight="1">
      <c r="A17" s="313">
        <f t="shared" si="1"/>
        <v>924</v>
      </c>
      <c r="B17" s="157" t="s">
        <v>116</v>
      </c>
      <c r="C17" s="147">
        <v>0</v>
      </c>
      <c r="D17" s="40">
        <v>0</v>
      </c>
      <c r="E17" s="146">
        <f>(C17+D17)/2</f>
        <v>0</v>
      </c>
      <c r="H17" s="5"/>
    </row>
    <row r="18" spans="1:8" ht="12.75" customHeight="1">
      <c r="A18" s="313">
        <f t="shared" si="1"/>
        <v>925</v>
      </c>
      <c r="B18" s="157" t="s">
        <v>204</v>
      </c>
      <c r="C18" s="147">
        <v>0</v>
      </c>
      <c r="D18" s="40">
        <v>0</v>
      </c>
      <c r="E18" s="146">
        <f>(C18+D18)/2</f>
        <v>0</v>
      </c>
      <c r="H18" s="5"/>
    </row>
    <row r="19" spans="1:8" ht="12.75" customHeight="1">
      <c r="A19" s="313">
        <f t="shared" si="1"/>
        <v>926</v>
      </c>
      <c r="B19" s="157" t="s">
        <v>91</v>
      </c>
      <c r="C19" s="147">
        <v>0</v>
      </c>
      <c r="D19" s="40">
        <v>0</v>
      </c>
      <c r="E19" s="146">
        <f>(C19+D19)/2</f>
        <v>0</v>
      </c>
      <c r="H19" s="5"/>
    </row>
    <row r="20" spans="1:8" ht="12.75" customHeight="1">
      <c r="A20" s="313">
        <f t="shared" si="1"/>
        <v>927</v>
      </c>
      <c r="B20" s="356" t="str">
        <f>CONCATENATE("In aanmerking te nemen eigen vermogen (",A15," -/- ",A16," t/m ",A19,")")</f>
        <v>In aanmerking te nemen eigen vermogen (922 -/- 923 t/m 926)</v>
      </c>
      <c r="C20" s="42">
        <f>C15-SUM(C16:C19)</f>
        <v>0</v>
      </c>
      <c r="D20" s="42">
        <f>D15-SUM(D16:D19)</f>
        <v>0</v>
      </c>
      <c r="E20" s="42">
        <f>E15-SUM(E16:E19)</f>
        <v>0</v>
      </c>
      <c r="H20" s="5"/>
    </row>
    <row r="21" spans="1:2" ht="12.75" customHeight="1">
      <c r="A21" s="170"/>
      <c r="B21" s="357" t="s">
        <v>40</v>
      </c>
    </row>
    <row r="22" spans="1:4" ht="12.75" customHeight="1">
      <c r="A22" s="170"/>
      <c r="B22" s="357" t="s">
        <v>205</v>
      </c>
      <c r="C22" s="5"/>
      <c r="D22" s="5"/>
    </row>
    <row r="23" spans="1:9" ht="12.75" customHeight="1">
      <c r="A23" s="171"/>
      <c r="B23" s="148"/>
      <c r="C23" s="148"/>
      <c r="D23" s="5"/>
      <c r="H23" s="5"/>
      <c r="I23" s="3"/>
    </row>
    <row r="24" spans="1:3" s="47" customFormat="1" ht="12.75" customHeight="1">
      <c r="A24" s="170" t="s">
        <v>129</v>
      </c>
      <c r="B24" s="340" t="s">
        <v>32</v>
      </c>
      <c r="C24" s="149"/>
    </row>
    <row r="25" spans="1:9" ht="12.75" customHeight="1">
      <c r="A25" s="171"/>
      <c r="B25" s="150"/>
      <c r="C25" s="151"/>
      <c r="D25" s="152"/>
      <c r="E25" s="65" t="s">
        <v>122</v>
      </c>
      <c r="H25" s="5"/>
      <c r="I25" s="3"/>
    </row>
    <row r="26" spans="1:5" s="3" customFormat="1" ht="12.75" customHeight="1">
      <c r="A26" s="313">
        <f>A20+1</f>
        <v>928</v>
      </c>
      <c r="B26" s="434" t="str">
        <f>CONCATENATE("Rente lange leningen bijlage ",LEFT(F!A1)," (exclusief eventuele boeterente van conversies)")</f>
        <v>Rente lange leningen bijlage F (exclusief eventuele boeterente van conversies)</v>
      </c>
      <c r="C26" s="153"/>
      <c r="D26" s="154"/>
      <c r="E26" s="51">
        <f>F!T36</f>
        <v>0</v>
      </c>
    </row>
    <row r="27" spans="1:5" s="3" customFormat="1" ht="12.75" customHeight="1">
      <c r="A27" s="313">
        <f>A26+1</f>
        <v>929</v>
      </c>
      <c r="B27" s="142" t="s">
        <v>115</v>
      </c>
      <c r="C27" s="43"/>
      <c r="D27" s="155"/>
      <c r="E27" s="34"/>
    </row>
    <row r="28" spans="1:5" s="3" customFormat="1" ht="12.75" customHeight="1">
      <c r="A28" s="313">
        <f>A27+1</f>
        <v>930</v>
      </c>
      <c r="B28" s="435" t="s">
        <v>33</v>
      </c>
      <c r="C28" s="43"/>
      <c r="D28" s="155"/>
      <c r="E28" s="34"/>
    </row>
    <row r="29" spans="1:5" s="3" customFormat="1" ht="12.75" customHeight="1">
      <c r="A29" s="313">
        <f>A28+1</f>
        <v>931</v>
      </c>
      <c r="B29" s="436" t="str">
        <f>CONCATENATE("Intrest leasingcontracten (corresponderend leningbedrag invullen op regel ",F!A35,")")</f>
        <v>Intrest leasingcontracten (corresponderend leningbedrag invullen op regel 732)</v>
      </c>
      <c r="C29" s="156"/>
      <c r="D29" s="157"/>
      <c r="E29" s="36"/>
    </row>
    <row r="30" spans="1:5" s="3" customFormat="1" ht="11.25">
      <c r="A30" s="313">
        <f>A29+1</f>
        <v>932</v>
      </c>
      <c r="B30" s="407" t="str">
        <f>CONCATENATE("Totaal regels ",A26," t/m ",A29)</f>
        <v>Totaal regels 928 t/m 931</v>
      </c>
      <c r="C30" s="52"/>
      <c r="D30" s="53"/>
      <c r="E30" s="84">
        <f>SUM(E26:E29)</f>
        <v>0</v>
      </c>
    </row>
    <row r="31" spans="1:8" ht="13.5" customHeight="1">
      <c r="A31" s="5"/>
      <c r="C31" s="5"/>
      <c r="D31" s="5"/>
      <c r="H31" s="5"/>
    </row>
    <row r="32" spans="1:8" ht="12.75" customHeight="1">
      <c r="A32" s="6"/>
      <c r="B32" s="6"/>
      <c r="C32" s="6"/>
      <c r="D32" s="6"/>
      <c r="E32" s="6"/>
      <c r="H32" s="5"/>
    </row>
    <row r="33" spans="1:8" ht="12.75" customHeight="1" hidden="1">
      <c r="A33" s="6"/>
      <c r="B33" s="6"/>
      <c r="C33" s="6"/>
      <c r="D33" s="6"/>
      <c r="E33" s="6"/>
      <c r="H33" s="5"/>
    </row>
    <row r="34" spans="1:8" ht="12.75" customHeight="1" hidden="1">
      <c r="A34" s="6"/>
      <c r="B34" s="6"/>
      <c r="C34" s="6"/>
      <c r="D34" s="6"/>
      <c r="E34" s="6"/>
      <c r="H34" s="5"/>
    </row>
    <row r="35" spans="1:8" ht="12.75" customHeight="1" hidden="1">
      <c r="A35" s="6"/>
      <c r="B35" s="6"/>
      <c r="C35" s="6"/>
      <c r="D35" s="6"/>
      <c r="E35" s="6"/>
      <c r="H35" s="5"/>
    </row>
    <row r="36" spans="1:8" ht="11.25" hidden="1">
      <c r="A36" s="6"/>
      <c r="B36" s="6"/>
      <c r="C36" s="6"/>
      <c r="D36" s="6"/>
      <c r="E36" s="6"/>
      <c r="H36" s="5"/>
    </row>
    <row r="37" spans="1:8" ht="11.25" hidden="1">
      <c r="A37" s="6"/>
      <c r="B37" s="6"/>
      <c r="C37" s="6"/>
      <c r="D37" s="6"/>
      <c r="E37" s="6"/>
      <c r="H37" s="5"/>
    </row>
    <row r="38" spans="1:5" ht="11.25" hidden="1">
      <c r="A38" s="411"/>
      <c r="B38" s="6"/>
      <c r="C38" s="24"/>
      <c r="D38" s="24"/>
      <c r="E38" s="6"/>
    </row>
    <row r="39" ht="11.25" hidden="1"/>
    <row r="40" ht="11.25" hidden="1">
      <c r="B40" s="5" t="s">
        <v>120</v>
      </c>
    </row>
    <row r="41" ht="11.25" hidden="1"/>
    <row r="42" ht="11.25"/>
    <row r="43" ht="11.25"/>
    <row r="44" ht="11.25"/>
    <row r="45" ht="11.25"/>
    <row r="46" ht="11.25"/>
  </sheetData>
  <sheetProtection password="E296" sheet="1" objects="1" scenarios="1"/>
  <conditionalFormatting sqref="E27:E29 B14 C17:D19 D16 C3:D14">
    <cfRule type="expression" priority="1" dxfId="1" stopIfTrue="1">
      <formula>$C$1=TRUE</formula>
    </cfRule>
  </conditionalFormatting>
  <printOptions/>
  <pageMargins left="0.3937007874015748" right="0.3937007874015748" top="0.7874015748031497" bottom="0.3937007874015748" header="0.5118110236220472" footer="0.5118110236220472"/>
  <pageSetup firstPageNumber="9" useFirstPageNumber="1" horizontalDpi="300" verticalDpi="300" orientation="landscape" paperSize="9" scale="95" r:id="rId2"/>
  <headerFooter alignWithMargins="0">
    <oddHeader>&amp;LAWBZ-BREED CALCULATIEMODEL RENTEKOSTEN 2009&amp;R&amp;G</oddHeader>
    <oddFooter>&amp;R&amp;P</oddFooter>
  </headerFooter>
  <ignoredErrors>
    <ignoredError sqref="C15:D15 C20 E30 E3:E14 E16:E20" emptyCellReference="1"/>
    <ignoredError sqref="E15" emptyCellReference="1" formula="1"/>
  </ignoredErrors>
  <legacyDrawingHF r:id="rId1"/>
</worksheet>
</file>

<file path=xl/worksheets/sheet7.xml><?xml version="1.0" encoding="utf-8"?>
<worksheet xmlns="http://schemas.openxmlformats.org/spreadsheetml/2006/main" xmlns:r="http://schemas.openxmlformats.org/officeDocument/2006/relationships">
  <dimension ref="A1:L25"/>
  <sheetViews>
    <sheetView showGridLines="0" zoomScale="95" zoomScaleNormal="95" workbookViewId="0" topLeftCell="A3">
      <selection activeCell="A7" sqref="A7"/>
    </sheetView>
  </sheetViews>
  <sheetFormatPr defaultColWidth="9.140625" defaultRowHeight="12.75" zeroHeight="1"/>
  <cols>
    <col min="1" max="1" width="9.140625" style="516" customWidth="1"/>
    <col min="2" max="2" width="9.7109375" style="267" customWidth="1"/>
    <col min="3" max="6" width="9.140625" style="267" customWidth="1"/>
    <col min="7" max="7" width="20.28125" style="267" customWidth="1"/>
    <col min="8" max="10" width="9.140625" style="267" customWidth="1"/>
    <col min="11" max="11" width="15.140625" style="267" customWidth="1"/>
    <col min="12" max="12" width="1.8515625" style="267" customWidth="1"/>
    <col min="13" max="16384" width="0" style="267" hidden="1" customWidth="1"/>
  </cols>
  <sheetData>
    <row r="1" spans="1:12" ht="12" hidden="1">
      <c r="A1" s="510" t="b">
        <v>1</v>
      </c>
      <c r="B1" s="235" t="s">
        <v>189</v>
      </c>
      <c r="C1" s="190"/>
      <c r="D1" s="190"/>
      <c r="E1" s="190"/>
      <c r="F1" s="190"/>
      <c r="G1" s="190"/>
      <c r="H1" s="190"/>
      <c r="I1" s="190"/>
      <c r="J1" s="191"/>
      <c r="K1" s="191"/>
      <c r="L1" s="190"/>
    </row>
    <row r="2" spans="1:12" ht="12" hidden="1">
      <c r="A2" s="511">
        <v>6</v>
      </c>
      <c r="B2" s="191">
        <v>6.43</v>
      </c>
      <c r="C2" s="190">
        <v>8.43</v>
      </c>
      <c r="D2" s="190">
        <v>14.86</v>
      </c>
      <c r="E2" s="190">
        <v>22.57</v>
      </c>
      <c r="F2" s="190">
        <v>11.86</v>
      </c>
      <c r="G2" s="190">
        <v>11.86</v>
      </c>
      <c r="H2" s="190">
        <v>11</v>
      </c>
      <c r="I2" s="190">
        <v>11.14</v>
      </c>
      <c r="J2" s="191">
        <v>11.43</v>
      </c>
      <c r="K2" s="191">
        <v>13</v>
      </c>
      <c r="L2" s="191">
        <v>5</v>
      </c>
    </row>
    <row r="3" spans="1:12" ht="12">
      <c r="A3" s="236" t="s">
        <v>195</v>
      </c>
      <c r="B3" s="237" t="s">
        <v>196</v>
      </c>
      <c r="C3" s="268"/>
      <c r="D3" s="237"/>
      <c r="E3" s="237"/>
      <c r="F3" s="266" t="b">
        <f>'Rentecalc.'!I4</f>
        <v>1</v>
      </c>
      <c r="G3" s="268" t="s">
        <v>194</v>
      </c>
      <c r="H3" s="237"/>
      <c r="I3" s="237"/>
      <c r="J3" s="237"/>
      <c r="K3" s="238"/>
      <c r="L3" s="237"/>
    </row>
    <row r="4" spans="1:12" ht="12.75">
      <c r="A4" s="512"/>
      <c r="B4" s="236"/>
      <c r="C4" s="265"/>
      <c r="D4" s="239"/>
      <c r="E4" s="239"/>
      <c r="F4" s="240"/>
      <c r="G4" s="265"/>
      <c r="H4" s="239"/>
      <c r="I4" s="239"/>
      <c r="J4" s="239"/>
      <c r="K4" s="238"/>
      <c r="L4" s="241"/>
    </row>
    <row r="5" spans="1:12" ht="12">
      <c r="A5" s="242"/>
      <c r="B5" s="243" t="s">
        <v>190</v>
      </c>
      <c r="C5" s="244"/>
      <c r="D5" s="243" t="s">
        <v>191</v>
      </c>
      <c r="E5" s="244"/>
      <c r="F5" s="244"/>
      <c r="G5" s="244"/>
      <c r="H5" s="245"/>
      <c r="I5" s="246"/>
      <c r="J5" s="244"/>
      <c r="K5" s="247" t="s">
        <v>192</v>
      </c>
      <c r="L5" s="248"/>
    </row>
    <row r="6" spans="1:12" ht="12">
      <c r="A6" s="249"/>
      <c r="B6" s="250"/>
      <c r="C6" s="251"/>
      <c r="D6" s="252"/>
      <c r="E6" s="251"/>
      <c r="F6" s="251"/>
      <c r="G6" s="251"/>
      <c r="H6" s="251"/>
      <c r="I6" s="251"/>
      <c r="J6" s="251"/>
      <c r="K6" s="253" t="s">
        <v>193</v>
      </c>
      <c r="L6" s="248"/>
    </row>
    <row r="7" spans="1:12" ht="12">
      <c r="A7" s="513">
        <v>1001</v>
      </c>
      <c r="B7" s="34"/>
      <c r="C7" s="34"/>
      <c r="D7" s="269"/>
      <c r="E7" s="270"/>
      <c r="F7" s="270"/>
      <c r="G7" s="270"/>
      <c r="H7" s="270"/>
      <c r="I7" s="270"/>
      <c r="J7" s="56"/>
      <c r="K7" s="34"/>
      <c r="L7" s="254"/>
    </row>
    <row r="8" spans="1:12" ht="12">
      <c r="A8" s="513">
        <f aca="true" t="shared" si="0" ref="A8:A25">A7+1</f>
        <v>1002</v>
      </c>
      <c r="B8" s="34"/>
      <c r="C8" s="34"/>
      <c r="D8" s="269"/>
      <c r="E8" s="270"/>
      <c r="F8" s="270"/>
      <c r="G8" s="270"/>
      <c r="H8" s="270"/>
      <c r="I8" s="270"/>
      <c r="J8" s="56"/>
      <c r="K8" s="34"/>
      <c r="L8" s="254"/>
    </row>
    <row r="9" spans="1:12" ht="12">
      <c r="A9" s="513">
        <f t="shared" si="0"/>
        <v>1003</v>
      </c>
      <c r="B9" s="34"/>
      <c r="C9" s="34"/>
      <c r="D9" s="269"/>
      <c r="E9" s="270"/>
      <c r="F9" s="270"/>
      <c r="G9" s="270"/>
      <c r="H9" s="270"/>
      <c r="I9" s="270"/>
      <c r="J9" s="56"/>
      <c r="K9" s="34"/>
      <c r="L9" s="254"/>
    </row>
    <row r="10" spans="1:12" ht="12">
      <c r="A10" s="513">
        <f t="shared" si="0"/>
        <v>1004</v>
      </c>
      <c r="B10" s="34"/>
      <c r="C10" s="34"/>
      <c r="D10" s="269"/>
      <c r="E10" s="270"/>
      <c r="F10" s="270"/>
      <c r="G10" s="270"/>
      <c r="H10" s="270"/>
      <c r="I10" s="270"/>
      <c r="J10" s="56"/>
      <c r="K10" s="34"/>
      <c r="L10" s="254"/>
    </row>
    <row r="11" spans="1:12" ht="12">
      <c r="A11" s="513">
        <f t="shared" si="0"/>
        <v>1005</v>
      </c>
      <c r="B11" s="34"/>
      <c r="C11" s="34"/>
      <c r="D11" s="269"/>
      <c r="E11" s="270"/>
      <c r="F11" s="270"/>
      <c r="G11" s="270"/>
      <c r="H11" s="270"/>
      <c r="I11" s="270"/>
      <c r="J11" s="56"/>
      <c r="K11" s="34"/>
      <c r="L11" s="254"/>
    </row>
    <row r="12" spans="1:12" ht="12">
      <c r="A12" s="513">
        <f t="shared" si="0"/>
        <v>1006</v>
      </c>
      <c r="B12" s="34"/>
      <c r="C12" s="34"/>
      <c r="D12" s="269"/>
      <c r="E12" s="270"/>
      <c r="F12" s="270"/>
      <c r="G12" s="270"/>
      <c r="H12" s="270"/>
      <c r="I12" s="270"/>
      <c r="J12" s="56"/>
      <c r="K12" s="34"/>
      <c r="L12" s="254"/>
    </row>
    <row r="13" spans="1:12" ht="12">
      <c r="A13" s="513">
        <f t="shared" si="0"/>
        <v>1007</v>
      </c>
      <c r="B13" s="34"/>
      <c r="C13" s="34"/>
      <c r="D13" s="269"/>
      <c r="E13" s="270"/>
      <c r="F13" s="270"/>
      <c r="G13" s="270"/>
      <c r="H13" s="270"/>
      <c r="I13" s="270"/>
      <c r="J13" s="56"/>
      <c r="K13" s="34"/>
      <c r="L13" s="254"/>
    </row>
    <row r="14" spans="1:12" ht="12">
      <c r="A14" s="513">
        <f t="shared" si="0"/>
        <v>1008</v>
      </c>
      <c r="B14" s="34"/>
      <c r="C14" s="34"/>
      <c r="D14" s="269"/>
      <c r="E14" s="270"/>
      <c r="F14" s="270"/>
      <c r="G14" s="270"/>
      <c r="H14" s="270"/>
      <c r="I14" s="270"/>
      <c r="J14" s="56"/>
      <c r="K14" s="34"/>
      <c r="L14" s="254"/>
    </row>
    <row r="15" spans="1:12" ht="12">
      <c r="A15" s="513">
        <f t="shared" si="0"/>
        <v>1009</v>
      </c>
      <c r="B15" s="34"/>
      <c r="C15" s="34"/>
      <c r="D15" s="269"/>
      <c r="E15" s="270"/>
      <c r="F15" s="270"/>
      <c r="G15" s="270"/>
      <c r="H15" s="270"/>
      <c r="I15" s="270"/>
      <c r="J15" s="56"/>
      <c r="K15" s="34"/>
      <c r="L15" s="254"/>
    </row>
    <row r="16" spans="1:12" ht="12">
      <c r="A16" s="513">
        <f t="shared" si="0"/>
        <v>1010</v>
      </c>
      <c r="B16" s="34"/>
      <c r="C16" s="34"/>
      <c r="D16" s="269"/>
      <c r="E16" s="270"/>
      <c r="F16" s="270"/>
      <c r="G16" s="270"/>
      <c r="H16" s="270"/>
      <c r="I16" s="270"/>
      <c r="J16" s="56"/>
      <c r="K16" s="34"/>
      <c r="L16" s="254"/>
    </row>
    <row r="17" spans="1:12" ht="12">
      <c r="A17" s="513">
        <f t="shared" si="0"/>
        <v>1011</v>
      </c>
      <c r="B17" s="34"/>
      <c r="C17" s="34"/>
      <c r="D17" s="269"/>
      <c r="E17" s="270"/>
      <c r="F17" s="270"/>
      <c r="G17" s="270"/>
      <c r="H17" s="270"/>
      <c r="I17" s="270"/>
      <c r="J17" s="56"/>
      <c r="K17" s="34"/>
      <c r="L17" s="254"/>
    </row>
    <row r="18" spans="1:12" ht="12">
      <c r="A18" s="513">
        <f t="shared" si="0"/>
        <v>1012</v>
      </c>
      <c r="B18" s="34"/>
      <c r="C18" s="34"/>
      <c r="D18" s="269"/>
      <c r="E18" s="270"/>
      <c r="F18" s="270"/>
      <c r="G18" s="270"/>
      <c r="H18" s="270"/>
      <c r="I18" s="270"/>
      <c r="J18" s="56"/>
      <c r="K18" s="34"/>
      <c r="L18" s="254"/>
    </row>
    <row r="19" spans="1:12" ht="12">
      <c r="A19" s="513">
        <f t="shared" si="0"/>
        <v>1013</v>
      </c>
      <c r="B19" s="34"/>
      <c r="C19" s="34"/>
      <c r="D19" s="269"/>
      <c r="E19" s="270"/>
      <c r="F19" s="270"/>
      <c r="G19" s="270"/>
      <c r="H19" s="270"/>
      <c r="I19" s="270"/>
      <c r="J19" s="56"/>
      <c r="K19" s="34"/>
      <c r="L19" s="254"/>
    </row>
    <row r="20" spans="1:12" ht="12">
      <c r="A20" s="513">
        <f t="shared" si="0"/>
        <v>1014</v>
      </c>
      <c r="B20" s="34"/>
      <c r="C20" s="34"/>
      <c r="D20" s="269"/>
      <c r="E20" s="270"/>
      <c r="F20" s="270"/>
      <c r="G20" s="270"/>
      <c r="H20" s="270"/>
      <c r="I20" s="270"/>
      <c r="J20" s="56"/>
      <c r="K20" s="34"/>
      <c r="L20" s="254"/>
    </row>
    <row r="21" spans="1:12" ht="12">
      <c r="A21" s="513">
        <f t="shared" si="0"/>
        <v>1015</v>
      </c>
      <c r="B21" s="34"/>
      <c r="C21" s="34"/>
      <c r="D21" s="269"/>
      <c r="E21" s="270"/>
      <c r="F21" s="270"/>
      <c r="G21" s="270"/>
      <c r="H21" s="270"/>
      <c r="I21" s="270"/>
      <c r="J21" s="56"/>
      <c r="K21" s="34"/>
      <c r="L21" s="254"/>
    </row>
    <row r="22" spans="1:12" ht="12">
      <c r="A22" s="514">
        <f t="shared" si="0"/>
        <v>1016</v>
      </c>
      <c r="B22" s="34"/>
      <c r="C22" s="34"/>
      <c r="D22" s="271"/>
      <c r="E22" s="272"/>
      <c r="F22" s="272"/>
      <c r="G22" s="272"/>
      <c r="H22" s="272"/>
      <c r="I22" s="272"/>
      <c r="J22" s="273"/>
      <c r="K22" s="34"/>
      <c r="L22" s="254"/>
    </row>
    <row r="23" spans="1:12" ht="12">
      <c r="A23" s="255">
        <f t="shared" si="0"/>
        <v>1017</v>
      </c>
      <c r="B23" s="256" t="str">
        <f>"Totaal (regel "&amp;A7&amp;" t/m regel "&amp;A22&amp;")"</f>
        <v>Totaal (regel 1001 t/m regel 1016)</v>
      </c>
      <c r="C23" s="257"/>
      <c r="D23" s="257"/>
      <c r="E23" s="257"/>
      <c r="F23" s="257"/>
      <c r="G23" s="257"/>
      <c r="H23" s="257"/>
      <c r="I23" s="257"/>
      <c r="J23" s="258"/>
      <c r="K23" s="259">
        <f>SUM(K7:K22)</f>
        <v>0</v>
      </c>
      <c r="L23" s="260"/>
    </row>
    <row r="24" spans="1:12" ht="12">
      <c r="A24" s="515">
        <f t="shared" si="0"/>
        <v>1018</v>
      </c>
      <c r="B24" s="261" t="s">
        <v>247</v>
      </c>
      <c r="C24" s="262"/>
      <c r="D24" s="262"/>
      <c r="E24" s="262"/>
      <c r="F24" s="262"/>
      <c r="G24" s="262"/>
      <c r="H24" s="262"/>
      <c r="I24" s="262"/>
      <c r="J24" s="262"/>
      <c r="K24" s="263">
        <f>'Rentecalc.'!J27</f>
        <v>0</v>
      </c>
      <c r="L24" s="264"/>
    </row>
    <row r="25" spans="1:12" ht="12">
      <c r="A25" s="255">
        <f t="shared" si="0"/>
        <v>1019</v>
      </c>
      <c r="B25" s="256" t="str">
        <f>"Verschil (regel "&amp;A23&amp;" -/- regel "&amp;A24&amp;")"</f>
        <v>Verschil (regel 1017 -/- regel 1018)</v>
      </c>
      <c r="C25" s="257"/>
      <c r="D25" s="257"/>
      <c r="E25" s="257"/>
      <c r="F25" s="257"/>
      <c r="G25" s="257"/>
      <c r="H25" s="257"/>
      <c r="I25" s="257"/>
      <c r="J25" s="258"/>
      <c r="K25" s="259">
        <f>K23-K24</f>
        <v>0</v>
      </c>
      <c r="L25" s="260"/>
    </row>
    <row r="26" ht="12"/>
    <row r="27" ht="12"/>
    <row r="28" ht="12"/>
    <row r="29" ht="12"/>
    <row r="30" ht="12"/>
    <row r="31" ht="12"/>
    <row r="32" ht="12"/>
    <row r="33" ht="12"/>
    <row r="34" ht="12"/>
    <row r="35" ht="12"/>
    <row r="36" ht="12"/>
  </sheetData>
  <sheetProtection password="E296" sheet="1" objects="1" scenarios="1"/>
  <conditionalFormatting sqref="B7:K22">
    <cfRule type="expression" priority="1" dxfId="1" stopIfTrue="1">
      <formula>$F$3=TRUE</formula>
    </cfRule>
  </conditionalFormatting>
  <dataValidations count="3">
    <dataValidation type="custom" allowBlank="1" showInputMessage="1" showErrorMessage="1" sqref="L7:L22">
      <formula1>OR($L$1="140",$M$1="145")</formula1>
    </dataValidation>
    <dataValidation allowBlank="1" showInputMessage="1" showErrorMessage="1" errorTitle="Onjuiste invoer:" error="- de invoer moet een geheel getal zijn" sqref="K24:K25"/>
    <dataValidation type="whole" allowBlank="1" showInputMessage="1" showErrorMessage="1" errorTitle="Onjuiste invoer:" error="- de invoer moet een geheel getal zijn" sqref="L23:L25 K23">
      <formula1>$W23</formula1>
      <formula2>$X23</formula2>
    </dataValidation>
  </dataValidations>
  <printOptions/>
  <pageMargins left="0.75" right="0.75" top="1" bottom="1" header="0.5" footer="0.5"/>
  <pageSetup firstPageNumber="10" useFirstPageNumber="1" horizontalDpi="600" verticalDpi="600" orientation="landscape" scale="95" r:id="rId2"/>
  <headerFooter alignWithMargins="0">
    <oddHeader>&amp;LAWBZ-BREED CALCULATIEMODEL RENTEKOSTEN 2009&amp;R&amp;G</oddHeader>
    <oddFooter>&amp;R&amp;P</oddFooter>
  </headerFooter>
  <ignoredErrors>
    <ignoredError sqref="K23" emptyCellReference="1"/>
  </ignoredErrors>
  <legacyDrawingHF r:id="rId1"/>
</worksheet>
</file>

<file path=xl/worksheets/sheet8.xml><?xml version="1.0" encoding="utf-8"?>
<worksheet xmlns="http://schemas.openxmlformats.org/spreadsheetml/2006/main" xmlns:r="http://schemas.openxmlformats.org/officeDocument/2006/relationships">
  <dimension ref="A1:L97"/>
  <sheetViews>
    <sheetView showGridLines="0" zoomScale="90" zoomScaleNormal="90" zoomScaleSheetLayoutView="75" workbookViewId="0" topLeftCell="A3">
      <selection activeCell="A3" sqref="A3"/>
    </sheetView>
  </sheetViews>
  <sheetFormatPr defaultColWidth="9.140625" defaultRowHeight="12.75" zeroHeight="1"/>
  <cols>
    <col min="1" max="1" width="9.7109375" style="438" bestFit="1" customWidth="1"/>
    <col min="2" max="2" width="9.28125" style="438" bestFit="1" customWidth="1"/>
    <col min="3" max="3" width="40.421875" style="438" customWidth="1"/>
    <col min="4" max="4" width="6.7109375" style="438" customWidth="1"/>
    <col min="5" max="5" width="12.7109375" style="438" hidden="1" customWidth="1"/>
    <col min="6" max="6" width="12.00390625" style="438" customWidth="1"/>
    <col min="7" max="7" width="12.57421875" style="438" customWidth="1"/>
    <col min="8" max="8" width="14.8515625" style="438" customWidth="1"/>
    <col min="9" max="9" width="9.28125" style="438" customWidth="1"/>
    <col min="10" max="10" width="15.421875" style="438" customWidth="1"/>
    <col min="11" max="11" width="12.28125" style="438" customWidth="1"/>
    <col min="12" max="12" width="13.57421875" style="438" customWidth="1"/>
    <col min="13" max="13" width="2.140625" style="438" customWidth="1"/>
    <col min="14" max="16384" width="9.140625" style="438" hidden="1" customWidth="1"/>
  </cols>
  <sheetData>
    <row r="1" spans="1:12" s="267" customFormat="1" ht="12" hidden="1">
      <c r="A1" s="510" t="b">
        <v>1</v>
      </c>
      <c r="B1" s="235" t="s">
        <v>189</v>
      </c>
      <c r="C1" s="190"/>
      <c r="D1" s="190"/>
      <c r="E1" s="190"/>
      <c r="F1" s="190"/>
      <c r="G1" s="190"/>
      <c r="H1" s="190"/>
      <c r="I1" s="190"/>
      <c r="J1" s="191"/>
      <c r="K1" s="191"/>
      <c r="L1" s="190"/>
    </row>
    <row r="2" spans="1:12" s="267" customFormat="1" ht="12" hidden="1">
      <c r="A2" s="511">
        <v>6</v>
      </c>
      <c r="B2" s="191">
        <v>6.43</v>
      </c>
      <c r="C2" s="190">
        <v>8.43</v>
      </c>
      <c r="D2" s="190">
        <v>14.86</v>
      </c>
      <c r="E2" s="190">
        <v>22.57</v>
      </c>
      <c r="F2" s="190">
        <v>11.86</v>
      </c>
      <c r="G2" s="190">
        <v>11.86</v>
      </c>
      <c r="H2" s="190">
        <v>11</v>
      </c>
      <c r="I2" s="190">
        <v>11.14</v>
      </c>
      <c r="J2" s="191">
        <v>11.43</v>
      </c>
      <c r="K2" s="191">
        <v>13</v>
      </c>
      <c r="L2" s="191">
        <v>5</v>
      </c>
    </row>
    <row r="3" spans="1:8" ht="12.75">
      <c r="A3" s="437" t="s">
        <v>243</v>
      </c>
      <c r="B3" s="364" t="s">
        <v>300</v>
      </c>
      <c r="F3" s="268"/>
      <c r="G3" s="266"/>
      <c r="H3" s="518" t="b">
        <f>'Rentecalc.'!I4</f>
        <v>1</v>
      </c>
    </row>
    <row r="4" spans="1:11" ht="12.75">
      <c r="A4" s="177" t="s">
        <v>140</v>
      </c>
      <c r="B4" s="177" t="s">
        <v>268</v>
      </c>
      <c r="C4" s="63"/>
      <c r="D4" s="178"/>
      <c r="E4" s="178"/>
      <c r="F4" s="178"/>
      <c r="G4" s="178"/>
      <c r="H4" s="178"/>
      <c r="I4" s="178"/>
      <c r="J4" s="178"/>
      <c r="K4" s="441"/>
    </row>
    <row r="5" spans="1:12" ht="12.75">
      <c r="A5" s="611"/>
      <c r="B5" s="483"/>
      <c r="C5" s="483"/>
      <c r="F5" s="483"/>
      <c r="G5" s="179" t="s">
        <v>269</v>
      </c>
      <c r="H5" s="179" t="s">
        <v>270</v>
      </c>
      <c r="I5" s="179" t="s">
        <v>113</v>
      </c>
      <c r="J5" s="179" t="s">
        <v>19</v>
      </c>
      <c r="K5" s="179" t="s">
        <v>94</v>
      </c>
      <c r="L5" s="179" t="s">
        <v>141</v>
      </c>
    </row>
    <row r="6" spans="1:12" ht="15">
      <c r="A6" s="611"/>
      <c r="B6" s="507" t="s">
        <v>304</v>
      </c>
      <c r="C6" s="483"/>
      <c r="F6" s="483"/>
      <c r="G6" s="180" t="s">
        <v>271</v>
      </c>
      <c r="H6" s="180" t="s">
        <v>272</v>
      </c>
      <c r="I6" s="180" t="s">
        <v>273</v>
      </c>
      <c r="J6" s="180" t="s">
        <v>274</v>
      </c>
      <c r="K6" s="180"/>
      <c r="L6" s="180" t="s">
        <v>142</v>
      </c>
    </row>
    <row r="7" spans="1:12" ht="12.75">
      <c r="A7" s="611"/>
      <c r="B7" s="483"/>
      <c r="C7" s="483"/>
      <c r="F7" s="483"/>
      <c r="G7" s="180" t="s">
        <v>275</v>
      </c>
      <c r="H7" s="180" t="s">
        <v>276</v>
      </c>
      <c r="I7" s="180" t="s">
        <v>277</v>
      </c>
      <c r="J7" s="180"/>
      <c r="K7" s="180"/>
      <c r="L7" s="180"/>
    </row>
    <row r="8" spans="1:12" ht="12.75">
      <c r="A8" s="440">
        <v>1101</v>
      </c>
      <c r="B8" s="433" t="s">
        <v>278</v>
      </c>
      <c r="C8" s="484"/>
      <c r="D8" s="531"/>
      <c r="E8" s="531"/>
      <c r="F8" s="485">
        <v>2001</v>
      </c>
      <c r="G8" s="34"/>
      <c r="H8" s="34"/>
      <c r="I8" s="181">
        <v>16.39</v>
      </c>
      <c r="J8" s="486">
        <f>IF((G8+H8)=0,"",ROUND(+(G8+H8)*I8,0))</f>
      </c>
      <c r="K8" s="181">
        <v>0.15</v>
      </c>
      <c r="L8" s="487">
        <f>IF(J8="","",+ROUND(J8*K8,0))</f>
      </c>
    </row>
    <row r="9" spans="1:12" ht="12.75">
      <c r="A9" s="440">
        <f>A8+1</f>
        <v>1102</v>
      </c>
      <c r="B9" s="299" t="s">
        <v>279</v>
      </c>
      <c r="C9" s="488"/>
      <c r="D9" s="439"/>
      <c r="E9" s="439"/>
      <c r="F9" s="489">
        <v>2002</v>
      </c>
      <c r="G9" s="34"/>
      <c r="H9" s="34"/>
      <c r="I9" s="181">
        <v>16.9</v>
      </c>
      <c r="J9" s="486">
        <f aca="true" t="shared" si="0" ref="J9:J52">IF((G9+H9)=0,"",ROUND(+(G9+H9)*I9,0))</f>
      </c>
      <c r="K9" s="181">
        <v>0.25</v>
      </c>
      <c r="L9" s="487">
        <f aca="true" t="shared" si="1" ref="L9:L52">IF(J9="","",+ROUND(J9*K9,0))</f>
      </c>
    </row>
    <row r="10" spans="1:12" ht="12.75">
      <c r="A10" s="440">
        <f aca="true" t="shared" si="2" ref="A10:A52">A9+1</f>
        <v>1103</v>
      </c>
      <c r="B10" s="299"/>
      <c r="C10" s="488"/>
      <c r="D10" s="439"/>
      <c r="E10" s="439"/>
      <c r="F10" s="489">
        <v>2003</v>
      </c>
      <c r="G10" s="34"/>
      <c r="H10" s="34"/>
      <c r="I10" s="181">
        <v>17.37</v>
      </c>
      <c r="J10" s="486">
        <f t="shared" si="0"/>
      </c>
      <c r="K10" s="181">
        <v>0.35</v>
      </c>
      <c r="L10" s="487">
        <f t="shared" si="1"/>
      </c>
    </row>
    <row r="11" spans="1:12" ht="12.75">
      <c r="A11" s="440">
        <f t="shared" si="2"/>
        <v>1104</v>
      </c>
      <c r="B11" s="299"/>
      <c r="C11" s="488"/>
      <c r="D11" s="439"/>
      <c r="E11" s="439"/>
      <c r="F11" s="489">
        <v>2004</v>
      </c>
      <c r="G11" s="34"/>
      <c r="H11" s="34"/>
      <c r="I11" s="181">
        <v>17.51</v>
      </c>
      <c r="J11" s="486">
        <f t="shared" si="0"/>
      </c>
      <c r="K11" s="181">
        <v>0.45</v>
      </c>
      <c r="L11" s="487">
        <f t="shared" si="1"/>
      </c>
    </row>
    <row r="12" spans="1:12" ht="12.75" customHeight="1">
      <c r="A12" s="440">
        <f t="shared" si="2"/>
        <v>1105</v>
      </c>
      <c r="B12" s="299"/>
      <c r="C12" s="488"/>
      <c r="D12" s="439"/>
      <c r="E12" s="439"/>
      <c r="F12" s="489">
        <v>2005</v>
      </c>
      <c r="G12" s="34"/>
      <c r="H12" s="34"/>
      <c r="I12" s="181">
        <v>17.76</v>
      </c>
      <c r="J12" s="486">
        <f t="shared" si="0"/>
      </c>
      <c r="K12" s="181">
        <v>0.55</v>
      </c>
      <c r="L12" s="487">
        <f t="shared" si="1"/>
      </c>
    </row>
    <row r="13" spans="1:12" ht="12.75">
      <c r="A13" s="440">
        <f t="shared" si="2"/>
        <v>1106</v>
      </c>
      <c r="B13" s="299"/>
      <c r="C13" s="488"/>
      <c r="D13" s="439"/>
      <c r="E13" s="439"/>
      <c r="F13" s="489">
        <v>2006</v>
      </c>
      <c r="G13" s="34"/>
      <c r="H13" s="34"/>
      <c r="I13" s="181">
        <v>18.2</v>
      </c>
      <c r="J13" s="486">
        <f t="shared" si="0"/>
      </c>
      <c r="K13" s="181">
        <v>0.65</v>
      </c>
      <c r="L13" s="487">
        <f t="shared" si="1"/>
      </c>
    </row>
    <row r="14" spans="1:12" ht="12.75">
      <c r="A14" s="440">
        <f t="shared" si="2"/>
        <v>1107</v>
      </c>
      <c r="B14" s="299"/>
      <c r="C14" s="488"/>
      <c r="D14" s="439"/>
      <c r="E14" s="439"/>
      <c r="F14" s="489">
        <v>2007</v>
      </c>
      <c r="G14" s="34"/>
      <c r="H14" s="34"/>
      <c r="I14" s="181">
        <v>18.47</v>
      </c>
      <c r="J14" s="486">
        <f t="shared" si="0"/>
      </c>
      <c r="K14" s="181">
        <v>0.75</v>
      </c>
      <c r="L14" s="487">
        <f t="shared" si="1"/>
      </c>
    </row>
    <row r="15" spans="1:12" ht="12.75">
      <c r="A15" s="440">
        <f t="shared" si="2"/>
        <v>1108</v>
      </c>
      <c r="B15" s="299"/>
      <c r="C15" s="488"/>
      <c r="D15" s="439"/>
      <c r="E15" s="439"/>
      <c r="F15" s="489">
        <v>2008</v>
      </c>
      <c r="G15" s="34"/>
      <c r="H15" s="34"/>
      <c r="I15" s="181">
        <v>18.96</v>
      </c>
      <c r="J15" s="486">
        <f t="shared" si="0"/>
      </c>
      <c r="K15" s="181">
        <v>0.85</v>
      </c>
      <c r="L15" s="487">
        <f t="shared" si="1"/>
      </c>
    </row>
    <row r="16" spans="1:12" ht="12.75">
      <c r="A16" s="440">
        <f t="shared" si="2"/>
        <v>1109</v>
      </c>
      <c r="B16" s="490"/>
      <c r="C16" s="491"/>
      <c r="D16" s="532"/>
      <c r="E16" s="532"/>
      <c r="F16" s="492">
        <v>2009</v>
      </c>
      <c r="G16" s="34"/>
      <c r="H16" s="34"/>
      <c r="I16" s="181">
        <v>19.13</v>
      </c>
      <c r="J16" s="486">
        <f t="shared" si="0"/>
      </c>
      <c r="K16" s="181">
        <v>0.95</v>
      </c>
      <c r="L16" s="487">
        <f t="shared" si="1"/>
      </c>
    </row>
    <row r="17" spans="1:12" ht="12.75">
      <c r="A17" s="313">
        <f t="shared" si="2"/>
        <v>1110</v>
      </c>
      <c r="B17" s="493" t="s">
        <v>280</v>
      </c>
      <c r="C17" s="484"/>
      <c r="D17" s="531"/>
      <c r="E17" s="533"/>
      <c r="F17" s="485">
        <v>2001</v>
      </c>
      <c r="G17" s="34"/>
      <c r="H17" s="34"/>
      <c r="I17" s="181">
        <v>12.17</v>
      </c>
      <c r="J17" s="486">
        <f t="shared" si="0"/>
      </c>
      <c r="K17" s="181">
        <v>0.15</v>
      </c>
      <c r="L17" s="487">
        <f t="shared" si="1"/>
      </c>
    </row>
    <row r="18" spans="1:12" ht="12.75">
      <c r="A18" s="313">
        <f t="shared" si="2"/>
        <v>1111</v>
      </c>
      <c r="B18" s="299" t="s">
        <v>281</v>
      </c>
      <c r="C18" s="488"/>
      <c r="D18" s="439"/>
      <c r="E18" s="442"/>
      <c r="F18" s="489">
        <v>2002</v>
      </c>
      <c r="G18" s="34"/>
      <c r="H18" s="34"/>
      <c r="I18" s="181">
        <v>12.55</v>
      </c>
      <c r="J18" s="486">
        <f t="shared" si="0"/>
      </c>
      <c r="K18" s="181">
        <v>0.25</v>
      </c>
      <c r="L18" s="487">
        <f t="shared" si="1"/>
      </c>
    </row>
    <row r="19" spans="1:12" ht="12.75">
      <c r="A19" s="313">
        <f t="shared" si="2"/>
        <v>1112</v>
      </c>
      <c r="B19" s="299" t="s">
        <v>279</v>
      </c>
      <c r="C19" s="488"/>
      <c r="D19" s="439"/>
      <c r="E19" s="442"/>
      <c r="F19" s="489">
        <v>2003</v>
      </c>
      <c r="G19" s="34"/>
      <c r="H19" s="34"/>
      <c r="I19" s="181">
        <v>12.9</v>
      </c>
      <c r="J19" s="486">
        <f t="shared" si="0"/>
      </c>
      <c r="K19" s="181">
        <v>0.35</v>
      </c>
      <c r="L19" s="487">
        <f t="shared" si="1"/>
      </c>
    </row>
    <row r="20" spans="1:12" ht="12.75">
      <c r="A20" s="313">
        <f t="shared" si="2"/>
        <v>1113</v>
      </c>
      <c r="B20" s="299" t="s">
        <v>282</v>
      </c>
      <c r="C20" s="488"/>
      <c r="D20" s="439"/>
      <c r="E20" s="442"/>
      <c r="F20" s="489">
        <v>2004</v>
      </c>
      <c r="G20" s="34"/>
      <c r="H20" s="34"/>
      <c r="I20" s="181">
        <v>13</v>
      </c>
      <c r="J20" s="486">
        <f t="shared" si="0"/>
      </c>
      <c r="K20" s="181">
        <v>0.45</v>
      </c>
      <c r="L20" s="487">
        <f t="shared" si="1"/>
      </c>
    </row>
    <row r="21" spans="1:12" ht="12.75">
      <c r="A21" s="313">
        <f t="shared" si="2"/>
        <v>1114</v>
      </c>
      <c r="B21" s="299"/>
      <c r="C21" s="488"/>
      <c r="D21" s="439"/>
      <c r="E21" s="442"/>
      <c r="F21" s="489">
        <v>2005</v>
      </c>
      <c r="G21" s="34"/>
      <c r="H21" s="34"/>
      <c r="I21" s="181">
        <v>13.18</v>
      </c>
      <c r="J21" s="486">
        <f t="shared" si="0"/>
      </c>
      <c r="K21" s="181">
        <v>0.55</v>
      </c>
      <c r="L21" s="487">
        <f t="shared" si="1"/>
      </c>
    </row>
    <row r="22" spans="1:12" ht="12.75">
      <c r="A22" s="313">
        <f t="shared" si="2"/>
        <v>1115</v>
      </c>
      <c r="B22" s="299"/>
      <c r="C22" s="488"/>
      <c r="D22" s="439"/>
      <c r="E22" s="442"/>
      <c r="F22" s="489">
        <v>2006</v>
      </c>
      <c r="G22" s="34"/>
      <c r="H22" s="34"/>
      <c r="I22" s="181">
        <v>13.51</v>
      </c>
      <c r="J22" s="486">
        <f t="shared" si="0"/>
      </c>
      <c r="K22" s="181">
        <v>0.65</v>
      </c>
      <c r="L22" s="487">
        <f t="shared" si="1"/>
      </c>
    </row>
    <row r="23" spans="1:12" ht="12.75">
      <c r="A23" s="313">
        <f t="shared" si="2"/>
        <v>1116</v>
      </c>
      <c r="B23" s="299"/>
      <c r="C23" s="488"/>
      <c r="D23" s="439"/>
      <c r="E23" s="442"/>
      <c r="F23" s="489">
        <v>2007</v>
      </c>
      <c r="G23" s="34"/>
      <c r="H23" s="34"/>
      <c r="I23" s="181">
        <v>13.71</v>
      </c>
      <c r="J23" s="486">
        <f t="shared" si="0"/>
      </c>
      <c r="K23" s="181">
        <v>0.75</v>
      </c>
      <c r="L23" s="487">
        <f t="shared" si="1"/>
      </c>
    </row>
    <row r="24" spans="1:12" ht="12.75">
      <c r="A24" s="313">
        <f t="shared" si="2"/>
        <v>1117</v>
      </c>
      <c r="B24" s="299"/>
      <c r="C24" s="488"/>
      <c r="D24" s="439"/>
      <c r="E24" s="442"/>
      <c r="F24" s="489">
        <v>2008</v>
      </c>
      <c r="G24" s="34"/>
      <c r="H24" s="34"/>
      <c r="I24" s="181">
        <v>14.08</v>
      </c>
      <c r="J24" s="486">
        <f t="shared" si="0"/>
      </c>
      <c r="K24" s="181">
        <v>0.85</v>
      </c>
      <c r="L24" s="487">
        <f t="shared" si="1"/>
      </c>
    </row>
    <row r="25" spans="1:12" ht="12.75">
      <c r="A25" s="313">
        <f t="shared" si="2"/>
        <v>1118</v>
      </c>
      <c r="B25" s="490"/>
      <c r="C25" s="491"/>
      <c r="D25" s="532"/>
      <c r="E25" s="534"/>
      <c r="F25" s="492">
        <v>2009</v>
      </c>
      <c r="G25" s="34"/>
      <c r="H25" s="34"/>
      <c r="I25" s="181">
        <v>14.2</v>
      </c>
      <c r="J25" s="486">
        <f t="shared" si="0"/>
      </c>
      <c r="K25" s="181">
        <v>0.95</v>
      </c>
      <c r="L25" s="487">
        <f t="shared" si="1"/>
      </c>
    </row>
    <row r="26" spans="1:12" ht="12.75">
      <c r="A26" s="313">
        <f t="shared" si="2"/>
        <v>1119</v>
      </c>
      <c r="B26" s="493" t="s">
        <v>283</v>
      </c>
      <c r="C26" s="484"/>
      <c r="D26" s="531"/>
      <c r="E26" s="533"/>
      <c r="F26" s="485">
        <v>2001</v>
      </c>
      <c r="G26" s="34"/>
      <c r="H26" s="34"/>
      <c r="I26" s="181">
        <v>11.97</v>
      </c>
      <c r="J26" s="486">
        <f t="shared" si="0"/>
      </c>
      <c r="K26" s="181">
        <v>0.15</v>
      </c>
      <c r="L26" s="487">
        <f t="shared" si="1"/>
      </c>
    </row>
    <row r="27" spans="1:12" ht="12.75">
      <c r="A27" s="313">
        <f t="shared" si="2"/>
        <v>1120</v>
      </c>
      <c r="B27" s="299" t="s">
        <v>284</v>
      </c>
      <c r="C27" s="488"/>
      <c r="D27" s="439"/>
      <c r="E27" s="442"/>
      <c r="F27" s="489">
        <v>2002</v>
      </c>
      <c r="G27" s="34"/>
      <c r="H27" s="34"/>
      <c r="I27" s="181">
        <v>12.34</v>
      </c>
      <c r="J27" s="486">
        <f t="shared" si="0"/>
      </c>
      <c r="K27" s="181">
        <v>0.25</v>
      </c>
      <c r="L27" s="487">
        <f t="shared" si="1"/>
      </c>
    </row>
    <row r="28" spans="1:12" ht="12.75">
      <c r="A28" s="313">
        <f t="shared" si="2"/>
        <v>1121</v>
      </c>
      <c r="B28" s="299"/>
      <c r="C28" s="488"/>
      <c r="D28" s="439"/>
      <c r="E28" s="442"/>
      <c r="F28" s="489">
        <v>2003</v>
      </c>
      <c r="G28" s="34"/>
      <c r="H28" s="34"/>
      <c r="I28" s="181">
        <v>12.69</v>
      </c>
      <c r="J28" s="486">
        <f t="shared" si="0"/>
      </c>
      <c r="K28" s="181">
        <v>0.35</v>
      </c>
      <c r="L28" s="487">
        <f t="shared" si="1"/>
      </c>
    </row>
    <row r="29" spans="1:12" ht="12.75">
      <c r="A29" s="313">
        <f t="shared" si="2"/>
        <v>1122</v>
      </c>
      <c r="B29" s="299"/>
      <c r="C29" s="488"/>
      <c r="D29" s="439"/>
      <c r="E29" s="442"/>
      <c r="F29" s="489">
        <v>2004</v>
      </c>
      <c r="G29" s="34"/>
      <c r="H29" s="34"/>
      <c r="I29" s="181">
        <v>12.79</v>
      </c>
      <c r="J29" s="486">
        <f t="shared" si="0"/>
      </c>
      <c r="K29" s="181">
        <v>0.45</v>
      </c>
      <c r="L29" s="487">
        <f t="shared" si="1"/>
      </c>
    </row>
    <row r="30" spans="1:12" ht="12.75">
      <c r="A30" s="313">
        <f t="shared" si="2"/>
        <v>1123</v>
      </c>
      <c r="B30" s="299"/>
      <c r="C30" s="488"/>
      <c r="D30" s="439"/>
      <c r="E30" s="442"/>
      <c r="F30" s="489">
        <v>2005</v>
      </c>
      <c r="G30" s="34"/>
      <c r="H30" s="34"/>
      <c r="I30" s="181">
        <v>12.97</v>
      </c>
      <c r="J30" s="486">
        <f t="shared" si="0"/>
      </c>
      <c r="K30" s="181">
        <v>0.55</v>
      </c>
      <c r="L30" s="487">
        <f t="shared" si="1"/>
      </c>
    </row>
    <row r="31" spans="1:12" ht="12.75">
      <c r="A31" s="313">
        <f t="shared" si="2"/>
        <v>1124</v>
      </c>
      <c r="B31" s="299"/>
      <c r="C31" s="488"/>
      <c r="D31" s="439"/>
      <c r="E31" s="442"/>
      <c r="F31" s="489">
        <v>2006</v>
      </c>
      <c r="G31" s="34"/>
      <c r="H31" s="34"/>
      <c r="I31" s="181">
        <v>13.29</v>
      </c>
      <c r="J31" s="486">
        <f t="shared" si="0"/>
      </c>
      <c r="K31" s="181">
        <v>0.65</v>
      </c>
      <c r="L31" s="487">
        <f t="shared" si="1"/>
      </c>
    </row>
    <row r="32" spans="1:12" ht="12.75">
      <c r="A32" s="313">
        <f t="shared" si="2"/>
        <v>1125</v>
      </c>
      <c r="B32" s="299"/>
      <c r="C32" s="488"/>
      <c r="D32" s="439"/>
      <c r="E32" s="442"/>
      <c r="F32" s="489">
        <v>2007</v>
      </c>
      <c r="G32" s="34"/>
      <c r="H32" s="34"/>
      <c r="I32" s="181">
        <v>13.49</v>
      </c>
      <c r="J32" s="486">
        <f t="shared" si="0"/>
      </c>
      <c r="K32" s="181">
        <v>0.75</v>
      </c>
      <c r="L32" s="487">
        <f t="shared" si="1"/>
      </c>
    </row>
    <row r="33" spans="1:12" ht="12.75">
      <c r="A33" s="313">
        <f t="shared" si="2"/>
        <v>1126</v>
      </c>
      <c r="B33" s="299"/>
      <c r="C33" s="488"/>
      <c r="D33" s="439"/>
      <c r="E33" s="442"/>
      <c r="F33" s="489">
        <v>2008</v>
      </c>
      <c r="G33" s="34"/>
      <c r="H33" s="34"/>
      <c r="I33" s="181">
        <v>13.85</v>
      </c>
      <c r="J33" s="486">
        <f t="shared" si="0"/>
      </c>
      <c r="K33" s="181">
        <v>0.85</v>
      </c>
      <c r="L33" s="487">
        <f t="shared" si="1"/>
      </c>
    </row>
    <row r="34" spans="1:12" ht="12.75">
      <c r="A34" s="313">
        <f t="shared" si="2"/>
        <v>1127</v>
      </c>
      <c r="B34" s="490"/>
      <c r="C34" s="491"/>
      <c r="D34" s="532"/>
      <c r="E34" s="534"/>
      <c r="F34" s="492">
        <v>2009</v>
      </c>
      <c r="G34" s="34"/>
      <c r="H34" s="34"/>
      <c r="I34" s="181">
        <v>13.97</v>
      </c>
      <c r="J34" s="486">
        <f t="shared" si="0"/>
      </c>
      <c r="K34" s="181">
        <v>0.95</v>
      </c>
      <c r="L34" s="487">
        <f t="shared" si="1"/>
      </c>
    </row>
    <row r="35" spans="1:12" ht="12.75">
      <c r="A35" s="313">
        <f t="shared" si="2"/>
        <v>1128</v>
      </c>
      <c r="B35" s="493" t="s">
        <v>285</v>
      </c>
      <c r="C35" s="484"/>
      <c r="D35" s="531"/>
      <c r="E35" s="533"/>
      <c r="F35" s="485">
        <v>2001</v>
      </c>
      <c r="G35" s="34"/>
      <c r="H35" s="34"/>
      <c r="I35" s="181">
        <v>26.35</v>
      </c>
      <c r="J35" s="486">
        <f t="shared" si="0"/>
      </c>
      <c r="K35" s="181">
        <v>0.15</v>
      </c>
      <c r="L35" s="487">
        <f t="shared" si="1"/>
      </c>
    </row>
    <row r="36" spans="1:12" ht="12.75">
      <c r="A36" s="313">
        <f t="shared" si="2"/>
        <v>1129</v>
      </c>
      <c r="B36" s="299" t="s">
        <v>279</v>
      </c>
      <c r="C36" s="488"/>
      <c r="D36" s="439"/>
      <c r="E36" s="442"/>
      <c r="F36" s="489">
        <v>2002</v>
      </c>
      <c r="G36" s="34"/>
      <c r="H36" s="34"/>
      <c r="I36" s="181">
        <v>27.16</v>
      </c>
      <c r="J36" s="486">
        <f t="shared" si="0"/>
      </c>
      <c r="K36" s="181">
        <v>0.25</v>
      </c>
      <c r="L36" s="487">
        <f t="shared" si="1"/>
      </c>
    </row>
    <row r="37" spans="1:12" ht="12.75">
      <c r="A37" s="313">
        <f t="shared" si="2"/>
        <v>1130</v>
      </c>
      <c r="B37" s="299"/>
      <c r="C37" s="488"/>
      <c r="D37" s="439"/>
      <c r="E37" s="442"/>
      <c r="F37" s="489">
        <v>2003</v>
      </c>
      <c r="G37" s="34"/>
      <c r="H37" s="34"/>
      <c r="I37" s="181">
        <v>27.92</v>
      </c>
      <c r="J37" s="486">
        <f t="shared" si="0"/>
      </c>
      <c r="K37" s="181">
        <v>0.35</v>
      </c>
      <c r="L37" s="487">
        <f t="shared" si="1"/>
      </c>
    </row>
    <row r="38" spans="1:12" ht="12.75">
      <c r="A38" s="313">
        <f t="shared" si="2"/>
        <v>1131</v>
      </c>
      <c r="B38" s="299"/>
      <c r="C38" s="488"/>
      <c r="D38" s="439"/>
      <c r="E38" s="442"/>
      <c r="F38" s="489">
        <v>2004</v>
      </c>
      <c r="G38" s="34"/>
      <c r="H38" s="34"/>
      <c r="I38" s="181">
        <v>28.14</v>
      </c>
      <c r="J38" s="486">
        <f t="shared" si="0"/>
      </c>
      <c r="K38" s="181">
        <v>0.45</v>
      </c>
      <c r="L38" s="487">
        <f t="shared" si="1"/>
      </c>
    </row>
    <row r="39" spans="1:12" ht="12.75">
      <c r="A39" s="313">
        <f t="shared" si="2"/>
        <v>1132</v>
      </c>
      <c r="B39" s="299"/>
      <c r="C39" s="488"/>
      <c r="D39" s="439"/>
      <c r="E39" s="442"/>
      <c r="F39" s="489">
        <v>2005</v>
      </c>
      <c r="G39" s="34"/>
      <c r="H39" s="34"/>
      <c r="I39" s="181">
        <v>28.54</v>
      </c>
      <c r="J39" s="486">
        <f t="shared" si="0"/>
      </c>
      <c r="K39" s="181">
        <v>0.55</v>
      </c>
      <c r="L39" s="487">
        <f t="shared" si="1"/>
      </c>
    </row>
    <row r="40" spans="1:12" ht="12.75">
      <c r="A40" s="313">
        <f t="shared" si="2"/>
        <v>1133</v>
      </c>
      <c r="B40" s="299"/>
      <c r="C40" s="488"/>
      <c r="D40" s="439"/>
      <c r="E40" s="442"/>
      <c r="F40" s="489">
        <v>2006</v>
      </c>
      <c r="G40" s="34"/>
      <c r="H40" s="34"/>
      <c r="I40" s="181">
        <v>29.24</v>
      </c>
      <c r="J40" s="486">
        <f t="shared" si="0"/>
      </c>
      <c r="K40" s="181">
        <v>0.65</v>
      </c>
      <c r="L40" s="487">
        <f t="shared" si="1"/>
      </c>
    </row>
    <row r="41" spans="1:12" ht="12.75">
      <c r="A41" s="313">
        <f t="shared" si="2"/>
        <v>1134</v>
      </c>
      <c r="B41" s="299"/>
      <c r="C41" s="488"/>
      <c r="D41" s="439"/>
      <c r="E41" s="442"/>
      <c r="F41" s="489">
        <v>2007</v>
      </c>
      <c r="G41" s="34"/>
      <c r="H41" s="34"/>
      <c r="I41" s="181">
        <v>29.68</v>
      </c>
      <c r="J41" s="486">
        <f t="shared" si="0"/>
      </c>
      <c r="K41" s="181">
        <v>0.75</v>
      </c>
      <c r="L41" s="487">
        <f t="shared" si="1"/>
      </c>
    </row>
    <row r="42" spans="1:12" ht="12.75">
      <c r="A42" s="313">
        <f t="shared" si="2"/>
        <v>1135</v>
      </c>
      <c r="B42" s="299"/>
      <c r="C42" s="488"/>
      <c r="D42" s="439"/>
      <c r="E42" s="442"/>
      <c r="F42" s="489">
        <v>2008</v>
      </c>
      <c r="G42" s="34"/>
      <c r="H42" s="34"/>
      <c r="I42" s="181">
        <v>30.48</v>
      </c>
      <c r="J42" s="486">
        <f t="shared" si="0"/>
      </c>
      <c r="K42" s="181">
        <v>0.85</v>
      </c>
      <c r="L42" s="487">
        <f t="shared" si="1"/>
      </c>
    </row>
    <row r="43" spans="1:12" ht="12.75">
      <c r="A43" s="313">
        <f t="shared" si="2"/>
        <v>1136</v>
      </c>
      <c r="B43" s="490"/>
      <c r="C43" s="491"/>
      <c r="D43" s="532"/>
      <c r="E43" s="534"/>
      <c r="F43" s="492">
        <v>2009</v>
      </c>
      <c r="G43" s="34"/>
      <c r="H43" s="34"/>
      <c r="I43" s="181">
        <v>30.74</v>
      </c>
      <c r="J43" s="486">
        <f t="shared" si="0"/>
      </c>
      <c r="K43" s="181">
        <v>0.95</v>
      </c>
      <c r="L43" s="487">
        <f t="shared" si="1"/>
      </c>
    </row>
    <row r="44" spans="1:12" ht="12.75">
      <c r="A44" s="313">
        <f t="shared" si="2"/>
        <v>1137</v>
      </c>
      <c r="B44" s="493" t="s">
        <v>286</v>
      </c>
      <c r="C44" s="484"/>
      <c r="D44" s="531"/>
      <c r="E44" s="533"/>
      <c r="F44" s="485">
        <v>2001</v>
      </c>
      <c r="G44" s="34"/>
      <c r="H44" s="34"/>
      <c r="I44" s="181">
        <v>21.66</v>
      </c>
      <c r="J44" s="486">
        <f t="shared" si="0"/>
      </c>
      <c r="K44" s="181">
        <v>0.15</v>
      </c>
      <c r="L44" s="487">
        <f t="shared" si="1"/>
      </c>
    </row>
    <row r="45" spans="1:12" ht="12.75">
      <c r="A45" s="313">
        <f t="shared" si="2"/>
        <v>1138</v>
      </c>
      <c r="B45" s="299" t="s">
        <v>279</v>
      </c>
      <c r="C45" s="488"/>
      <c r="D45" s="439"/>
      <c r="E45" s="442"/>
      <c r="F45" s="489">
        <v>2002</v>
      </c>
      <c r="G45" s="34"/>
      <c r="H45" s="34"/>
      <c r="I45" s="181">
        <v>22.33</v>
      </c>
      <c r="J45" s="486">
        <f t="shared" si="0"/>
      </c>
      <c r="K45" s="181">
        <v>0.25</v>
      </c>
      <c r="L45" s="487">
        <f t="shared" si="1"/>
      </c>
    </row>
    <row r="46" spans="1:12" ht="12.75">
      <c r="A46" s="313">
        <f t="shared" si="2"/>
        <v>1139</v>
      </c>
      <c r="B46" s="299"/>
      <c r="C46" s="488"/>
      <c r="D46" s="439"/>
      <c r="E46" s="442"/>
      <c r="F46" s="489">
        <v>2003</v>
      </c>
      <c r="G46" s="34"/>
      <c r="H46" s="34"/>
      <c r="I46" s="181">
        <v>22.96</v>
      </c>
      <c r="J46" s="486">
        <f t="shared" si="0"/>
      </c>
      <c r="K46" s="181">
        <v>0.35</v>
      </c>
      <c r="L46" s="487">
        <f t="shared" si="1"/>
      </c>
    </row>
    <row r="47" spans="1:12" ht="12.75">
      <c r="A47" s="313">
        <f t="shared" si="2"/>
        <v>1140</v>
      </c>
      <c r="B47" s="299"/>
      <c r="C47" s="488"/>
      <c r="D47" s="439"/>
      <c r="E47" s="442"/>
      <c r="F47" s="489">
        <v>2004</v>
      </c>
      <c r="G47" s="34"/>
      <c r="H47" s="34"/>
      <c r="I47" s="181">
        <v>23.14</v>
      </c>
      <c r="J47" s="486">
        <f t="shared" si="0"/>
      </c>
      <c r="K47" s="181">
        <v>0.45</v>
      </c>
      <c r="L47" s="487">
        <f t="shared" si="1"/>
      </c>
    </row>
    <row r="48" spans="1:12" ht="12.75">
      <c r="A48" s="313">
        <f t="shared" si="2"/>
        <v>1141</v>
      </c>
      <c r="B48" s="299"/>
      <c r="C48" s="488"/>
      <c r="D48" s="439"/>
      <c r="E48" s="442"/>
      <c r="F48" s="489">
        <v>2005</v>
      </c>
      <c r="G48" s="34"/>
      <c r="H48" s="34"/>
      <c r="I48" s="181">
        <v>23.47</v>
      </c>
      <c r="J48" s="486">
        <f t="shared" si="0"/>
      </c>
      <c r="K48" s="181">
        <v>0.55</v>
      </c>
      <c r="L48" s="487">
        <f t="shared" si="1"/>
      </c>
    </row>
    <row r="49" spans="1:12" ht="12.75">
      <c r="A49" s="313">
        <f t="shared" si="2"/>
        <v>1142</v>
      </c>
      <c r="B49" s="299"/>
      <c r="C49" s="488"/>
      <c r="D49" s="439"/>
      <c r="E49" s="442"/>
      <c r="F49" s="489">
        <v>2006</v>
      </c>
      <c r="G49" s="34"/>
      <c r="H49" s="34"/>
      <c r="I49" s="181">
        <v>24.05</v>
      </c>
      <c r="J49" s="486">
        <f t="shared" si="0"/>
      </c>
      <c r="K49" s="181">
        <v>0.65</v>
      </c>
      <c r="L49" s="487">
        <f t="shared" si="1"/>
      </c>
    </row>
    <row r="50" spans="1:12" ht="12.75">
      <c r="A50" s="313">
        <f t="shared" si="2"/>
        <v>1143</v>
      </c>
      <c r="B50" s="299"/>
      <c r="C50" s="488"/>
      <c r="D50" s="439"/>
      <c r="E50" s="442"/>
      <c r="F50" s="489">
        <v>2007</v>
      </c>
      <c r="G50" s="34"/>
      <c r="H50" s="34"/>
      <c r="I50" s="181">
        <v>24.41</v>
      </c>
      <c r="J50" s="486">
        <f t="shared" si="0"/>
      </c>
      <c r="K50" s="181">
        <v>0.75</v>
      </c>
      <c r="L50" s="487">
        <f t="shared" si="1"/>
      </c>
    </row>
    <row r="51" spans="1:12" ht="12.75">
      <c r="A51" s="313">
        <f t="shared" si="2"/>
        <v>1144</v>
      </c>
      <c r="B51" s="299"/>
      <c r="C51" s="488"/>
      <c r="D51" s="439"/>
      <c r="E51" s="442"/>
      <c r="F51" s="489">
        <v>2008</v>
      </c>
      <c r="G51" s="34"/>
      <c r="H51" s="34"/>
      <c r="I51" s="181">
        <v>25.06</v>
      </c>
      <c r="J51" s="486">
        <f t="shared" si="0"/>
      </c>
      <c r="K51" s="181">
        <v>0.85</v>
      </c>
      <c r="L51" s="487">
        <f t="shared" si="1"/>
      </c>
    </row>
    <row r="52" spans="1:12" ht="12.75">
      <c r="A52" s="313">
        <f t="shared" si="2"/>
        <v>1145</v>
      </c>
      <c r="B52" s="490"/>
      <c r="C52" s="491"/>
      <c r="D52" s="532"/>
      <c r="E52" s="534"/>
      <c r="F52" s="492">
        <v>2009</v>
      </c>
      <c r="G52" s="34"/>
      <c r="H52" s="34"/>
      <c r="I52" s="494">
        <v>25.29</v>
      </c>
      <c r="J52" s="486">
        <f t="shared" si="0"/>
      </c>
      <c r="K52" s="181">
        <v>0.95</v>
      </c>
      <c r="L52" s="487">
        <f t="shared" si="1"/>
      </c>
    </row>
    <row r="53" spans="1:12" ht="12.75">
      <c r="A53" s="313">
        <f>A52+1</f>
        <v>1146</v>
      </c>
      <c r="B53" s="535"/>
      <c r="C53" s="536"/>
      <c r="D53" s="536"/>
      <c r="E53" s="536"/>
      <c r="F53" s="537"/>
      <c r="G53" s="313"/>
      <c r="H53" s="313"/>
      <c r="I53" s="313"/>
      <c r="J53" s="313"/>
      <c r="K53" s="313"/>
      <c r="L53" s="313">
        <f>SUM(L8:L52)</f>
        <v>0</v>
      </c>
    </row>
    <row r="54" spans="1:9" ht="12.75">
      <c r="A54" s="62"/>
      <c r="B54" s="62"/>
      <c r="C54" s="62"/>
      <c r="D54" s="62"/>
      <c r="E54" s="62"/>
      <c r="F54" s="62"/>
      <c r="G54" s="62"/>
      <c r="H54" s="62"/>
      <c r="I54" s="62"/>
    </row>
    <row r="55" ht="12.75"/>
    <row r="56" spans="6:12" ht="12.75">
      <c r="F56" s="179" t="s">
        <v>143</v>
      </c>
      <c r="G56" s="179" t="s">
        <v>144</v>
      </c>
      <c r="H56" s="179" t="s">
        <v>226</v>
      </c>
      <c r="I56" s="179" t="s">
        <v>144</v>
      </c>
      <c r="J56" s="179" t="s">
        <v>141</v>
      </c>
      <c r="K56" s="179" t="s">
        <v>94</v>
      </c>
      <c r="L56" s="179" t="s">
        <v>141</v>
      </c>
    </row>
    <row r="57" spans="1:12" ht="12.75">
      <c r="A57" s="177" t="s">
        <v>145</v>
      </c>
      <c r="B57" s="183"/>
      <c r="C57" s="184"/>
      <c r="F57" s="569" t="s">
        <v>227</v>
      </c>
      <c r="G57" s="180" t="s">
        <v>228</v>
      </c>
      <c r="H57" s="180" t="s">
        <v>146</v>
      </c>
      <c r="I57" s="180" t="s">
        <v>147</v>
      </c>
      <c r="J57" s="185" t="s">
        <v>148</v>
      </c>
      <c r="K57" s="180"/>
      <c r="L57" s="180" t="s">
        <v>142</v>
      </c>
    </row>
    <row r="58" spans="1:12" ht="12.75">
      <c r="A58" s="313">
        <v>1201</v>
      </c>
      <c r="B58" s="293" t="s">
        <v>229</v>
      </c>
      <c r="C58" s="140"/>
      <c r="D58" s="439"/>
      <c r="E58" s="439"/>
      <c r="F58" s="270"/>
      <c r="G58" s="305">
        <v>59463</v>
      </c>
      <c r="H58" s="270"/>
      <c r="I58" s="305">
        <v>7557</v>
      </c>
      <c r="J58" s="294">
        <f>IF(AND(F58&gt;0,H58&gt;0),(10%*(ROUND(F58*ROUND(G58,2),0)+ROUND(H58*ROUND(I58,2),0))),0)</f>
        <v>0</v>
      </c>
      <c r="K58" s="295">
        <v>0.05</v>
      </c>
      <c r="L58" s="296">
        <f>IF(H58=0,"",ROUND(J58*K58,0))</f>
      </c>
    </row>
    <row r="59" spans="1:12" ht="12.75">
      <c r="A59" s="313">
        <f>A58+1</f>
        <v>1202</v>
      </c>
      <c r="B59" s="293" t="s">
        <v>230</v>
      </c>
      <c r="C59" s="140"/>
      <c r="D59" s="439"/>
      <c r="E59" s="439"/>
      <c r="F59" s="270"/>
      <c r="G59" s="305">
        <v>63039</v>
      </c>
      <c r="H59" s="270"/>
      <c r="I59" s="305">
        <v>3976</v>
      </c>
      <c r="J59" s="294">
        <f>IF(AND(F59&gt;0,H59&gt;0),(10%*(ROUND(F59*ROUND(G59,2),0)+ROUND(H59*ROUND(I59,2),0))),0)</f>
        <v>0</v>
      </c>
      <c r="K59" s="295">
        <v>0.05</v>
      </c>
      <c r="L59" s="296">
        <f>IF(H59=0,"",ROUND(J59*K59,0))</f>
      </c>
    </row>
    <row r="60" spans="1:12" ht="12.75">
      <c r="A60" s="313">
        <f>A59+1</f>
        <v>1203</v>
      </c>
      <c r="B60" s="293" t="s">
        <v>231</v>
      </c>
      <c r="C60" s="140"/>
      <c r="D60" s="439"/>
      <c r="E60" s="439"/>
      <c r="F60" s="270"/>
      <c r="G60" s="305">
        <v>63039</v>
      </c>
      <c r="H60" s="270"/>
      <c r="I60" s="305">
        <v>5862</v>
      </c>
      <c r="J60" s="294">
        <f>IF(AND(F60&gt;0,H60&gt;0),(10%*(ROUND(F60*ROUND(G60,2),0)+ROUND(H60*ROUND(I60,2),0))),0)</f>
        <v>0</v>
      </c>
      <c r="K60" s="295">
        <v>0.05</v>
      </c>
      <c r="L60" s="296">
        <f>IF(H60=0,"",ROUND(J60*K60,0))</f>
      </c>
    </row>
    <row r="61" spans="1:12" ht="12.75">
      <c r="A61" s="313">
        <f>A60+1</f>
        <v>1204</v>
      </c>
      <c r="B61" s="293" t="s">
        <v>232</v>
      </c>
      <c r="C61" s="140"/>
      <c r="D61" s="439"/>
      <c r="E61" s="439"/>
      <c r="F61" s="270"/>
      <c r="G61" s="181">
        <v>52631</v>
      </c>
      <c r="H61" s="270"/>
      <c r="I61" s="181">
        <v>6022</v>
      </c>
      <c r="J61" s="297">
        <f>IF(AND(F61&gt;0,H61&gt;0),(10%*(ROUND(F61*ROUND(G61,2),0)+ROUND(H61*ROUND(I61,2),0))),0)</f>
        <v>0</v>
      </c>
      <c r="K61" s="186">
        <v>0.05</v>
      </c>
      <c r="L61" s="296">
        <f>IF(H61=0,"",ROUND(J61*K61,0))</f>
      </c>
    </row>
    <row r="62" spans="1:12" ht="12.75">
      <c r="A62" s="313">
        <f>A61+1</f>
        <v>1205</v>
      </c>
      <c r="B62" s="313" t="s">
        <v>121</v>
      </c>
      <c r="C62" s="440"/>
      <c r="D62" s="439"/>
      <c r="E62" s="439"/>
      <c r="F62" s="313"/>
      <c r="G62" s="313"/>
      <c r="H62" s="313"/>
      <c r="I62" s="313"/>
      <c r="J62" s="313"/>
      <c r="K62" s="313"/>
      <c r="L62" s="313">
        <f>SUM(L58:L61)</f>
        <v>0</v>
      </c>
    </row>
    <row r="63" spans="1:11" ht="12.75">
      <c r="A63" s="187"/>
      <c r="B63" s="177"/>
      <c r="C63" s="63"/>
      <c r="D63" s="178"/>
      <c r="E63" s="178"/>
      <c r="F63" s="178"/>
      <c r="G63" s="178"/>
      <c r="H63" s="178"/>
      <c r="I63" s="178"/>
      <c r="J63" s="178"/>
      <c r="K63" s="441"/>
    </row>
    <row r="64" spans="2:12" ht="12.75">
      <c r="B64" s="177" t="s">
        <v>233</v>
      </c>
      <c r="C64" s="63"/>
      <c r="D64" s="178"/>
      <c r="E64" s="178"/>
      <c r="H64" s="179" t="s">
        <v>234</v>
      </c>
      <c r="I64" s="179" t="s">
        <v>235</v>
      </c>
      <c r="J64" s="179" t="s">
        <v>236</v>
      </c>
      <c r="K64" s="179" t="s">
        <v>237</v>
      </c>
      <c r="L64" s="298" t="s">
        <v>238</v>
      </c>
    </row>
    <row r="65" spans="1:12" ht="12.75">
      <c r="A65" s="313">
        <f>A62+1</f>
        <v>1206</v>
      </c>
      <c r="B65" s="299" t="s">
        <v>239</v>
      </c>
      <c r="C65" s="300"/>
      <c r="D65" s="301"/>
      <c r="E65" s="141"/>
      <c r="F65" s="439"/>
      <c r="G65" s="442"/>
      <c r="H65" s="538"/>
      <c r="I65" s="539"/>
      <c r="J65" s="302">
        <f>IF(H65=0,"",+H65-I65)</f>
      </c>
      <c r="K65" s="186">
        <v>1</v>
      </c>
      <c r="L65" s="313">
        <f>IF(J65="",0,+ROUND(J65*K65,0))</f>
        <v>0</v>
      </c>
    </row>
    <row r="66" ht="12.75"/>
    <row r="67" ht="12.75"/>
    <row r="68" ht="12.75"/>
    <row r="69" ht="12.75"/>
    <row r="70" spans="1:12" ht="12.75">
      <c r="A70" s="176" t="s">
        <v>254</v>
      </c>
      <c r="B70" s="176" t="s">
        <v>240</v>
      </c>
      <c r="C70" s="184"/>
      <c r="D70" s="184"/>
      <c r="E70" s="184"/>
      <c r="F70" s="184"/>
      <c r="G70" s="184"/>
      <c r="J70" s="179" t="s">
        <v>143</v>
      </c>
      <c r="K70" s="179" t="s">
        <v>149</v>
      </c>
      <c r="L70" s="179" t="s">
        <v>141</v>
      </c>
    </row>
    <row r="71" spans="1:12" ht="12.75">
      <c r="A71" s="188"/>
      <c r="B71" s="188"/>
      <c r="C71" s="184"/>
      <c r="D71" s="184"/>
      <c r="E71" s="184"/>
      <c r="F71" s="184"/>
      <c r="G71" s="184"/>
      <c r="J71" s="180" t="s">
        <v>150</v>
      </c>
      <c r="K71" s="180" t="s">
        <v>287</v>
      </c>
      <c r="L71" s="180" t="s">
        <v>142</v>
      </c>
    </row>
    <row r="72" spans="1:12" ht="17.25" customHeight="1">
      <c r="A72" s="495"/>
      <c r="B72" s="495"/>
      <c r="C72" s="62"/>
      <c r="D72" s="62"/>
      <c r="E72" s="495"/>
      <c r="F72" s="184"/>
      <c r="G72" s="184"/>
      <c r="J72" s="496" t="s">
        <v>288</v>
      </c>
      <c r="K72" s="180" t="s">
        <v>289</v>
      </c>
      <c r="L72" s="180"/>
    </row>
    <row r="73" spans="1:12" ht="12.75">
      <c r="A73" s="313">
        <f>A65+1</f>
        <v>1207</v>
      </c>
      <c r="B73" s="497" t="s">
        <v>290</v>
      </c>
      <c r="C73" s="141"/>
      <c r="D73" s="141"/>
      <c r="E73" s="498"/>
      <c r="F73" s="189"/>
      <c r="G73" s="189"/>
      <c r="H73" s="439"/>
      <c r="I73" s="442"/>
      <c r="J73" s="270"/>
      <c r="K73" s="499">
        <v>1203.02</v>
      </c>
      <c r="L73" s="487">
        <f aca="true" t="shared" si="3" ref="L73:L79">IF(J73="","",+ROUND(J73*K73,0))</f>
      </c>
    </row>
    <row r="74" spans="1:12" ht="12.75">
      <c r="A74" s="313">
        <f aca="true" t="shared" si="4" ref="A74:A79">A73+1</f>
        <v>1208</v>
      </c>
      <c r="B74" s="495" t="s">
        <v>291</v>
      </c>
      <c r="C74" s="62"/>
      <c r="D74" s="62"/>
      <c r="E74" s="495"/>
      <c r="F74" s="184"/>
      <c r="G74" s="189"/>
      <c r="H74" s="439"/>
      <c r="I74" s="442"/>
      <c r="J74" s="270"/>
      <c r="K74" s="500">
        <v>1655.05</v>
      </c>
      <c r="L74" s="487">
        <f t="shared" si="3"/>
      </c>
    </row>
    <row r="75" spans="1:12" ht="12.75">
      <c r="A75" s="313">
        <f t="shared" si="4"/>
        <v>1209</v>
      </c>
      <c r="B75" s="497" t="s">
        <v>292</v>
      </c>
      <c r="C75" s="141"/>
      <c r="D75" s="141"/>
      <c r="E75" s="498"/>
      <c r="F75" s="189"/>
      <c r="G75" s="189"/>
      <c r="H75" s="439"/>
      <c r="I75" s="442"/>
      <c r="J75" s="270"/>
      <c r="K75" s="499">
        <v>2385.09</v>
      </c>
      <c r="L75" s="487">
        <f t="shared" si="3"/>
      </c>
    </row>
    <row r="76" spans="1:12" ht="12.75">
      <c r="A76" s="313">
        <f t="shared" si="4"/>
        <v>1210</v>
      </c>
      <c r="B76" s="495" t="s">
        <v>293</v>
      </c>
      <c r="C76" s="62"/>
      <c r="D76" s="62"/>
      <c r="E76" s="495"/>
      <c r="F76" s="184"/>
      <c r="G76" s="189"/>
      <c r="H76" s="439"/>
      <c r="I76" s="442"/>
      <c r="J76" s="270"/>
      <c r="K76" s="499">
        <v>2048</v>
      </c>
      <c r="L76" s="487">
        <f t="shared" si="3"/>
      </c>
    </row>
    <row r="77" spans="1:12" ht="12.75">
      <c r="A77" s="313">
        <f t="shared" si="4"/>
        <v>1211</v>
      </c>
      <c r="B77" s="497" t="s">
        <v>294</v>
      </c>
      <c r="C77" s="141"/>
      <c r="D77" s="141"/>
      <c r="E77" s="498"/>
      <c r="F77" s="189"/>
      <c r="G77" s="189"/>
      <c r="H77" s="439"/>
      <c r="I77" s="442"/>
      <c r="J77" s="270"/>
      <c r="K77" s="499">
        <v>3959.23</v>
      </c>
      <c r="L77" s="487">
        <f t="shared" si="3"/>
      </c>
    </row>
    <row r="78" spans="1:12" ht="12.75">
      <c r="A78" s="313">
        <f t="shared" si="4"/>
        <v>1212</v>
      </c>
      <c r="B78" s="495" t="s">
        <v>295</v>
      </c>
      <c r="C78" s="62"/>
      <c r="D78" s="62"/>
      <c r="E78" s="495"/>
      <c r="F78" s="184"/>
      <c r="G78" s="189"/>
      <c r="H78" s="439"/>
      <c r="I78" s="442"/>
      <c r="J78" s="270"/>
      <c r="K78" s="499">
        <v>2365.34</v>
      </c>
      <c r="L78" s="487">
        <f t="shared" si="3"/>
      </c>
    </row>
    <row r="79" spans="1:12" ht="12.75">
      <c r="A79" s="313">
        <f t="shared" si="4"/>
        <v>1213</v>
      </c>
      <c r="B79" s="501" t="s">
        <v>296</v>
      </c>
      <c r="C79" s="303"/>
      <c r="D79" s="303"/>
      <c r="E79" s="502"/>
      <c r="F79" s="503"/>
      <c r="G79" s="189"/>
      <c r="H79" s="439"/>
      <c r="I79" s="442"/>
      <c r="J79" s="270"/>
      <c r="K79" s="504">
        <v>3925.85</v>
      </c>
      <c r="L79" s="505">
        <f t="shared" si="3"/>
      </c>
    </row>
    <row r="80" spans="1:12" ht="12.75">
      <c r="A80" s="313">
        <f>A79+1</f>
        <v>1214</v>
      </c>
      <c r="B80" s="540" t="s">
        <v>121</v>
      </c>
      <c r="C80" s="540"/>
      <c r="D80" s="540"/>
      <c r="E80" s="540"/>
      <c r="F80" s="540"/>
      <c r="G80" s="540"/>
      <c r="H80" s="540"/>
      <c r="I80" s="540"/>
      <c r="J80" s="540"/>
      <c r="K80" s="313"/>
      <c r="L80" s="313">
        <f>SUM(L73:L79)</f>
        <v>0</v>
      </c>
    </row>
    <row r="81" spans="1:12" ht="12.75">
      <c r="A81" s="541"/>
      <c r="B81" s="495"/>
      <c r="C81" s="495"/>
      <c r="D81" s="495"/>
      <c r="E81" s="495"/>
      <c r="F81" s="184"/>
      <c r="G81" s="184"/>
      <c r="J81" s="184"/>
      <c r="K81" s="184"/>
      <c r="L81" s="184"/>
    </row>
    <row r="82" spans="1:12" ht="12.75">
      <c r="A82" s="313">
        <f>A80+1</f>
        <v>1215</v>
      </c>
      <c r="B82" s="542" t="s">
        <v>297</v>
      </c>
      <c r="C82" s="540"/>
      <c r="D82" s="540"/>
      <c r="E82" s="540"/>
      <c r="F82" s="540"/>
      <c r="G82" s="540"/>
      <c r="H82" s="540"/>
      <c r="I82" s="540"/>
      <c r="J82" s="540"/>
      <c r="K82" s="543"/>
      <c r="L82" s="313">
        <f>L53+L62+L65+L80</f>
        <v>0</v>
      </c>
    </row>
    <row r="83" ht="12.75"/>
    <row r="84" ht="12.75">
      <c r="A84" s="437" t="s">
        <v>174</v>
      </c>
    </row>
    <row r="85" spans="1:12" ht="12.75">
      <c r="A85" s="545"/>
      <c r="B85" s="545"/>
      <c r="C85" s="546"/>
      <c r="D85" s="546"/>
      <c r="E85" s="62"/>
      <c r="F85" s="62"/>
      <c r="G85" s="62"/>
      <c r="H85" s="62"/>
      <c r="I85" s="62"/>
      <c r="J85" s="547" t="s">
        <v>306</v>
      </c>
      <c r="K85" s="548" t="s">
        <v>94</v>
      </c>
      <c r="L85" s="549" t="s">
        <v>149</v>
      </c>
    </row>
    <row r="86" spans="1:12" ht="12.75">
      <c r="A86" s="550" t="s">
        <v>180</v>
      </c>
      <c r="B86" s="550" t="s">
        <v>316</v>
      </c>
      <c r="C86" s="546"/>
      <c r="D86" s="546"/>
      <c r="E86" s="62"/>
      <c r="F86" s="62"/>
      <c r="G86" s="62"/>
      <c r="H86" s="62"/>
      <c r="I86" s="62"/>
      <c r="J86" s="551" t="s">
        <v>182</v>
      </c>
      <c r="K86" s="552"/>
      <c r="L86" s="553" t="s">
        <v>142</v>
      </c>
    </row>
    <row r="87" spans="1:12" ht="12.75">
      <c r="A87" s="570">
        <f>A82+1</f>
        <v>1216</v>
      </c>
      <c r="B87" s="554">
        <v>2000</v>
      </c>
      <c r="C87" s="555"/>
      <c r="D87" s="555"/>
      <c r="E87" s="141"/>
      <c r="F87" s="141"/>
      <c r="G87" s="141"/>
      <c r="H87" s="141"/>
      <c r="I87" s="199"/>
      <c r="J87" s="270"/>
      <c r="K87" s="556">
        <v>0.05</v>
      </c>
      <c r="L87" s="557">
        <f aca="true" t="shared" si="5" ref="L87:L96">ROUND(J87*K87,0)</f>
        <v>0</v>
      </c>
    </row>
    <row r="88" spans="1:12" ht="12.75">
      <c r="A88" s="570">
        <f>A87+1</f>
        <v>1217</v>
      </c>
      <c r="B88" s="558">
        <f>B87+1</f>
        <v>2001</v>
      </c>
      <c r="C88" s="555"/>
      <c r="D88" s="555"/>
      <c r="E88" s="141"/>
      <c r="F88" s="141"/>
      <c r="G88" s="141"/>
      <c r="H88" s="141"/>
      <c r="I88" s="199"/>
      <c r="J88" s="270"/>
      <c r="K88" s="220">
        <v>0.15</v>
      </c>
      <c r="L88" s="302">
        <f t="shared" si="5"/>
        <v>0</v>
      </c>
    </row>
    <row r="89" spans="1:12" ht="12.75">
      <c r="A89" s="570">
        <f>A88+1</f>
        <v>1218</v>
      </c>
      <c r="B89" s="558">
        <f>B88+1</f>
        <v>2002</v>
      </c>
      <c r="C89" s="555"/>
      <c r="D89" s="555"/>
      <c r="E89" s="141"/>
      <c r="F89" s="141"/>
      <c r="G89" s="141"/>
      <c r="H89" s="141"/>
      <c r="I89" s="199"/>
      <c r="J89" s="270"/>
      <c r="K89" s="220">
        <v>0.25</v>
      </c>
      <c r="L89" s="302">
        <f t="shared" si="5"/>
        <v>0</v>
      </c>
    </row>
    <row r="90" spans="1:12" ht="12.75">
      <c r="A90" s="570">
        <f aca="true" t="shared" si="6" ref="A90:A97">+A89+1</f>
        <v>1219</v>
      </c>
      <c r="B90" s="558">
        <f aca="true" t="shared" si="7" ref="B90:B96">B89+1</f>
        <v>2003</v>
      </c>
      <c r="C90" s="555"/>
      <c r="D90" s="555"/>
      <c r="E90" s="141"/>
      <c r="F90" s="141"/>
      <c r="G90" s="141"/>
      <c r="H90" s="141"/>
      <c r="I90" s="199"/>
      <c r="J90" s="270"/>
      <c r="K90" s="220">
        <f aca="true" t="shared" si="8" ref="K90:K96">+K89+0.1</f>
        <v>0.35</v>
      </c>
      <c r="L90" s="302">
        <f t="shared" si="5"/>
        <v>0</v>
      </c>
    </row>
    <row r="91" spans="1:12" ht="12.75">
      <c r="A91" s="570">
        <f t="shared" si="6"/>
        <v>1220</v>
      </c>
      <c r="B91" s="558">
        <f t="shared" si="7"/>
        <v>2004</v>
      </c>
      <c r="C91" s="555"/>
      <c r="D91" s="555"/>
      <c r="E91" s="141"/>
      <c r="F91" s="141"/>
      <c r="G91" s="141"/>
      <c r="H91" s="141"/>
      <c r="I91" s="199"/>
      <c r="J91" s="270"/>
      <c r="K91" s="220">
        <f t="shared" si="8"/>
        <v>0.44999999999999996</v>
      </c>
      <c r="L91" s="302">
        <f t="shared" si="5"/>
        <v>0</v>
      </c>
    </row>
    <row r="92" spans="1:12" ht="12.75">
      <c r="A92" s="570">
        <f t="shared" si="6"/>
        <v>1221</v>
      </c>
      <c r="B92" s="558">
        <f t="shared" si="7"/>
        <v>2005</v>
      </c>
      <c r="C92" s="555"/>
      <c r="D92" s="555"/>
      <c r="E92" s="141"/>
      <c r="F92" s="141"/>
      <c r="G92" s="141"/>
      <c r="H92" s="141"/>
      <c r="I92" s="199"/>
      <c r="J92" s="270"/>
      <c r="K92" s="220">
        <f t="shared" si="8"/>
        <v>0.5499999999999999</v>
      </c>
      <c r="L92" s="302">
        <f t="shared" si="5"/>
        <v>0</v>
      </c>
    </row>
    <row r="93" spans="1:12" ht="12.75">
      <c r="A93" s="570">
        <f>+A92+1</f>
        <v>1222</v>
      </c>
      <c r="B93" s="558">
        <f>B92+1</f>
        <v>2006</v>
      </c>
      <c r="C93" s="555"/>
      <c r="D93" s="555"/>
      <c r="E93" s="141"/>
      <c r="F93" s="141"/>
      <c r="G93" s="141"/>
      <c r="H93" s="141"/>
      <c r="I93" s="199"/>
      <c r="J93" s="270"/>
      <c r="K93" s="220">
        <f>+K92+0.1</f>
        <v>0.6499999999999999</v>
      </c>
      <c r="L93" s="302">
        <f>ROUND(J93*K93,0)</f>
        <v>0</v>
      </c>
    </row>
    <row r="94" spans="1:12" ht="12.75">
      <c r="A94" s="570">
        <f>+A93+1</f>
        <v>1223</v>
      </c>
      <c r="B94" s="558">
        <f>B93+1</f>
        <v>2007</v>
      </c>
      <c r="C94" s="555"/>
      <c r="D94" s="555"/>
      <c r="E94" s="141"/>
      <c r="F94" s="141"/>
      <c r="G94" s="141"/>
      <c r="H94" s="141"/>
      <c r="I94" s="199"/>
      <c r="J94" s="270"/>
      <c r="K94" s="220">
        <f>+K93+0.1</f>
        <v>0.7499999999999999</v>
      </c>
      <c r="L94" s="302">
        <f t="shared" si="5"/>
        <v>0</v>
      </c>
    </row>
    <row r="95" spans="1:12" ht="12.75">
      <c r="A95" s="570">
        <f t="shared" si="6"/>
        <v>1224</v>
      </c>
      <c r="B95" s="558">
        <f t="shared" si="7"/>
        <v>2008</v>
      </c>
      <c r="C95" s="555"/>
      <c r="D95" s="555"/>
      <c r="E95" s="141"/>
      <c r="F95" s="141"/>
      <c r="G95" s="141"/>
      <c r="H95" s="141"/>
      <c r="I95" s="199"/>
      <c r="J95" s="270"/>
      <c r="K95" s="220">
        <f t="shared" si="8"/>
        <v>0.8499999999999999</v>
      </c>
      <c r="L95" s="302">
        <f t="shared" si="5"/>
        <v>0</v>
      </c>
    </row>
    <row r="96" spans="1:12" ht="12.75">
      <c r="A96" s="571">
        <f t="shared" si="6"/>
        <v>1225</v>
      </c>
      <c r="B96" s="559">
        <f t="shared" si="7"/>
        <v>2009</v>
      </c>
      <c r="C96" s="560"/>
      <c r="D96" s="560"/>
      <c r="E96" s="303"/>
      <c r="F96" s="303"/>
      <c r="G96" s="303"/>
      <c r="H96" s="303"/>
      <c r="I96" s="317"/>
      <c r="J96" s="270"/>
      <c r="K96" s="220">
        <f t="shared" si="8"/>
        <v>0.9499999999999998</v>
      </c>
      <c r="L96" s="561">
        <f t="shared" si="5"/>
        <v>0</v>
      </c>
    </row>
    <row r="97" spans="1:12" ht="12.75">
      <c r="A97" s="562">
        <f t="shared" si="6"/>
        <v>1226</v>
      </c>
      <c r="B97" s="563" t="s">
        <v>122</v>
      </c>
      <c r="C97" s="564"/>
      <c r="D97" s="564"/>
      <c r="E97" s="564"/>
      <c r="F97" s="564"/>
      <c r="G97" s="564"/>
      <c r="H97" s="565"/>
      <c r="I97" s="566"/>
      <c r="J97" s="567">
        <f>SUM(J87:J96)</f>
        <v>0</v>
      </c>
      <c r="K97" s="567"/>
      <c r="L97" s="567">
        <f>SUM(L87:L96)</f>
        <v>0</v>
      </c>
    </row>
    <row r="98" ht="12.75"/>
  </sheetData>
  <sheetProtection password="E296" sheet="1" objects="1" scenarios="1"/>
  <mergeCells count="1">
    <mergeCell ref="A5:A7"/>
  </mergeCells>
  <conditionalFormatting sqref="H65:I65">
    <cfRule type="expression" priority="1" dxfId="1" stopIfTrue="1">
      <formula>$C$1=TRUE</formula>
    </cfRule>
  </conditionalFormatting>
  <conditionalFormatting sqref="G8:H52 F58:F61 H58:H61 J73:J79 J87:J96">
    <cfRule type="expression" priority="2" dxfId="1" stopIfTrue="1">
      <formula>$H$3=TRUE</formula>
    </cfRule>
  </conditionalFormatting>
  <dataValidations count="2">
    <dataValidation type="whole" operator="greaterThanOrEqual" allowBlank="1" showInputMessage="1" showErrorMessage="1" errorTitle="ongeldige invoer" error="Hier kan alleen een geheel postief getal worden ingevuld" sqref="H65:I65">
      <formula1>0</formula1>
    </dataValidation>
    <dataValidation type="whole" allowBlank="1" showInputMessage="1" showErrorMessage="1" errorTitle="Onjuiste invoer" error="Hier kan alleen een geheel bbedrag worden ingevuld. " sqref="J87:J96">
      <formula1>-100000000</formula1>
      <formula2>100000000</formula2>
    </dataValidation>
  </dataValidations>
  <printOptions/>
  <pageMargins left="0.7874015748031497" right="0.7874015748031497" top="0.984251968503937" bottom="0.984251968503937" header="0.5118110236220472" footer="0.5118110236220472"/>
  <pageSetup firstPageNumber="11" useFirstPageNumber="1" horizontalDpi="600" verticalDpi="600" orientation="landscape" paperSize="9" scale="66" r:id="rId2"/>
  <headerFooter alignWithMargins="0">
    <oddHeader>&amp;LAWBZ-BREED CALCULATIEMODEL RENTEKOSTEN 2009&amp;R&amp;G</oddHeader>
    <oddFooter>&amp;R&amp;P</oddFooter>
  </headerFooter>
  <rowBreaks count="1" manualBreakCount="1">
    <brk id="53" max="255" man="1"/>
  </rowBreaks>
  <legacyDrawingHF r:id="rId1"/>
</worksheet>
</file>

<file path=xl/worksheets/sheet9.xml><?xml version="1.0" encoding="utf-8"?>
<worksheet xmlns="http://schemas.openxmlformats.org/spreadsheetml/2006/main" xmlns:r="http://schemas.openxmlformats.org/officeDocument/2006/relationships">
  <dimension ref="A1:S112"/>
  <sheetViews>
    <sheetView showGridLines="0" zoomScale="95" zoomScaleNormal="95" zoomScaleSheetLayoutView="75" workbookViewId="0" topLeftCell="A3">
      <selection activeCell="A3" sqref="A3"/>
    </sheetView>
  </sheetViews>
  <sheetFormatPr defaultColWidth="9.140625" defaultRowHeight="12.75" customHeight="1" zeroHeight="1"/>
  <cols>
    <col min="1" max="1" width="8.421875" style="62" customWidth="1"/>
    <col min="2" max="3" width="7.140625" style="62" customWidth="1"/>
    <col min="4" max="4" width="7.7109375" style="62" customWidth="1"/>
    <col min="5" max="5" width="12.140625" style="62" customWidth="1"/>
    <col min="6" max="6" width="10.7109375" style="62" customWidth="1"/>
    <col min="7" max="7" width="20.28125" style="62" customWidth="1"/>
    <col min="8" max="8" width="11.7109375" style="62" customWidth="1"/>
    <col min="9" max="9" width="12.140625" style="62" customWidth="1"/>
    <col min="10" max="10" width="11.8515625" style="62" customWidth="1"/>
    <col min="11" max="11" width="8.8515625" style="62" customWidth="1"/>
    <col min="12" max="12" width="14.7109375" style="62" customWidth="1"/>
    <col min="13" max="13" width="1.421875" style="62" customWidth="1"/>
    <col min="14" max="255" width="0" style="62" hidden="1" customWidth="1"/>
    <col min="256" max="16384" width="9.28125" style="62" hidden="1" customWidth="1"/>
  </cols>
  <sheetData>
    <row r="1" spans="1:12" s="267" customFormat="1" ht="12" hidden="1">
      <c r="A1" s="510" t="b">
        <v>1</v>
      </c>
      <c r="B1" s="235" t="s">
        <v>189</v>
      </c>
      <c r="C1" s="190"/>
      <c r="D1" s="190"/>
      <c r="E1" s="190"/>
      <c r="F1" s="190"/>
      <c r="G1" s="190"/>
      <c r="H1" s="190"/>
      <c r="I1" s="190"/>
      <c r="J1" s="191"/>
      <c r="K1" s="191"/>
      <c r="L1" s="190"/>
    </row>
    <row r="2" spans="1:12" s="267" customFormat="1" ht="12" hidden="1">
      <c r="A2" s="511">
        <v>6</v>
      </c>
      <c r="B2" s="191">
        <v>6.43</v>
      </c>
      <c r="C2" s="190">
        <v>8.43</v>
      </c>
      <c r="D2" s="190">
        <v>14.86</v>
      </c>
      <c r="E2" s="190">
        <v>22.57</v>
      </c>
      <c r="F2" s="190">
        <v>11.86</v>
      </c>
      <c r="G2" s="190">
        <v>11.86</v>
      </c>
      <c r="H2" s="190">
        <v>11</v>
      </c>
      <c r="I2" s="190">
        <v>11.14</v>
      </c>
      <c r="J2" s="191">
        <v>11.43</v>
      </c>
      <c r="K2" s="191">
        <v>13</v>
      </c>
      <c r="L2" s="191">
        <v>5</v>
      </c>
    </row>
    <row r="3" spans="1:12" ht="12.75" customHeight="1">
      <c r="A3" s="63" t="s">
        <v>244</v>
      </c>
      <c r="B3" s="364" t="s">
        <v>301</v>
      </c>
      <c r="C3" s="438"/>
      <c r="D3" s="438"/>
      <c r="E3" s="438"/>
      <c r="F3" s="438"/>
      <c r="G3" s="438"/>
      <c r="H3" s="518" t="b">
        <f>'Rentecalc.'!I4</f>
        <v>1</v>
      </c>
      <c r="I3" s="438"/>
      <c r="J3" s="438"/>
      <c r="K3" s="438"/>
      <c r="L3" s="438"/>
    </row>
    <row r="4" spans="1:12" ht="12.75" customHeight="1">
      <c r="A4" s="63"/>
      <c r="B4" s="517"/>
      <c r="C4" s="438"/>
      <c r="D4" s="438"/>
      <c r="E4" s="438"/>
      <c r="F4" s="438"/>
      <c r="G4" s="438"/>
      <c r="H4" s="438"/>
      <c r="I4" s="438"/>
      <c r="J4" s="438"/>
      <c r="K4" s="438"/>
      <c r="L4" s="438"/>
    </row>
    <row r="5" spans="2:12" ht="12.75" customHeight="1">
      <c r="B5" s="176" t="s">
        <v>186</v>
      </c>
      <c r="L5" s="175"/>
    </row>
    <row r="6" spans="1:2" ht="12.75" customHeight="1">
      <c r="A6" s="176" t="s">
        <v>140</v>
      </c>
      <c r="B6" s="63" t="s">
        <v>151</v>
      </c>
    </row>
    <row r="7" spans="1:12" ht="12.75" customHeight="1">
      <c r="A7" s="182"/>
      <c r="B7" s="183"/>
      <c r="C7" s="192"/>
      <c r="D7" s="179" t="s">
        <v>143</v>
      </c>
      <c r="E7" s="179" t="s">
        <v>144</v>
      </c>
      <c r="F7" s="179" t="s">
        <v>143</v>
      </c>
      <c r="G7" s="179" t="s">
        <v>144</v>
      </c>
      <c r="H7" s="179" t="s">
        <v>143</v>
      </c>
      <c r="I7" s="193" t="s">
        <v>144</v>
      </c>
      <c r="J7" s="179" t="s">
        <v>141</v>
      </c>
      <c r="K7" s="179" t="s">
        <v>94</v>
      </c>
      <c r="L7" s="179" t="s">
        <v>149</v>
      </c>
    </row>
    <row r="8" spans="1:12" ht="12.75" customHeight="1">
      <c r="A8" s="182"/>
      <c r="B8" s="183"/>
      <c r="C8" s="192"/>
      <c r="D8" s="180" t="s">
        <v>152</v>
      </c>
      <c r="E8" s="180" t="s">
        <v>153</v>
      </c>
      <c r="F8" s="180" t="s">
        <v>154</v>
      </c>
      <c r="G8" s="180" t="s">
        <v>154</v>
      </c>
      <c r="H8" s="180" t="s">
        <v>154</v>
      </c>
      <c r="I8" s="194" t="s">
        <v>154</v>
      </c>
      <c r="J8" s="185" t="s">
        <v>148</v>
      </c>
      <c r="K8" s="180"/>
      <c r="L8" s="180" t="s">
        <v>155</v>
      </c>
    </row>
    <row r="9" spans="1:12" ht="12.75" customHeight="1">
      <c r="A9" s="182"/>
      <c r="B9" s="183"/>
      <c r="C9" s="192"/>
      <c r="D9" s="195" t="s">
        <v>156</v>
      </c>
      <c r="E9" s="180"/>
      <c r="F9" s="180" t="s">
        <v>157</v>
      </c>
      <c r="G9" s="180" t="s">
        <v>147</v>
      </c>
      <c r="H9" s="180" t="s">
        <v>150</v>
      </c>
      <c r="I9" s="180" t="s">
        <v>158</v>
      </c>
      <c r="J9" s="185"/>
      <c r="K9" s="180"/>
      <c r="L9" s="196" t="s">
        <v>142</v>
      </c>
    </row>
    <row r="10" spans="1:16" ht="12.75" customHeight="1">
      <c r="A10" s="182"/>
      <c r="B10" s="183"/>
      <c r="C10" s="192"/>
      <c r="D10" s="180"/>
      <c r="E10" s="180"/>
      <c r="F10" s="180" t="s">
        <v>146</v>
      </c>
      <c r="G10" s="180"/>
      <c r="H10" s="180" t="s">
        <v>159</v>
      </c>
      <c r="I10" s="180" t="s">
        <v>159</v>
      </c>
      <c r="J10" s="185"/>
      <c r="K10" s="180"/>
      <c r="L10" s="180"/>
      <c r="O10" s="197"/>
      <c r="P10" s="197"/>
    </row>
    <row r="11" spans="1:16" ht="12.75" customHeight="1">
      <c r="A11" s="313">
        <v>1301</v>
      </c>
      <c r="B11" s="198">
        <v>2000</v>
      </c>
      <c r="C11" s="199"/>
      <c r="D11" s="200"/>
      <c r="E11" s="181">
        <f>115984/2.20371</f>
        <v>52631.24458299867</v>
      </c>
      <c r="F11" s="573"/>
      <c r="G11" s="181">
        <f>13272/2.20371</f>
        <v>6022.571027948324</v>
      </c>
      <c r="H11" s="200"/>
      <c r="I11" s="181">
        <f>3981/2.20371</f>
        <v>1806.4990402548428</v>
      </c>
      <c r="J11" s="201">
        <f>IF(AND(D11&gt;0,F11&gt;0),(10%*(ROUND(D11*ROUND(E11,2),0)+ROUND(F11*ROUND(G11,2),0)+ROUND(H11*ROUND(I11,2),0))),0)</f>
        <v>0</v>
      </c>
      <c r="K11" s="186">
        <v>0.05</v>
      </c>
      <c r="L11" s="201">
        <f>IF(AND(F11=0,H11=0),"",ROUND(J11*K11,0))</f>
      </c>
      <c r="O11" s="197"/>
      <c r="P11" s="197"/>
    </row>
    <row r="12" spans="1:16" ht="12.75" customHeight="1">
      <c r="A12" s="313">
        <f>A11+1</f>
        <v>1302</v>
      </c>
      <c r="B12" s="313" t="s">
        <v>121</v>
      </c>
      <c r="C12" s="313"/>
      <c r="D12" s="313"/>
      <c r="E12" s="313"/>
      <c r="F12" s="313"/>
      <c r="G12" s="313"/>
      <c r="H12" s="313"/>
      <c r="I12" s="313"/>
      <c r="J12" s="313"/>
      <c r="K12" s="313"/>
      <c r="L12" s="313">
        <f>SUM(L11:L11)</f>
        <v>0</v>
      </c>
      <c r="M12" s="178"/>
      <c r="N12" s="202"/>
      <c r="O12" s="197"/>
      <c r="P12" s="197"/>
    </row>
    <row r="13" spans="1:16" ht="12.75" customHeight="1">
      <c r="A13" s="444"/>
      <c r="B13" s="444"/>
      <c r="C13" s="444"/>
      <c r="D13" s="444"/>
      <c r="E13" s="444"/>
      <c r="F13" s="444"/>
      <c r="G13" s="444"/>
      <c r="H13" s="445"/>
      <c r="I13" s="445"/>
      <c r="J13" s="444"/>
      <c r="K13" s="444"/>
      <c r="L13" s="444"/>
      <c r="M13" s="178"/>
      <c r="N13" s="202"/>
      <c r="O13" s="197"/>
      <c r="P13" s="197"/>
    </row>
    <row r="14" spans="1:16" ht="12.75" customHeight="1">
      <c r="A14" s="187"/>
      <c r="B14" s="177"/>
      <c r="C14" s="63"/>
      <c r="D14" s="63"/>
      <c r="E14" s="178"/>
      <c r="F14" s="178"/>
      <c r="G14" s="178"/>
      <c r="H14" s="464" t="s">
        <v>143</v>
      </c>
      <c r="I14" s="464" t="s">
        <v>144</v>
      </c>
      <c r="J14" s="464" t="s">
        <v>141</v>
      </c>
      <c r="K14" s="464" t="s">
        <v>94</v>
      </c>
      <c r="L14" s="464" t="s">
        <v>149</v>
      </c>
      <c r="O14" s="197"/>
      <c r="P14" s="197"/>
    </row>
    <row r="15" spans="1:16" ht="12.75" customHeight="1">
      <c r="A15" s="187"/>
      <c r="B15" s="177"/>
      <c r="C15" s="63"/>
      <c r="D15" s="63"/>
      <c r="E15" s="178"/>
      <c r="F15" s="178"/>
      <c r="G15" s="178"/>
      <c r="H15" s="465" t="s">
        <v>155</v>
      </c>
      <c r="I15" s="465" t="s">
        <v>155</v>
      </c>
      <c r="J15" s="465" t="s">
        <v>148</v>
      </c>
      <c r="K15" s="466"/>
      <c r="L15" s="466" t="s">
        <v>155</v>
      </c>
      <c r="O15" s="197"/>
      <c r="P15" s="197"/>
    </row>
    <row r="16" spans="1:16" ht="12.75" customHeight="1">
      <c r="A16" s="187"/>
      <c r="B16" s="177"/>
      <c r="C16" s="63"/>
      <c r="D16" s="63"/>
      <c r="E16" s="178"/>
      <c r="F16" s="178"/>
      <c r="G16" s="178"/>
      <c r="H16" s="465" t="s">
        <v>248</v>
      </c>
      <c r="I16" s="465" t="s">
        <v>249</v>
      </c>
      <c r="J16" s="465"/>
      <c r="K16" s="466"/>
      <c r="L16" s="467" t="s">
        <v>142</v>
      </c>
      <c r="O16" s="197"/>
      <c r="P16" s="197"/>
    </row>
    <row r="17" spans="1:16" ht="12.75" customHeight="1">
      <c r="A17" s="203"/>
      <c r="B17" s="204"/>
      <c r="C17" s="205"/>
      <c r="D17" s="205"/>
      <c r="E17" s="205"/>
      <c r="F17" s="205"/>
      <c r="G17" s="205"/>
      <c r="H17" s="465" t="s">
        <v>250</v>
      </c>
      <c r="I17" s="465"/>
      <c r="J17" s="465"/>
      <c r="K17" s="466"/>
      <c r="L17" s="466"/>
      <c r="O17" s="197"/>
      <c r="P17" s="197"/>
    </row>
    <row r="18" spans="1:16" ht="12.75" customHeight="1">
      <c r="A18" s="206" t="s">
        <v>145</v>
      </c>
      <c r="B18" s="176" t="s">
        <v>251</v>
      </c>
      <c r="C18" s="207"/>
      <c r="D18" s="208"/>
      <c r="E18" s="207"/>
      <c r="F18" s="208"/>
      <c r="G18" s="446"/>
      <c r="H18" s="468" t="s">
        <v>252</v>
      </c>
      <c r="I18" s="468"/>
      <c r="J18" s="469"/>
      <c r="K18" s="470"/>
      <c r="L18" s="470"/>
      <c r="O18" s="197"/>
      <c r="P18" s="197"/>
    </row>
    <row r="19" spans="1:16" ht="12.75" customHeight="1">
      <c r="A19" s="508">
        <f>A12+1</f>
        <v>1303</v>
      </c>
      <c r="B19" s="447">
        <v>2001</v>
      </c>
      <c r="C19" s="448"/>
      <c r="D19" s="448"/>
      <c r="E19" s="448"/>
      <c r="F19" s="448"/>
      <c r="G19" s="141"/>
      <c r="H19" s="200"/>
      <c r="I19" s="181">
        <f>28.92/2.20371</f>
        <v>13.123323849326818</v>
      </c>
      <c r="J19" s="201">
        <f aca="true" t="shared" si="0" ref="J19:J27">+H19*I19</f>
        <v>0</v>
      </c>
      <c r="K19" s="449">
        <v>0.15</v>
      </c>
      <c r="L19" s="201">
        <f>IF(H19=0,"",J19*K19)</f>
      </c>
      <c r="O19" s="197"/>
      <c r="P19" s="197"/>
    </row>
    <row r="20" spans="1:16" ht="12.75" customHeight="1">
      <c r="A20" s="508">
        <f aca="true" t="shared" si="1" ref="A20:A28">A19+1</f>
        <v>1304</v>
      </c>
      <c r="B20" s="447">
        <v>2002</v>
      </c>
      <c r="C20" s="448"/>
      <c r="D20" s="448"/>
      <c r="E20" s="448"/>
      <c r="F20" s="448"/>
      <c r="G20" s="141"/>
      <c r="H20" s="200"/>
      <c r="I20" s="181">
        <v>13.53</v>
      </c>
      <c r="J20" s="201">
        <f t="shared" si="0"/>
        <v>0</v>
      </c>
      <c r="K20" s="449">
        <v>0.25</v>
      </c>
      <c r="L20" s="201">
        <f aca="true" t="shared" si="2" ref="L20:L27">IF(H20=0,"",J20*K20)</f>
      </c>
      <c r="O20" s="197"/>
      <c r="P20" s="197"/>
    </row>
    <row r="21" spans="1:12" ht="12.75" customHeight="1">
      <c r="A21" s="508">
        <f t="shared" si="1"/>
        <v>1305</v>
      </c>
      <c r="B21" s="447">
        <v>2003</v>
      </c>
      <c r="C21" s="448"/>
      <c r="D21" s="448"/>
      <c r="E21" s="448"/>
      <c r="F21" s="448"/>
      <c r="G21" s="141"/>
      <c r="H21" s="200"/>
      <c r="I21" s="181">
        <v>13.91</v>
      </c>
      <c r="J21" s="201">
        <f t="shared" si="0"/>
        <v>0</v>
      </c>
      <c r="K21" s="449">
        <v>0.35</v>
      </c>
      <c r="L21" s="201">
        <f t="shared" si="2"/>
      </c>
    </row>
    <row r="22" spans="1:12" ht="12.75" customHeight="1">
      <c r="A22" s="508">
        <f t="shared" si="1"/>
        <v>1306</v>
      </c>
      <c r="B22" s="447">
        <v>2004</v>
      </c>
      <c r="C22" s="448"/>
      <c r="D22" s="448"/>
      <c r="E22" s="448"/>
      <c r="F22" s="448"/>
      <c r="G22" s="141"/>
      <c r="H22" s="200"/>
      <c r="I22" s="181">
        <v>14.02</v>
      </c>
      <c r="J22" s="201">
        <f t="shared" si="0"/>
        <v>0</v>
      </c>
      <c r="K22" s="449">
        <v>0.45</v>
      </c>
      <c r="L22" s="201">
        <f t="shared" si="2"/>
      </c>
    </row>
    <row r="23" spans="1:12" ht="12.75" customHeight="1">
      <c r="A23" s="508">
        <f t="shared" si="1"/>
        <v>1307</v>
      </c>
      <c r="B23" s="447">
        <v>2005</v>
      </c>
      <c r="C23" s="448"/>
      <c r="D23" s="448"/>
      <c r="E23" s="448"/>
      <c r="F23" s="448"/>
      <c r="G23" s="141"/>
      <c r="H23" s="200"/>
      <c r="I23" s="181">
        <v>14.22</v>
      </c>
      <c r="J23" s="201">
        <f t="shared" si="0"/>
        <v>0</v>
      </c>
      <c r="K23" s="449">
        <v>0.55</v>
      </c>
      <c r="L23" s="201">
        <f t="shared" si="2"/>
      </c>
    </row>
    <row r="24" spans="1:12" ht="12.75" customHeight="1">
      <c r="A24" s="508">
        <f t="shared" si="1"/>
        <v>1308</v>
      </c>
      <c r="B24" s="447">
        <v>2006</v>
      </c>
      <c r="C24" s="448"/>
      <c r="D24" s="448"/>
      <c r="E24" s="448"/>
      <c r="F24" s="448"/>
      <c r="G24" s="141"/>
      <c r="H24" s="200"/>
      <c r="I24" s="181">
        <v>14.57</v>
      </c>
      <c r="J24" s="201">
        <f t="shared" si="0"/>
        <v>0</v>
      </c>
      <c r="K24" s="449">
        <v>0.65</v>
      </c>
      <c r="L24" s="201">
        <f t="shared" si="2"/>
      </c>
    </row>
    <row r="25" spans="1:12" ht="12.75" customHeight="1">
      <c r="A25" s="508">
        <f t="shared" si="1"/>
        <v>1309</v>
      </c>
      <c r="B25" s="447">
        <v>2007</v>
      </c>
      <c r="C25" s="448"/>
      <c r="D25" s="448"/>
      <c r="E25" s="448"/>
      <c r="F25" s="448"/>
      <c r="G25" s="141"/>
      <c r="H25" s="200"/>
      <c r="I25" s="181">
        <v>14.79</v>
      </c>
      <c r="J25" s="201">
        <f t="shared" si="0"/>
        <v>0</v>
      </c>
      <c r="K25" s="449">
        <v>0.75</v>
      </c>
      <c r="L25" s="201">
        <f t="shared" si="2"/>
      </c>
    </row>
    <row r="26" spans="1:12" ht="12.75" customHeight="1">
      <c r="A26" s="509">
        <f>A25+1</f>
        <v>1310</v>
      </c>
      <c r="B26" s="450">
        <v>2008</v>
      </c>
      <c r="C26" s="451"/>
      <c r="D26" s="451"/>
      <c r="E26" s="451"/>
      <c r="F26" s="451"/>
      <c r="G26" s="452"/>
      <c r="H26" s="200"/>
      <c r="I26" s="210">
        <v>15.19</v>
      </c>
      <c r="J26" s="453">
        <f t="shared" si="0"/>
        <v>0</v>
      </c>
      <c r="K26" s="449">
        <v>0.85</v>
      </c>
      <c r="L26" s="201">
        <f t="shared" si="2"/>
      </c>
    </row>
    <row r="27" spans="1:12" ht="12.75" customHeight="1" thickBot="1">
      <c r="A27" s="508">
        <f t="shared" si="1"/>
        <v>1311</v>
      </c>
      <c r="B27" s="450">
        <v>2009</v>
      </c>
      <c r="C27" s="451"/>
      <c r="D27" s="451"/>
      <c r="E27" s="451"/>
      <c r="F27" s="451"/>
      <c r="G27" s="452"/>
      <c r="H27" s="200"/>
      <c r="I27" s="210">
        <v>15.32</v>
      </c>
      <c r="J27" s="453">
        <f t="shared" si="0"/>
        <v>0</v>
      </c>
      <c r="K27" s="449">
        <v>0.95</v>
      </c>
      <c r="L27" s="201">
        <f t="shared" si="2"/>
      </c>
    </row>
    <row r="28" spans="1:12" ht="12.75" customHeight="1" thickBot="1">
      <c r="A28" s="508">
        <f t="shared" si="1"/>
        <v>1312</v>
      </c>
      <c r="B28" s="471" t="str">
        <f>"Totaal (regel "&amp;A19&amp;" t/m regel "&amp;A27&amp;")"</f>
        <v>Totaal (regel 1303 t/m regel 1311)</v>
      </c>
      <c r="C28" s="472"/>
      <c r="D28" s="473"/>
      <c r="E28" s="472"/>
      <c r="F28" s="474"/>
      <c r="G28" s="333"/>
      <c r="H28" s="473"/>
      <c r="I28" s="473"/>
      <c r="J28" s="473"/>
      <c r="K28" s="475"/>
      <c r="L28" s="476">
        <f>SUM(L19:L27)</f>
        <v>0</v>
      </c>
    </row>
    <row r="29" spans="1:12" ht="12.75" customHeight="1">
      <c r="A29" s="187"/>
      <c r="B29" s="177"/>
      <c r="C29" s="454"/>
      <c r="D29" s="455"/>
      <c r="E29" s="454"/>
      <c r="F29" s="456"/>
      <c r="G29" s="63"/>
      <c r="H29" s="455"/>
      <c r="I29" s="455"/>
      <c r="J29" s="455"/>
      <c r="K29" s="455"/>
      <c r="L29" s="202"/>
    </row>
    <row r="30" spans="1:12" ht="12.75" customHeight="1">
      <c r="A30" s="187"/>
      <c r="B30" s="177"/>
      <c r="C30" s="454"/>
      <c r="D30" s="455"/>
      <c r="E30" s="454"/>
      <c r="F30" s="456"/>
      <c r="G30" s="63"/>
      <c r="H30" s="464" t="s">
        <v>143</v>
      </c>
      <c r="I30" s="464" t="s">
        <v>144</v>
      </c>
      <c r="J30" s="464" t="s">
        <v>141</v>
      </c>
      <c r="K30" s="464" t="s">
        <v>94</v>
      </c>
      <c r="L30" s="464" t="s">
        <v>149</v>
      </c>
    </row>
    <row r="31" spans="1:12" ht="12.75" customHeight="1">
      <c r="A31" s="187"/>
      <c r="B31" s="177"/>
      <c r="C31" s="454"/>
      <c r="D31" s="455"/>
      <c r="E31" s="454"/>
      <c r="F31" s="456"/>
      <c r="G31" s="63"/>
      <c r="H31" s="465" t="s">
        <v>155</v>
      </c>
      <c r="I31" s="465" t="s">
        <v>155</v>
      </c>
      <c r="J31" s="465" t="s">
        <v>148</v>
      </c>
      <c r="K31" s="466"/>
      <c r="L31" s="466" t="s">
        <v>155</v>
      </c>
    </row>
    <row r="32" spans="1:12" ht="12.75" customHeight="1">
      <c r="A32" s="187"/>
      <c r="B32" s="177"/>
      <c r="C32" s="454"/>
      <c r="D32" s="455"/>
      <c r="E32" s="454"/>
      <c r="F32" s="456"/>
      <c r="G32" s="63"/>
      <c r="H32" s="465" t="s">
        <v>253</v>
      </c>
      <c r="I32" s="465" t="s">
        <v>249</v>
      </c>
      <c r="J32" s="465"/>
      <c r="K32" s="466"/>
      <c r="L32" s="467" t="s">
        <v>142</v>
      </c>
    </row>
    <row r="33" spans="1:14" ht="12.75" customHeight="1">
      <c r="A33" s="208"/>
      <c r="B33" s="208"/>
      <c r="C33" s="205"/>
      <c r="D33" s="208"/>
      <c r="E33" s="207"/>
      <c r="F33" s="208"/>
      <c r="G33" s="208"/>
      <c r="H33" s="466" t="s">
        <v>250</v>
      </c>
      <c r="I33" s="465"/>
      <c r="J33" s="465"/>
      <c r="K33" s="466"/>
      <c r="L33" s="466"/>
      <c r="M33" s="33"/>
      <c r="N33" s="33"/>
    </row>
    <row r="34" spans="1:14" ht="12.75" customHeight="1">
      <c r="A34" s="206" t="s">
        <v>254</v>
      </c>
      <c r="B34" s="206" t="s">
        <v>255</v>
      </c>
      <c r="C34" s="207"/>
      <c r="D34" s="208"/>
      <c r="E34" s="207"/>
      <c r="F34" s="208"/>
      <c r="G34" s="446"/>
      <c r="H34" s="477" t="s">
        <v>160</v>
      </c>
      <c r="I34" s="468"/>
      <c r="J34" s="469"/>
      <c r="K34" s="469"/>
      <c r="L34" s="469"/>
      <c r="M34" s="33"/>
      <c r="N34" s="33"/>
    </row>
    <row r="35" spans="1:12" ht="12.75" customHeight="1">
      <c r="A35" s="508">
        <f>A28+1</f>
        <v>1313</v>
      </c>
      <c r="B35" s="447" t="s">
        <v>256</v>
      </c>
      <c r="C35" s="448"/>
      <c r="D35" s="448"/>
      <c r="E35" s="448"/>
      <c r="F35" s="448"/>
      <c r="G35" s="141"/>
      <c r="H35" s="200"/>
      <c r="I35" s="181">
        <f aca="true" t="shared" si="3" ref="I35:I41">I19*6</f>
        <v>78.73994309596091</v>
      </c>
      <c r="J35" s="201">
        <f aca="true" t="shared" si="4" ref="J35:J43">H35*I35</f>
        <v>0</v>
      </c>
      <c r="K35" s="457"/>
      <c r="L35" s="458"/>
    </row>
    <row r="36" spans="1:16" ht="12.75" customHeight="1">
      <c r="A36" s="508">
        <f aca="true" t="shared" si="5" ref="A36:A44">A35+1</f>
        <v>1314</v>
      </c>
      <c r="B36" s="447" t="s">
        <v>257</v>
      </c>
      <c r="C36" s="448"/>
      <c r="D36" s="448"/>
      <c r="E36" s="448"/>
      <c r="F36" s="448"/>
      <c r="G36" s="141"/>
      <c r="H36" s="200"/>
      <c r="I36" s="181">
        <f t="shared" si="3"/>
        <v>81.17999999999999</v>
      </c>
      <c r="J36" s="201">
        <f t="shared" si="4"/>
        <v>0</v>
      </c>
      <c r="K36" s="459"/>
      <c r="L36" s="460"/>
      <c r="O36" s="197"/>
      <c r="P36" s="197"/>
    </row>
    <row r="37" spans="1:16" ht="12.75" customHeight="1">
      <c r="A37" s="508">
        <f t="shared" si="5"/>
        <v>1315</v>
      </c>
      <c r="B37" s="447" t="s">
        <v>258</v>
      </c>
      <c r="C37" s="448"/>
      <c r="D37" s="448"/>
      <c r="E37" s="448"/>
      <c r="F37" s="448"/>
      <c r="G37" s="141"/>
      <c r="H37" s="200"/>
      <c r="I37" s="181">
        <f t="shared" si="3"/>
        <v>83.46000000000001</v>
      </c>
      <c r="J37" s="201">
        <f t="shared" si="4"/>
        <v>0</v>
      </c>
      <c r="K37" s="459"/>
      <c r="L37" s="460"/>
      <c r="O37" s="197"/>
      <c r="P37" s="197"/>
    </row>
    <row r="38" spans="1:16" ht="12.75" customHeight="1">
      <c r="A38" s="508">
        <f t="shared" si="5"/>
        <v>1316</v>
      </c>
      <c r="B38" s="447" t="s">
        <v>259</v>
      </c>
      <c r="C38" s="448"/>
      <c r="D38" s="448"/>
      <c r="E38" s="448"/>
      <c r="F38" s="448"/>
      <c r="G38" s="141"/>
      <c r="H38" s="200"/>
      <c r="I38" s="181">
        <f t="shared" si="3"/>
        <v>84.12</v>
      </c>
      <c r="J38" s="201">
        <f t="shared" si="4"/>
        <v>0</v>
      </c>
      <c r="K38" s="459"/>
      <c r="L38" s="460"/>
      <c r="O38" s="197"/>
      <c r="P38" s="197"/>
    </row>
    <row r="39" spans="1:16" ht="12.75" customHeight="1">
      <c r="A39" s="508">
        <f t="shared" si="5"/>
        <v>1317</v>
      </c>
      <c r="B39" s="447" t="s">
        <v>260</v>
      </c>
      <c r="C39" s="448"/>
      <c r="D39" s="448"/>
      <c r="E39" s="448"/>
      <c r="F39" s="448"/>
      <c r="G39" s="141"/>
      <c r="H39" s="200"/>
      <c r="I39" s="181">
        <f t="shared" si="3"/>
        <v>85.32000000000001</v>
      </c>
      <c r="J39" s="201">
        <f t="shared" si="4"/>
        <v>0</v>
      </c>
      <c r="K39" s="459"/>
      <c r="L39" s="460"/>
      <c r="O39" s="197"/>
      <c r="P39" s="197"/>
    </row>
    <row r="40" spans="1:16" ht="12.75" customHeight="1">
      <c r="A40" s="508">
        <f t="shared" si="5"/>
        <v>1318</v>
      </c>
      <c r="B40" s="447" t="s">
        <v>261</v>
      </c>
      <c r="C40" s="448"/>
      <c r="D40" s="448"/>
      <c r="E40" s="448"/>
      <c r="F40" s="448"/>
      <c r="G40" s="141"/>
      <c r="H40" s="200"/>
      <c r="I40" s="181">
        <f t="shared" si="3"/>
        <v>87.42</v>
      </c>
      <c r="J40" s="211">
        <f t="shared" si="4"/>
        <v>0</v>
      </c>
      <c r="K40" s="459"/>
      <c r="L40" s="460"/>
      <c r="O40" s="197"/>
      <c r="P40" s="197"/>
    </row>
    <row r="41" spans="1:16" ht="12.75" customHeight="1">
      <c r="A41" s="508">
        <f t="shared" si="5"/>
        <v>1319</v>
      </c>
      <c r="B41" s="447" t="s">
        <v>262</v>
      </c>
      <c r="C41" s="448"/>
      <c r="D41" s="448"/>
      <c r="E41" s="448"/>
      <c r="F41" s="448"/>
      <c r="G41" s="141"/>
      <c r="H41" s="200"/>
      <c r="I41" s="181">
        <f t="shared" si="3"/>
        <v>88.74</v>
      </c>
      <c r="J41" s="211">
        <f t="shared" si="4"/>
        <v>0</v>
      </c>
      <c r="K41" s="459"/>
      <c r="L41" s="460"/>
      <c r="O41" s="197"/>
      <c r="P41" s="197"/>
    </row>
    <row r="42" spans="1:16" ht="12.75" customHeight="1">
      <c r="A42" s="508">
        <f>A41+1</f>
        <v>1320</v>
      </c>
      <c r="B42" s="447" t="s">
        <v>263</v>
      </c>
      <c r="C42" s="448"/>
      <c r="D42" s="448"/>
      <c r="E42" s="448"/>
      <c r="F42" s="448"/>
      <c r="G42" s="141"/>
      <c r="H42" s="200"/>
      <c r="I42" s="461">
        <f>I26*6</f>
        <v>91.14</v>
      </c>
      <c r="J42" s="201">
        <f t="shared" si="4"/>
        <v>0</v>
      </c>
      <c r="K42" s="462"/>
      <c r="L42" s="482"/>
      <c r="O42" s="197"/>
      <c r="P42" s="197"/>
    </row>
    <row r="43" spans="1:16" ht="12.75" customHeight="1" thickBot="1">
      <c r="A43" s="508">
        <f t="shared" si="5"/>
        <v>1321</v>
      </c>
      <c r="B43" s="447" t="s">
        <v>265</v>
      </c>
      <c r="C43" s="448"/>
      <c r="D43" s="448"/>
      <c r="E43" s="448"/>
      <c r="F43" s="448"/>
      <c r="G43" s="141"/>
      <c r="H43" s="200"/>
      <c r="I43" s="461">
        <f>I27*6</f>
        <v>91.92</v>
      </c>
      <c r="J43" s="201">
        <f t="shared" si="4"/>
        <v>0</v>
      </c>
      <c r="K43" s="462"/>
      <c r="L43" s="463"/>
      <c r="O43" s="197"/>
      <c r="P43" s="197"/>
    </row>
    <row r="44" spans="1:16" ht="12.75" customHeight="1" thickBot="1">
      <c r="A44" s="508">
        <f t="shared" si="5"/>
        <v>1322</v>
      </c>
      <c r="B44" s="471" t="str">
        <f>"Totaal (regel "&amp;A35&amp;" t/m regel "&amp;A43&amp;")"</f>
        <v>Totaal (regel 1313 t/m regel 1321)</v>
      </c>
      <c r="C44" s="472"/>
      <c r="D44" s="473"/>
      <c r="E44" s="472"/>
      <c r="F44" s="474"/>
      <c r="G44" s="333"/>
      <c r="H44" s="333"/>
      <c r="I44" s="473"/>
      <c r="J44" s="478">
        <f>SUM(J35:J43)</f>
        <v>0</v>
      </c>
      <c r="K44" s="479">
        <v>0.55</v>
      </c>
      <c r="L44" s="480">
        <f>IF(J44*K44=0,0,J44*K44)</f>
        <v>0</v>
      </c>
      <c r="O44" s="197"/>
      <c r="P44" s="197"/>
    </row>
    <row r="45" spans="1:16" ht="12.75" customHeight="1">
      <c r="A45" s="612" t="s">
        <v>264</v>
      </c>
      <c r="B45" s="613"/>
      <c r="C45" s="613"/>
      <c r="D45" s="613"/>
      <c r="E45" s="613"/>
      <c r="F45" s="613"/>
      <c r="G45" s="613"/>
      <c r="H45" s="613"/>
      <c r="I45" s="613"/>
      <c r="J45" s="613"/>
      <c r="K45" s="613"/>
      <c r="L45" s="175"/>
      <c r="O45" s="197"/>
      <c r="P45" s="197"/>
    </row>
    <row r="46" spans="1:16" ht="12.75" customHeight="1">
      <c r="A46" s="614"/>
      <c r="B46" s="614"/>
      <c r="C46" s="614"/>
      <c r="D46" s="614"/>
      <c r="E46" s="614"/>
      <c r="F46" s="614"/>
      <c r="G46" s="614"/>
      <c r="H46" s="614"/>
      <c r="I46" s="614"/>
      <c r="J46" s="614"/>
      <c r="K46" s="614"/>
      <c r="O46" s="197"/>
      <c r="P46" s="197"/>
    </row>
    <row r="47" spans="1:16" ht="12.75" customHeight="1">
      <c r="A47" s="444"/>
      <c r="B47" s="444"/>
      <c r="C47" s="444"/>
      <c r="D47" s="444"/>
      <c r="E47" s="444"/>
      <c r="F47" s="444"/>
      <c r="G47" s="444"/>
      <c r="H47" s="444"/>
      <c r="I47" s="444"/>
      <c r="J47" s="444"/>
      <c r="K47" s="444"/>
      <c r="L47" s="444"/>
      <c r="M47" s="178"/>
      <c r="N47" s="202"/>
      <c r="O47" s="197"/>
      <c r="P47" s="197"/>
    </row>
    <row r="48" spans="1:16" ht="12.75" customHeight="1">
      <c r="A48" s="187"/>
      <c r="B48" s="177"/>
      <c r="C48" s="63"/>
      <c r="D48" s="63"/>
      <c r="E48" s="178"/>
      <c r="F48" s="178"/>
      <c r="G48" s="178"/>
      <c r="H48" s="178"/>
      <c r="I48" s="178"/>
      <c r="J48" s="178"/>
      <c r="K48" s="178"/>
      <c r="L48" s="202"/>
      <c r="M48" s="178"/>
      <c r="N48" s="202"/>
      <c r="O48" s="197"/>
      <c r="P48" s="197"/>
    </row>
    <row r="49" spans="1:8" ht="12.75" customHeight="1">
      <c r="A49" s="182"/>
      <c r="B49" s="183"/>
      <c r="C49" s="184"/>
      <c r="D49" s="184"/>
      <c r="E49" s="184"/>
      <c r="F49" s="184"/>
      <c r="G49" s="187"/>
      <c r="H49" s="212"/>
    </row>
    <row r="50" spans="1:12" ht="12.75" customHeight="1">
      <c r="A50" s="182"/>
      <c r="B50" s="183"/>
      <c r="C50" s="184"/>
      <c r="D50" s="184"/>
      <c r="E50" s="184"/>
      <c r="F50" s="184"/>
      <c r="G50" s="213"/>
      <c r="H50" s="179" t="s">
        <v>143</v>
      </c>
      <c r="I50" s="179" t="s">
        <v>161</v>
      </c>
      <c r="J50" s="193" t="s">
        <v>162</v>
      </c>
      <c r="K50" s="179" t="s">
        <v>94</v>
      </c>
      <c r="L50" s="179" t="s">
        <v>149</v>
      </c>
    </row>
    <row r="51" spans="1:12" ht="12.75" customHeight="1">
      <c r="A51" s="182"/>
      <c r="B51" s="183"/>
      <c r="C51" s="184"/>
      <c r="D51" s="184"/>
      <c r="E51" s="184"/>
      <c r="F51" s="184"/>
      <c r="G51" s="213"/>
      <c r="H51" s="180" t="s">
        <v>163</v>
      </c>
      <c r="I51" s="180" t="s">
        <v>164</v>
      </c>
      <c r="J51" s="194" t="s">
        <v>165</v>
      </c>
      <c r="K51" s="180"/>
      <c r="L51" s="180" t="s">
        <v>166</v>
      </c>
    </row>
    <row r="52" spans="1:12" ht="12.75" customHeight="1">
      <c r="A52" s="176" t="s">
        <v>302</v>
      </c>
      <c r="B52" s="214"/>
      <c r="C52" s="214"/>
      <c r="D52" s="187"/>
      <c r="E52" s="187"/>
      <c r="F52" s="214"/>
      <c r="G52" s="214"/>
      <c r="H52" s="180" t="s">
        <v>150</v>
      </c>
      <c r="I52" s="180" t="s">
        <v>167</v>
      </c>
      <c r="J52" s="180" t="s">
        <v>29</v>
      </c>
      <c r="K52" s="180"/>
      <c r="L52" s="196" t="s">
        <v>142</v>
      </c>
    </row>
    <row r="53" spans="1:16" ht="12.75" customHeight="1">
      <c r="A53" s="206"/>
      <c r="B53" s="206" t="s">
        <v>169</v>
      </c>
      <c r="C53" s="214"/>
      <c r="D53" s="187"/>
      <c r="E53" s="187"/>
      <c r="F53" s="214"/>
      <c r="G53" s="214"/>
      <c r="H53" s="180" t="s">
        <v>160</v>
      </c>
      <c r="I53" s="180" t="s">
        <v>168</v>
      </c>
      <c r="J53" s="180" t="s">
        <v>155</v>
      </c>
      <c r="K53" s="180"/>
      <c r="L53" s="180"/>
      <c r="O53" s="197"/>
      <c r="P53" s="197"/>
    </row>
    <row r="54" spans="8:16" ht="12.75" customHeight="1">
      <c r="H54" s="209" t="s">
        <v>146</v>
      </c>
      <c r="I54" s="180"/>
      <c r="J54" s="180" t="s">
        <v>148</v>
      </c>
      <c r="K54" s="180"/>
      <c r="L54" s="180"/>
      <c r="O54" s="197"/>
      <c r="P54" s="197"/>
    </row>
    <row r="55" spans="1:16" ht="12.75" customHeight="1">
      <c r="A55" s="313">
        <v>1401</v>
      </c>
      <c r="B55" s="215" t="s">
        <v>170</v>
      </c>
      <c r="C55" s="189"/>
      <c r="D55" s="141"/>
      <c r="E55" s="141"/>
      <c r="F55" s="141"/>
      <c r="G55" s="141"/>
      <c r="H55" s="200"/>
      <c r="I55" s="210">
        <f>ROUND((ROUND((8058.19+8312.83)/2.20371,2)+3938+4060+4207+4267+4372+4438+4557+4597)/10,2)</f>
        <v>4186.48</v>
      </c>
      <c r="J55" s="211">
        <f>IF(OR(H55*I55=0,H55="",I55=""),0,ROUND(H55*I55,0))</f>
        <v>0</v>
      </c>
      <c r="K55" s="216">
        <v>0.5</v>
      </c>
      <c r="L55" s="201">
        <f>IF(OR(J55*K55=0,J55="",K55=""),"",ROUND(J55*K55,0))</f>
      </c>
      <c r="O55" s="197"/>
      <c r="P55" s="197"/>
    </row>
    <row r="56" spans="1:16" ht="12.75" customHeight="1">
      <c r="A56" s="313">
        <f>A55+1</f>
        <v>1402</v>
      </c>
      <c r="B56" s="215" t="s">
        <v>171</v>
      </c>
      <c r="C56" s="189"/>
      <c r="D56" s="189"/>
      <c r="E56" s="43"/>
      <c r="F56" s="43"/>
      <c r="G56" s="43"/>
      <c r="H56" s="43"/>
      <c r="I56" s="43"/>
      <c r="J56" s="200"/>
      <c r="K56" s="216">
        <v>0.05</v>
      </c>
      <c r="L56" s="201">
        <f>IF(OR(J56*K56=0,J56="",K56=""),"",ROUND(J56*K56,0))</f>
      </c>
      <c r="O56" s="197"/>
      <c r="P56" s="197"/>
    </row>
    <row r="57" spans="1:16" ht="12.75" customHeight="1">
      <c r="A57" s="313">
        <f>A56+1</f>
        <v>1403</v>
      </c>
      <c r="B57" s="215" t="s">
        <v>172</v>
      </c>
      <c r="C57" s="189"/>
      <c r="D57" s="189"/>
      <c r="E57" s="43"/>
      <c r="F57" s="43"/>
      <c r="G57" s="43"/>
      <c r="H57" s="43"/>
      <c r="I57" s="43"/>
      <c r="J57" s="200"/>
      <c r="K57" s="216">
        <v>0.15</v>
      </c>
      <c r="L57" s="201">
        <f>IF(OR(J57*K57=0,J57="",K57=""),"",ROUND(J57*K57,0))</f>
      </c>
      <c r="O57" s="197"/>
      <c r="P57" s="197"/>
    </row>
    <row r="58" spans="1:16" ht="12.75" customHeight="1">
      <c r="A58" s="203"/>
      <c r="B58" s="204"/>
      <c r="C58" s="205"/>
      <c r="D58" s="205"/>
      <c r="E58" s="205"/>
      <c r="F58" s="205"/>
      <c r="G58" s="205"/>
      <c r="H58" s="205"/>
      <c r="I58" s="205"/>
      <c r="J58" s="217"/>
      <c r="K58" s="33"/>
      <c r="L58" s="33"/>
      <c r="O58" s="197"/>
      <c r="P58" s="197"/>
    </row>
    <row r="59" spans="1:16" ht="12.75" customHeight="1">
      <c r="A59" s="206" t="s">
        <v>303</v>
      </c>
      <c r="B59" s="206" t="s">
        <v>173</v>
      </c>
      <c r="C59" s="207"/>
      <c r="D59" s="208"/>
      <c r="E59" s="207"/>
      <c r="F59" s="208"/>
      <c r="G59" s="208"/>
      <c r="H59" s="208"/>
      <c r="I59" s="208"/>
      <c r="J59" s="208"/>
      <c r="K59" s="33"/>
      <c r="L59" s="33"/>
      <c r="O59" s="197"/>
      <c r="P59" s="197"/>
    </row>
    <row r="60" spans="1:16" ht="12.75" customHeight="1">
      <c r="A60" s="313">
        <f>A57+1</f>
        <v>1404</v>
      </c>
      <c r="B60" s="215" t="s">
        <v>245</v>
      </c>
      <c r="C60" s="189"/>
      <c r="D60" s="141"/>
      <c r="E60" s="141"/>
      <c r="F60" s="141"/>
      <c r="G60" s="141"/>
      <c r="H60" s="218">
        <f>H55</f>
        <v>0</v>
      </c>
      <c r="I60" s="210">
        <f>ROUND((331+339+344+353+356)/5,2)</f>
        <v>344.6</v>
      </c>
      <c r="J60" s="211">
        <f>IF(OR(H60*I60=0,H60="",I60=""),0,ROUND(H60*I60,0))</f>
        <v>0</v>
      </c>
      <c r="K60" s="216">
        <v>0.5</v>
      </c>
      <c r="L60" s="201">
        <f>IF(OR(J60*K60=0,J60="",K60=""),"",ROUND(J60*K60,0))</f>
      </c>
      <c r="O60" s="197"/>
      <c r="P60" s="197"/>
    </row>
    <row r="61" spans="1:12" ht="12.75" customHeight="1">
      <c r="A61" s="313">
        <f>A60+1</f>
        <v>1405</v>
      </c>
      <c r="B61" s="443" t="str">
        <f>"Totaal (regel "&amp;A55&amp;" t/m regel "&amp;A60&amp;")"</f>
        <v>Totaal (regel 1401 t/m regel 1404)</v>
      </c>
      <c r="C61" s="313"/>
      <c r="D61" s="313"/>
      <c r="E61" s="313"/>
      <c r="F61" s="313"/>
      <c r="G61" s="313"/>
      <c r="H61" s="313"/>
      <c r="I61" s="313"/>
      <c r="J61" s="313"/>
      <c r="K61" s="313"/>
      <c r="L61" s="313">
        <f>SUM(L55:L60)</f>
        <v>0</v>
      </c>
    </row>
    <row r="62" spans="1:12" ht="12.75" customHeight="1">
      <c r="A62" s="33"/>
      <c r="B62" s="33"/>
      <c r="C62" s="33"/>
      <c r="D62" s="33"/>
      <c r="E62" s="33"/>
      <c r="F62" s="33"/>
      <c r="G62" s="33"/>
      <c r="H62" s="33"/>
      <c r="I62" s="33"/>
      <c r="J62" s="33"/>
      <c r="K62" s="33"/>
      <c r="L62" s="33"/>
    </row>
    <row r="63" spans="1:16" ht="12.75" customHeight="1">
      <c r="A63" s="313">
        <f>A61+1</f>
        <v>1406</v>
      </c>
      <c r="B63" s="443" t="s">
        <v>188</v>
      </c>
      <c r="C63" s="313"/>
      <c r="D63" s="313"/>
      <c r="E63" s="313"/>
      <c r="F63" s="313"/>
      <c r="G63" s="313"/>
      <c r="H63" s="313"/>
      <c r="I63" s="313"/>
      <c r="J63" s="313"/>
      <c r="K63" s="313"/>
      <c r="L63" s="481">
        <f>L12+L28+L44+L61</f>
        <v>0</v>
      </c>
      <c r="O63" s="197"/>
      <c r="P63" s="197"/>
    </row>
    <row r="64" spans="1:16" ht="12.75" customHeight="1">
      <c r="A64" s="33"/>
      <c r="B64" s="33"/>
      <c r="C64" s="33"/>
      <c r="D64" s="233"/>
      <c r="E64" s="33"/>
      <c r="F64" s="33"/>
      <c r="G64" s="33"/>
      <c r="H64" s="33"/>
      <c r="I64" s="33"/>
      <c r="J64" s="33"/>
      <c r="K64" s="33"/>
      <c r="L64" s="33"/>
      <c r="O64" s="197"/>
      <c r="P64" s="197"/>
    </row>
    <row r="65" spans="2:14" ht="12.75" customHeight="1">
      <c r="B65" s="33"/>
      <c r="C65" s="33"/>
      <c r="D65" s="33"/>
      <c r="E65" s="33"/>
      <c r="F65" s="33"/>
      <c r="H65" s="33"/>
      <c r="J65" s="33"/>
      <c r="K65" s="33"/>
      <c r="L65" s="33"/>
      <c r="M65" s="33"/>
      <c r="N65" s="33"/>
    </row>
    <row r="66" spans="1:14" ht="12.75" customHeight="1">
      <c r="A66" s="176" t="s">
        <v>174</v>
      </c>
      <c r="B66" s="33"/>
      <c r="C66" s="33"/>
      <c r="D66" s="33"/>
      <c r="E66" s="33"/>
      <c r="F66" s="33"/>
      <c r="H66" s="179" t="s">
        <v>143</v>
      </c>
      <c r="I66" s="179" t="s">
        <v>175</v>
      </c>
      <c r="J66" s="179" t="s">
        <v>141</v>
      </c>
      <c r="K66" s="179" t="s">
        <v>94</v>
      </c>
      <c r="L66" s="179" t="s">
        <v>149</v>
      </c>
      <c r="M66" s="33"/>
      <c r="N66" s="33"/>
    </row>
    <row r="67" spans="1:14" ht="12.75" customHeight="1">
      <c r="A67" s="33"/>
      <c r="B67" s="33"/>
      <c r="C67" s="33"/>
      <c r="D67" s="33"/>
      <c r="E67" s="33"/>
      <c r="F67" s="33"/>
      <c r="H67" s="180" t="s">
        <v>150</v>
      </c>
      <c r="I67" s="180" t="s">
        <v>164</v>
      </c>
      <c r="J67" s="180" t="s">
        <v>176</v>
      </c>
      <c r="K67" s="180"/>
      <c r="L67" s="180" t="s">
        <v>166</v>
      </c>
      <c r="M67" s="33"/>
      <c r="N67" s="33"/>
    </row>
    <row r="68" spans="1:14" ht="12.75" customHeight="1">
      <c r="A68" s="176" t="s">
        <v>180</v>
      </c>
      <c r="B68" s="176" t="s">
        <v>181</v>
      </c>
      <c r="C68" s="184"/>
      <c r="D68" s="184"/>
      <c r="E68" s="184"/>
      <c r="F68" s="184"/>
      <c r="H68" s="180" t="s">
        <v>160</v>
      </c>
      <c r="I68" s="180" t="s">
        <v>177</v>
      </c>
      <c r="J68" s="180" t="s">
        <v>178</v>
      </c>
      <c r="K68" s="180"/>
      <c r="L68" s="196" t="s">
        <v>179</v>
      </c>
      <c r="M68" s="33"/>
      <c r="N68" s="33"/>
    </row>
    <row r="69" spans="8:14" ht="12.75" customHeight="1">
      <c r="H69" s="180" t="s">
        <v>146</v>
      </c>
      <c r="I69" s="180" t="s">
        <v>168</v>
      </c>
      <c r="J69" s="180" t="s">
        <v>182</v>
      </c>
      <c r="K69" s="180"/>
      <c r="L69" s="180" t="s">
        <v>182</v>
      </c>
      <c r="M69" s="184"/>
      <c r="N69" s="184"/>
    </row>
    <row r="70" spans="1:12" ht="12.75" customHeight="1">
      <c r="A70" s="313">
        <f>A63+1</f>
        <v>1407</v>
      </c>
      <c r="B70" s="219" t="s">
        <v>267</v>
      </c>
      <c r="C70" s="189"/>
      <c r="D70" s="141"/>
      <c r="E70" s="141"/>
      <c r="F70" s="141"/>
      <c r="G70" s="141"/>
      <c r="H70" s="200"/>
      <c r="I70" s="304">
        <f>ROUND((ROUND((1346+1565)/2.20371,2)+754.5+781.23+741.07+747.96+768.9+788.05+851.02+872.89),2)</f>
        <v>7626.57</v>
      </c>
      <c r="J70" s="201">
        <f>IF(OR(H70*I70=0,H70="",I70=""),0,ROUND(H70*I70,0))</f>
        <v>0</v>
      </c>
      <c r="K70" s="220">
        <v>0.5</v>
      </c>
      <c r="L70" s="201">
        <f>IF(OR(J70*K70=0,J70="",K70=""),"",ROUND(J70*K70,0))</f>
      </c>
    </row>
    <row r="71" spans="1:16" ht="12.75" customHeight="1">
      <c r="A71" s="313">
        <f>A70+1</f>
        <v>1408</v>
      </c>
      <c r="B71" s="219" t="s">
        <v>266</v>
      </c>
      <c r="C71" s="189"/>
      <c r="D71" s="141"/>
      <c r="E71" s="141"/>
      <c r="F71" s="141"/>
      <c r="G71" s="141"/>
      <c r="H71" s="200"/>
      <c r="I71" s="304">
        <f>ROUND((ROUND((673+783)/2.20371,2)+377.4+390.77+370.68+374.13+384.61+394.18+425.67+436.61),2)</f>
        <v>3814.75</v>
      </c>
      <c r="J71" s="201">
        <f>IF(OR(H71*I71=0,H71="",I71=""),0,ROUND(H71*I71,0))</f>
        <v>0</v>
      </c>
      <c r="K71" s="220">
        <v>0.5</v>
      </c>
      <c r="L71" s="201">
        <f>IF(OR(J71*K71=0,J71="",K71=""),"",ROUND(J71*K71,0))</f>
      </c>
      <c r="O71" s="197"/>
      <c r="P71" s="197"/>
    </row>
    <row r="72" spans="1:16" ht="12.75" customHeight="1">
      <c r="A72" s="313">
        <f>A71+1</f>
        <v>1409</v>
      </c>
      <c r="B72" s="219" t="s">
        <v>183</v>
      </c>
      <c r="C72" s="189"/>
      <c r="D72" s="221"/>
      <c r="E72" s="141"/>
      <c r="F72" s="141"/>
      <c r="G72" s="141"/>
      <c r="H72" s="141"/>
      <c r="I72" s="141"/>
      <c r="J72" s="200"/>
      <c r="K72" s="220">
        <v>0.05</v>
      </c>
      <c r="L72" s="201">
        <f>IF(OR(J72*K72=0,J72="",K72=""),"",ROUND(J72*K72,0))</f>
      </c>
      <c r="O72" s="197"/>
      <c r="P72" s="197"/>
    </row>
    <row r="73" spans="1:16" ht="12.75" customHeight="1">
      <c r="A73" s="313">
        <f>A72+1</f>
        <v>1410</v>
      </c>
      <c r="B73" s="219" t="s">
        <v>184</v>
      </c>
      <c r="C73" s="189"/>
      <c r="D73" s="221"/>
      <c r="E73" s="141"/>
      <c r="F73" s="141"/>
      <c r="G73" s="141"/>
      <c r="H73" s="141"/>
      <c r="I73" s="141"/>
      <c r="J73" s="200"/>
      <c r="K73" s="220">
        <v>0.15</v>
      </c>
      <c r="L73" s="201">
        <f>IF(OR(J73*K73=0,J73="",K73=""),"",ROUND(J73*K73,0))</f>
      </c>
      <c r="O73" s="197"/>
      <c r="P73" s="197"/>
    </row>
    <row r="74" spans="1:16" ht="12.75" customHeight="1">
      <c r="A74" s="313">
        <f>A73+1</f>
        <v>1411</v>
      </c>
      <c r="B74" s="219" t="s">
        <v>185</v>
      </c>
      <c r="C74" s="189"/>
      <c r="D74" s="221"/>
      <c r="E74" s="141"/>
      <c r="F74" s="141"/>
      <c r="G74" s="141"/>
      <c r="H74" s="200"/>
      <c r="I74" s="304">
        <f>(2866+2937+3171.67+3253.18)</f>
        <v>12227.85</v>
      </c>
      <c r="J74" s="201">
        <f>IF(OR(H74*I74=0,H74="",I74=""),0,ROUND(H74*I74,0))</f>
        <v>0</v>
      </c>
      <c r="K74" s="222">
        <v>0.85</v>
      </c>
      <c r="L74" s="201">
        <f>IF(OR(J74*K74=0,J74="",K74=""),"",ROUND(J74*K74,0))</f>
      </c>
      <c r="O74" s="197"/>
      <c r="P74" s="197"/>
    </row>
    <row r="75" spans="1:16" ht="12.75" customHeight="1">
      <c r="A75" s="313">
        <f>A74+1</f>
        <v>1412</v>
      </c>
      <c r="B75" s="313" t="str">
        <f>"Totaal (regel "&amp;A70&amp;" t/m regel "&amp;A74&amp;")"</f>
        <v>Totaal (regel 1407 t/m regel 1411)</v>
      </c>
      <c r="C75" s="313"/>
      <c r="D75" s="313"/>
      <c r="E75" s="313"/>
      <c r="F75" s="313"/>
      <c r="G75" s="313"/>
      <c r="H75" s="313"/>
      <c r="I75" s="313"/>
      <c r="J75" s="313"/>
      <c r="K75" s="313"/>
      <c r="L75" s="313">
        <f>SUM(L70:L74)</f>
        <v>0</v>
      </c>
      <c r="O75" s="197"/>
      <c r="P75" s="197"/>
    </row>
    <row r="76" spans="1:16" ht="12.75" customHeight="1">
      <c r="A76" s="444"/>
      <c r="B76" s="33"/>
      <c r="C76" s="33"/>
      <c r="D76" s="33"/>
      <c r="E76" s="33"/>
      <c r="F76" s="33"/>
      <c r="G76" s="33"/>
      <c r="H76" s="33"/>
      <c r="I76" s="33"/>
      <c r="J76" s="33"/>
      <c r="K76" s="33"/>
      <c r="L76" s="33"/>
      <c r="O76" s="197"/>
      <c r="P76" s="197"/>
    </row>
    <row r="77" spans="2:16" ht="12.75" customHeight="1" hidden="1">
      <c r="B77" s="223"/>
      <c r="C77" s="223"/>
      <c r="G77" s="223"/>
      <c r="H77" s="223"/>
      <c r="I77" s="224"/>
      <c r="J77" s="225"/>
      <c r="K77" s="226"/>
      <c r="L77" s="227"/>
      <c r="O77" s="197"/>
      <c r="P77" s="197"/>
    </row>
    <row r="78" spans="2:16" ht="12.75" customHeight="1" hidden="1">
      <c r="B78" s="223"/>
      <c r="C78" s="223"/>
      <c r="G78" s="223"/>
      <c r="H78" s="223"/>
      <c r="I78" s="224"/>
      <c r="J78" s="225"/>
      <c r="K78" s="226"/>
      <c r="L78" s="227"/>
      <c r="O78" s="197"/>
      <c r="P78" s="197"/>
    </row>
    <row r="79" spans="2:12" ht="12.75" customHeight="1" hidden="1">
      <c r="B79" s="188"/>
      <c r="G79" s="228"/>
      <c r="H79" s="228"/>
      <c r="I79" s="228"/>
      <c r="J79" s="228"/>
      <c r="K79" s="228"/>
      <c r="L79" s="228"/>
    </row>
    <row r="80" spans="2:18" ht="12.75" customHeight="1" hidden="1">
      <c r="B80" s="223"/>
      <c r="C80" s="223"/>
      <c r="G80" s="223"/>
      <c r="H80" s="223"/>
      <c r="I80" s="224"/>
      <c r="J80" s="225"/>
      <c r="K80" s="226"/>
      <c r="L80" s="227"/>
      <c r="O80" s="197"/>
      <c r="P80" s="197"/>
      <c r="R80" s="229"/>
    </row>
    <row r="81" spans="2:18" ht="12.75" customHeight="1" hidden="1">
      <c r="B81" s="223"/>
      <c r="C81" s="223"/>
      <c r="G81" s="223"/>
      <c r="H81" s="223"/>
      <c r="I81" s="224"/>
      <c r="J81" s="225"/>
      <c r="K81" s="226"/>
      <c r="L81" s="227"/>
      <c r="O81" s="197"/>
      <c r="P81" s="197"/>
      <c r="R81" s="229"/>
    </row>
    <row r="82" spans="2:18" ht="12.75" customHeight="1" hidden="1">
      <c r="B82" s="223"/>
      <c r="C82" s="223"/>
      <c r="G82" s="223"/>
      <c r="H82" s="223"/>
      <c r="I82" s="224"/>
      <c r="J82" s="225"/>
      <c r="K82" s="226"/>
      <c r="L82" s="227"/>
      <c r="O82" s="197"/>
      <c r="P82" s="197"/>
      <c r="R82" s="229"/>
    </row>
    <row r="83" spans="2:18" ht="12.75" customHeight="1" hidden="1">
      <c r="B83" s="223"/>
      <c r="C83" s="223"/>
      <c r="G83" s="223"/>
      <c r="H83" s="223"/>
      <c r="I83" s="224"/>
      <c r="J83" s="225"/>
      <c r="K83" s="226"/>
      <c r="L83" s="227"/>
      <c r="O83" s="197"/>
      <c r="P83" s="197"/>
      <c r="R83" s="229"/>
    </row>
    <row r="84" spans="2:18" ht="12.75" customHeight="1" hidden="1">
      <c r="B84" s="223"/>
      <c r="C84" s="223"/>
      <c r="G84" s="223"/>
      <c r="H84" s="223"/>
      <c r="I84" s="224"/>
      <c r="J84" s="225"/>
      <c r="K84" s="226"/>
      <c r="L84" s="227"/>
      <c r="O84" s="197"/>
      <c r="P84" s="197"/>
      <c r="R84" s="229"/>
    </row>
    <row r="85" spans="2:18" ht="12.75" customHeight="1" hidden="1">
      <c r="B85" s="223"/>
      <c r="C85" s="223"/>
      <c r="G85" s="223"/>
      <c r="H85" s="223"/>
      <c r="I85" s="224"/>
      <c r="J85" s="225"/>
      <c r="K85" s="226"/>
      <c r="L85" s="227"/>
      <c r="O85" s="197"/>
      <c r="P85" s="197"/>
      <c r="R85" s="229"/>
    </row>
    <row r="86" spans="2:18" ht="12.75" customHeight="1" hidden="1">
      <c r="B86" s="223"/>
      <c r="C86" s="223"/>
      <c r="G86" s="223"/>
      <c r="H86" s="223"/>
      <c r="I86" s="224"/>
      <c r="J86" s="225"/>
      <c r="K86" s="226"/>
      <c r="L86" s="227"/>
      <c r="O86" s="197"/>
      <c r="P86" s="197"/>
      <c r="R86" s="229"/>
    </row>
    <row r="87" spans="2:18" ht="12.75" customHeight="1" hidden="1">
      <c r="B87" s="223"/>
      <c r="C87" s="223"/>
      <c r="G87" s="223"/>
      <c r="H87" s="223"/>
      <c r="I87" s="224"/>
      <c r="J87" s="225"/>
      <c r="K87" s="226"/>
      <c r="L87" s="227"/>
      <c r="O87" s="197"/>
      <c r="P87" s="197"/>
      <c r="R87" s="229"/>
    </row>
    <row r="88" spans="2:18" ht="12.75" customHeight="1" hidden="1">
      <c r="B88" s="223"/>
      <c r="C88" s="223"/>
      <c r="G88" s="223"/>
      <c r="H88" s="223"/>
      <c r="I88" s="224"/>
      <c r="J88" s="225"/>
      <c r="K88" s="226"/>
      <c r="L88" s="227"/>
      <c r="O88" s="197"/>
      <c r="P88" s="197"/>
      <c r="R88" s="229"/>
    </row>
    <row r="89" spans="2:12" ht="12.75" customHeight="1" hidden="1">
      <c r="B89" s="228"/>
      <c r="C89" s="188"/>
      <c r="L89" s="230"/>
    </row>
    <row r="90" ht="12.75" customHeight="1" hidden="1">
      <c r="B90" s="223"/>
    </row>
    <row r="91" ht="12.75" customHeight="1" hidden="1">
      <c r="B91" s="188"/>
    </row>
    <row r="92" spans="2:16" ht="12.75" customHeight="1" hidden="1">
      <c r="B92" s="223"/>
      <c r="C92" s="223"/>
      <c r="G92" s="223"/>
      <c r="H92" s="223"/>
      <c r="I92" s="224"/>
      <c r="J92" s="225"/>
      <c r="K92" s="226"/>
      <c r="L92" s="227"/>
      <c r="O92" s="197"/>
      <c r="P92" s="197"/>
    </row>
    <row r="93" spans="2:16" ht="12.75" customHeight="1" hidden="1">
      <c r="B93" s="223"/>
      <c r="C93" s="223"/>
      <c r="G93" s="223"/>
      <c r="H93" s="223"/>
      <c r="I93" s="224"/>
      <c r="J93" s="225"/>
      <c r="K93" s="226"/>
      <c r="L93" s="227"/>
      <c r="O93" s="197"/>
      <c r="P93" s="197"/>
    </row>
    <row r="94" spans="2:16" ht="12.75" customHeight="1" hidden="1">
      <c r="B94" s="223"/>
      <c r="C94" s="223"/>
      <c r="G94" s="223"/>
      <c r="H94" s="223"/>
      <c r="I94" s="224"/>
      <c r="J94" s="225"/>
      <c r="K94" s="226"/>
      <c r="L94" s="227"/>
      <c r="O94" s="197"/>
      <c r="P94" s="197"/>
    </row>
    <row r="95" spans="2:18" ht="12.75" customHeight="1" hidden="1">
      <c r="B95" s="223"/>
      <c r="C95" s="223"/>
      <c r="G95" s="223"/>
      <c r="H95" s="223"/>
      <c r="I95" s="224"/>
      <c r="J95" s="225"/>
      <c r="K95" s="226"/>
      <c r="L95" s="227"/>
      <c r="O95" s="197"/>
      <c r="P95" s="197"/>
      <c r="R95" s="229"/>
    </row>
    <row r="96" spans="2:12" ht="12.75" customHeight="1" hidden="1">
      <c r="B96" s="228"/>
      <c r="C96" s="188"/>
      <c r="L96" s="230"/>
    </row>
    <row r="97" ht="12.75" customHeight="1" hidden="1">
      <c r="B97" s="223"/>
    </row>
    <row r="98" spans="2:19" ht="12.75" customHeight="1" hidden="1">
      <c r="B98" s="188"/>
      <c r="R98" s="231"/>
      <c r="S98" s="231"/>
    </row>
    <row r="99" spans="2:19" ht="12.75" customHeight="1" hidden="1">
      <c r="B99" s="223"/>
      <c r="C99" s="223"/>
      <c r="G99" s="223"/>
      <c r="H99" s="223"/>
      <c r="I99" s="224"/>
      <c r="J99" s="225"/>
      <c r="K99" s="226"/>
      <c r="L99" s="227"/>
      <c r="O99" s="197"/>
      <c r="P99" s="197"/>
      <c r="R99" s="232"/>
      <c r="S99" s="229"/>
    </row>
    <row r="100" spans="2:19" ht="12.75" customHeight="1" hidden="1">
      <c r="B100" s="223"/>
      <c r="C100" s="223"/>
      <c r="G100" s="223"/>
      <c r="H100" s="223"/>
      <c r="I100" s="224"/>
      <c r="J100" s="225"/>
      <c r="K100" s="226"/>
      <c r="L100" s="227"/>
      <c r="O100" s="197"/>
      <c r="P100" s="197"/>
      <c r="R100" s="232"/>
      <c r="S100" s="229"/>
    </row>
    <row r="101" spans="2:19" ht="12.75" customHeight="1" hidden="1">
      <c r="B101" s="223"/>
      <c r="C101" s="223"/>
      <c r="G101" s="223"/>
      <c r="H101" s="223"/>
      <c r="I101" s="224"/>
      <c r="J101" s="225"/>
      <c r="K101" s="226"/>
      <c r="L101" s="227"/>
      <c r="O101" s="197"/>
      <c r="P101" s="197"/>
      <c r="R101" s="232"/>
      <c r="S101" s="229"/>
    </row>
    <row r="102" spans="2:19" ht="12.75" customHeight="1" hidden="1">
      <c r="B102" s="223"/>
      <c r="C102" s="223"/>
      <c r="G102" s="223"/>
      <c r="H102" s="223"/>
      <c r="I102" s="224"/>
      <c r="J102" s="225"/>
      <c r="K102" s="226"/>
      <c r="L102" s="227"/>
      <c r="O102" s="197"/>
      <c r="P102" s="197"/>
      <c r="R102" s="232"/>
      <c r="S102" s="229"/>
    </row>
    <row r="103" spans="2:19" ht="12.75" customHeight="1" hidden="1">
      <c r="B103" s="223"/>
      <c r="C103" s="223"/>
      <c r="G103" s="223"/>
      <c r="H103" s="223"/>
      <c r="I103" s="224"/>
      <c r="J103" s="225"/>
      <c r="K103" s="226"/>
      <c r="L103" s="227"/>
      <c r="O103" s="197"/>
      <c r="P103" s="197"/>
      <c r="R103" s="232"/>
      <c r="S103" s="229"/>
    </row>
    <row r="104" spans="2:19" ht="12.75" customHeight="1" hidden="1">
      <c r="B104" s="223"/>
      <c r="C104" s="223"/>
      <c r="G104" s="223"/>
      <c r="H104" s="223"/>
      <c r="I104" s="224"/>
      <c r="J104" s="225"/>
      <c r="K104" s="226"/>
      <c r="L104" s="227"/>
      <c r="O104" s="197"/>
      <c r="P104" s="197"/>
      <c r="R104" s="232"/>
      <c r="S104" s="229"/>
    </row>
    <row r="105" spans="2:19" ht="12.75" customHeight="1" hidden="1">
      <c r="B105" s="223"/>
      <c r="C105" s="223"/>
      <c r="G105" s="223"/>
      <c r="H105" s="223"/>
      <c r="I105" s="224"/>
      <c r="J105" s="225"/>
      <c r="K105" s="226"/>
      <c r="L105" s="227"/>
      <c r="O105" s="197"/>
      <c r="P105" s="197"/>
      <c r="R105" s="232"/>
      <c r="S105" s="229"/>
    </row>
    <row r="106" spans="2:19" ht="12.75" customHeight="1" hidden="1">
      <c r="B106" s="223"/>
      <c r="C106" s="223"/>
      <c r="G106" s="223"/>
      <c r="H106" s="223"/>
      <c r="I106" s="224"/>
      <c r="J106" s="225"/>
      <c r="K106" s="226"/>
      <c r="L106" s="227"/>
      <c r="O106" s="197"/>
      <c r="P106" s="197"/>
      <c r="R106" s="232"/>
      <c r="S106" s="229"/>
    </row>
    <row r="107" spans="2:12" ht="12.75" customHeight="1" hidden="1">
      <c r="B107" s="228"/>
      <c r="C107" s="188"/>
      <c r="L107" s="230"/>
    </row>
    <row r="108" ht="12.75" customHeight="1" hidden="1">
      <c r="B108" s="223"/>
    </row>
    <row r="109" ht="12.75" customHeight="1" hidden="1">
      <c r="B109" s="188"/>
    </row>
    <row r="110" spans="2:16" ht="12.75" customHeight="1" hidden="1">
      <c r="B110" s="223"/>
      <c r="C110" s="223"/>
      <c r="G110" s="223"/>
      <c r="H110" s="223"/>
      <c r="I110" s="224"/>
      <c r="J110" s="225"/>
      <c r="K110" s="226"/>
      <c r="L110" s="230"/>
      <c r="O110" s="197"/>
      <c r="P110" s="197"/>
    </row>
    <row r="111" ht="12.75" customHeight="1" hidden="1">
      <c r="B111" s="223"/>
    </row>
    <row r="112" spans="2:12" ht="12.75" customHeight="1" hidden="1">
      <c r="B112" s="228"/>
      <c r="C112" s="63"/>
      <c r="L112" s="230"/>
    </row>
  </sheetData>
  <sheetProtection password="E296" sheet="1" objects="1" scenarios="1"/>
  <mergeCells count="1">
    <mergeCell ref="A45:K46"/>
  </mergeCells>
  <conditionalFormatting sqref="D11 F11 H19:H27 H35:H43 H55 J56:J57 H70:H71 J72:J73 H74 H11">
    <cfRule type="expression" priority="1" dxfId="1" stopIfTrue="1">
      <formula>$H$3=TRUE</formula>
    </cfRule>
  </conditionalFormatting>
  <dataValidations count="5">
    <dataValidation type="decimal" operator="greaterThanOrEqual" allowBlank="1" showInputMessage="1" showErrorMessage="1" errorTitle="Onjuiste invoer." error="Voor de invoer in deze cel geldt:&#10;&#10;- het getal mag niet negatief zijn.&#10;" sqref="H60:H61">
      <formula1>0</formula1>
    </dataValidation>
    <dataValidation type="custom" allowBlank="1" showInputMessage="1" showErrorMessage="1" errorTitle="Onjuiste invoer" error="Hier kan alleen een positief aantal worden ingevuld." sqref="H11">
      <formula1>AND($B$1="ja",H11&gt;=0)</formula1>
    </dataValidation>
    <dataValidation allowBlank="1" showInputMessage="1" showErrorMessage="1" errorTitle="Onjuiste invoer" error="De invoer moet een geheel getal zijn.&#10;" sqref="O3:IV17 O47:IV48"/>
    <dataValidation type="custom" allowBlank="1" showInputMessage="1" showErrorMessage="1" errorTitle="Onjuiste invoer" error="Hier kan alleen een geheel positief aantal worden ingevuld." sqref="D11 H74 H19:H27 H35:H43 H55 J56:J57 H70:H71 J72:J73">
      <formula1>AND($B$1="ja",D11=ROUND(D11,0),D11&gt;=0)</formula1>
    </dataValidation>
    <dataValidation type="custom" allowBlank="1" showInputMessage="1" showErrorMessage="1" errorTitle="Onjuiste invoer" error="Hier kan alleen een geheel positief aantal worden ingevuld." sqref="F11">
      <formula1>AND($B$1="ja",F11=ROUND(F11,2),F11&gt;=0)</formula1>
    </dataValidation>
  </dataValidations>
  <printOptions/>
  <pageMargins left="0.75" right="0.75" top="1" bottom="1" header="0.5" footer="0.5"/>
  <pageSetup firstPageNumber="13" useFirstPageNumber="1" horizontalDpi="600" verticalDpi="600" orientation="landscape" paperSize="9" scale="82" r:id="rId2"/>
  <headerFooter alignWithMargins="0">
    <oddHeader>&amp;LAWBZ-BREED CALCULATIEMODEL RENTEKOSTEN 2009&amp;R&amp;G</oddHeader>
    <oddFooter>&amp;R&amp;P</oddFooter>
  </headerFooter>
  <ignoredErrors>
    <ignoredError sqref="J11:L11 J55 J74 L70:L74 J70:J71" emptyCellReference="1"/>
  </ignoredError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Admin95</dc:creator>
  <cp:keywords/>
  <dc:description/>
  <cp:lastModifiedBy>R.M. de Rouw</cp:lastModifiedBy>
  <cp:lastPrinted>2010-02-05T07:48:06Z</cp:lastPrinted>
  <dcterms:created xsi:type="dcterms:W3CDTF">2000-02-23T15:17:24Z</dcterms:created>
  <dcterms:modified xsi:type="dcterms:W3CDTF">2010-02-12T07:48:44Z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dlc_Doc">
    <vt:lpwstr>THRFR6N5WDQ4-17-3225</vt:lpwstr>
  </property>
  <property fmtid="{D5CDD505-2E9C-101B-9397-08002B2CF9AE}" pid="4" name="_dlc_DocIdItemGu">
    <vt:lpwstr>6c84f1bf-cbde-4163-9706-eed1d0fceebc</vt:lpwstr>
  </property>
  <property fmtid="{D5CDD505-2E9C-101B-9397-08002B2CF9AE}" pid="5" name="_dlc_DocIdU">
    <vt:lpwstr>http://kennisnet.nza.nl/publicaties/Aanleveren/_layouts/DocIdRedir.aspx?ID=THRFR6N5WDQ4-17-3225, THRFR6N5WDQ4-17-3225</vt:lpwstr>
  </property>
  <property fmtid="{D5CDD505-2E9C-101B-9397-08002B2CF9AE}" pid="6" name="WorkflowChangePa">
    <vt:lpwstr>5dd26274-7450-4d13-b077-7382865cccce,5;5dd26274-7450-4d13-b077-7382865cccce,5;5dd26274-7450-4d13-b077-7382865cccce,5;5dd26274-7450-4d13-b077-7382865cccce,5;5dd26274-7450-4d13-b077-7382865cccce,5;5dd26274-7450-4d13-b077-7382865cccce,10;5dd26274-7450-4d13-b</vt:lpwstr>
  </property>
  <property fmtid="{D5CDD505-2E9C-101B-9397-08002B2CF9AE}" pid="7" name="NZa-zoekwoordenMetada">
    <vt:lpwstr/>
  </property>
  <property fmtid="{D5CDD505-2E9C-101B-9397-08002B2CF9AE}" pid="8" name="Sector(en)Metada">
    <vt:lpwstr>Alle:Geestelijke Gezondheidszorg|aac55fe0-d021-4665-8076-363545aab21d;Alle:Langdurige zorg:Gehandicaptenzorg|2825f16e-cd19-47cf-b940-f084053e3b91;Alle:Langdurige zorg:Ouderenzorg|8cffa657-26ae-44a0-a572-e0304e7752db;Alle:Langdurige zorg:Verpleging en verz</vt:lpwstr>
  </property>
  <property fmtid="{D5CDD505-2E9C-101B-9397-08002B2CF9AE}" pid="9" name="VerzondenAanMetada">
    <vt:lpwstr/>
  </property>
  <property fmtid="{D5CDD505-2E9C-101B-9397-08002B2CF9AE}" pid="10" name="DocumentTypeMetada">
    <vt:lpwstr>Regels:Formulier|4bc40415-667d-4fea-816d-9688ca6ffa69</vt:lpwstr>
  </property>
  <property fmtid="{D5CDD505-2E9C-101B-9397-08002B2CF9AE}" pid="11" name="ExtraZoekwoordenMetada">
    <vt:lpwstr/>
  </property>
  <property fmtid="{D5CDD505-2E9C-101B-9397-08002B2CF9AE}" pid="12" name="j85cec29e8c24b8a90feb8db203ff7">
    <vt:lpwstr>Geestelijke Gezondheidszorg|aac55fe0-d021-4665-8076-363545aab21d;Gehandicaptenzorg|2825f16e-cd19-47cf-b940-f084053e3b91;Ouderenzorg|8cffa657-26ae-44a0-a572-e0304e7752db;Verpleging en verzorging|33367432-927b-4a96-adc1-6d221f5d18a9</vt:lpwstr>
  </property>
  <property fmtid="{D5CDD505-2E9C-101B-9397-08002B2CF9AE}" pid="13" name="DocumentTyp">
    <vt:lpwstr>103;#Formulier|4bc40415-667d-4fea-816d-9688ca6ffa69</vt:lpwstr>
  </property>
  <property fmtid="{D5CDD505-2E9C-101B-9397-08002B2CF9AE}" pid="14" name="DocumentTy">
    <vt:lpwstr/>
  </property>
  <property fmtid="{D5CDD505-2E9C-101B-9397-08002B2CF9AE}" pid="15" name="Sector(e">
    <vt:lpwstr>140;#Geestelijke Gezondheidszorg|aac55fe0-d021-4665-8076-363545aab21d;#132;#Gehandicaptenzorg|2825f16e-cd19-47cf-b940-f084053e3b91;#141;#Ouderenzorg|8cffa657-26ae-44a0-a572-e0304e7752db;#131;#Verpleging en verzorging|33367432-927b-4a96-adc1-6d221f5d18a9</vt:lpwstr>
  </property>
  <property fmtid="{D5CDD505-2E9C-101B-9397-08002B2CF9AE}" pid="16" name="NZa-zoekwoord">
    <vt:lpwstr/>
  </property>
  <property fmtid="{D5CDD505-2E9C-101B-9397-08002B2CF9AE}" pid="17" name="ff74c6b610ef44f49114c43de16761">
    <vt:lpwstr/>
  </property>
  <property fmtid="{D5CDD505-2E9C-101B-9397-08002B2CF9AE}" pid="18" name="n407de7a4204433984b2eeeaba786d">
    <vt:lpwstr/>
  </property>
  <property fmtid="{D5CDD505-2E9C-101B-9397-08002B2CF9AE}" pid="19" name="Extra zoekwoord">
    <vt:lpwstr/>
  </property>
  <property fmtid="{D5CDD505-2E9C-101B-9397-08002B2CF9AE}" pid="20" name="l24ea505ea8d4be1bd84e8204c620c">
    <vt:lpwstr/>
  </property>
  <property fmtid="{D5CDD505-2E9C-101B-9397-08002B2CF9AE}" pid="21" name="me0f0aaf77cd4640acf557f58a1d2c">
    <vt:lpwstr>Formulier|4bc40415-667d-4fea-816d-9688ca6ffa69</vt:lpwstr>
  </property>
  <property fmtid="{D5CDD505-2E9C-101B-9397-08002B2CF9AE}" pid="22" name="TaxCatchA">
    <vt:lpwstr>131;#Verpleging en verzorging|33367432-927b-4a96-adc1-6d221f5d18a9;#141;#Ouderenzorg|8cffa657-26ae-44a0-a572-e0304e7752db;#140;#Geestelijke Gezondheidszorg|aac55fe0-d021-4665-8076-363545aab21d;#103;#Formulier|4bc40415-667d-4fea-816d-9688ca6ffa69;#132;#Geh</vt:lpwstr>
  </property>
</Properties>
</file>