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50" windowHeight="6780" tabRatio="601" activeTab="0"/>
  </bookViews>
  <sheets>
    <sheet name="Voorblad" sheetId="1" r:id="rId1"/>
    <sheet name="foutmeldingen" sheetId="2" r:id="rId2"/>
    <sheet name="instructie" sheetId="3" r:id="rId3"/>
    <sheet name="Productie" sheetId="4" r:id="rId4"/>
    <sheet name="Uitvoerbestand ZZP" sheetId="5" state="hidden" r:id="rId5"/>
    <sheet name="Uitvoerbestand" sheetId="6" state="hidden" r:id="rId6"/>
    <sheet name="NAW" sheetId="7" state="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C" localSheetId="1" hidden="1">'[9]I_03007'!#REF!</definedName>
    <definedName name="__123Graph_C" localSheetId="5" hidden="1">'[3]I_03007'!#REF!</definedName>
    <definedName name="__123Graph_C" localSheetId="0" hidden="1">'[8]I_03007'!#REF!</definedName>
    <definedName name="__123Graph_C" hidden="1">'[1]I_03007'!#REF!</definedName>
    <definedName name="__123Graph_D" localSheetId="1" hidden="1">'[9]I_03007'!#REF!</definedName>
    <definedName name="__123Graph_D" localSheetId="5" hidden="1">'[3]I_03007'!#REF!</definedName>
    <definedName name="__123Graph_D" localSheetId="0" hidden="1">'[8]I_03007'!#REF!</definedName>
    <definedName name="__123Graph_D" hidden="1">'[1]I_03007'!#REF!</definedName>
    <definedName name="__123Graph_E" localSheetId="1" hidden="1">'[9]I_03007'!#REF!</definedName>
    <definedName name="__123Graph_E" localSheetId="5" hidden="1">'[3]I_03007'!#REF!</definedName>
    <definedName name="__123Graph_E" localSheetId="0" hidden="1">'[8]I_03007'!#REF!</definedName>
    <definedName name="__123Graph_E" hidden="1">'[1]I_03007'!#REF!</definedName>
    <definedName name="__123Graph_Z" localSheetId="1" hidden="1">'[10]I_03007'!#REF!</definedName>
    <definedName name="__123Graph_Z" localSheetId="5" hidden="1">'[3]I_03007'!#REF!</definedName>
    <definedName name="__123Graph_Z" localSheetId="0" hidden="1">'[8]I_03007'!#REF!</definedName>
    <definedName name="__123Graph_Z" hidden="1">'[2]I_03007'!#REF!</definedName>
    <definedName name="_Fill" hidden="1">#REF!</definedName>
    <definedName name="_Order1" hidden="1">255</definedName>
    <definedName name="_Order2" hidden="1">255</definedName>
    <definedName name="_xlnm.Print_Area" localSheetId="1">'foutmeldingen'!$A$1:$D$15</definedName>
    <definedName name="_xlnm.Print_Area" localSheetId="2">'instructie'!$A$1:$L$53</definedName>
    <definedName name="_xlnm.Print_Area" localSheetId="3">'Productie'!$A$5:$I$425</definedName>
    <definedName name="_xlnm.Print_Area" localSheetId="5">'Uitvoerbestand'!$A$1:$I$74</definedName>
    <definedName name="_xlnm.Print_Area" localSheetId="0">'Voorblad'!$A$3:$P$43</definedName>
    <definedName name="_xlnm.Print_Titles" localSheetId="2">'instructie'!$1:$2</definedName>
    <definedName name="_xlnm.Print_Titles" localSheetId="3">'Productie'!$1:$2</definedName>
    <definedName name="_xlnm.Print_Titles" localSheetId="0">'Voorblad'!$3:$16</definedName>
    <definedName name="Afdruktitels_MI">'[3]I_03007'!$1:$5</definedName>
    <definedName name="Expl_">'[3]I_03007'!#REF!</definedName>
    <definedName name="Expl_522">'[3]I_03007'!#REF!</definedName>
    <definedName name="Expl_523">'[3]I_03007'!#REF!</definedName>
    <definedName name="Expl_524">'[3]I_03007'!#REF!</definedName>
    <definedName name="Expl_525">'[3]I_03007'!#REF!</definedName>
    <definedName name="Expl_526">'[3]I_03007'!#REF!</definedName>
    <definedName name="getal_data" localSheetId="0">#REF!</definedName>
    <definedName name="getal_data">#REF!</definedName>
    <definedName name="kolom_data" localSheetId="0">#REF!</definedName>
    <definedName name="kolom_data">#REF!</definedName>
    <definedName name="naam" localSheetId="0">#REF!</definedName>
    <definedName name="naam">#REF!</definedName>
    <definedName name="naamconflict_VPH_01_._Fill" hidden="1">#REF!</definedName>
    <definedName name="naamconflict_VZH_01_._Fill" hidden="1">#REF!</definedName>
    <definedName name="tabblad">#REF!</definedName>
    <definedName name="totaal1996">'[3]I_03007'!$A$4:$D$43</definedName>
    <definedName name="totaal1997">'[3]I_03007'!$A$46:$D$85</definedName>
    <definedName name="totaal1998">'[3]I_03007'!$A$88:$D$127</definedName>
    <definedName name="totaal1999">'[3]I_03007'!$A$130:$D$169</definedName>
    <definedName name="totaal2000">'[3]I_03007'!$A$172:$D$211</definedName>
    <definedName name="VVNAC01">'[7]Nac. geleverde productie 2007'!$C$494:$IV$494</definedName>
    <definedName name="VVNAC02">'[7]Nac. geleverde productie 2007'!$B$501:$IV$501</definedName>
    <definedName name="VVNACNR">'[7]Nac. geleverde productie 2007'!$B$494</definedName>
    <definedName name="waarde" hidden="1">#REF!</definedName>
    <definedName name="WBNR">'Productie'!$B$433</definedName>
    <definedName name="Z_60683068_AF12_11D4_9642_08005ACCD915_.wvu.Rows" localSheetId="0" hidden="1">'Voorblad'!#REF!,'Voorblad'!#REF!,'Voorblad'!$40:$40,'Voorblad'!#REF!</definedName>
    <definedName name="ZZP01">#REF!</definedName>
  </definedNames>
  <calcPr fullCalcOnLoad="1"/>
</workbook>
</file>

<file path=xl/sharedStrings.xml><?xml version="1.0" encoding="utf-8"?>
<sst xmlns="http://schemas.openxmlformats.org/spreadsheetml/2006/main" count="2395" uniqueCount="1501">
  <si>
    <t>Zorgaanbieder</t>
  </si>
  <si>
    <t>16.218,23</t>
  </si>
  <si>
    <t>4.375,22</t>
  </si>
  <si>
    <t>51.092,21</t>
  </si>
  <si>
    <t>3.426,53</t>
  </si>
  <si>
    <t>25.596,79</t>
  </si>
  <si>
    <t>18.720,89</t>
  </si>
  <si>
    <t>10.866,06</t>
  </si>
  <si>
    <t>1.898,19</t>
  </si>
  <si>
    <t>16.319,93</t>
  </si>
  <si>
    <t>2.814,14</t>
  </si>
  <si>
    <t>Instandhoudingsinvestering 2009</t>
  </si>
  <si>
    <t>Instandhoudingsinvestering 2008</t>
  </si>
  <si>
    <t>H170</t>
  </si>
  <si>
    <t>ZPQ360</t>
  </si>
  <si>
    <t>ZPQ311</t>
  </si>
  <si>
    <t>ZPQ321</t>
  </si>
  <si>
    <t>ZPQ331</t>
  </si>
  <si>
    <t>ZPQ341</t>
  </si>
  <si>
    <t>ZPQ351</t>
  </si>
  <si>
    <t>ZPQ361</t>
  </si>
  <si>
    <t>ZPQ13</t>
  </si>
  <si>
    <t>ZPQ23</t>
  </si>
  <si>
    <t>ZPQ33</t>
  </si>
  <si>
    <t>ZPQ43</t>
  </si>
  <si>
    <t>ZPQ53</t>
  </si>
  <si>
    <t>ZPQ63</t>
  </si>
  <si>
    <t>ZPQ73</t>
  </si>
  <si>
    <t>2.2</t>
  </si>
  <si>
    <t>2.3</t>
  </si>
  <si>
    <t>ZPQ83</t>
  </si>
  <si>
    <t>ZPQ93</t>
  </si>
  <si>
    <t>ZPQ103</t>
  </si>
  <si>
    <t>ZPQ11</t>
  </si>
  <si>
    <t>ZPQ21</t>
  </si>
  <si>
    <t>ZPQ31</t>
  </si>
  <si>
    <t>ZPQ41</t>
  </si>
  <si>
    <t>ZPQ51</t>
  </si>
  <si>
    <t>ZPQ61</t>
  </si>
  <si>
    <t>ZPQ71</t>
  </si>
  <si>
    <t>ZPQ81</t>
  </si>
  <si>
    <t>ZPQ91</t>
  </si>
  <si>
    <t>ZPQ101</t>
  </si>
  <si>
    <t>ZPQ412</t>
  </si>
  <si>
    <t>ZPQ422</t>
  </si>
  <si>
    <t>ZPQ432</t>
  </si>
  <si>
    <t>ZPQ442</t>
  </si>
  <si>
    <t>ZPQ452</t>
  </si>
  <si>
    <t>ZPQ462</t>
  </si>
  <si>
    <t>ZPQ472</t>
  </si>
  <si>
    <t>ZPQ413</t>
  </si>
  <si>
    <t>ZPQ423</t>
  </si>
  <si>
    <t>ZPQ433</t>
  </si>
  <si>
    <t>ZPQ443</t>
  </si>
  <si>
    <t>ZPQ453</t>
  </si>
  <si>
    <t>ZPQ463</t>
  </si>
  <si>
    <t>ZPQ473</t>
  </si>
  <si>
    <t>ZPQ410</t>
  </si>
  <si>
    <t>ZPQ420</t>
  </si>
  <si>
    <t>ZPQ430</t>
  </si>
  <si>
    <t>ZPQ440</t>
  </si>
  <si>
    <t>ZPQ450</t>
  </si>
  <si>
    <t>ZPQ460</t>
  </si>
  <si>
    <t>ZPQ470</t>
  </si>
  <si>
    <t>ZPQ411</t>
  </si>
  <si>
    <t>ZPQ421</t>
  </si>
  <si>
    <t>ZPQ431</t>
  </si>
  <si>
    <t>ZPQ441</t>
  </si>
  <si>
    <t>ZPQ451</t>
  </si>
  <si>
    <t>ZPQ461</t>
  </si>
  <si>
    <t>ZPQ471</t>
  </si>
  <si>
    <t>ZPQ513</t>
  </si>
  <si>
    <t>ZPQ523</t>
  </si>
  <si>
    <t>ZPQ533</t>
  </si>
  <si>
    <t>ZPQ543</t>
  </si>
  <si>
    <t>ZPQ553</t>
  </si>
  <si>
    <t>ZPQ573</t>
  </si>
  <si>
    <t>ZPQ612</t>
  </si>
  <si>
    <t>ZPQ622</t>
  </si>
  <si>
    <t>ZPQ632</t>
  </si>
  <si>
    <t>ZPQ642</t>
  </si>
  <si>
    <t>ZPQ652</t>
  </si>
  <si>
    <t>ZPQ662</t>
  </si>
  <si>
    <t>ZPQ672</t>
  </si>
  <si>
    <t>ZPQ613</t>
  </si>
  <si>
    <t>ZPQ623</t>
  </si>
  <si>
    <t>ZPQ633</t>
  </si>
  <si>
    <t>ZPQ643</t>
  </si>
  <si>
    <t>ZPQ653</t>
  </si>
  <si>
    <t>ZPQ663</t>
  </si>
  <si>
    <t>ZPQ673</t>
  </si>
  <si>
    <t>ZPQ620</t>
  </si>
  <si>
    <t>ZPQ640</t>
  </si>
  <si>
    <t>ZPQ650</t>
  </si>
  <si>
    <t>ZPQ660</t>
  </si>
  <si>
    <t>ZPQ670</t>
  </si>
  <si>
    <t>ZPQ611</t>
  </si>
  <si>
    <t>ZPQ621</t>
  </si>
  <si>
    <t>ZPQ631</t>
  </si>
  <si>
    <t>ZPQ641</t>
  </si>
  <si>
    <t>ZPQ651</t>
  </si>
  <si>
    <t>ZPQ661</t>
  </si>
  <si>
    <t>ZPQ671</t>
  </si>
  <si>
    <t>ZPQ712</t>
  </si>
  <si>
    <t>ZPQ722</t>
  </si>
  <si>
    <t>ZPQ732</t>
  </si>
  <si>
    <t>ZPQ713</t>
  </si>
  <si>
    <t>ZPQ723</t>
  </si>
  <si>
    <t>ZPQ733</t>
  </si>
  <si>
    <t>ZPQ710</t>
  </si>
  <si>
    <t>ZPQ720</t>
  </si>
  <si>
    <t>ZPQ730</t>
  </si>
  <si>
    <t>ZPQ711</t>
  </si>
  <si>
    <t>ZPQ721</t>
  </si>
  <si>
    <t>ZPQ731</t>
  </si>
  <si>
    <t>ZPQ812</t>
  </si>
  <si>
    <t>ZPQ822</t>
  </si>
  <si>
    <t>ZPQ833</t>
  </si>
  <si>
    <t>ZPQ843</t>
  </si>
  <si>
    <t>ZPQ853</t>
  </si>
  <si>
    <t>ZPQ832</t>
  </si>
  <si>
    <t>ZPQ842</t>
  </si>
  <si>
    <t>ZPQ852</t>
  </si>
  <si>
    <t>ZPQ813</t>
  </si>
  <si>
    <t>ZPQ823</t>
  </si>
  <si>
    <t>ZPQ810</t>
  </si>
  <si>
    <t>ZPQ820</t>
  </si>
  <si>
    <t>ZPQ830</t>
  </si>
  <si>
    <t>ZPQ840</t>
  </si>
  <si>
    <t>ZPQ850</t>
  </si>
  <si>
    <t>ZPQ811</t>
  </si>
  <si>
    <t>ZPQ821</t>
  </si>
  <si>
    <t>ZPQ831</t>
  </si>
  <si>
    <t>ZPQ841</t>
  </si>
  <si>
    <t>ZPQ851</t>
  </si>
  <si>
    <t>ZPQ630</t>
  </si>
  <si>
    <t>RIBW Drenthe</t>
  </si>
  <si>
    <t>RIBW Midden-Brabant</t>
  </si>
  <si>
    <t>RIBW Heuvelland en Maasvallei</t>
  </si>
  <si>
    <t>Rivierduinen</t>
  </si>
  <si>
    <t>GGZ Dijk en Duin</t>
  </si>
  <si>
    <t>Delta</t>
  </si>
  <si>
    <t>*RIAGG Westelijke Mijnstreek</t>
  </si>
  <si>
    <t>BNA</t>
  </si>
  <si>
    <t>BNK</t>
  </si>
  <si>
    <t>BNV</t>
  </si>
  <si>
    <t>GGZ Buitenamstel</t>
  </si>
  <si>
    <t>*Rijngeest groep, locatie Noordwijk</t>
  </si>
  <si>
    <t>Budget AWBZ</t>
  </si>
  <si>
    <t>Apeldoorn/Zutphen e.o.</t>
  </si>
  <si>
    <t>Middel-IJssel</t>
  </si>
  <si>
    <t>´t Gooi</t>
  </si>
  <si>
    <t>Amstelland/Meerlanden</t>
  </si>
  <si>
    <t>Delft/Westland/Oostland</t>
  </si>
  <si>
    <t>Noordoost Brabant</t>
  </si>
  <si>
    <t>Zuidoost Brabant</t>
  </si>
  <si>
    <t>PH110</t>
  </si>
  <si>
    <t>PQF125</t>
  </si>
  <si>
    <t>PQF129</t>
  </si>
  <si>
    <t>PF125</t>
  </si>
  <si>
    <t>PF129</t>
  </si>
  <si>
    <t>PQH620</t>
  </si>
  <si>
    <t>PQH621</t>
  </si>
  <si>
    <t>PQH622</t>
  </si>
  <si>
    <t>PQH628</t>
  </si>
  <si>
    <t>PQH624</t>
  </si>
  <si>
    <t>PQH607</t>
  </si>
  <si>
    <t>PQH625</t>
  </si>
  <si>
    <t>PQF126</t>
  </si>
  <si>
    <t>PH620</t>
  </si>
  <si>
    <t>PH621</t>
  </si>
  <si>
    <t>PH622</t>
  </si>
  <si>
    <t>PH628</t>
  </si>
  <si>
    <t>PH624</t>
  </si>
  <si>
    <t>PH607</t>
  </si>
  <si>
    <t>PH625</t>
  </si>
  <si>
    <t>PF126</t>
  </si>
  <si>
    <t>PQH321</t>
  </si>
  <si>
    <t>PH321</t>
  </si>
  <si>
    <t>financieel (in €)</t>
  </si>
  <si>
    <t>min</t>
  </si>
  <si>
    <t>max</t>
  </si>
  <si>
    <t>uur</t>
  </si>
  <si>
    <t>H149</t>
  </si>
  <si>
    <t>H150</t>
  </si>
  <si>
    <t>H152</t>
  </si>
  <si>
    <t>H153</t>
  </si>
  <si>
    <t>H156</t>
  </si>
  <si>
    <t>Begeleiding thuiszorg</t>
  </si>
  <si>
    <t>H157</t>
  </si>
  <si>
    <t>Begeleiding (j(l)vg)</t>
  </si>
  <si>
    <t>Begeleiding (zg)</t>
  </si>
  <si>
    <t>H331</t>
  </si>
  <si>
    <t>Behandeling Families First (j)lvg</t>
  </si>
  <si>
    <t>H531</t>
  </si>
  <si>
    <t>dagdeel</t>
  </si>
  <si>
    <t>H532</t>
  </si>
  <si>
    <t>H533</t>
  </si>
  <si>
    <t>H534</t>
  </si>
  <si>
    <t>H535</t>
  </si>
  <si>
    <t>H536</t>
  </si>
  <si>
    <t>H537</t>
  </si>
  <si>
    <t>Dagactiviteit vg kind emb</t>
  </si>
  <si>
    <t>Dagactiviteit vg kind emb zwaar</t>
  </si>
  <si>
    <t>H132</t>
  </si>
  <si>
    <t>Nachtverzorging</t>
  </si>
  <si>
    <t>H180</t>
  </si>
  <si>
    <t>Nachtverpleging</t>
  </si>
  <si>
    <t>Totaal prestaties Dagactiviteit</t>
  </si>
  <si>
    <t>(overgangsjaar 2009)</t>
  </si>
  <si>
    <t>Ondersteunende begeleiding extra</t>
  </si>
  <si>
    <t>Ondersteunende begeleiding speciaal 1 (nah)</t>
  </si>
  <si>
    <t>Ondersteunende begeleiding somatisch</t>
  </si>
  <si>
    <t>Ondersteunende begeleiding somatisch extra</t>
  </si>
  <si>
    <t>uitlening</t>
  </si>
  <si>
    <t>matras p/week</t>
  </si>
  <si>
    <t>transport</t>
  </si>
  <si>
    <t>aanw. dag</t>
  </si>
  <si>
    <t xml:space="preserve">Vervoer dagactiviteit vg extra (H520) </t>
  </si>
  <si>
    <t xml:space="preserve">Vervoer dagactiviteit vg kind (H521 en H536) </t>
  </si>
  <si>
    <t xml:space="preserve">Vervoer dagactiviteit lg (H518 en H534) </t>
  </si>
  <si>
    <t xml:space="preserve">Vervoer dagactiviteit zg (H523 en H537) </t>
  </si>
  <si>
    <t>Vervoer dagactiviteit GGZ (F125)</t>
  </si>
  <si>
    <t>Totaal prestaties Vervoerskosten ten behoeve van cliënten</t>
  </si>
  <si>
    <t>Reiskosten prestaties behandeling (H324 t/m H330)</t>
  </si>
  <si>
    <t>contact</t>
  </si>
  <si>
    <t xml:space="preserve">Vervoerskosten t.b.v. cliënten </t>
  </si>
  <si>
    <t>(let op: medische indicatie is vereist)</t>
  </si>
  <si>
    <t>ILOA</t>
  </si>
  <si>
    <t>JBYR</t>
  </si>
  <si>
    <t>*Psychiatrisch Spectrum Gelderland Oost</t>
  </si>
  <si>
    <t>Groot Batelaar</t>
  </si>
  <si>
    <t>VKRE</t>
  </si>
  <si>
    <t>GGZ Friesland te Franeker</t>
  </si>
  <si>
    <t>Kinder- en jeugdpsychiatrie Karakter</t>
  </si>
  <si>
    <t>*'t Ruige Veld-Rolde</t>
  </si>
  <si>
    <t>Persoonlijke verzorging extra</t>
  </si>
  <si>
    <t>RIBW Leger des Heils GGZ Waardenland</t>
  </si>
  <si>
    <t>Huize Tichelaar</t>
  </si>
  <si>
    <t>Wonen en Psychiatrie</t>
  </si>
  <si>
    <t>Base Groep Groningen</t>
  </si>
  <si>
    <t>Onder Een Dak</t>
  </si>
  <si>
    <t>VSGA</t>
  </si>
  <si>
    <t>*450 Overwaal</t>
  </si>
  <si>
    <t>*450 Centrum '45</t>
  </si>
  <si>
    <t>*450 De Viersprong</t>
  </si>
  <si>
    <t>*450 PZ Mondriaan Zorggroep</t>
  </si>
  <si>
    <t>*450 De Pompe Stichting</t>
  </si>
  <si>
    <t>*450 F.P.K. Oldenkotte</t>
  </si>
  <si>
    <t>*450 De Kijvelanden</t>
  </si>
  <si>
    <t>*450 RIAGG Zwolle</t>
  </si>
  <si>
    <t>*450 RIAGG IJsselland</t>
  </si>
  <si>
    <t>*450 Riagg Rijnmond</t>
  </si>
  <si>
    <t>*450 RIAGG Maastricht</t>
  </si>
  <si>
    <t>*450 RIAGG Amersfoort e.o.</t>
  </si>
  <si>
    <t>15.406,37</t>
  </si>
  <si>
    <t>35.624,32</t>
  </si>
  <si>
    <t>5.632,66</t>
  </si>
  <si>
    <t>23.184,83</t>
  </si>
  <si>
    <t>21.435,32</t>
  </si>
  <si>
    <t>3.357,88</t>
  </si>
  <si>
    <t>52.189,16</t>
  </si>
  <si>
    <t>3.265,34</t>
  </si>
  <si>
    <t>56,93</t>
  </si>
  <si>
    <t>13,69</t>
  </si>
  <si>
    <t>72,09</t>
  </si>
  <si>
    <t>97,54</t>
  </si>
  <si>
    <t>106,78</t>
  </si>
  <si>
    <t>147,61</t>
  </si>
  <si>
    <t>204,29</t>
  </si>
  <si>
    <t>128,55</t>
  </si>
  <si>
    <t>181,22</t>
  </si>
  <si>
    <t>162,15</t>
  </si>
  <si>
    <t>214,79</t>
  </si>
  <si>
    <t>217,84</t>
  </si>
  <si>
    <t>281,33</t>
  </si>
  <si>
    <t>197,75</t>
  </si>
  <si>
    <t>74,40</t>
  </si>
  <si>
    <t>12,34</t>
  </si>
  <si>
    <t>106,46</t>
  </si>
  <si>
    <t>171,30</t>
  </si>
  <si>
    <t>33,83</t>
  </si>
  <si>
    <t>6,68</t>
  </si>
  <si>
    <t>32,56</t>
  </si>
  <si>
    <r>
      <t xml:space="preserve">Dagactiviteit GGZ-LZA </t>
    </r>
    <r>
      <rPr>
        <vertAlign val="superscript"/>
        <sz val="9"/>
        <rFont val="Verdana"/>
        <family val="2"/>
      </rPr>
      <t>1</t>
    </r>
  </si>
  <si>
    <t>Totaal prestatie</t>
  </si>
  <si>
    <t>Niet bezette bedden KIB</t>
  </si>
  <si>
    <t>De functies bepalen voor welke zorgprestaties de zorgaanbieder in 2009 een volume- en prijsafspraak mag maken.</t>
  </si>
  <si>
    <t>G</t>
  </si>
  <si>
    <t>Bedden klinisch intensieve behandeling</t>
  </si>
  <si>
    <t>Toeslag Cerebro Vasculair Accident (CVA)</t>
  </si>
  <si>
    <t xml:space="preserve">Toeslag Multifunctioneel centrum (MFC) </t>
  </si>
  <si>
    <t>Toeslag Observatie</t>
  </si>
  <si>
    <t>Toeslag dagbesteding GHZ kind - licht</t>
  </si>
  <si>
    <t>Verdihuis</t>
  </si>
  <si>
    <t>*Prof.Hart de Ruyter Stichting</t>
  </si>
  <si>
    <t>*Centrum voor GGZ-Jeugd Friesland</t>
  </si>
  <si>
    <t>Behandeling basis jlvg</t>
  </si>
  <si>
    <t>Behandeling basis sglvg-traject</t>
  </si>
  <si>
    <t>H324</t>
  </si>
  <si>
    <t>H325</t>
  </si>
  <si>
    <t>H327</t>
  </si>
  <si>
    <t>H321</t>
  </si>
  <si>
    <t>H607</t>
  </si>
  <si>
    <t>Veranderingsgericht/volledige begeleiding</t>
  </si>
  <si>
    <t>*450 PAAZ Maxima Medisch Centrum</t>
  </si>
  <si>
    <t>*450 PAAZ Laurentius Ziekenhuis Roermond</t>
  </si>
  <si>
    <t>*450 PAAZ Sint Jans Gasthuis</t>
  </si>
  <si>
    <t>*450 PAAZ Atrium</t>
  </si>
  <si>
    <t>*450 RIAGG NPI</t>
  </si>
  <si>
    <t>*450 De Wending</t>
  </si>
  <si>
    <t>*450 JEUGDRIAGG Noord Holland Zuid</t>
  </si>
  <si>
    <t>Stichting Anton Constandse</t>
  </si>
  <si>
    <t>Stichting Bouman GGZ</t>
  </si>
  <si>
    <t>*450 GGD Amsterdam</t>
  </si>
  <si>
    <t>*450 FPP De Horst</t>
  </si>
  <si>
    <t>LIMOR Friesland</t>
  </si>
  <si>
    <t>*450 Inst. voor Cognitieve- en gedragstherapie</t>
  </si>
  <si>
    <t>*450 PAAZ Rode Kruis Ziekenhuis</t>
  </si>
  <si>
    <t>*120/609 Stichting CAD</t>
  </si>
  <si>
    <t>*450 Merwevisie</t>
  </si>
  <si>
    <t>*450 De Brug</t>
  </si>
  <si>
    <t>*450 FortaGroep BV</t>
  </si>
  <si>
    <t>*450 PsyQ Amsterdam B.V.</t>
  </si>
  <si>
    <t>*450 Bosman GGz</t>
  </si>
  <si>
    <t>*450 Pro Psy BV</t>
  </si>
  <si>
    <t>Hoeve Boschoord</t>
  </si>
  <si>
    <t>Stichting Kessler</t>
  </si>
  <si>
    <t>JellinekMentrum</t>
  </si>
  <si>
    <t>Mondriaan Zorggroep / Vijverdal</t>
  </si>
  <si>
    <t>Buitenamstel/Geestgronden</t>
  </si>
  <si>
    <t>Leger des Heils GGZ Noord-Holland Noord</t>
  </si>
  <si>
    <t>CSTS</t>
  </si>
  <si>
    <t>Onderdeel 4: Correctie intramurale zorg in verband met prijsafspraak</t>
  </si>
  <si>
    <t>Elektronisch indienen</t>
  </si>
  <si>
    <t>inbox@nza.nl</t>
  </si>
  <si>
    <t>Bedden verslavingszorg cf. algemene gegevens rekenstaat 2009 kolom 5</t>
  </si>
  <si>
    <t>Niet bezette bedden verslavingszorg cf. algemene gegevens rekenstaat 2009 kolom 5</t>
  </si>
  <si>
    <t>Bed ZIZ kinderen en jeugd cf. algemene gegevens rekenstaat 2009 kolom 5</t>
  </si>
  <si>
    <t>Bed BOPZ kinderen en jeugd cf. algemene gegevens rekenstaat 2009 kolom 5</t>
  </si>
  <si>
    <t>Bed overig kinderen en jeugd cf. algemene gegevens rekenstaat 2009 kolom 5</t>
  </si>
  <si>
    <t>Logeerplaatsen kinderen en jeugd cf. algemene gegevens rekenstaat 2009 kolom 5</t>
  </si>
  <si>
    <t>Niet bezette logeerplaatsen kinderen en jeugd cf. algemene gegevens rekenstaat 2009 kolom 5</t>
  </si>
  <si>
    <t>Bedden volwassenen (overig) cf. algemene gegevens rekenstaat 2009 kolom 5</t>
  </si>
  <si>
    <t>Bed herstellingsoord cf. algemene gegevens rekenstaat 2009 kolom 5</t>
  </si>
  <si>
    <t>Niet bezette bedden volwassenen (overig) cf. algemene gegevens rekenstaat 2009 kolom 5</t>
  </si>
  <si>
    <t>Bedden forensische psychiatrische afdeling (open) cf. alg. gegevens rekenstaat 2009 kolom 5</t>
  </si>
  <si>
    <t>Bed forensisch gesloten (&lt;= 55 bedden) cf. algemene gegevens rekenstaat 2009 kolom 5</t>
  </si>
  <si>
    <t>Bed forensisch gesloten (&gt;= 56 bedden) cf. algemene gegevens rekenstaat 2009 kolom 5</t>
  </si>
  <si>
    <t>Bed klinisch intensieve behandeling cf. algemene gegevens rekenstaat 2009 kolom 5</t>
  </si>
  <si>
    <t>Niet bezette bedden KIB cf. algemene gegevens rekenstaat 2009 kolom 5</t>
  </si>
  <si>
    <t>Aantal bezette plaatsen kleinschalig wonen cf. algemene gegevens rekenstaat 2009 kolom 5</t>
  </si>
  <si>
    <t>Aantal niet bezette plaatsen kleinschalig wonen cf. algemene gegevens rekenstaat 2009 kolom 5</t>
  </si>
  <si>
    <t>Behoort bij circulaire Care/AWBZ/09/20c</t>
  </si>
  <si>
    <t>Afspraken ten laste van de contracteerruimte Transitie Experimenten Langdurige Zorg</t>
  </si>
  <si>
    <t>Totaal beslag ten laste van de contracteerruimten 2008</t>
  </si>
  <si>
    <t>Afspraken ten laste van de contracteerruimte Zorgzwaarte bij AWBZ-zorgaanbieders (verpleeghuizen)</t>
  </si>
  <si>
    <t>PQH126</t>
  </si>
  <si>
    <t>PQH127</t>
  </si>
  <si>
    <t>PQH120</t>
  </si>
  <si>
    <t>PH126</t>
  </si>
  <si>
    <t>PH127</t>
  </si>
  <si>
    <t>PH120</t>
  </si>
  <si>
    <t>PQH104</t>
  </si>
  <si>
    <t>PQH128</t>
  </si>
  <si>
    <t>PQH106</t>
  </si>
  <si>
    <t>PQH114</t>
  </si>
  <si>
    <t>PH104</t>
  </si>
  <si>
    <t>PH128</t>
  </si>
  <si>
    <t>PH106</t>
  </si>
  <si>
    <t>PH114</t>
  </si>
  <si>
    <t>PQH121</t>
  </si>
  <si>
    <t>PQH129</t>
  </si>
  <si>
    <t>PQH140</t>
  </si>
  <si>
    <t>PQH144</t>
  </si>
  <si>
    <t>PQF123</t>
  </si>
  <si>
    <t>PQH162</t>
  </si>
  <si>
    <t>PQH163</t>
  </si>
  <si>
    <t>PH121</t>
  </si>
  <si>
    <t>PH129</t>
  </si>
  <si>
    <t>PH140</t>
  </si>
  <si>
    <t>PH144</t>
  </si>
  <si>
    <t>PF123</t>
  </si>
  <si>
    <t>PH162</t>
  </si>
  <si>
    <t>PH163</t>
  </si>
  <si>
    <t>PQH130</t>
  </si>
  <si>
    <t>PQH147</t>
  </si>
  <si>
    <t>PQH142</t>
  </si>
  <si>
    <t>PQH143</t>
  </si>
  <si>
    <t>PH130</t>
  </si>
  <si>
    <t>PH147</t>
  </si>
  <si>
    <t>PH142</t>
  </si>
  <si>
    <t>PH143</t>
  </si>
  <si>
    <t>PQH328</t>
  </si>
  <si>
    <t>PQH329</t>
  </si>
  <si>
    <t>PQH330</t>
  </si>
  <si>
    <t>PQH324</t>
  </si>
  <si>
    <t>PQH325</t>
  </si>
  <si>
    <t>PQH326</t>
  </si>
  <si>
    <t>PQH327</t>
  </si>
  <si>
    <t>PH328</t>
  </si>
  <si>
    <t>PH329</t>
  </si>
  <si>
    <t>PH330</t>
  </si>
  <si>
    <t>PH324</t>
  </si>
  <si>
    <t>PH325</t>
  </si>
  <si>
    <t>PH326</t>
  </si>
  <si>
    <t>PH327</t>
  </si>
  <si>
    <t>PQH113</t>
  </si>
  <si>
    <t>PQH172</t>
  </si>
  <si>
    <t>PQH173</t>
  </si>
  <si>
    <t>PQH518</t>
  </si>
  <si>
    <t>PQH519</t>
  </si>
  <si>
    <t>PQH520</t>
  </si>
  <si>
    <t>PQH521</t>
  </si>
  <si>
    <t>PQH523</t>
  </si>
  <si>
    <t>PQH525</t>
  </si>
  <si>
    <t>PQH526</t>
  </si>
  <si>
    <t>PQH530</t>
  </si>
  <si>
    <t>PQH527</t>
  </si>
  <si>
    <t>PH113</t>
  </si>
  <si>
    <t>PH172</t>
  </si>
  <si>
    <t>PH173</t>
  </si>
  <si>
    <t>PH518</t>
  </si>
  <si>
    <t>PH519</t>
  </si>
  <si>
    <t>PH520</t>
  </si>
  <si>
    <t>PH521</t>
  </si>
  <si>
    <t>PH523</t>
  </si>
  <si>
    <t>PH525</t>
  </si>
  <si>
    <t>PH526</t>
  </si>
  <si>
    <t>PH530</t>
  </si>
  <si>
    <t>PH527</t>
  </si>
  <si>
    <t>PQH109</t>
  </si>
  <si>
    <t>PQH701</t>
  </si>
  <si>
    <t>PQH702</t>
  </si>
  <si>
    <t>PQH703</t>
  </si>
  <si>
    <t>PQH110</t>
  </si>
  <si>
    <t>PH109</t>
  </si>
  <si>
    <t>PH701</t>
  </si>
  <si>
    <t>PH702</t>
  </si>
  <si>
    <t>PH703</t>
  </si>
  <si>
    <t>Triversum</t>
  </si>
  <si>
    <t>H127</t>
  </si>
  <si>
    <t>Verpleging extra</t>
  </si>
  <si>
    <t>Gespecialiseerde verpleging</t>
  </si>
  <si>
    <t>Begeleiding</t>
  </si>
  <si>
    <t>Begeleiding extra</t>
  </si>
  <si>
    <t>H129</t>
  </si>
  <si>
    <t>Activerende thuiszorg</t>
  </si>
  <si>
    <t>*Robert-Fleury Stichting</t>
  </si>
  <si>
    <t>*RIBW Midden-Holland</t>
  </si>
  <si>
    <t>Algemeen</t>
  </si>
  <si>
    <t>RIBW Kennemerland, Amstelland en de Meerlanden</t>
  </si>
  <si>
    <t>RIBW HVO-Querido</t>
  </si>
  <si>
    <t>RIBW Zaanstr./Waterl.en W-Friesland</t>
  </si>
  <si>
    <t>VZ23</t>
  </si>
  <si>
    <t>*STAP</t>
  </si>
  <si>
    <t>APZ De Geestgronden</t>
  </si>
  <si>
    <t>IEA</t>
  </si>
  <si>
    <t>*PAAZ Scheper Ziekenhuis</t>
  </si>
  <si>
    <t>*PAAZ Bethesda Ziekenhuis</t>
  </si>
  <si>
    <t>*RIAGG Haagrand</t>
  </si>
  <si>
    <t>1 VV</t>
  </si>
  <si>
    <t>2 VV</t>
  </si>
  <si>
    <t>3 VV</t>
  </si>
  <si>
    <t>4 VV</t>
  </si>
  <si>
    <t>5 VV</t>
  </si>
  <si>
    <t>6 VV</t>
  </si>
  <si>
    <t>Emergis</t>
  </si>
  <si>
    <t>Totaal</t>
  </si>
  <si>
    <t>bedrag</t>
  </si>
  <si>
    <t>totaal</t>
  </si>
  <si>
    <t>*PZ Juliana-Oord</t>
  </si>
  <si>
    <t xml:space="preserve">controlegetal </t>
  </si>
  <si>
    <t>F043P</t>
  </si>
  <si>
    <t>A1</t>
  </si>
  <si>
    <t>Dagen KIB</t>
  </si>
  <si>
    <t>Index;</t>
  </si>
  <si>
    <t>Tarieven per dag excl.  index</t>
  </si>
  <si>
    <t>Tarieven per dag incl.  index</t>
  </si>
  <si>
    <t>ZZP ris code</t>
  </si>
  <si>
    <t>ZPQ532</t>
  </si>
  <si>
    <t>ZPQ530</t>
  </si>
  <si>
    <t>ZPQ531</t>
  </si>
  <si>
    <t>ZPQ542</t>
  </si>
  <si>
    <t>ZPQ540</t>
  </si>
  <si>
    <t>ZPQ541</t>
  </si>
  <si>
    <t>ZPQ552</t>
  </si>
  <si>
    <t>ZPQ550</t>
  </si>
  <si>
    <t>ZPQ551</t>
  </si>
  <si>
    <t>aantal</t>
  </si>
  <si>
    <t>*450 PAAZ Ziekenhuis Rijnstate</t>
  </si>
  <si>
    <t>*450 PAAZ De Gelderse Vallei</t>
  </si>
  <si>
    <t>*450 PAAZ Maasziekenhuis Pantein</t>
  </si>
  <si>
    <t>*450 PAAZ Canisius-Wilhelmina Ziekenhuis</t>
  </si>
  <si>
    <t xml:space="preserve">Op basis van de toelating wordt in dit onderdeel de normatieve oppervlakte voor de energie berekend. </t>
  </si>
  <si>
    <t xml:space="preserve">Onderdeel 8: Normatieve meters Energiekosten </t>
  </si>
  <si>
    <t>8.</t>
  </si>
  <si>
    <t>In onderstaande situaties wordt aangegeven welk formulier wanneer van toepassing is.</t>
  </si>
  <si>
    <t>Situatieschets</t>
  </si>
  <si>
    <t>budgetformulier</t>
  </si>
  <si>
    <t>capaciteitsformulier</t>
  </si>
  <si>
    <t>WERKBLAD "Productie"</t>
  </si>
  <si>
    <t>Voor de waarde van de capaciteitswijziging: zie algemene gegevens rekenstaat 2009, kolom 5, 'Loon- &amp; mat. kst capaciteitsmutatie'. of het kasbasisbedrag van regel 502 'Loon- en materiele kosten capaciteitsmutatie' van het capaciteitsmutatieformulier 2009.</t>
  </si>
  <si>
    <t>CCAP09</t>
  </si>
  <si>
    <t>Plaatsen kleinschalig wonen t.b.v. VZ2.5 jeugdigen in RIBW's</t>
  </si>
  <si>
    <t>Afspraken ten laste van de contracteerruimte exclusief geoormerkte gelden</t>
  </si>
  <si>
    <r>
      <t xml:space="preserve">Door ondertekening van het formulier </t>
    </r>
    <r>
      <rPr>
        <u val="single"/>
        <sz val="9"/>
        <rFont val="Verdana"/>
        <family val="2"/>
      </rPr>
      <t>'Budget 2009'</t>
    </r>
    <r>
      <rPr>
        <sz val="9"/>
        <rFont val="Verdana"/>
        <family val="2"/>
      </rPr>
      <t xml:space="preserve"> verzoeken zorgkantoor en zorgaanbieder de NZa, de in dit verzoek overeengekomen vaste tarieven en bijbehorende prestaties vast te stellen. Eveneens verzoeken bovengenoemde partijen de NZa tot een vaststelling van het sluittarief dat dient ter dekking van het verschil tussen de afgesproken produktie op basis van de door de NZa vastgestelde tarieven enerzijds en de door de NZa vastgestelde aanvaardbare kosten 2009 anderzijds. Dit naar aanleiding van de door partijen in de productieafspraken overeengekomen capaciteiten en volumeafspraken 2009.</t>
    </r>
  </si>
  <si>
    <t>Correctie 'Loon- &amp; mat. kst capaciteitsmutatie 2009' (zie alg. gevens rekenstaat 2009, kolom 5)</t>
  </si>
  <si>
    <r>
      <t xml:space="preserve">1. Dit formulier wordt gebruikt als budgetformulier voor de productieafspraken 2009 voor de budgetronde van 1 november 2009. 
In het budgetformulier vult u alle gegevens in op </t>
    </r>
    <r>
      <rPr>
        <b/>
        <sz val="9"/>
        <rFont val="Verdana"/>
        <family val="2"/>
      </rPr>
      <t>kasbasis</t>
    </r>
    <r>
      <rPr>
        <sz val="9"/>
        <rFont val="Verdana"/>
        <family val="2"/>
      </rPr>
      <t xml:space="preserve">. </t>
    </r>
  </si>
  <si>
    <t>*450 PAAZ Ziekenhuis Eemland</t>
  </si>
  <si>
    <t>*450 PAAZ Ziekenhuis Rivierenland</t>
  </si>
  <si>
    <t>*450 PAAZ Hofpoort Ziekenhuis</t>
  </si>
  <si>
    <t>*450 PAAZ Mesos Medisch Centrum</t>
  </si>
  <si>
    <t>*450 PAAZ Streekziekenhuis Gooi-Noord</t>
  </si>
  <si>
    <t>*450 PAAZ Medisch Centrum Alkmaar</t>
  </si>
  <si>
    <t>*450 PAAZ Kennemer Gasthuis</t>
  </si>
  <si>
    <t>*450 PAAZ Waterland Ziekenhuis</t>
  </si>
  <si>
    <t>*450 PAAZ Ziekenhuis De Heel</t>
  </si>
  <si>
    <t>*450 PAAZ Sint Lucas Andreas Ziekenhuis</t>
  </si>
  <si>
    <t>*450 PAAZ Albert Schweitzer Ziekenhuis</t>
  </si>
  <si>
    <t>*450 PAAZ Streekziekenhuis Walcheren</t>
  </si>
  <si>
    <t>*450 Ziekenhuis ZorgSaam Zeeuws Vlaanderen PAAZ</t>
  </si>
  <si>
    <t>*450 PAAZ Ziekenhuis Lievensberg</t>
  </si>
  <si>
    <t>*450 PAAZ Amphia Ziekenhuis</t>
  </si>
  <si>
    <t>*450 PAAZ Sint Elisabeth Ziekenhuis</t>
  </si>
  <si>
    <t>*450 PAAZ TweeSteden Ziekenhuis</t>
  </si>
  <si>
    <t>*450 PAAZ Catharina Ziekenhuis</t>
  </si>
  <si>
    <t>*450 PAAZ Elkerliek Ziekenhuis</t>
  </si>
  <si>
    <t xml:space="preserve">Hieronder dient de zorgaanbieder aan te geven voor welke functie(s) deze in 2009 is toegelaten. </t>
  </si>
  <si>
    <t>Odibaan Zaanstreek Waterland</t>
  </si>
  <si>
    <t>NBON</t>
  </si>
  <si>
    <t>LIMOR Zwolle</t>
  </si>
  <si>
    <t>LIMOR Groningen</t>
  </si>
  <si>
    <t>LIMOR Haaglanden</t>
  </si>
  <si>
    <t>Tender</t>
  </si>
  <si>
    <t>ZIZ-bedden kinderen en jeugd</t>
  </si>
  <si>
    <t>Herstellingsoordfunctie</t>
  </si>
  <si>
    <t>Forensisch psychiatrische afdeling</t>
  </si>
  <si>
    <t>Klinisch intensieve behandeling</t>
  </si>
  <si>
    <t>BKZ</t>
  </si>
  <si>
    <t>BKB</t>
  </si>
  <si>
    <t>BKO</t>
  </si>
  <si>
    <t>BSGA</t>
  </si>
  <si>
    <t>BFO</t>
  </si>
  <si>
    <t>BFGK</t>
  </si>
  <si>
    <t>BFGG</t>
  </si>
  <si>
    <t>BH</t>
  </si>
  <si>
    <t>BO</t>
  </si>
  <si>
    <t>GGZ-centrum Westfriesland</t>
  </si>
  <si>
    <t>GGZ Noord-Holland-Noord</t>
  </si>
  <si>
    <t>Mentrum</t>
  </si>
  <si>
    <t>GGZ Delfland</t>
  </si>
  <si>
    <t>*Groot Bronswijk</t>
  </si>
  <si>
    <t>Normatieve m2 energie APZ / PAAZ</t>
  </si>
  <si>
    <t>4.</t>
  </si>
  <si>
    <t>De functies zijn opgenomen volgens de artikelen 4 tot en met 9, en 11 van het Besluit Zorgaanspraken AWBZ.</t>
  </si>
  <si>
    <t>Regel</t>
  </si>
  <si>
    <t>Art.</t>
  </si>
  <si>
    <t>Omschrijving</t>
  </si>
  <si>
    <t>Toegelaten?</t>
  </si>
  <si>
    <t>Ondersteunende begeleiding</t>
  </si>
  <si>
    <t>Activerende begeleiding</t>
  </si>
  <si>
    <t>Behandeling</t>
  </si>
  <si>
    <t>Verblijf</t>
  </si>
  <si>
    <t>Uitleen van verpleegartikelen</t>
  </si>
  <si>
    <t>Aantal conf.</t>
  </si>
  <si>
    <t>Afspraak mogelijk?</t>
  </si>
  <si>
    <t>Afspraak</t>
  </si>
  <si>
    <t xml:space="preserve">Bedden Verslavingszorg </t>
  </si>
  <si>
    <t>nee</t>
  </si>
  <si>
    <t>Bedden verslavingszorg</t>
  </si>
  <si>
    <t>Afspraken bedden verslavingszorg 2009</t>
  </si>
  <si>
    <t>Bedden Kinderen en jeugd</t>
  </si>
  <si>
    <t>Afspraken bedden kinderen en jeugd 2009</t>
  </si>
  <si>
    <t>Bedden kinderen en jeugd</t>
  </si>
  <si>
    <t>Volwassenen (overige)</t>
  </si>
  <si>
    <t>Bedden Volwassenen</t>
  </si>
  <si>
    <t>Afspraken bedden volwassenen</t>
  </si>
  <si>
    <t>Bedden forensische psychiatrische kliniek</t>
  </si>
  <si>
    <t>Niet bezette bedden psychiatrische kliniek</t>
  </si>
  <si>
    <t>Toeslag categorie 3</t>
  </si>
  <si>
    <t>PIVLKW</t>
  </si>
  <si>
    <t>PGLKW</t>
  </si>
  <si>
    <t>PVZKW</t>
  </si>
  <si>
    <t>PTC1KW</t>
  </si>
  <si>
    <t>PTC2KW</t>
  </si>
  <si>
    <t>PTC3KW</t>
  </si>
  <si>
    <t>Structuur biedend/beperkte begeleiding</t>
  </si>
  <si>
    <t>VZ21</t>
  </si>
  <si>
    <t>Structuur biedend/volledige begeleiding</t>
  </si>
  <si>
    <t>VZ22</t>
  </si>
  <si>
    <t>Veranderingsgericht/beperkte begeleiding</t>
  </si>
  <si>
    <t>*De Mark</t>
  </si>
  <si>
    <t>Kleinschalig verblijf zwaar *)</t>
  </si>
  <si>
    <t>Kleinschalig wonen</t>
  </si>
  <si>
    <t>Kortdurend met beperkte begeleiding</t>
  </si>
  <si>
    <t>*Paedologisch Instituut</t>
  </si>
  <si>
    <t>Curium</t>
  </si>
  <si>
    <t>F050</t>
  </si>
  <si>
    <t>F051</t>
  </si>
  <si>
    <t>F052</t>
  </si>
  <si>
    <t>Verzorgingsdagen Beschermd Wonen</t>
  </si>
  <si>
    <t>*APZ-Drenthe, locatie Assen</t>
  </si>
  <si>
    <t>APZ-Drenthe</t>
  </si>
  <si>
    <t>*Rijngeest groep, locatie Oegstgeest</t>
  </si>
  <si>
    <t>ZPQ610</t>
  </si>
  <si>
    <t>SCHRIJFRANGE - KOLOM DATABASE BLAD 1</t>
  </si>
  <si>
    <t>ALGEMEEN</t>
  </si>
  <si>
    <t>VOORBLAD</t>
  </si>
  <si>
    <t>CONTRACTEERRUIMTE</t>
  </si>
  <si>
    <t>Cat</t>
  </si>
  <si>
    <t>Nr</t>
  </si>
  <si>
    <t>Naam</t>
  </si>
  <si>
    <t>Afspraken zorgzwaarte vph</t>
  </si>
  <si>
    <t>Afspraken zorgzwaarte GHZ</t>
  </si>
  <si>
    <t>Kompaan</t>
  </si>
  <si>
    <t>*Veluweland</t>
  </si>
  <si>
    <t>H104</t>
  </si>
  <si>
    <t>H121</t>
  </si>
  <si>
    <t>H130</t>
  </si>
  <si>
    <t>H147</t>
  </si>
  <si>
    <t>H173</t>
  </si>
  <si>
    <t>H625</t>
  </si>
  <si>
    <t>H120</t>
  </si>
  <si>
    <t>Persoonlijke verzorging speciaal</t>
  </si>
  <si>
    <t>H328</t>
  </si>
  <si>
    <t>H329</t>
  </si>
  <si>
    <t>H330</t>
  </si>
  <si>
    <t>H326</t>
  </si>
  <si>
    <t>Behandeling basis som, pg, vg, lg</t>
  </si>
  <si>
    <t>Behandeling gedragswetenschapper</t>
  </si>
  <si>
    <t>F129</t>
  </si>
  <si>
    <t>Loonindex</t>
  </si>
  <si>
    <t>Mat. index</t>
  </si>
  <si>
    <t>Individ.afgerond!</t>
  </si>
  <si>
    <t>V.1.1</t>
  </si>
  <si>
    <t>V.1.2</t>
  </si>
  <si>
    <t>V.1.3</t>
  </si>
  <si>
    <t>V.1.4</t>
  </si>
  <si>
    <t>A.1.2</t>
  </si>
  <si>
    <t>A.1.3</t>
  </si>
  <si>
    <t>A.1.4</t>
  </si>
  <si>
    <t>A.1.5</t>
  </si>
  <si>
    <t>A.1.6</t>
  </si>
  <si>
    <t>K.1.1</t>
  </si>
  <si>
    <t>K.1.2</t>
  </si>
  <si>
    <t>K.1.3</t>
  </si>
  <si>
    <t>K.1.4</t>
  </si>
  <si>
    <t>K.1.5</t>
  </si>
  <si>
    <t>K.1.6</t>
  </si>
  <si>
    <t>V.2.1</t>
  </si>
  <si>
    <t>V.2.2</t>
  </si>
  <si>
    <t>V.2.3</t>
  </si>
  <si>
    <t>V.2.4</t>
  </si>
  <si>
    <t>V.2.5</t>
  </si>
  <si>
    <t>F.1.1</t>
  </si>
  <si>
    <t>F.1.2</t>
  </si>
  <si>
    <t>F.1.3</t>
  </si>
  <si>
    <t>F.1.4</t>
  </si>
  <si>
    <t>F.1.5</t>
  </si>
  <si>
    <t>F.1.6</t>
  </si>
  <si>
    <t>BOPZ-bedden kinderen en jeugd</t>
  </si>
  <si>
    <t>RIBW Leger des Heils/Domus Heerlen</t>
  </si>
  <si>
    <t>F123</t>
  </si>
  <si>
    <t>Logeerplaatsen</t>
  </si>
  <si>
    <t>BKL</t>
  </si>
  <si>
    <t>Datum</t>
  </si>
  <si>
    <t>Medewerker</t>
  </si>
  <si>
    <t>cat.</t>
  </si>
  <si>
    <t>nr.</t>
  </si>
  <si>
    <t>Combi</t>
  </si>
  <si>
    <t>o.b.v. prod.</t>
  </si>
  <si>
    <t>Zwolse Poort</t>
  </si>
  <si>
    <t>Bavo Europoort</t>
  </si>
  <si>
    <t>Vijverdal</t>
  </si>
  <si>
    <t>Tactus, verslavingszorg</t>
  </si>
  <si>
    <t>RiaggZuid</t>
  </si>
  <si>
    <t>RIBW Leger des Heils GGZ Zeeland</t>
  </si>
  <si>
    <t>Jeugdhulp Friesland</t>
  </si>
  <si>
    <t>*PAAZ Ziekenhuis Hilversum</t>
  </si>
  <si>
    <t>*PAAZ Zkh Reinier de Graaf groep</t>
  </si>
  <si>
    <t>*RBC</t>
  </si>
  <si>
    <t>VZ25</t>
  </si>
  <si>
    <t>VZ2.5</t>
  </si>
  <si>
    <t>Jeugdigen in Ribw's</t>
  </si>
  <si>
    <t>Kwintes</t>
  </si>
  <si>
    <t>Energiekosten, onroerendzaakbelasting en milieuheffingen</t>
  </si>
  <si>
    <t>F126</t>
  </si>
  <si>
    <t>Idem met intensieve begel./bescherming</t>
  </si>
  <si>
    <t>Idem met volledige begeleiding</t>
  </si>
  <si>
    <t>Idem met continue/intensieve bescherming</t>
  </si>
  <si>
    <t>Veranderingsgericht met beperkte begel.</t>
  </si>
  <si>
    <t>Crisis met intensieve beg./bescherming</t>
  </si>
  <si>
    <t>RIBW Mensana</t>
  </si>
  <si>
    <t>CSCN</t>
  </si>
  <si>
    <t>B</t>
  </si>
  <si>
    <t>Mediant GGZ</t>
  </si>
  <si>
    <t>Centrum Maliebaan</t>
  </si>
  <si>
    <t>Loon</t>
  </si>
  <si>
    <t>Materieel</t>
  </si>
  <si>
    <t xml:space="preserve">Verslavingszorg </t>
  </si>
  <si>
    <t>F043</t>
  </si>
  <si>
    <t>bedden /</t>
  </si>
  <si>
    <t xml:space="preserve"> plaatsen</t>
  </si>
  <si>
    <t>(celverwijzing naar 0000'F21)</t>
  </si>
  <si>
    <t>F043PQ</t>
  </si>
  <si>
    <t>1 ZGvis</t>
  </si>
  <si>
    <t>2 ZGvis</t>
  </si>
  <si>
    <t>3 ZGvis</t>
  </si>
  <si>
    <t>4 ZGvis</t>
  </si>
  <si>
    <t>RIBW Leger des Heils GGZ Groningen</t>
  </si>
  <si>
    <t>RIBW Leger des Heils GGZ-MCR</t>
  </si>
  <si>
    <t>RIBW Leger des Heils GGZ Arnhem</t>
  </si>
  <si>
    <t>Registratienummer NZa</t>
  </si>
  <si>
    <t>Rijen verbergen</t>
  </si>
  <si>
    <t>*Bloemendaal</t>
  </si>
  <si>
    <t>rekenstaat</t>
  </si>
  <si>
    <t>Niet toegelaten voor BH</t>
  </si>
  <si>
    <t>Toegelaten voor BH</t>
  </si>
  <si>
    <t>excl. DB</t>
  </si>
  <si>
    <t>incl. DB</t>
  </si>
  <si>
    <t xml:space="preserve"> Overig</t>
  </si>
  <si>
    <t>Verblijfscomponent V&amp;V</t>
  </si>
  <si>
    <t>Verblijfscomponent GGZ</t>
  </si>
  <si>
    <t>Verblijfscomponent GHZ: VG en LG</t>
  </si>
  <si>
    <t>1. Toelating voor functies</t>
  </si>
  <si>
    <t>2.5</t>
  </si>
  <si>
    <t>2.5.1</t>
  </si>
  <si>
    <t>2.5.3</t>
  </si>
  <si>
    <t>Dagen klinisch Intensieve Behandeling</t>
  </si>
  <si>
    <t>2.6</t>
  </si>
  <si>
    <t>3.1.2</t>
  </si>
  <si>
    <t>3.1.3</t>
  </si>
  <si>
    <t>3.1.4</t>
  </si>
  <si>
    <t>3.1.5</t>
  </si>
  <si>
    <t>3.2</t>
  </si>
  <si>
    <t xml:space="preserve">5. </t>
  </si>
  <si>
    <t xml:space="preserve">6.6 </t>
  </si>
  <si>
    <t>6.7</t>
  </si>
  <si>
    <t>6.8</t>
  </si>
  <si>
    <t>6.9 Prestaties overig</t>
  </si>
  <si>
    <t>6.9.2 Overige GGZ-prestaties gekoppeld aan Begeleiding</t>
  </si>
  <si>
    <t>6.10</t>
  </si>
  <si>
    <t>6.11 Reiskosten zorgverlener</t>
  </si>
  <si>
    <t>toelating bedden volwassenen</t>
  </si>
  <si>
    <t>M2memo</t>
  </si>
  <si>
    <t>PILK23</t>
  </si>
  <si>
    <t>Extramuraal</t>
  </si>
  <si>
    <t>PQH149</t>
  </si>
  <si>
    <t>PQH150</t>
  </si>
  <si>
    <t>PQH152</t>
  </si>
  <si>
    <t>PQH153</t>
  </si>
  <si>
    <t>PH149</t>
  </si>
  <si>
    <t>PH150</t>
  </si>
  <si>
    <t>PH152</t>
  </si>
  <si>
    <t>PH153</t>
  </si>
  <si>
    <t>PQH156</t>
  </si>
  <si>
    <t>PQH157</t>
  </si>
  <si>
    <t>PH156</t>
  </si>
  <si>
    <t>PH157</t>
  </si>
  <si>
    <t>PQH331</t>
  </si>
  <si>
    <t>PH331</t>
  </si>
  <si>
    <t>PQH531</t>
  </si>
  <si>
    <t>PQH532</t>
  </si>
  <si>
    <t>PQH533</t>
  </si>
  <si>
    <t>PQH534</t>
  </si>
  <si>
    <t>PQH535</t>
  </si>
  <si>
    <t>PQH536</t>
  </si>
  <si>
    <t>PQH537</t>
  </si>
  <si>
    <t>PQH132</t>
  </si>
  <si>
    <t>PQH180</t>
  </si>
  <si>
    <t>PH531</t>
  </si>
  <si>
    <t>PH532</t>
  </si>
  <si>
    <t>PH533</t>
  </si>
  <si>
    <t>PH534</t>
  </si>
  <si>
    <t>PH535</t>
  </si>
  <si>
    <t>PH536</t>
  </si>
  <si>
    <t>PH537</t>
  </si>
  <si>
    <t>PH132</t>
  </si>
  <si>
    <t>PH180</t>
  </si>
  <si>
    <t>Bedden KIB</t>
  </si>
  <si>
    <t>Waarvan bedden forensische kinderen en jeugdigen</t>
  </si>
  <si>
    <t>Afwezig</t>
  </si>
  <si>
    <t>Dagen forensisische psychiatrie</t>
  </si>
  <si>
    <t>Afspraken bedden Klinisch Intensieve Behandeling</t>
  </si>
  <si>
    <t>Bedden Klinisch Intensieve Behandeling (KIB)</t>
  </si>
  <si>
    <t>Waarvan met toeslag (t.b.v. normatieve vergoeding kapitaalslasten)</t>
  </si>
  <si>
    <t xml:space="preserve">afspraken </t>
  </si>
  <si>
    <t>Groningen</t>
  </si>
  <si>
    <t>Friesland</t>
  </si>
  <si>
    <t>Drenthe</t>
  </si>
  <si>
    <t>Zwolle</t>
  </si>
  <si>
    <t>Twente</t>
  </si>
  <si>
    <t>Arnhem</t>
  </si>
  <si>
    <t>Nijmegen</t>
  </si>
  <si>
    <t>Utrecht</t>
  </si>
  <si>
    <t>Flevoland</t>
  </si>
  <si>
    <t>Kennemerland</t>
  </si>
  <si>
    <t>Zaanstreek/Waterland</t>
  </si>
  <si>
    <t>Amsterdam</t>
  </si>
  <si>
    <t>Haaglanden</t>
  </si>
  <si>
    <t>Midden-Holland</t>
  </si>
  <si>
    <t>Rotterdam</t>
  </si>
  <si>
    <t>Zuid-Hollandse Eilanden</t>
  </si>
  <si>
    <t>Waardenland</t>
  </si>
  <si>
    <t>Zeeland</t>
  </si>
  <si>
    <t>West-Brabant</t>
  </si>
  <si>
    <t>Midden-Brabant</t>
  </si>
  <si>
    <t>BKFGK</t>
  </si>
  <si>
    <t>BKFGG</t>
  </si>
  <si>
    <t>BKFO</t>
  </si>
  <si>
    <t>Noord-Limburg</t>
  </si>
  <si>
    <t>De Binnenvest</t>
  </si>
  <si>
    <t>Structuurbiedend met beperkte begel.</t>
  </si>
  <si>
    <t>C</t>
  </si>
  <si>
    <t>Individueel verblijf licht</t>
  </si>
  <si>
    <t>Kleinschalig groepsverblijf licht</t>
  </si>
  <si>
    <t>Kleinschalig verblijf zwaar</t>
  </si>
  <si>
    <t>Niet bezette plaatsen kleinschalig wonen</t>
  </si>
  <si>
    <t>Plaatsen kleinschalig wonen</t>
  </si>
  <si>
    <t>Toeslag categorie 1</t>
  </si>
  <si>
    <t>LIIPA</t>
  </si>
  <si>
    <t>De beheersing van de groei van de uitgaven wordt onder meer bereikt door per zorgkantoor maximale contracteerruimten 2009 vast te stellen.</t>
  </si>
  <si>
    <t>Op de regels voor Volledig Pakket Thuis (VPT)  kunt u het aantal afgesproken dagen voor VPT invullen. De voorwaarde dat het aantal bedden dat gebruikt wordt voor VPT samen met het reguliere aantal bedden/plaatsen dient te passen binnen de toelating, is vervallen. De financiële afspraak voor VPT wordt ten laste gebracht van de contracteerruimte 2009 excl. geoormerkte middelen. Zie voor een toelichting de Beleidsregel Volledig Pakket Thuis.</t>
  </si>
  <si>
    <t>Onderdeel 6: Extramurale zorg</t>
  </si>
  <si>
    <t>vervaldatum</t>
  </si>
  <si>
    <t>waarde</t>
  </si>
  <si>
    <t>budget</t>
  </si>
  <si>
    <t>tabel inzenddata</t>
  </si>
  <si>
    <t>GKOK</t>
  </si>
  <si>
    <t>FKLR</t>
  </si>
  <si>
    <t>GVER</t>
  </si>
  <si>
    <t>MDIG</t>
  </si>
  <si>
    <t>ZKAN</t>
  </si>
  <si>
    <t>MSTN</t>
  </si>
  <si>
    <t>Brijder</t>
  </si>
  <si>
    <t>IrisZorg Arnhem e.o (vh De Grift)</t>
  </si>
  <si>
    <t>Parnassia</t>
  </si>
  <si>
    <t>*450 PAAZ Sint Anna Zorggroep</t>
  </si>
  <si>
    <t>450/2038 /PAAZ Maaslandziekenhuis</t>
  </si>
  <si>
    <t>Lievegoed Zorggroep (GGZ vh Arta-Lievegoedgroep)</t>
  </si>
  <si>
    <t>RIBW IJssel-Vecht</t>
  </si>
  <si>
    <t>*450 PerspeKtief</t>
  </si>
  <si>
    <t>*450 Pameijer SP (RIBW Rijnmond)</t>
  </si>
  <si>
    <t>IrisZorg Nijmegen e.o. vh RIBW Arcuris regio Zuid</t>
  </si>
  <si>
    <t>Pi - Groep</t>
  </si>
  <si>
    <t>IrisZorg Deventer e.o.vh RIBW Arcuris regio Noord</t>
  </si>
  <si>
    <t>IrisZorg Midden e.o. vh RIBW Arcuris regio Midden</t>
  </si>
  <si>
    <t>Odibaan Kennemerland</t>
  </si>
  <si>
    <t>RIBW Leger des Heils GGZ Rotterdam</t>
  </si>
  <si>
    <t>Maatschappelijk Opvang Breda</t>
  </si>
  <si>
    <t>Stichting MOV Limburg</t>
  </si>
  <si>
    <t>ISCS</t>
  </si>
  <si>
    <t>De Nieuwe Praktijk B.V.</t>
  </si>
  <si>
    <t>Orbis PCC / PAAZ Maaslandziekenhuis</t>
  </si>
  <si>
    <t>Capaciteit verblijf en behandeling</t>
  </si>
  <si>
    <t>Capaciteit verblijf zonder behandeling</t>
  </si>
  <si>
    <t>Plaatsen en verzorgingsdagen kleinschalig wonen</t>
  </si>
  <si>
    <t>Totaal prestaties Persoonlijke verzorging</t>
  </si>
  <si>
    <t>Totaal prestaties Verpleging</t>
  </si>
  <si>
    <t>Totaal prestaties Begeleiding</t>
  </si>
  <si>
    <t>Ondersteunende begeleiding (overgangsjaar 2009)</t>
  </si>
  <si>
    <t xml:space="preserve">Persoonlijke Verzorging psychosociaal </t>
  </si>
  <si>
    <t xml:space="preserve">Dagactiviteit uitgedrukt in dagdelen </t>
  </si>
  <si>
    <t xml:space="preserve">6.9.1 </t>
  </si>
  <si>
    <t xml:space="preserve">Activerende begeleiding </t>
  </si>
  <si>
    <t>6.4</t>
  </si>
  <si>
    <t xml:space="preserve">6.5 </t>
  </si>
  <si>
    <t>Zuid-Limburg</t>
  </si>
  <si>
    <t>ZPQ741</t>
  </si>
  <si>
    <t>ZPQ740</t>
  </si>
  <si>
    <t>4 ZGaud</t>
  </si>
  <si>
    <t>ZPQ742</t>
  </si>
  <si>
    <t>ZPQ743</t>
  </si>
  <si>
    <t>Reinier van Arkel Groep, loc. 's-Hertogenbosch</t>
  </si>
  <si>
    <t>AMC De Meren</t>
  </si>
  <si>
    <t>*RIAGG GGZ Groep Europoort</t>
  </si>
  <si>
    <t>*PAAZ Wilhelmina Ziekenhuis</t>
  </si>
  <si>
    <t>*PAAZ Deventer Ziekenhuis</t>
  </si>
  <si>
    <t>*PAAZ Westfries Gasthuis</t>
  </si>
  <si>
    <t>*PAAZ Het Groene Hart Ziekenhuis</t>
  </si>
  <si>
    <t>*PAAZ Jeroen Bosch Ziekenhuis</t>
  </si>
  <si>
    <t>*RIBW Flevoland</t>
  </si>
  <si>
    <t>*RIBW GGZ Groep Europoort Istia</t>
  </si>
  <si>
    <t>max. aantal</t>
  </si>
  <si>
    <t>VKN</t>
  </si>
  <si>
    <t>min aantal</t>
  </si>
  <si>
    <t>max aantal</t>
  </si>
  <si>
    <t>RIBW Leger des Heils GGZ Zuidoost Brabant</t>
  </si>
  <si>
    <t>*Vindicta RIBW's</t>
  </si>
  <si>
    <t>Centrum voor Dienstverlening</t>
  </si>
  <si>
    <t>ja</t>
  </si>
  <si>
    <t>Persoonlijke verzorging</t>
  </si>
  <si>
    <t>Verpleging</t>
  </si>
  <si>
    <t>RIBW Leger des Heils GGZ Haaglanden</t>
  </si>
  <si>
    <t>Totaal prestaties Persoonlijke Verzorging psychosociaal (overgangsjaar 2009)</t>
  </si>
  <si>
    <t>Onderdeel 5: Volledig Pakket Thuis</t>
  </si>
  <si>
    <t>Instellingen met nacalculeerbare kapitaalslasten</t>
  </si>
  <si>
    <t>Onderdeel 8 ingevuld</t>
  </si>
  <si>
    <t>Niet bezette bedden volwassenen</t>
  </si>
  <si>
    <t>M2NEMO</t>
  </si>
  <si>
    <t>Waarvan dagen forensische kinderen en jeugdigen</t>
  </si>
  <si>
    <t>2.4.6</t>
  </si>
  <si>
    <t>2.4.7</t>
  </si>
  <si>
    <t>VF11 k/J</t>
  </si>
  <si>
    <t>VF12 K/J</t>
  </si>
  <si>
    <t>VF13 k/J</t>
  </si>
  <si>
    <t>VF14 K/J</t>
  </si>
  <si>
    <t>VF15 K/J</t>
  </si>
  <si>
    <t>VF16 K/J</t>
  </si>
  <si>
    <t>Dagactiviteit uitgedrukt in dagdelen</t>
  </si>
  <si>
    <t>% verdeling</t>
  </si>
  <si>
    <t>BNSGA</t>
  </si>
  <si>
    <t>Bedden en verpleegdagen forensische psychiatrische afdeling / afdeling</t>
  </si>
  <si>
    <t>Niet bezette logeerplaatsen kinderen en jeugd</t>
  </si>
  <si>
    <t>BNKL</t>
  </si>
  <si>
    <t>6.1</t>
  </si>
  <si>
    <t xml:space="preserve">6.2 </t>
  </si>
  <si>
    <t>6.3</t>
  </si>
  <si>
    <t>Persoonlijke Verzorging psychosociaal extra</t>
  </si>
  <si>
    <t>Lentis (vh GGz Groningen)</t>
  </si>
  <si>
    <t>*Dr. S. van Mesdagkliniek</t>
  </si>
  <si>
    <t>*PAAZ Ziekenhuizen Venlo / Venray</t>
  </si>
  <si>
    <t>Cordaan RIBW PC-Hooft</t>
  </si>
  <si>
    <t>SMO Fryslan</t>
  </si>
  <si>
    <t>ZPQ212</t>
  </si>
  <si>
    <t>ZPQ222</t>
  </si>
  <si>
    <t>ZPQ232</t>
  </si>
  <si>
    <t>ZPQ242</t>
  </si>
  <si>
    <t>ZPQ252</t>
  </si>
  <si>
    <t>ZPQ262</t>
  </si>
  <si>
    <t>ZPQ272</t>
  </si>
  <si>
    <t>ZPQ213</t>
  </si>
  <si>
    <t>ZPQ223</t>
  </si>
  <si>
    <t>ZPQ233</t>
  </si>
  <si>
    <t>ZPQ243</t>
  </si>
  <si>
    <t>ZPQ253</t>
  </si>
  <si>
    <t>ZPQ263</t>
  </si>
  <si>
    <t>ZPQ273</t>
  </si>
  <si>
    <t>ZPQ310</t>
  </si>
  <si>
    <t>ZPQ320</t>
  </si>
  <si>
    <t>ZPQ330</t>
  </si>
  <si>
    <t>ZPQ340</t>
  </si>
  <si>
    <t>ZPQ350</t>
  </si>
  <si>
    <t>Totaal prestaties Ondersteunende begeleiding (overgangsjaar 2009)</t>
  </si>
  <si>
    <t>Totaal prestaties Activerende begeleiding (overgangsjaar 2009)</t>
  </si>
  <si>
    <t>Totaal toegelaten plaatsen kleinschalig wonen</t>
  </si>
  <si>
    <t>Totaal toegelaten bedden verslavingszorg</t>
  </si>
  <si>
    <t>Totaal toegelaten bedden kinderen en jeugdigen</t>
  </si>
  <si>
    <t>Totaal toegelaten logeerplaatsen kinderen en jeugdigen</t>
  </si>
  <si>
    <r>
      <t xml:space="preserve">Om vertraging in de verwerking te voorkomen is het van belang dat formulieren juist en volledig worden ingevuld. Ter ondersteuning is daarom op een aantal punten in dit formulier een controle ingebouwd. Onderstaand treft u de controlelijst aan. Indien er op een onderdeel een onjuistheid wordt gesignaleerd dan wordt dat in onderstaande lijst aangegeven met </t>
    </r>
    <r>
      <rPr>
        <b/>
        <sz val="9"/>
        <rFont val="Verdana"/>
        <family val="2"/>
      </rPr>
      <t>fout</t>
    </r>
    <r>
      <rPr>
        <sz val="9"/>
        <rFont val="Verdana"/>
        <family val="2"/>
      </rPr>
      <t>. Zolang er sprake is van een foutmelding wordt dat gemeld op het voorblad in het vak waar de ondertekening moet plaatsvinden.</t>
    </r>
  </si>
  <si>
    <t>Beslag op de contracteerruimten 2009 van het zorgkantoor</t>
  </si>
  <si>
    <t>GGZ-ZORGAANBIEDERS (Psychiatrische ziekenhuizen/RIAGG's/RIBW's/PAAZ-en)</t>
  </si>
  <si>
    <t>(Zorgaanbieders toegelaten tot de functies als bedoeld in de artikelen 6 en 7 en voor zover van toepassing tot de functies 4,5,8 en 9, waarbij verblijf geldt voor verzekerden met een psychiatrische aandoening, van het Besluit Zorgaanspraken AWBZ)</t>
  </si>
  <si>
    <t>Zorgaanbieder tekent voor het budget 2009</t>
  </si>
  <si>
    <t>Zorgkantoor tekent voor het budget 2009</t>
  </si>
  <si>
    <t>U heeft in het werkblad met de naam 'voorblad' het NZa nr. (instellingsnummer) niet ingevuld. Indien sprake is van een nieuwe zorgaanbieder, waarvan het NZa nr. nog niet bekend is, vul dan 9999 in.</t>
  </si>
  <si>
    <t xml:space="preserve">Capaciteitswijzigingen en bijbehorende productie die vanaf 1 januari 2009 ingaan dient u tevens in het mutatieformulier capaciteitswijziging GGZ-AWBZ 2009 in te vullen. </t>
  </si>
  <si>
    <t>2. In dit werkblad treft u de volgende werkbladen aan: Voorblad, foutmeldingen, instructie en Productie. Op het voorblad dient ondertekening plaats te vinden door de  zorgaanbieder en het zorgkantoor. Het beslag op de van de contracteerruimte komt op het voorblad tot uitdrukking. Juist en volledig ingevulde formulieren bespoedigen de afhandeling van de aanvraag en voorkomen misverstanden in de communicatie. Ter ondersteuning zijn daartoe in het formulier het werkblad 'foutmeldingen' en enkele validaties ingebouwd.</t>
  </si>
  <si>
    <t>Voor alle Awbz-sectoren is het mogelijk het formulier elektronisch in te dienen. U kunt uw mail met als bijlage het ingevulde budgetformulier sturen naar:</t>
  </si>
  <si>
    <t>Budgetformulier voor budgetronde van 1 november 2009</t>
  </si>
  <si>
    <t>Capaciteitsmutatieformulier in 2009 (daaronder ook te verstaan nieuwe zorgaanbieder voor verblijf)</t>
  </si>
  <si>
    <r>
      <t xml:space="preserve">NB Het </t>
    </r>
    <r>
      <rPr>
        <b/>
        <u val="single"/>
        <sz val="9"/>
        <rFont val="Verdana"/>
        <family val="2"/>
      </rPr>
      <t>budgetformulier</t>
    </r>
    <r>
      <rPr>
        <b/>
        <sz val="9"/>
        <rFont val="Verdana"/>
        <family val="2"/>
      </rPr>
      <t xml:space="preserve"> wordt gebruikt om het </t>
    </r>
    <r>
      <rPr>
        <b/>
        <u val="single"/>
        <sz val="9"/>
        <rFont val="Verdana"/>
        <family val="2"/>
      </rPr>
      <t>totale (productie)budget</t>
    </r>
    <r>
      <rPr>
        <b/>
        <sz val="9"/>
        <rFont val="Verdana"/>
        <family val="2"/>
      </rPr>
      <t xml:space="preserve"> weer te geven. Ook in de novemberronde (budgetronde 2 van 2009) moeten de </t>
    </r>
    <r>
      <rPr>
        <b/>
        <u val="single"/>
        <sz val="9"/>
        <rFont val="Verdana"/>
        <family val="2"/>
      </rPr>
      <t>eindwaarden</t>
    </r>
    <r>
      <rPr>
        <b/>
        <sz val="9"/>
        <rFont val="Verdana"/>
        <family val="2"/>
      </rPr>
      <t xml:space="preserve"> door de zorgaanbieder opgegeven worden. Alleen bij het capaciteitsmutatieformulier dienen mutaties opgegeven te worden.</t>
    </r>
  </si>
  <si>
    <t>Voor de transitiemiddelen zijn per zorgkantoor beschikbare gelden geoormerkt (geoormerkte contracteerruimte Transitie Experimenten Langdurige Zorg). De geselecteerde zorgaanbieders kunnen hiervoor in het budgetformulier een afspraak maken voor bekostiging van transitieprojecten die door VWS zijn geselecteerd.</t>
  </si>
  <si>
    <r>
      <t xml:space="preserve">In dit onderdeel kunt u de productieafspraken 2009 op </t>
    </r>
    <r>
      <rPr>
        <b/>
        <u val="single"/>
        <sz val="9"/>
        <rFont val="Verdana"/>
        <family val="2"/>
      </rPr>
      <t>kasbasis</t>
    </r>
    <r>
      <rPr>
        <sz val="9"/>
        <rFont val="Verdana"/>
        <family val="2"/>
      </rPr>
      <t xml:space="preserve"> vermelden. De productieafspraken 2009 dienen</t>
    </r>
    <r>
      <rPr>
        <b/>
        <sz val="9"/>
        <rFont val="Verdana"/>
        <family val="2"/>
      </rPr>
      <t xml:space="preserve"> </t>
    </r>
    <r>
      <rPr>
        <b/>
        <u val="single"/>
        <sz val="9"/>
        <rFont val="Verdana"/>
        <family val="2"/>
      </rPr>
      <t>inclusief capaciteitswijzigingen</t>
    </r>
    <r>
      <rPr>
        <sz val="9"/>
        <rFont val="Verdana"/>
        <family val="2"/>
      </rPr>
      <t xml:space="preserve"> (a.g.v. wijziging van de toelating) opgegeven te worden.
Capaciteitswijzigingen (a.g.v. wijziging van de toelating) dienen </t>
    </r>
    <r>
      <rPr>
        <b/>
        <u val="single"/>
        <sz val="9"/>
        <rFont val="Verdana"/>
        <family val="2"/>
      </rPr>
      <t>tevens</t>
    </r>
    <r>
      <rPr>
        <sz val="9"/>
        <rFont val="Verdana"/>
        <family val="2"/>
      </rPr>
      <t xml:space="preserve"> middels het capaciteitsmutatieformulier ingediend te worden. In het capaciteitsmutatieformulier wordt specifiek naar de ingangsdatum van de capaciteitsmutatie gevraagd en wordt het bedrag van de capaciteitsmutatie berekend. De ingangsdatum is van belang voor de doorwerking naar het volgende jaar en het bedrag van de capaciteitsmutatie (2009) is van belang voor de contracteerruimteberekening, zie punt 7. Berekening beslag contracteerruimte 2009 exclusief geoormerkte gelden.</t>
    </r>
  </si>
  <si>
    <t>Hier kan de prijsafspraak (correctiebedrag) op de intramurale zorg vermeld worden.</t>
  </si>
  <si>
    <t>Met ingang van 1 januari 2009 komen de ‘oude’ functies Ondersteunende begeleiding (OB), Activerende begeleiding (AB) en Behandeling (BH) te vervallen. Deze ‘oude’ functies worden vervangen door de nieuwe functies Begeleiding en Behandeling. Voor bestaande indicaties geldt het jaar 2009 als overgangsjaar met als gevolg dat naast de nieuwe prestaties BG, ook productieafspraken kunnen worden gemaakt voor de oude prestaties (OB en AB).</t>
  </si>
  <si>
    <t>In 2007 besloot het kabinet dat de aanspraak OB met grondslag somatisch per 1 januari 2008 niet meer tot de aanspraken AWBZ behoort. De Staatssecretaris heeft dit besluit ingetrokken. Ondersteunende begeleiding op somatische grondslag blijft een aanspraak binnen de AWBZ. Nieuwe cliënten worden geïndiceerd volgens de indicatieregels van de nieuwe functie Begeleiding. Voor deze cliënten kunnen productieafspraken gemaakt worden voor de nieuwe prestaties begeleiding. Voor bestaande cliënten die gebruik maken van het overgangsjaar, kunnen productieafspraken gemaakt worden voor de aparte prestaties OB somatisch tbv het overgangsjaar.</t>
  </si>
  <si>
    <t>dag</t>
  </si>
  <si>
    <t>per uur</t>
  </si>
  <si>
    <t>op jaarbasis</t>
  </si>
  <si>
    <t>Vervoer vg kind emb/gedrag/zwaar (H526, H527, H530)</t>
  </si>
  <si>
    <t>Vervoer ouderen (H113, H172, H173, H531, H532 en H533)</t>
  </si>
  <si>
    <t>BEREKENING BESLAG OP REGULIERE CONTRACTEERRUIMTE 2009</t>
  </si>
  <si>
    <t>incl. voorlopige</t>
  </si>
  <si>
    <t xml:space="preserve"> index 2009</t>
  </si>
  <si>
    <t>GGZ 06-07-2009</t>
  </si>
  <si>
    <t>In 2009 is de Beleidsregel contracteerruimte 2009 van kracht (zie onze circulaire met kenmerk FPOL/ihot/Care/AWBZ/08/29c). In het formulier wordt berekend welk beslag de productieafspraken met de zorgaanbieder op de diverse contracteerruimten hebben.</t>
  </si>
  <si>
    <t>De bedoeling is dat het zorgkantoor productieafspraken 2009 met zorgaanbieders maakt die binnen deze contracteerruimten blijven.</t>
  </si>
  <si>
    <t>Onderdeel 1: Toelating voor functies</t>
  </si>
  <si>
    <t>Bij dit onderdeel vult u alleen de functies in waarvoor u bent toegelaten in 2009. U kunt alleen afspraken maken over prestaties behorende bij een functie waarvoor u bent toegelaten. Afspraken die hier niet aan voldoen kunnen door de NZa niet worden verwerkt.</t>
  </si>
  <si>
    <t>Per 1 januari 2009 worden de ‘oude’ functies Ondersteunende begeleiding, Activerende begeleiding en Behandeling vervangen door de nieuwe functies Begeleiding (BG) en Behandeling (BH). Indien u toegelaten bent voor de nieuwe functie begeleiding, kunt u bij artikel 6 ‘(Ondersteunende) Begeleiding’ aangegeven dat u hiervoor bent toegelaten.</t>
  </si>
  <si>
    <t>Onderdeel 2/3: Capaciteit</t>
  </si>
  <si>
    <r>
      <t>1</t>
    </r>
    <r>
      <rPr>
        <sz val="9"/>
        <rFont val="Verdana"/>
        <family val="2"/>
      </rPr>
      <t xml:space="preserve"> waarvan t.b.v. eigen RIBW cliënten</t>
    </r>
  </si>
  <si>
    <t>toelating bedden verslavingszorg</t>
  </si>
  <si>
    <t>RIBW cliënten</t>
  </si>
  <si>
    <t>INTRAMURAAL</t>
  </si>
  <si>
    <t xml:space="preserve">Totaal </t>
  </si>
  <si>
    <t>RIMO</t>
  </si>
  <si>
    <t>RIBW Leger des Heils GGZ Amsterdam</t>
  </si>
  <si>
    <t>H538</t>
  </si>
  <si>
    <t>88,23</t>
  </si>
  <si>
    <t>52,81</t>
  </si>
  <si>
    <t>97,73</t>
  </si>
  <si>
    <t>142,15</t>
  </si>
  <si>
    <t>184,05</t>
  </si>
  <si>
    <t>13,45</t>
  </si>
  <si>
    <t>246,28</t>
  </si>
  <si>
    <t>187,44</t>
  </si>
  <si>
    <t>286,69</t>
  </si>
  <si>
    <t>243,72</t>
  </si>
  <si>
    <t>310,64</t>
  </si>
  <si>
    <t>296,53</t>
  </si>
  <si>
    <t>22,97</t>
  </si>
  <si>
    <t>8,84</t>
  </si>
  <si>
    <t>68,18</t>
  </si>
  <si>
    <t>34,11</t>
  </si>
  <si>
    <t>77,15</t>
  </si>
  <si>
    <t>106,60</t>
  </si>
  <si>
    <t>VPT</t>
  </si>
  <si>
    <t>RIBW Arnhem &amp; Veluwe Vallei</t>
  </si>
  <si>
    <t>RIBW Nijmegen en Rivierenland</t>
  </si>
  <si>
    <t>*RIBW Amersfoort e.o.</t>
  </si>
  <si>
    <t>SWBU</t>
  </si>
  <si>
    <t>*RIBW Midden West-Utrecht</t>
  </si>
  <si>
    <t>RIBW Gooi en Vechtstreek</t>
  </si>
  <si>
    <t>Prins Claus Centrum (Orbis)</t>
  </si>
  <si>
    <t>Nieuwe Eindhovense Opvang Stichting</t>
  </si>
  <si>
    <t>RIBW Leger des Heils GGZ Apeldoorn/Zutphen</t>
  </si>
  <si>
    <t>Kessler Stichting (RIBW)</t>
  </si>
  <si>
    <t>BESLAG TEN LASTE VAN CONTRACTEERRUIMTEN</t>
  </si>
  <si>
    <t>V24</t>
  </si>
  <si>
    <t>V25</t>
  </si>
  <si>
    <t>VF12</t>
  </si>
  <si>
    <t>VF13</t>
  </si>
  <si>
    <t>VF14</t>
  </si>
  <si>
    <t>VF15</t>
  </si>
  <si>
    <t>VF16</t>
  </si>
  <si>
    <t>VF11</t>
  </si>
  <si>
    <t>Groepsgewijs met beperkte begeleiding</t>
  </si>
  <si>
    <t>For. psych. kliniek t/m 55 bedden</t>
  </si>
  <si>
    <t>For. psych. kliniek vanaf 56 bedden</t>
  </si>
  <si>
    <t>BAD</t>
  </si>
  <si>
    <t>A.1.1</t>
  </si>
  <si>
    <t>VA11</t>
  </si>
  <si>
    <t>VA12</t>
  </si>
  <si>
    <t>VA13</t>
  </si>
  <si>
    <t>VA14</t>
  </si>
  <si>
    <t>VA15</t>
  </si>
  <si>
    <t>VA16</t>
  </si>
  <si>
    <t>VK12</t>
  </si>
  <si>
    <t>VK13</t>
  </si>
  <si>
    <t>VK14</t>
  </si>
  <si>
    <t>VK15</t>
  </si>
  <si>
    <t>VK16</t>
  </si>
  <si>
    <t>VK11</t>
  </si>
  <si>
    <t>V11</t>
  </si>
  <si>
    <t>V12</t>
  </si>
  <si>
    <t>V13</t>
  </si>
  <si>
    <t>V14</t>
  </si>
  <si>
    <t>V21</t>
  </si>
  <si>
    <t>V22</t>
  </si>
  <si>
    <t>V23</t>
  </si>
  <si>
    <t>GGZ West-Brabant</t>
  </si>
  <si>
    <t>GGzE (De Grote Beek)</t>
  </si>
  <si>
    <t>VZ24</t>
  </si>
  <si>
    <t>Nieuwe aanbieder</t>
  </si>
  <si>
    <t>Verpleging: AIV</t>
  </si>
  <si>
    <t>H140</t>
  </si>
  <si>
    <t>Behandeling basis zg</t>
  </si>
  <si>
    <t>Bascule</t>
  </si>
  <si>
    <t>H126</t>
  </si>
  <si>
    <t>F053</t>
  </si>
  <si>
    <t>F054</t>
  </si>
  <si>
    <t>F055</t>
  </si>
  <si>
    <t>Zorgkantoor</t>
  </si>
  <si>
    <t>Plaats</t>
  </si>
  <si>
    <t>Contactpersoon</t>
  </si>
  <si>
    <t>Telefoon</t>
  </si>
  <si>
    <t>E-mail</t>
  </si>
  <si>
    <t>TOELICHTING / INVULINSTRUCTIE</t>
  </si>
  <si>
    <t xml:space="preserve">2. </t>
  </si>
  <si>
    <t>Volksbond Amsterdam</t>
  </si>
  <si>
    <t>Noord-Holland Noord</t>
  </si>
  <si>
    <t>Zuid-Holland Noord</t>
  </si>
  <si>
    <t>Wooncentrum Lupinehof</t>
  </si>
  <si>
    <t>RIBW Leger des Heils GGZ Zwolle</t>
  </si>
  <si>
    <t>RIBW Leger des Heils GGZ Amstelland en de Meerland</t>
  </si>
  <si>
    <t>A</t>
  </si>
  <si>
    <t>VZ2.1</t>
  </si>
  <si>
    <t>VZ2.2</t>
  </si>
  <si>
    <t>VZ2.3</t>
  </si>
  <si>
    <t>VZ2.4</t>
  </si>
  <si>
    <t>norm. m2</t>
  </si>
  <si>
    <t>F080</t>
  </si>
  <si>
    <t>Individueel met volledige begeleiding</t>
  </si>
  <si>
    <t>Continue tot zeer intensieve begeleiding</t>
  </si>
  <si>
    <t>Crisisinterventie</t>
  </si>
  <si>
    <t>Beperkte tot volledige begeleiding</t>
  </si>
  <si>
    <t>Continue tot zeer intensieve bescherming</t>
  </si>
  <si>
    <t>controlegetal</t>
  </si>
  <si>
    <t>R.M.P.I.</t>
  </si>
  <si>
    <t>Systeemdatum</t>
  </si>
  <si>
    <t>De Rigg-ting</t>
  </si>
  <si>
    <t>Dagactiviteit vg extra</t>
  </si>
  <si>
    <t>Dagactiviteit vg kind</t>
  </si>
  <si>
    <t>Dagactiviteit jlvg</t>
  </si>
  <si>
    <t>Dagactiviteit vg kind gedrag</t>
  </si>
  <si>
    <t>Dagactiviteit zg</t>
  </si>
  <si>
    <t>H620</t>
  </si>
  <si>
    <t>H621</t>
  </si>
  <si>
    <t>H622</t>
  </si>
  <si>
    <t>H628</t>
  </si>
  <si>
    <t>H624</t>
  </si>
  <si>
    <t>H128</t>
  </si>
  <si>
    <t>H106</t>
  </si>
  <si>
    <t>H114</t>
  </si>
  <si>
    <t>H142</t>
  </si>
  <si>
    <t>H143</t>
  </si>
  <si>
    <t>H109</t>
  </si>
  <si>
    <t>H701</t>
  </si>
  <si>
    <t>H702</t>
  </si>
  <si>
    <t>H703</t>
  </si>
  <si>
    <t>H110</t>
  </si>
  <si>
    <t>Afspraken ten laste van de contracteerruimte Zorgzwaarte bij AWBZ-zorgaanbieders (gehandicaptenzorg)</t>
  </si>
  <si>
    <t>Grondslag somatisch</t>
  </si>
  <si>
    <t>Grondslag psychosociaal</t>
  </si>
  <si>
    <t xml:space="preserve">Per 1 januari 2009 behoort de grondslag psychosociaal niet meer tot de AWBZ-aanspraken. Voor het overgangsjaar 2009, zijn er drie aparte prestaties PV en Dagactiviteiten met een psychosociale grondslag opgenomen. </t>
  </si>
  <si>
    <t>Onderdeel 7: Berekening beslag contracteerruimte 2009 exclusief geoormerkte gelden</t>
  </si>
  <si>
    <t xml:space="preserve">In dit onderdeel wordt het beslag op de contracteerruimte 2009 exclusief geoormerkte gelden berekend. </t>
  </si>
  <si>
    <t>*GGZ-groep Noord- en Midden-Limburg</t>
  </si>
  <si>
    <t>Lindenhout</t>
  </si>
  <si>
    <t>*) materiele kosten zijn inclusief onderhoud</t>
  </si>
  <si>
    <t>Uitleen anti-decubitus matrassen, statisch</t>
  </si>
  <si>
    <t>7 VV</t>
  </si>
  <si>
    <t>8 VV</t>
  </si>
  <si>
    <t>9 VV</t>
  </si>
  <si>
    <t>10 VV</t>
  </si>
  <si>
    <t>1 VG</t>
  </si>
  <si>
    <t>2 VG</t>
  </si>
  <si>
    <t>3 VG</t>
  </si>
  <si>
    <t>4 VG</t>
  </si>
  <si>
    <t>5 VG</t>
  </si>
  <si>
    <t>6 VG</t>
  </si>
  <si>
    <t>7 VG</t>
  </si>
  <si>
    <t>1 LVG</t>
  </si>
  <si>
    <t>2 LVG</t>
  </si>
  <si>
    <t>3 LVG</t>
  </si>
  <si>
    <t>4 LVG</t>
  </si>
  <si>
    <t>5 LVG</t>
  </si>
  <si>
    <t>1 LG</t>
  </si>
  <si>
    <t>2 LG</t>
  </si>
  <si>
    <t>3 LG</t>
  </si>
  <si>
    <t>4 LG</t>
  </si>
  <si>
    <t>5 LG</t>
  </si>
  <si>
    <t>6 LG</t>
  </si>
  <si>
    <t>7 LG</t>
  </si>
  <si>
    <t>1 ZGaud</t>
  </si>
  <si>
    <t>2 ZGaud</t>
  </si>
  <si>
    <t>3 ZGaud</t>
  </si>
  <si>
    <t>*RIAGG Midden-Holland</t>
  </si>
  <si>
    <t>Loon + materieel</t>
  </si>
  <si>
    <t>Universitaire en Alg. KJP Nrd-Ned.</t>
  </si>
  <si>
    <t>Totaal prestaties Uitleen van verpleegartikelen</t>
  </si>
  <si>
    <t>Totaal prestaties GGZ</t>
  </si>
  <si>
    <t>PQH170</t>
  </si>
  <si>
    <t>PH170</t>
  </si>
  <si>
    <t>PQH538</t>
  </si>
  <si>
    <t xml:space="preserve">PH538 </t>
  </si>
  <si>
    <t>AVR</t>
  </si>
  <si>
    <t>2009-2</t>
  </si>
  <si>
    <t>Versiedatum</t>
  </si>
  <si>
    <t>Controlegetal</t>
  </si>
  <si>
    <t>regio invullen</t>
  </si>
  <si>
    <t>Nieuwe Waterweg-Noord</t>
  </si>
  <si>
    <t>(handtekening)</t>
  </si>
  <si>
    <t>Totaal beslag op de contracteerruimten 2009</t>
  </si>
  <si>
    <t>Mogelijk?</t>
  </si>
  <si>
    <t>Bedrag:</t>
  </si>
  <si>
    <t>Huidige instelling</t>
  </si>
  <si>
    <t>Instellingen die transitiemiddelen mogen afspreken</t>
  </si>
  <si>
    <t>Totaal prestaties Behandeling</t>
  </si>
  <si>
    <t>Eenheid</t>
  </si>
  <si>
    <t>Afgesproken</t>
  </si>
  <si>
    <t>Beleidsregelwaarden</t>
  </si>
  <si>
    <t>per</t>
  </si>
  <si>
    <t>mogelijk ?</t>
  </si>
  <si>
    <t>prijs (in €)</t>
  </si>
  <si>
    <t>BUDGET 2009</t>
  </si>
  <si>
    <t>*450 PAAZ Militair Hospitaal</t>
  </si>
  <si>
    <t>*450 PAAZ Ziekenhuis Nij Smellinghe</t>
  </si>
  <si>
    <t>*450 PAAZ De Tjongerschans</t>
  </si>
  <si>
    <t>*450 PAAZ Antonius Ziekenhuis</t>
  </si>
  <si>
    <t>*450 PAAZ MCL/Oranjeoord</t>
  </si>
  <si>
    <t>*450 PAAZ Streekzkh Coevorden-Hardenberg</t>
  </si>
  <si>
    <t>*450 PAAZ Diaconessenhuis Meppel</t>
  </si>
  <si>
    <t>*450 PAAZ Isala Klinieken</t>
  </si>
  <si>
    <t>*450 PAAZ IJsselmeer Ziekenhuizen</t>
  </si>
  <si>
    <t>*450 PAAZ Streekziekenhuis Midden-Twente</t>
  </si>
  <si>
    <t>*450 PAAZ Twenteborg Ziekenhuis</t>
  </si>
  <si>
    <t>*450 PAAZ Medisch Spectrum Twente</t>
  </si>
  <si>
    <t>*450 PAAZ Gelre Ziekenhuizen</t>
  </si>
  <si>
    <t>*PAAZ Slingeland Ziekenhuis</t>
  </si>
  <si>
    <t>GGZ VPT 43</t>
  </si>
  <si>
    <t>Uitleen anti-decubitus matrassen, licht dynamisch</t>
  </si>
  <si>
    <t>Uitleen anti-decubitus matrassen, sterk dynamisch</t>
  </si>
  <si>
    <t>GGZ-groep Noord- en Midden-Limburg</t>
  </si>
  <si>
    <t>Woonzorgnet</t>
  </si>
  <si>
    <t>Verzorgingsdagen kleinschalig wonen</t>
  </si>
  <si>
    <t>*Het Hooghuys</t>
  </si>
  <si>
    <t>Dagen intensieve behandelingen</t>
  </si>
  <si>
    <t xml:space="preserve">       </t>
  </si>
  <si>
    <t>NORMATIEVE METERS ENERGIEKOSTEN</t>
  </si>
  <si>
    <t>Bedden en plaatsen</t>
  </si>
  <si>
    <t>Behandeling basis sglvg deeltijd</t>
  </si>
  <si>
    <t>H113</t>
  </si>
  <si>
    <t>H172</t>
  </si>
  <si>
    <t>H518</t>
  </si>
  <si>
    <t>H519</t>
  </si>
  <si>
    <t>H520</t>
  </si>
  <si>
    <t>H521</t>
  </si>
  <si>
    <t>H525</t>
  </si>
  <si>
    <t>H526</t>
  </si>
  <si>
    <t>H527</t>
  </si>
  <si>
    <t>H523</t>
  </si>
  <si>
    <t>Dagactiviteit lg</t>
  </si>
  <si>
    <t>*RIAGG Veluwe-Vallei</t>
  </si>
  <si>
    <t>Zonnehuizen Kind en Jeugd (Veldheim/Stenia)</t>
  </si>
  <si>
    <t>*Crisisinterventiecentrum</t>
  </si>
  <si>
    <t>RIBW Leger des Heils GGZ Kennemerland</t>
  </si>
  <si>
    <t>RIBW Leger des Heils GGZ Utrecht</t>
  </si>
  <si>
    <t>RIBW Leger des Heils GGZ Flevoland</t>
  </si>
  <si>
    <t>id</t>
  </si>
  <si>
    <t>nr</t>
  </si>
  <si>
    <t>cc_code</t>
  </si>
  <si>
    <t>mw_code</t>
  </si>
  <si>
    <t>naam rekenstaat</t>
  </si>
  <si>
    <t>zf.fonds_1</t>
  </si>
  <si>
    <t>GGNet</t>
  </si>
  <si>
    <t>De Gelderse Roos</t>
  </si>
  <si>
    <t>GGZ Nijmegen</t>
  </si>
  <si>
    <t>Symfora Groep</t>
  </si>
  <si>
    <t>Meerkanten</t>
  </si>
  <si>
    <t>Altrecht</t>
  </si>
  <si>
    <t>Eleos</t>
  </si>
  <si>
    <t>PVZK25</t>
  </si>
  <si>
    <t>PGLK25</t>
  </si>
  <si>
    <t>PILK25</t>
  </si>
  <si>
    <t>De werkbladen zijn met een wachtwoord beveiligd. Indien u een onjuistheid ontdekt, verzoeken wij u dit via e-mail aan de NZa door te geven (care@nza.nl). Alle in te vullen velden/werkbladen zijn NZa-blauw gearceerd.</t>
  </si>
  <si>
    <t>vervaldatum dit formulier</t>
  </si>
  <si>
    <t>(foutmelding)</t>
  </si>
  <si>
    <t>OVERZICHT VAN DE FOUTMELDINGEN</t>
  </si>
  <si>
    <t>Controlelijst:</t>
  </si>
  <si>
    <t>Toeslag dagbesteding GHZ kind - midden</t>
  </si>
  <si>
    <t>Toeslag dagbesteding GHZ kind - zwaar</t>
  </si>
  <si>
    <t>Mutatiedag (V&amp;V), niet toegelaten voor behandeling</t>
  </si>
  <si>
    <t>Mutatiedag (V&amp;V), toegelaten voor behandeling</t>
  </si>
  <si>
    <t>1SGLVG</t>
  </si>
  <si>
    <t>ZPQ572</t>
  </si>
  <si>
    <t>ZPQ570</t>
  </si>
  <si>
    <t>ZPQ571</t>
  </si>
  <si>
    <t>ZPQ512</t>
  </si>
  <si>
    <t>ZPQ510</t>
  </si>
  <si>
    <t>ZPQ511</t>
  </si>
  <si>
    <t>ZPQ522</t>
  </si>
  <si>
    <t>ZPQ520</t>
  </si>
  <si>
    <t>ZPQ521</t>
  </si>
  <si>
    <t>Intramurale individuele prijsafspraak</t>
  </si>
  <si>
    <t>De Grote Rivieren</t>
  </si>
  <si>
    <t>GGZ regio Breda</t>
  </si>
  <si>
    <t>GGZ Midden-Brabant</t>
  </si>
  <si>
    <t>H144</t>
  </si>
  <si>
    <t>Zeer intensief met (beperkte) begeleiding</t>
  </si>
  <si>
    <t>Herstellingsoord</t>
  </si>
  <si>
    <t>Resocialisatie FPA</t>
  </si>
  <si>
    <t>Behandeling FPA</t>
  </si>
  <si>
    <t>(Ondersteunende) begeleiding</t>
  </si>
  <si>
    <t>H166</t>
  </si>
  <si>
    <t>H167</t>
  </si>
  <si>
    <t>Totaal prestaties Dagactiviteit (overgangsjaar 2009)</t>
  </si>
  <si>
    <t>SCHRIJFRANGE - KOLOM DATABASE BLAD 2</t>
  </si>
  <si>
    <t>De vervaldatum van dit formulier is verstreken. Voor het doorgeven van gegevens verzoeken wij u een nieuw formulier van de website van NZa te downloaden.</t>
  </si>
  <si>
    <t>Niet bezette bedden psychiatrische afdeling</t>
  </si>
  <si>
    <t>Bedden forensische psychiatrische afdeling</t>
  </si>
  <si>
    <t>BNFO</t>
  </si>
  <si>
    <t>BNFG</t>
  </si>
  <si>
    <t>VKF11</t>
  </si>
  <si>
    <t>VKF12</t>
  </si>
  <si>
    <t>VKF13</t>
  </si>
  <si>
    <t>VKF14</t>
  </si>
  <si>
    <t>VKF15</t>
  </si>
  <si>
    <t>VKF16</t>
  </si>
  <si>
    <t>Er zijn enkele wijzigingen voor de extramurale zorg 2009 ten opzicht van het jaar 2008.</t>
  </si>
  <si>
    <t>Nieuwe functies Begeleiding en Behandeling</t>
  </si>
  <si>
    <t>Dagactiviteit psychosociaal (jlvg)</t>
  </si>
  <si>
    <t xml:space="preserve">Vervoer dagactiviteit vg basis (H519/H525/H535/H538) </t>
  </si>
  <si>
    <t>Totaal prestaties reiskosten ten behoeve van cliënten</t>
  </si>
  <si>
    <t>Justitie: Strafrechtelijke for. psych. kliniek t/m 55 bedden</t>
  </si>
  <si>
    <t>Justitie: Strafrechtelijke for. psych. kliniek vanaf 56 bedden</t>
  </si>
  <si>
    <t>Justitie: Strafrechtelijke forensisch psychiatrische afdeling</t>
  </si>
  <si>
    <t>Bedden forensische afdeling 2009</t>
  </si>
  <si>
    <t>Bedden forensische kliniek 2009</t>
  </si>
  <si>
    <t>Traverse</t>
  </si>
  <si>
    <t>Incl. voorl. index 2008</t>
  </si>
  <si>
    <t>Begeleiding speciaal 1 (nah)</t>
  </si>
  <si>
    <t>Begeleiding speciaal 2 (zg)</t>
  </si>
  <si>
    <t>Gespecialiseerde begeleiding (psy)</t>
  </si>
  <si>
    <t>H162</t>
  </si>
  <si>
    <t>H163</t>
  </si>
  <si>
    <t>Activerende begeleiding speciaal 1 (j(l)vg)</t>
  </si>
  <si>
    <t>Activerende begeleiding speciaal 2 (j(l)vg)</t>
  </si>
  <si>
    <t>Activerende begeleiding speciaal 3 (zg)</t>
  </si>
  <si>
    <t>Dagactiviteit basis</t>
  </si>
  <si>
    <t>Dagactiviteit som</t>
  </si>
  <si>
    <t>Dagactiviteit pg</t>
  </si>
  <si>
    <t>Dagactiviteit vg</t>
  </si>
  <si>
    <t>H530</t>
  </si>
  <si>
    <t>Inloopfunctie</t>
  </si>
  <si>
    <t>Correctie intramurale zorg in verband met prijsafspraak</t>
  </si>
  <si>
    <t>1B GGZ</t>
  </si>
  <si>
    <t>2B GGZ</t>
  </si>
  <si>
    <t>3B GGZ</t>
  </si>
  <si>
    <t>4B GGZ</t>
  </si>
  <si>
    <t>5B GGZ</t>
  </si>
  <si>
    <t>6B GGZ</t>
  </si>
  <si>
    <t>7B GGZ</t>
  </si>
  <si>
    <t>1C GGZ</t>
  </si>
  <si>
    <t>2C GGZ</t>
  </si>
  <si>
    <t>3C GGZ</t>
  </si>
  <si>
    <t>4C GGZ</t>
  </si>
  <si>
    <t>5C GGZ</t>
  </si>
  <si>
    <t>6C GGZ</t>
  </si>
  <si>
    <t>V&amp;V</t>
  </si>
  <si>
    <t>GGZ</t>
  </si>
  <si>
    <t>GHZ</t>
  </si>
  <si>
    <t>Tarieven</t>
  </si>
  <si>
    <t>5 ZGvis</t>
  </si>
  <si>
    <t>Pagina 9</t>
  </si>
  <si>
    <t>PAAZ Streekzkh. Koningin Beatrix</t>
  </si>
  <si>
    <t>*APZ De Gelderse Roos</t>
  </si>
  <si>
    <t>*De Argonaut</t>
  </si>
  <si>
    <t>*RIAGG Noord-Limburg</t>
  </si>
  <si>
    <t>Verslavingszorg Noord Nederland</t>
  </si>
  <si>
    <t>Niet bezette bedden verslavingszorg</t>
  </si>
  <si>
    <t>Niet bezette bedden kinderen en jeugd</t>
  </si>
  <si>
    <t>Naam ZK</t>
  </si>
  <si>
    <t>Plaats ZK</t>
  </si>
  <si>
    <t>Contactpersoon ZK</t>
  </si>
  <si>
    <t>Telefoon ZK</t>
  </si>
  <si>
    <t>E-mail ZK</t>
  </si>
  <si>
    <t>Transitie Experimenten</t>
  </si>
  <si>
    <t>TOELATINGEN</t>
  </si>
  <si>
    <t>VERSLAVINGSZORG</t>
  </si>
  <si>
    <t>KINDEREN EN JEUGD</t>
  </si>
  <si>
    <t>BED ZIZ</t>
  </si>
  <si>
    <t>BED BOPZ</t>
  </si>
  <si>
    <t>BED overig</t>
  </si>
  <si>
    <t>Niet bezette bed</t>
  </si>
  <si>
    <t xml:space="preserve">Logeerplaatsen </t>
  </si>
  <si>
    <t>Niet bezette logeerplaatsen</t>
  </si>
  <si>
    <t>Niet bezet</t>
  </si>
  <si>
    <t xml:space="preserve">VOLWASSENEN OVERIG </t>
  </si>
  <si>
    <t>Niet bezette bedden</t>
  </si>
  <si>
    <t>Toelating niet bezette bedden</t>
  </si>
  <si>
    <t>toelating forensische afdeling</t>
  </si>
  <si>
    <t>toelating psychiatrische kliniek &lt;=55</t>
  </si>
  <si>
    <t>toelating psychiatrische kliniek &gt;=56</t>
  </si>
  <si>
    <t>FORENSISCHE PSYCHIATRIE</t>
  </si>
  <si>
    <t>K/J</t>
  </si>
  <si>
    <t>Afwezig F054</t>
  </si>
  <si>
    <t>Afwezig F053</t>
  </si>
  <si>
    <t>Afwezig K/J</t>
  </si>
  <si>
    <t>Toelating KIB</t>
  </si>
  <si>
    <t>KSW</t>
  </si>
  <si>
    <t>EXTRAMURAAl</t>
  </si>
  <si>
    <t>PQH166</t>
  </si>
  <si>
    <t>PQH167</t>
  </si>
  <si>
    <t xml:space="preserve">VOORLOPIGE KAPITAALLASTEN </t>
  </si>
  <si>
    <t xml:space="preserve">Rentekosten </t>
  </si>
  <si>
    <t>Geïndexeerde huur</t>
  </si>
  <si>
    <t>Niet geïndexeerde huur</t>
  </si>
  <si>
    <t xml:space="preserve">Voorl. </t>
  </si>
  <si>
    <t>Doorberekende kap. Lasten</t>
  </si>
  <si>
    <t>Verwacht 2008</t>
  </si>
  <si>
    <t>Verwacht 2009</t>
  </si>
  <si>
    <t>INSTANDHOUDINGSINVESTERINGEN</t>
  </si>
  <si>
    <t>ENERGIEKOSTEN</t>
  </si>
  <si>
    <t>Justitie; t/m 55 bedden</t>
  </si>
  <si>
    <t>Justitie; Vanaf  56 bedden</t>
  </si>
  <si>
    <t>Justitie; forensische psychiatrie</t>
  </si>
  <si>
    <t>*Rosenburg</t>
  </si>
  <si>
    <t>*Rijngeest groep</t>
  </si>
  <si>
    <t>EWAE</t>
  </si>
  <si>
    <t>BFK</t>
  </si>
  <si>
    <t>*Delta Psychiatrisch Ziekenhuis</t>
  </si>
  <si>
    <t>Instituut Sint Marie</t>
  </si>
  <si>
    <t>De Jutters</t>
  </si>
  <si>
    <t>Dagen verslavingszorg</t>
  </si>
  <si>
    <t>Dagen kinderen en jeugd</t>
  </si>
  <si>
    <t>Dagen volwassenen en ouderen</t>
  </si>
  <si>
    <t>Dagen forensisch</t>
  </si>
  <si>
    <t>*Willem Arntsz Hoeve</t>
  </si>
  <si>
    <t>*Willem Arntsz Huis</t>
  </si>
  <si>
    <t>*Het Christelijk Sanatorium</t>
  </si>
  <si>
    <t>Novadic-Kentron</t>
  </si>
  <si>
    <t>Sinai-Kliniek</t>
  </si>
  <si>
    <t>*PZ Duin en Bosch</t>
  </si>
  <si>
    <t>n.v.t.</t>
  </si>
  <si>
    <t>Stabilisatie met (beperkte) begeleiding</t>
  </si>
  <si>
    <t>Stabilisatie met (intensieve) bescherming</t>
  </si>
  <si>
    <t>Toeslag categorie 2</t>
  </si>
  <si>
    <t>AGRT</t>
  </si>
  <si>
    <t>*RIAGG Zaanstreek/Waterland</t>
  </si>
  <si>
    <t>Behandeling paramedisch</t>
  </si>
  <si>
    <t>*Novadic</t>
  </si>
  <si>
    <t>*Kentron</t>
  </si>
  <si>
    <t>*Arta</t>
  </si>
  <si>
    <t>*APZ-Zuid-Oost Friesland</t>
  </si>
  <si>
    <t>Individueel verblijf licht *)</t>
  </si>
  <si>
    <t>Kleinschalig groepsverblijf licht *)</t>
  </si>
  <si>
    <t>Uitleen</t>
  </si>
  <si>
    <t>Transport</t>
  </si>
  <si>
    <t>Logeerplaatsen Kinderen en jeugd</t>
  </si>
  <si>
    <t>Afspraken logeerplaatsen kinderen en jeugd 2009</t>
  </si>
  <si>
    <t>2.2.2</t>
  </si>
  <si>
    <t>Totaal toegelaten bedden volwassenen</t>
  </si>
  <si>
    <t>Totaal toegelaten bedden KIB</t>
  </si>
  <si>
    <t>2.1.2</t>
  </si>
  <si>
    <t>2.3.2</t>
  </si>
  <si>
    <t>2.4.2</t>
  </si>
  <si>
    <t>2.5.2</t>
  </si>
  <si>
    <t>Totaal toegelaten bedden forensische afdeling (open)</t>
  </si>
  <si>
    <t>Niet bezette bedden forensische psychiatrische afdeling (open)</t>
  </si>
  <si>
    <t>Niet bezette bedden forensische kliniek</t>
  </si>
  <si>
    <t>Totaal toegelaten bedden forensische kliniek</t>
  </si>
  <si>
    <t>Pagina 11</t>
  </si>
  <si>
    <t>Afschrijvingskosten</t>
  </si>
  <si>
    <t>Pagina 1</t>
  </si>
  <si>
    <t>Pagina 2</t>
  </si>
  <si>
    <t>Pagina 3</t>
  </si>
  <si>
    <t>Pagina 4</t>
  </si>
  <si>
    <t>Pagina 5</t>
  </si>
  <si>
    <t>Pagina 6</t>
  </si>
  <si>
    <t>Pagina 7</t>
  </si>
  <si>
    <t>Pagina 8</t>
  </si>
  <si>
    <t>Pagina 10</t>
  </si>
  <si>
    <t>Pagina 12</t>
  </si>
  <si>
    <t xml:space="preserve">3. </t>
  </si>
  <si>
    <t>3.1</t>
  </si>
  <si>
    <t>6.</t>
  </si>
  <si>
    <t>7.</t>
  </si>
  <si>
    <t>2.1.1</t>
  </si>
  <si>
    <t>2.1.3</t>
  </si>
  <si>
    <t xml:space="preserve">2.1 </t>
  </si>
  <si>
    <t>Bedden en verpleegdagen verslavingszorg</t>
  </si>
  <si>
    <t>Bedden en verpleegdagen verslavingszorg kinderen en jeugd</t>
  </si>
  <si>
    <t>2.2.1</t>
  </si>
  <si>
    <t>2.2.3</t>
  </si>
  <si>
    <t>2.2.4</t>
  </si>
  <si>
    <t>2.2.5</t>
  </si>
  <si>
    <t>2.3.1</t>
  </si>
  <si>
    <t>2.3.3</t>
  </si>
  <si>
    <t>2.4</t>
  </si>
  <si>
    <t>2.4.1</t>
  </si>
  <si>
    <t>2.4.3</t>
  </si>
  <si>
    <t>2.4.4</t>
  </si>
  <si>
    <t>2.4.5</t>
  </si>
  <si>
    <t>Long stay (basis) FPK</t>
  </si>
  <si>
    <t>Long stay (intensief) FPK</t>
  </si>
  <si>
    <t>Resocialisatie FPK</t>
  </si>
  <si>
    <t>Behandeling FPK</t>
  </si>
  <si>
    <t>Overige bedden kinderen en jeugd</t>
  </si>
  <si>
    <t>Bedden volwassenen (overige)</t>
  </si>
  <si>
    <t>*Wolfheze</t>
  </si>
  <si>
    <t>*Dennenoord</t>
  </si>
  <si>
    <t>GGZ Oost-Brabant</t>
  </si>
  <si>
    <t>Adhesie</t>
  </si>
  <si>
    <t>Groepsgewijs met volledige begeleiding</t>
  </si>
  <si>
    <t>Individueel met beperkte begeleiding</t>
  </si>
  <si>
    <t>Overige bedden k/j</t>
  </si>
  <si>
    <t>ZIZ-bedden k/j</t>
  </si>
  <si>
    <t>BOPZ-bedden k/j</t>
  </si>
  <si>
    <t>Bed volw. (overig)</t>
  </si>
  <si>
    <t>For. psych. afd.</t>
  </si>
  <si>
    <t>KIB</t>
  </si>
  <si>
    <t>For. kliniek t/m 55 bed</t>
  </si>
  <si>
    <t>For. kliniek vanaf 56 bedden</t>
  </si>
  <si>
    <t>Volledig pakket thuis</t>
  </si>
  <si>
    <t>K.1.7</t>
  </si>
  <si>
    <t>VK17</t>
  </si>
  <si>
    <t>Logeerdagen</t>
  </si>
  <si>
    <t>*RIAGG Oost-Gelderland</t>
  </si>
  <si>
    <t>RIBW Twente</t>
  </si>
  <si>
    <t>RIBW Oost-Veluwe</t>
  </si>
  <si>
    <t>RIBW Fonteynenburg</t>
  </si>
  <si>
    <t>De Hoop</t>
  </si>
  <si>
    <t>*Universitair Centrum KJP Groningen</t>
  </si>
  <si>
    <t>Dr. Henri van der Hoevenkliniek</t>
  </si>
  <si>
    <t>RIBW Flevobolder</t>
  </si>
  <si>
    <t>PBAN</t>
  </si>
  <si>
    <t>per bed</t>
  </si>
  <si>
    <t>*LOCM</t>
  </si>
  <si>
    <t>*RIAGG Midden-Kennemerland</t>
  </si>
  <si>
    <t>Jellinek Centrum</t>
  </si>
  <si>
    <t>*Centrum Zeestraat</t>
  </si>
  <si>
    <t>*Bouman verslavingszorg</t>
  </si>
  <si>
    <t>F125</t>
  </si>
  <si>
    <t>Dr. Leo Kannerhuis</t>
  </si>
  <si>
    <t>D</t>
  </si>
  <si>
    <t>*APZ-Drenthe, locatie Beilen</t>
  </si>
  <si>
    <t>Spatie</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</si>
</sst>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fl&quot;\ * #,##0_-;_-&quot;fl&quot;\ * #,##0\-;_-&quot;fl&quot;\ * &quot;-&quot;_-;_-@_-"/>
    <numFmt numFmtId="173" formatCode="_-&quot;fl&quot;\ * #,##0.00_-;_-&quot;fl&quot;\ * #,##0.00\-;_-&quot;fl&quot;\ * &quot;-&quot;??_-;_-@_-"/>
    <numFmt numFmtId="174" formatCode="\ \ƒ* #,##0_ \ ;\ \ƒ* ;\ \ƒ* "/>
    <numFmt numFmtId="175" formatCode="&quot;F&quot;\ #,##0_-;&quot;F&quot;\ #,##0\-"/>
    <numFmt numFmtId="176" formatCode="#,##0.0"/>
    <numFmt numFmtId="177" formatCode="0.0"/>
    <numFmt numFmtId="178" formatCode="#,##0_ ;\(#,##0\);"/>
    <numFmt numFmtId="179" formatCode="#,##0.00_ ;\(#,##0.00\);"/>
    <numFmt numFmtId="180" formatCode="d/mm/yy;@"/>
    <numFmt numFmtId="181" formatCode="#,##0_ \ ;\(#,##0\)_ ;"/>
    <numFmt numFmtId="182" formatCode="dd/mm/yy;@"/>
    <numFmt numFmtId="183" formatCode="_-* #,##0.0000_-;_-* #,##0.0000\-;_-* &quot;-&quot;??_-;_-@_-"/>
    <numFmt numFmtId="184" formatCode="_-&quot;€&quot;\ * #,##0_-;_-&quot;€&quot;\ * #,##0\-;_-@_-"/>
    <numFmt numFmtId="185" formatCode="dd/mm/yyyy"/>
    <numFmt numFmtId="186" formatCode="0.0%"/>
    <numFmt numFmtId="187" formatCode="#,##0_ ;\(#,##0.0\);"/>
    <numFmt numFmtId="188" formatCode="&quot;€&quot;\ #,##0_-"/>
    <numFmt numFmtId="189" formatCode="#,##0.00_ ;\-#,##0.00\ "/>
    <numFmt numFmtId="190" formatCode="&quot;€&quot;\ #,##0.00"/>
    <numFmt numFmtId="191" formatCode="_-* #,##0.00_-;_-* #,##0.00\-;_-* &quot;-&quot;_-;_-@_-"/>
    <numFmt numFmtId="192" formatCode="_(&quot;€&quot;\ * #,##0.00_);_(&quot;€&quot;\ * \(#,##0.00\);_(&quot;€&quot;\ * &quot;-&quot;_);_(@_)"/>
    <numFmt numFmtId="193" formatCode="###0_-;###0\-"/>
    <numFmt numFmtId="194" formatCode="d\ mmmm\ yyyy"/>
    <numFmt numFmtId="195" formatCode="dd/mm/yy"/>
    <numFmt numFmtId="196" formatCode="#,##0.00_-"/>
    <numFmt numFmtId="197" formatCode="_-[$€-2]\ * #,##0.00_-;_-[$€-2]\ * #,##0.00\-;_-[$€-2]\ * &quot;-&quot;??_-"/>
    <numFmt numFmtId="198" formatCode="\ƒ* #,##0_ ;\ƒ* \(#,##0\);\ƒ* \ "/>
    <numFmt numFmtId="199" formatCode="[$-413]dddd\ d\ mmmm\ yyyy"/>
    <numFmt numFmtId="200" formatCode="[$-413]d\ mmmm\ yyyy;@"/>
    <numFmt numFmtId="201" formatCode="&quot;Ja&quot;;&quot;Ja&quot;;&quot;Nee&quot;"/>
    <numFmt numFmtId="202" formatCode="&quot;Waar&quot;;&quot;Waar&quot;;&quot;Niet waar&quot;"/>
    <numFmt numFmtId="203" formatCode="&quot;Aan&quot;;&quot;Aan&quot;;&quot;Uit&quot;"/>
    <numFmt numFmtId="204" formatCode="[$€-2]\ #.##000_);[Red]\([$€-2]\ #.##000\)"/>
    <numFmt numFmtId="205" formatCode="#,##0_ ;\-#,##0\ "/>
  </numFmts>
  <fonts count="38">
    <font>
      <sz val="10"/>
      <name val="Arial"/>
      <family val="0"/>
    </font>
    <font>
      <sz val="8"/>
      <name val="Tahoma"/>
      <family val="2"/>
    </font>
    <font>
      <sz val="9"/>
      <name val="Arial"/>
      <family val="2"/>
    </font>
    <font>
      <b/>
      <sz val="9"/>
      <name val="Arial"/>
      <family val="2"/>
    </font>
    <font>
      <sz val="8"/>
      <name val="Helv"/>
      <family val="0"/>
    </font>
    <font>
      <b/>
      <sz val="14"/>
      <name val="Helv"/>
      <family val="0"/>
    </font>
    <font>
      <sz val="24"/>
      <color indexed="13"/>
      <name val="Helv"/>
      <family val="0"/>
    </font>
    <font>
      <u val="single"/>
      <sz val="10"/>
      <color indexed="12"/>
      <name val="Arial"/>
      <family val="0"/>
    </font>
    <font>
      <sz val="9"/>
      <name val="Helv"/>
      <family val="0"/>
    </font>
    <font>
      <u val="single"/>
      <sz val="10"/>
      <color indexed="36"/>
      <name val="Arial"/>
      <family val="0"/>
    </font>
    <font>
      <b/>
      <sz val="10"/>
      <name val="Arial"/>
      <family val="0"/>
    </font>
    <font>
      <sz val="8"/>
      <name val="Arial"/>
      <family val="0"/>
    </font>
    <font>
      <sz val="9"/>
      <name val="Verdana"/>
      <family val="2"/>
    </font>
    <font>
      <sz val="8"/>
      <name val="Verdana"/>
      <family val="2"/>
    </font>
    <font>
      <sz val="9"/>
      <color indexed="9"/>
      <name val="Verdana"/>
      <family val="2"/>
    </font>
    <font>
      <b/>
      <sz val="9"/>
      <name val="Verdana"/>
      <family val="2"/>
    </font>
    <font>
      <sz val="9"/>
      <color indexed="10"/>
      <name val="Verdana"/>
      <family val="2"/>
    </font>
    <font>
      <sz val="8.5"/>
      <name val="Verdana"/>
      <family val="2"/>
    </font>
    <font>
      <b/>
      <sz val="9"/>
      <color indexed="10"/>
      <name val="Verdana"/>
      <family val="2"/>
    </font>
    <font>
      <b/>
      <sz val="8"/>
      <name val="Verdana"/>
      <family val="2"/>
    </font>
    <font>
      <i/>
      <sz val="9"/>
      <name val="Verdana"/>
      <family val="2"/>
    </font>
    <font>
      <vertAlign val="superscript"/>
      <sz val="9"/>
      <name val="Verdana"/>
      <family val="2"/>
    </font>
    <font>
      <vertAlign val="superscript"/>
      <sz val="8"/>
      <name val="Verdana"/>
      <family val="2"/>
    </font>
    <font>
      <sz val="10"/>
      <color indexed="10"/>
      <name val="Arial"/>
      <family val="0"/>
    </font>
    <font>
      <u val="single"/>
      <sz val="9"/>
      <name val="Verdana"/>
      <family val="2"/>
    </font>
    <font>
      <b/>
      <sz val="8"/>
      <color indexed="53"/>
      <name val="Arial"/>
      <family val="2"/>
    </font>
    <font>
      <b/>
      <sz val="8"/>
      <color indexed="10"/>
      <name val="Arial"/>
      <family val="2"/>
    </font>
    <font>
      <b/>
      <sz val="8"/>
      <color indexed="9"/>
      <name val="Arial"/>
      <family val="2"/>
    </font>
    <font>
      <b/>
      <sz val="8"/>
      <name val="Arial"/>
      <family val="2"/>
    </font>
    <font>
      <b/>
      <sz val="8"/>
      <color indexed="8"/>
      <name val="Arial"/>
      <family val="2"/>
    </font>
    <font>
      <b/>
      <sz val="9"/>
      <color indexed="9"/>
      <name val="Arial"/>
      <family val="2"/>
    </font>
    <font>
      <b/>
      <sz val="10"/>
      <color indexed="9"/>
      <name val="Arial"/>
      <family val="2"/>
    </font>
    <font>
      <sz val="10"/>
      <color indexed="9"/>
      <name val="Arial"/>
      <family val="2"/>
    </font>
    <font>
      <b/>
      <sz val="10"/>
      <color indexed="10"/>
      <name val="Arial"/>
      <family val="2"/>
    </font>
    <font>
      <b/>
      <sz val="14"/>
      <name val="Verdana"/>
      <family val="2"/>
    </font>
    <font>
      <b/>
      <i/>
      <sz val="9"/>
      <name val="Verdana"/>
      <family val="2"/>
    </font>
    <font>
      <vertAlign val="superscript"/>
      <sz val="9"/>
      <color indexed="10"/>
      <name val="Verdana"/>
      <family val="2"/>
    </font>
    <font>
      <b/>
      <u val="single"/>
      <sz val="9"/>
      <name val="Verdana"/>
      <family val="2"/>
    </font>
  </fonts>
  <fills count="11">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14"/>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8"/>
        <bgColor indexed="64"/>
      </patternFill>
    </fill>
  </fills>
  <borders count="71">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style="hair"/>
    </border>
    <border>
      <left style="thin"/>
      <right style="hair"/>
      <top>
        <color indexed="63"/>
      </top>
      <bottom>
        <color indexed="63"/>
      </bottom>
    </border>
    <border>
      <left style="hair"/>
      <right style="hair"/>
      <top>
        <color indexed="63"/>
      </top>
      <bottom>
        <color indexed="63"/>
      </bottom>
    </border>
    <border>
      <left style="hair"/>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thin"/>
      <right style="hair"/>
      <top style="thin"/>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style="hair"/>
      <bottom style="thin"/>
    </border>
    <border>
      <left style="hair"/>
      <right>
        <color indexed="63"/>
      </right>
      <top style="hair"/>
      <bottom>
        <color indexed="63"/>
      </bottom>
    </border>
    <border>
      <left>
        <color indexed="63"/>
      </left>
      <right>
        <color indexed="63"/>
      </right>
      <top>
        <color indexed="63"/>
      </top>
      <bottom style="hair"/>
    </border>
    <border>
      <left>
        <color indexed="63"/>
      </left>
      <right style="hair"/>
      <top style="hair"/>
      <bottom style="hair"/>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hair"/>
      <right style="hair"/>
      <top style="hair"/>
      <bottom>
        <color indexed="63"/>
      </bottom>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hair"/>
      <top style="thin"/>
      <bottom style="thin"/>
    </border>
    <border>
      <left style="hair"/>
      <right style="thin"/>
      <top style="hair"/>
      <bottom>
        <color indexed="63"/>
      </bottom>
    </border>
    <border>
      <left style="medium"/>
      <right style="medium"/>
      <top style="medium"/>
      <bottom style="medium"/>
    </border>
    <border>
      <left>
        <color indexed="63"/>
      </left>
      <right style="thin"/>
      <top style="thin"/>
      <bottom style="hair"/>
    </border>
    <border>
      <left>
        <color indexed="63"/>
      </left>
      <right style="thin"/>
      <top style="hair"/>
      <bottom style="hair"/>
    </border>
    <border>
      <left style="hair"/>
      <right>
        <color indexed="63"/>
      </right>
      <top style="thin"/>
      <bottom style="thin"/>
    </border>
    <border>
      <left>
        <color indexed="63"/>
      </left>
      <right>
        <color indexed="63"/>
      </right>
      <top>
        <color indexed="63"/>
      </top>
      <bottom style="thin"/>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style="thin"/>
      <bottom style="double"/>
    </border>
    <border>
      <left style="hair"/>
      <right style="thin"/>
      <top>
        <color indexed="63"/>
      </top>
      <bottom>
        <color indexed="63"/>
      </bottom>
    </border>
    <border>
      <left>
        <color indexed="63"/>
      </left>
      <right style="thin"/>
      <top style="hair"/>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1">
      <alignment/>
      <protection/>
    </xf>
    <xf numFmtId="44"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2" borderId="1">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0" fontId="4" fillId="0" borderId="0">
      <alignment/>
      <protection/>
    </xf>
    <xf numFmtId="0" fontId="0" fillId="0" borderId="0" applyFill="0" applyBorder="0">
      <alignment/>
      <protection/>
    </xf>
    <xf numFmtId="0" fontId="0" fillId="0" borderId="0" applyFill="0" applyBorder="0">
      <alignment/>
      <protection/>
    </xf>
    <xf numFmtId="0" fontId="0" fillId="0" borderId="0">
      <alignment/>
      <protection/>
    </xf>
    <xf numFmtId="0" fontId="2" fillId="0" borderId="0">
      <alignment/>
      <protection/>
    </xf>
    <xf numFmtId="0" fontId="2" fillId="0" borderId="2" applyFill="0" applyBorder="0">
      <alignment/>
      <protection/>
    </xf>
    <xf numFmtId="174" fontId="2" fillId="0" borderId="2" applyFill="0" applyBorder="0">
      <alignment/>
      <protection/>
    </xf>
    <xf numFmtId="0" fontId="2" fillId="0" borderId="2" applyFill="0" applyBorder="0">
      <alignment/>
      <protection/>
    </xf>
    <xf numFmtId="0" fontId="3" fillId="3" borderId="3">
      <alignment/>
      <protection/>
    </xf>
    <xf numFmtId="175" fontId="0" fillId="3" borderId="3">
      <alignment/>
      <protection/>
    </xf>
    <xf numFmtId="181" fontId="3" fillId="3" borderId="3">
      <alignment/>
      <protection/>
    </xf>
    <xf numFmtId="181" fontId="2" fillId="0" borderId="2" applyFill="0" applyBorder="0">
      <alignment/>
      <protection/>
    </xf>
    <xf numFmtId="0" fontId="4" fillId="0" borderId="1">
      <alignment/>
      <protection/>
    </xf>
    <xf numFmtId="0" fontId="6" fillId="4" borderId="0">
      <alignment/>
      <protection/>
    </xf>
    <xf numFmtId="0" fontId="5" fillId="0" borderId="4">
      <alignment/>
      <protection/>
    </xf>
    <xf numFmtId="0" fontId="5" fillId="0" borderId="1">
      <alignment/>
      <protection/>
    </xf>
    <xf numFmtId="173" fontId="0" fillId="0" borderId="0" applyFont="0" applyFill="0" applyBorder="0" applyAlignment="0" applyProtection="0"/>
    <xf numFmtId="172" fontId="0" fillId="0" borderId="0" applyFont="0" applyFill="0" applyBorder="0" applyAlignment="0" applyProtection="0"/>
  </cellStyleXfs>
  <cellXfs count="108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12" fillId="0" borderId="0" xfId="0" applyFont="1" applyFill="1" applyBorder="1" applyAlignment="1" applyProtection="1">
      <alignment/>
      <protection/>
    </xf>
    <xf numFmtId="178" fontId="15" fillId="3" borderId="5" xfId="0" applyNumberFormat="1"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Fill="1" applyAlignment="1" applyProtection="1">
      <alignment/>
      <protection/>
    </xf>
    <xf numFmtId="0" fontId="15" fillId="0" borderId="0" xfId="0" applyFont="1" applyFill="1" applyAlignment="1" applyProtection="1">
      <alignment/>
      <protection/>
    </xf>
    <xf numFmtId="178" fontId="12" fillId="0" borderId="0" xfId="0" applyNumberFormat="1" applyFont="1" applyFill="1" applyBorder="1" applyAlignment="1" applyProtection="1">
      <alignment/>
      <protection/>
    </xf>
    <xf numFmtId="178" fontId="12" fillId="0" borderId="5" xfId="37" applyNumberFormat="1" applyFont="1" applyFill="1" applyBorder="1" applyAlignment="1" applyProtection="1">
      <alignment/>
      <protection/>
    </xf>
    <xf numFmtId="178" fontId="15" fillId="0" borderId="0" xfId="0" applyNumberFormat="1" applyFont="1" applyFill="1" applyBorder="1" applyAlignment="1" applyProtection="1">
      <alignment/>
      <protection/>
    </xf>
    <xf numFmtId="178" fontId="15" fillId="0" borderId="0" xfId="0" applyNumberFormat="1" applyFont="1" applyFill="1" applyBorder="1" applyAlignment="1" applyProtection="1">
      <alignment/>
      <protection/>
    </xf>
    <xf numFmtId="0" fontId="12" fillId="0" borderId="0" xfId="0" applyFont="1" applyFill="1" applyBorder="1" applyAlignment="1" applyProtection="1">
      <alignment/>
      <protection/>
    </xf>
    <xf numFmtId="178" fontId="12" fillId="0" borderId="0" xfId="0" applyNumberFormat="1" applyFont="1" applyFill="1" applyBorder="1" applyAlignment="1" applyProtection="1">
      <alignment/>
      <protection/>
    </xf>
    <xf numFmtId="0" fontId="12" fillId="0" borderId="0" xfId="0" applyFont="1" applyAlignment="1">
      <alignment/>
    </xf>
    <xf numFmtId="0" fontId="12" fillId="0" borderId="0" xfId="0" applyFont="1" applyAlignment="1" applyProtection="1">
      <alignment/>
      <protection/>
    </xf>
    <xf numFmtId="0" fontId="12" fillId="0" borderId="0" xfId="0" applyFont="1" applyFill="1" applyAlignment="1" applyProtection="1">
      <alignment/>
      <protection/>
    </xf>
    <xf numFmtId="178" fontId="15" fillId="3" borderId="6" xfId="0" applyNumberFormat="1" applyFont="1" applyFill="1" applyBorder="1" applyAlignment="1" applyProtection="1">
      <alignment/>
      <protection/>
    </xf>
    <xf numFmtId="0" fontId="15" fillId="0" borderId="0" xfId="0" applyFont="1" applyAlignment="1">
      <alignment/>
    </xf>
    <xf numFmtId="0" fontId="12" fillId="0" borderId="0" xfId="34" applyFont="1">
      <alignment/>
      <protection/>
    </xf>
    <xf numFmtId="0" fontId="15" fillId="0" borderId="0" xfId="34" applyFont="1">
      <alignment/>
      <protection/>
    </xf>
    <xf numFmtId="4" fontId="12" fillId="0" borderId="0" xfId="34" applyNumberFormat="1" applyFont="1">
      <alignment/>
      <protection/>
    </xf>
    <xf numFmtId="0" fontId="15" fillId="0" borderId="7" xfId="34" applyFont="1" applyBorder="1">
      <alignment/>
      <protection/>
    </xf>
    <xf numFmtId="0" fontId="12" fillId="0" borderId="8" xfId="34" applyFont="1" applyBorder="1">
      <alignment/>
      <protection/>
    </xf>
    <xf numFmtId="4" fontId="12" fillId="0" borderId="9" xfId="34" applyNumberFormat="1" applyFont="1" applyBorder="1">
      <alignment/>
      <protection/>
    </xf>
    <xf numFmtId="0" fontId="15" fillId="0" borderId="0" xfId="34" applyFont="1" applyFill="1" applyProtection="1">
      <alignment/>
      <protection hidden="1"/>
    </xf>
    <xf numFmtId="0" fontId="15" fillId="0" borderId="0" xfId="34" applyFont="1" applyAlignment="1">
      <alignment horizontal="center"/>
      <protection/>
    </xf>
    <xf numFmtId="0" fontId="12" fillId="0" borderId="0" xfId="34" applyFont="1" applyFill="1" applyBorder="1" applyProtection="1">
      <alignment/>
      <protection hidden="1"/>
    </xf>
    <xf numFmtId="4" fontId="12" fillId="0" borderId="0" xfId="34" applyNumberFormat="1" applyFont="1" applyFill="1" applyBorder="1">
      <alignment/>
      <protection/>
    </xf>
    <xf numFmtId="37" fontId="12" fillId="0" borderId="5" xfId="34" applyNumberFormat="1" applyFont="1" applyFill="1" applyBorder="1" applyAlignment="1" applyProtection="1">
      <alignment/>
      <protection hidden="1"/>
    </xf>
    <xf numFmtId="0" fontId="15" fillId="0" borderId="0" xfId="0" applyFont="1" applyBorder="1" applyAlignment="1" applyProtection="1">
      <alignment/>
      <protection/>
    </xf>
    <xf numFmtId="0" fontId="15" fillId="0" borderId="0" xfId="0" applyFont="1" applyAlignment="1" applyProtection="1">
      <alignment/>
      <protection/>
    </xf>
    <xf numFmtId="0" fontId="12" fillId="0" borderId="0" xfId="0" applyFont="1" applyAlignment="1" applyProtection="1">
      <alignment/>
      <protection/>
    </xf>
    <xf numFmtId="0" fontId="12" fillId="0" borderId="0" xfId="0" applyFont="1" applyBorder="1" applyAlignment="1" applyProtection="1">
      <alignment/>
      <protection/>
    </xf>
    <xf numFmtId="0" fontId="15"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6" xfId="0" applyFont="1" applyBorder="1" applyAlignment="1" applyProtection="1">
      <alignment vertical="center"/>
      <protection/>
    </xf>
    <xf numFmtId="0" fontId="15" fillId="0" borderId="0" xfId="0" applyNumberFormat="1" applyFont="1" applyAlignment="1" applyProtection="1">
      <alignment/>
      <protection/>
    </xf>
    <xf numFmtId="0" fontId="12" fillId="0" borderId="0" xfId="0" applyFont="1" applyAlignment="1" applyProtection="1">
      <alignment horizontal="justify"/>
      <protection/>
    </xf>
    <xf numFmtId="0" fontId="15" fillId="0" borderId="0" xfId="0" applyFont="1" applyBorder="1" applyAlignment="1" applyProtection="1">
      <alignment horizontal="justify"/>
      <protection/>
    </xf>
    <xf numFmtId="0" fontId="15" fillId="0" borderId="0" xfId="0" applyNumberFormat="1" applyFont="1" applyAlignment="1" applyProtection="1">
      <alignment horizontal="justify"/>
      <protection/>
    </xf>
    <xf numFmtId="0" fontId="12" fillId="0" borderId="0" xfId="0" applyFont="1" applyBorder="1" applyAlignment="1" applyProtection="1">
      <alignment horizontal="justify"/>
      <protection/>
    </xf>
    <xf numFmtId="176" fontId="12" fillId="0" borderId="0" xfId="0" applyNumberFormat="1" applyFont="1" applyAlignment="1" applyProtection="1">
      <alignment/>
      <protection/>
    </xf>
    <xf numFmtId="0" fontId="15" fillId="0" borderId="0" xfId="0" applyFont="1" applyAlignment="1" applyProtection="1">
      <alignment horizontal="left"/>
      <protection/>
    </xf>
    <xf numFmtId="0" fontId="12" fillId="0" borderId="0" xfId="0" applyFont="1" applyBorder="1" applyAlignment="1" applyProtection="1">
      <alignment horizontal="left"/>
      <protection/>
    </xf>
    <xf numFmtId="0" fontId="12" fillId="0" borderId="0" xfId="0" applyFont="1" applyBorder="1" applyAlignment="1" applyProtection="1">
      <alignment horizontal="center"/>
      <protection/>
    </xf>
    <xf numFmtId="14" fontId="13" fillId="0" borderId="0" xfId="34" applyNumberFormat="1" applyFont="1">
      <alignment/>
      <protection/>
    </xf>
    <xf numFmtId="4" fontId="16" fillId="0" borderId="0" xfId="34" applyNumberFormat="1" applyFont="1" applyFill="1" applyBorder="1">
      <alignment/>
      <protection/>
    </xf>
    <xf numFmtId="0" fontId="16" fillId="0" borderId="0" xfId="34" applyFont="1" applyFill="1">
      <alignment/>
      <protection/>
    </xf>
    <xf numFmtId="4" fontId="16" fillId="0" borderId="0" xfId="34" applyNumberFormat="1" applyFont="1" applyFill="1">
      <alignment/>
      <protection/>
    </xf>
    <xf numFmtId="0" fontId="12" fillId="0" borderId="5" xfId="34" applyFont="1" applyFill="1" applyBorder="1" applyProtection="1">
      <alignment/>
      <protection hidden="1"/>
    </xf>
    <xf numFmtId="0" fontId="12" fillId="0" borderId="5" xfId="34" applyFont="1" applyBorder="1">
      <alignment/>
      <protection/>
    </xf>
    <xf numFmtId="4" fontId="12" fillId="0" borderId="5" xfId="34" applyNumberFormat="1" applyFont="1" applyBorder="1">
      <alignment/>
      <protection/>
    </xf>
    <xf numFmtId="10" fontId="12" fillId="0" borderId="5" xfId="34" applyNumberFormat="1" applyFont="1" applyBorder="1">
      <alignment/>
      <protection/>
    </xf>
    <xf numFmtId="4" fontId="12" fillId="3" borderId="5" xfId="34" applyNumberFormat="1" applyFont="1" applyFill="1" applyBorder="1">
      <alignment/>
      <protection/>
    </xf>
    <xf numFmtId="0" fontId="12" fillId="0" borderId="5" xfId="0" applyFont="1" applyBorder="1" applyAlignment="1" applyProtection="1">
      <alignment horizontal="center"/>
      <protection/>
    </xf>
    <xf numFmtId="0" fontId="12" fillId="0" borderId="10" xfId="0" applyFont="1" applyBorder="1" applyAlignment="1" applyProtection="1">
      <alignment/>
      <protection/>
    </xf>
    <xf numFmtId="0" fontId="15" fillId="0" borderId="0" xfId="0" applyFont="1" applyFill="1" applyBorder="1" applyAlignment="1" applyProtection="1">
      <alignment vertical="center"/>
      <protection/>
    </xf>
    <xf numFmtId="0" fontId="13" fillId="0" borderId="0" xfId="0" applyFont="1" applyFill="1" applyBorder="1" applyAlignment="1" applyProtection="1">
      <alignment horizontal="right"/>
      <protection/>
    </xf>
    <xf numFmtId="0" fontId="15" fillId="5" borderId="5" xfId="0" applyFont="1" applyFill="1" applyBorder="1" applyAlignment="1" applyProtection="1">
      <alignment horizontal="center"/>
      <protection/>
    </xf>
    <xf numFmtId="0" fontId="0" fillId="0" borderId="0" xfId="0" applyAlignment="1" applyProtection="1">
      <alignment/>
      <protection/>
    </xf>
    <xf numFmtId="0" fontId="15" fillId="0" borderId="0" xfId="0" applyFont="1" applyFill="1" applyAlignment="1" applyProtection="1">
      <alignment horizontal="left" vertical="center"/>
      <protection/>
    </xf>
    <xf numFmtId="0" fontId="12" fillId="0" borderId="0" xfId="34" applyFont="1" applyFill="1">
      <alignment/>
      <protection/>
    </xf>
    <xf numFmtId="4" fontId="12" fillId="0" borderId="0" xfId="34" applyNumberFormat="1" applyFont="1" applyFill="1">
      <alignment/>
      <protection/>
    </xf>
    <xf numFmtId="10" fontId="12" fillId="0" borderId="0" xfId="34" applyNumberFormat="1" applyFont="1" applyFill="1">
      <alignment/>
      <protection/>
    </xf>
    <xf numFmtId="0" fontId="15" fillId="0" borderId="0" xfId="34" applyFont="1" applyFill="1">
      <alignment/>
      <protection/>
    </xf>
    <xf numFmtId="0" fontId="12" fillId="0" borderId="0" xfId="34" applyFont="1" applyFill="1" applyBorder="1">
      <alignment/>
      <protection/>
    </xf>
    <xf numFmtId="0" fontId="12" fillId="0" borderId="5" xfId="34" applyFont="1" applyFill="1" applyBorder="1">
      <alignment/>
      <protection/>
    </xf>
    <xf numFmtId="10" fontId="12" fillId="0" borderId="5" xfId="34" applyNumberFormat="1" applyFont="1" applyFill="1" applyBorder="1">
      <alignment/>
      <protection/>
    </xf>
    <xf numFmtId="4" fontId="12" fillId="0" borderId="5" xfId="34" applyNumberFormat="1" applyFont="1" applyFill="1" applyBorder="1">
      <alignment/>
      <protection/>
    </xf>
    <xf numFmtId="3" fontId="12" fillId="0" borderId="5" xfId="34" applyNumberFormat="1" applyFont="1" applyFill="1" applyBorder="1" applyProtection="1">
      <alignment/>
      <protection hidden="1"/>
    </xf>
    <xf numFmtId="0" fontId="15" fillId="5" borderId="5" xfId="0"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2" fillId="0" borderId="0" xfId="0" applyFont="1" applyAlignment="1" applyProtection="1">
      <alignment horizontal="center"/>
      <protection/>
    </xf>
    <xf numFmtId="0" fontId="0" fillId="0" borderId="0" xfId="0" applyFill="1" applyBorder="1" applyAlignment="1" applyProtection="1">
      <alignment/>
      <protection/>
    </xf>
    <xf numFmtId="184" fontId="0" fillId="0" borderId="0" xfId="0" applyNumberFormat="1" applyFill="1" applyBorder="1" applyAlignment="1" applyProtection="1" quotePrefix="1">
      <alignment/>
      <protection/>
    </xf>
    <xf numFmtId="0" fontId="0" fillId="0" borderId="0" xfId="0" applyNumberFormat="1" applyAlignment="1" applyProtection="1">
      <alignment horizontal="right"/>
      <protection/>
    </xf>
    <xf numFmtId="0" fontId="12" fillId="0" borderId="0" xfId="0" applyFont="1" applyAlignment="1" applyProtection="1">
      <alignment horizontal="center" vertical="center"/>
      <protection/>
    </xf>
    <xf numFmtId="0" fontId="15" fillId="0" borderId="10" xfId="0" applyFont="1" applyBorder="1" applyAlignment="1" applyProtection="1">
      <alignment vertical="center"/>
      <protection/>
    </xf>
    <xf numFmtId="0" fontId="12" fillId="0" borderId="0" xfId="0" applyFont="1" applyAlignment="1" applyProtection="1">
      <alignment horizontal="center"/>
      <protection/>
    </xf>
    <xf numFmtId="0" fontId="0" fillId="0" borderId="0" xfId="0" applyBorder="1" applyAlignment="1" applyProtection="1">
      <alignment/>
      <protection/>
    </xf>
    <xf numFmtId="178" fontId="15" fillId="3" borderId="5" xfId="0" applyNumberFormat="1" applyFont="1" applyFill="1" applyBorder="1" applyAlignment="1" applyProtection="1">
      <alignment/>
      <protection/>
    </xf>
    <xf numFmtId="0" fontId="13" fillId="0" borderId="0" xfId="0" applyFont="1" applyFill="1" applyBorder="1" applyAlignment="1" applyProtection="1">
      <alignment horizontal="center"/>
      <protection/>
    </xf>
    <xf numFmtId="178" fontId="12" fillId="0" borderId="5" xfId="0" applyNumberFormat="1" applyFont="1"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15" fillId="0" borderId="0" xfId="0" applyFont="1" applyAlignment="1" applyProtection="1">
      <alignment horizontal="right" vertical="center"/>
      <protection/>
    </xf>
    <xf numFmtId="178" fontId="12" fillId="0" borderId="0" xfId="37" applyNumberFormat="1" applyFont="1" applyFill="1" applyBorder="1" applyAlignment="1" applyProtection="1">
      <alignment/>
      <protection/>
    </xf>
    <xf numFmtId="0" fontId="16" fillId="0" borderId="0" xfId="0" applyFont="1" applyFill="1" applyBorder="1" applyAlignment="1" applyProtection="1">
      <alignment/>
      <protection/>
    </xf>
    <xf numFmtId="0" fontId="0" fillId="0" borderId="0" xfId="0" applyFill="1" applyAlignment="1" applyProtection="1">
      <alignment/>
      <protection/>
    </xf>
    <xf numFmtId="0" fontId="19" fillId="6" borderId="11" xfId="0" applyFont="1" applyFill="1" applyBorder="1" applyAlignment="1" applyProtection="1">
      <alignment horizontal="center" vertical="center" wrapText="1"/>
      <protection/>
    </xf>
    <xf numFmtId="0" fontId="19" fillId="6" borderId="12" xfId="0" applyFont="1" applyFill="1" applyBorder="1" applyAlignment="1" applyProtection="1">
      <alignment horizontal="left" vertical="center" wrapText="1"/>
      <protection/>
    </xf>
    <xf numFmtId="0" fontId="12" fillId="0" borderId="0" xfId="33" applyFont="1" applyProtection="1">
      <alignment/>
      <protection/>
    </xf>
    <xf numFmtId="0" fontId="12" fillId="0" borderId="0" xfId="33" applyFont="1" applyAlignment="1" applyProtection="1">
      <alignment/>
      <protection/>
    </xf>
    <xf numFmtId="0" fontId="12" fillId="0" borderId="0" xfId="33" applyFont="1" applyAlignment="1" applyProtection="1">
      <alignment vertical="center"/>
      <protection/>
    </xf>
    <xf numFmtId="0" fontId="12" fillId="0" borderId="0" xfId="33" applyFont="1" applyBorder="1" applyAlignment="1" applyProtection="1">
      <alignment vertical="center"/>
      <protection/>
    </xf>
    <xf numFmtId="0" fontId="17" fillId="0" borderId="0" xfId="33" applyFont="1" applyAlignment="1" applyProtection="1">
      <alignment vertical="center"/>
      <protection/>
    </xf>
    <xf numFmtId="0" fontId="17" fillId="0" borderId="0" xfId="33" applyFont="1" applyBorder="1" applyAlignment="1" applyProtection="1">
      <alignment vertical="center"/>
      <protection/>
    </xf>
    <xf numFmtId="0" fontId="15" fillId="0" borderId="0" xfId="33" applyFont="1" applyBorder="1" applyAlignment="1" applyProtection="1">
      <alignment horizontal="left" vertical="center"/>
      <protection/>
    </xf>
    <xf numFmtId="178" fontId="19" fillId="6" borderId="13" xfId="0" applyNumberFormat="1" applyFont="1" applyFill="1" applyBorder="1" applyAlignment="1" applyProtection="1">
      <alignment horizontal="center" vertical="center" wrapText="1"/>
      <protection/>
    </xf>
    <xf numFmtId="0" fontId="23" fillId="0" borderId="0" xfId="0" applyFont="1" applyAlignment="1" applyProtection="1">
      <alignment/>
      <protection/>
    </xf>
    <xf numFmtId="0" fontId="23" fillId="0" borderId="0" xfId="0" applyNumberFormat="1" applyFont="1" applyAlignment="1" applyProtection="1">
      <alignment horizontal="right"/>
      <protection/>
    </xf>
    <xf numFmtId="0" fontId="23" fillId="0" borderId="0" xfId="0" applyNumberFormat="1" applyFont="1" applyBorder="1" applyAlignment="1" applyProtection="1">
      <alignment horizontal="right"/>
      <protection/>
    </xf>
    <xf numFmtId="0" fontId="23" fillId="0" borderId="0" xfId="0" applyFont="1" applyBorder="1" applyAlignment="1" applyProtection="1">
      <alignment/>
      <protection/>
    </xf>
    <xf numFmtId="9" fontId="12" fillId="0" borderId="0" xfId="0" applyNumberFormat="1" applyFont="1" applyFill="1" applyBorder="1" applyAlignment="1" applyProtection="1">
      <alignment/>
      <protection/>
    </xf>
    <xf numFmtId="0" fontId="12" fillId="0" borderId="0" xfId="0" applyFont="1" applyAlignment="1">
      <alignment horizontal="justify" vertical="top" wrapText="1"/>
    </xf>
    <xf numFmtId="0" fontId="0" fillId="0" borderId="5" xfId="0" applyBorder="1" applyAlignment="1">
      <alignment/>
    </xf>
    <xf numFmtId="0" fontId="13" fillId="0" borderId="0" xfId="36" applyFont="1" applyFill="1" applyAlignment="1" applyProtection="1">
      <alignment horizontal="center"/>
      <protection/>
    </xf>
    <xf numFmtId="0" fontId="12" fillId="0" borderId="0" xfId="33" applyFont="1" applyFill="1" applyProtection="1">
      <alignment/>
      <protection/>
    </xf>
    <xf numFmtId="0" fontId="12" fillId="0" borderId="0" xfId="33" applyFont="1" applyFill="1" applyAlignment="1" applyProtection="1">
      <alignment vertical="center"/>
      <protection/>
    </xf>
    <xf numFmtId="178" fontId="12" fillId="0" borderId="5" xfId="0" applyNumberFormat="1" applyFont="1" applyBorder="1" applyAlignment="1" applyProtection="1">
      <alignment vertical="center"/>
      <protection/>
    </xf>
    <xf numFmtId="0" fontId="26" fillId="0" borderId="0" xfId="0" applyFont="1" applyAlignment="1" applyProtection="1">
      <alignment/>
      <protection/>
    </xf>
    <xf numFmtId="0" fontId="28" fillId="0" borderId="14" xfId="0" applyFont="1" applyFill="1" applyBorder="1" applyAlignment="1" applyProtection="1">
      <alignment/>
      <protection/>
    </xf>
    <xf numFmtId="0" fontId="11" fillId="0" borderId="15" xfId="0" applyFont="1" applyFill="1" applyBorder="1" applyAlignment="1" applyProtection="1">
      <alignment horizontal="left"/>
      <protection/>
    </xf>
    <xf numFmtId="0" fontId="29" fillId="0" borderId="15" xfId="0" applyFont="1" applyFill="1" applyBorder="1" applyAlignment="1" applyProtection="1">
      <alignment/>
      <protection/>
    </xf>
    <xf numFmtId="0" fontId="13" fillId="0" borderId="16" xfId="0" applyFont="1" applyBorder="1" applyAlignment="1" applyProtection="1">
      <alignment/>
      <protection/>
    </xf>
    <xf numFmtId="0" fontId="11" fillId="0" borderId="3" xfId="0" applyFont="1" applyFill="1" applyBorder="1" applyAlignment="1" applyProtection="1">
      <alignment horizontal="center"/>
      <protection/>
    </xf>
    <xf numFmtId="178" fontId="11" fillId="0" borderId="13" xfId="0" applyNumberFormat="1" applyFont="1" applyFill="1" applyBorder="1" applyAlignment="1" applyProtection="1" quotePrefix="1">
      <alignment horizontal="center"/>
      <protection/>
    </xf>
    <xf numFmtId="0" fontId="11" fillId="0" borderId="16" xfId="0" applyFont="1" applyFill="1" applyBorder="1" applyAlignment="1" applyProtection="1">
      <alignment horizontal="center"/>
      <protection/>
    </xf>
    <xf numFmtId="0" fontId="11" fillId="0" borderId="16" xfId="0" applyNumberFormat="1" applyFont="1" applyFill="1" applyBorder="1" applyAlignment="1" applyProtection="1">
      <alignment horizontal="center"/>
      <protection/>
    </xf>
    <xf numFmtId="37" fontId="11" fillId="0" borderId="16" xfId="0" applyNumberFormat="1" applyFont="1" applyFill="1" applyBorder="1" applyAlignment="1" applyProtection="1">
      <alignment horizontal="left"/>
      <protection/>
    </xf>
    <xf numFmtId="0" fontId="11" fillId="0" borderId="0" xfId="0" applyFont="1" applyFill="1" applyBorder="1" applyAlignment="1" applyProtection="1">
      <alignment horizontal="center"/>
      <protection/>
    </xf>
    <xf numFmtId="0" fontId="11" fillId="0" borderId="0" xfId="0" applyNumberFormat="1" applyFont="1" applyFill="1" applyBorder="1" applyAlignment="1" applyProtection="1" quotePrefix="1">
      <alignment horizontal="center"/>
      <protection/>
    </xf>
    <xf numFmtId="37" fontId="11" fillId="0" borderId="0" xfId="0" applyNumberFormat="1" applyFont="1" applyFill="1" applyBorder="1" applyAlignment="1" applyProtection="1">
      <alignment horizontal="left"/>
      <protection/>
    </xf>
    <xf numFmtId="0" fontId="11" fillId="0" borderId="0" xfId="0" applyFont="1" applyFill="1" applyBorder="1" applyAlignment="1" applyProtection="1">
      <alignment horizontal="left"/>
      <protection/>
    </xf>
    <xf numFmtId="185" fontId="11" fillId="0" borderId="0" xfId="0" applyNumberFormat="1" applyFont="1" applyFill="1" applyBorder="1" applyAlignment="1" applyProtection="1">
      <alignment horizontal="center"/>
      <protection/>
    </xf>
    <xf numFmtId="184" fontId="11" fillId="0" borderId="0" xfId="0" applyNumberFormat="1" applyFont="1" applyFill="1" applyBorder="1" applyAlignment="1" applyProtection="1">
      <alignment horizontal="center"/>
      <protection/>
    </xf>
    <xf numFmtId="0" fontId="28" fillId="0" borderId="17" xfId="0" applyFont="1" applyFill="1" applyBorder="1" applyAlignment="1" applyProtection="1">
      <alignment/>
      <protection/>
    </xf>
    <xf numFmtId="0" fontId="10" fillId="0" borderId="0" xfId="0" applyFont="1" applyAlignment="1">
      <alignment/>
    </xf>
    <xf numFmtId="0" fontId="0" fillId="3" borderId="18" xfId="0" applyFill="1" applyBorder="1" applyAlignment="1">
      <alignment/>
    </xf>
    <xf numFmtId="0" fontId="0" fillId="3" borderId="19" xfId="0" applyFill="1" applyBorder="1" applyAlignment="1">
      <alignment/>
    </xf>
    <xf numFmtId="0" fontId="0" fillId="3" borderId="14" xfId="0" applyFill="1" applyBorder="1" applyAlignment="1">
      <alignment/>
    </xf>
    <xf numFmtId="0" fontId="0" fillId="3" borderId="20" xfId="0" applyFill="1" applyBorder="1" applyAlignment="1">
      <alignment/>
    </xf>
    <xf numFmtId="0" fontId="0" fillId="3" borderId="3" xfId="0" applyFill="1" applyBorder="1" applyAlignment="1">
      <alignment/>
    </xf>
    <xf numFmtId="0" fontId="0" fillId="3" borderId="17" xfId="0" applyFill="1" applyBorder="1" applyAlignment="1">
      <alignment/>
    </xf>
    <xf numFmtId="0" fontId="0" fillId="0" borderId="21" xfId="0" applyBorder="1" applyAlignment="1">
      <alignment/>
    </xf>
    <xf numFmtId="0" fontId="0" fillId="0" borderId="22" xfId="0" applyBorder="1" applyAlignment="1">
      <alignment/>
    </xf>
    <xf numFmtId="0" fontId="0" fillId="0" borderId="22" xfId="0" applyBorder="1" applyAlignment="1">
      <alignment horizontal="left"/>
    </xf>
    <xf numFmtId="2" fontId="0" fillId="0" borderId="23" xfId="0" applyNumberFormat="1" applyBorder="1" applyAlignment="1">
      <alignment horizontal="left"/>
    </xf>
    <xf numFmtId="2" fontId="0" fillId="7" borderId="23" xfId="0" applyNumberFormat="1" applyFill="1" applyBorder="1" applyAlignment="1">
      <alignment horizontal="left"/>
    </xf>
    <xf numFmtId="0" fontId="0" fillId="0" borderId="24" xfId="0" applyBorder="1" applyAlignment="1">
      <alignment/>
    </xf>
    <xf numFmtId="0" fontId="0" fillId="0" borderId="5" xfId="0" applyBorder="1" applyAlignment="1">
      <alignment horizontal="left"/>
    </xf>
    <xf numFmtId="0" fontId="0" fillId="0" borderId="25" xfId="0" applyBorder="1" applyAlignment="1">
      <alignment horizontal="left"/>
    </xf>
    <xf numFmtId="2" fontId="0" fillId="0" borderId="25" xfId="0" applyNumberFormat="1" applyBorder="1" applyAlignment="1">
      <alignment horizontal="left"/>
    </xf>
    <xf numFmtId="2" fontId="0" fillId="7" borderId="25" xfId="0" applyNumberFormat="1" applyFill="1" applyBorder="1" applyAlignment="1">
      <alignment horizontal="left"/>
    </xf>
    <xf numFmtId="0" fontId="0" fillId="0" borderId="26" xfId="0" applyBorder="1" applyAlignment="1">
      <alignment/>
    </xf>
    <xf numFmtId="0" fontId="0" fillId="0" borderId="27" xfId="0" applyBorder="1" applyAlignment="1">
      <alignment/>
    </xf>
    <xf numFmtId="0" fontId="0" fillId="0" borderId="27" xfId="0" applyBorder="1" applyAlignment="1">
      <alignment horizontal="left"/>
    </xf>
    <xf numFmtId="0" fontId="0" fillId="0" borderId="28" xfId="0" applyBorder="1" applyAlignment="1">
      <alignment horizontal="left"/>
    </xf>
    <xf numFmtId="0" fontId="0" fillId="0" borderId="0" xfId="0" applyFill="1" applyAlignment="1">
      <alignment/>
    </xf>
    <xf numFmtId="0" fontId="0" fillId="0" borderId="21"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2" fontId="0" fillId="0" borderId="5" xfId="0" applyNumberFormat="1" applyBorder="1" applyAlignment="1">
      <alignment horizontal="left"/>
    </xf>
    <xf numFmtId="2" fontId="0" fillId="7" borderId="5" xfId="0" applyNumberFormat="1" applyFill="1" applyBorder="1" applyAlignment="1">
      <alignment horizontal="left"/>
    </xf>
    <xf numFmtId="0" fontId="0" fillId="0" borderId="26" xfId="0"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0" fillId="0" borderId="24" xfId="0" applyFill="1" applyBorder="1" applyAlignment="1">
      <alignment horizontal="left"/>
    </xf>
    <xf numFmtId="0" fontId="0" fillId="0" borderId="5" xfId="0" applyFill="1" applyBorder="1" applyAlignment="1">
      <alignment horizontal="left"/>
    </xf>
    <xf numFmtId="2" fontId="0" fillId="7" borderId="29" xfId="0" applyNumberFormat="1" applyFill="1" applyBorder="1" applyAlignment="1">
      <alignment horizontal="left"/>
    </xf>
    <xf numFmtId="0" fontId="0" fillId="0" borderId="23" xfId="0" applyFill="1" applyBorder="1" applyAlignment="1">
      <alignment horizontal="left"/>
    </xf>
    <xf numFmtId="2" fontId="0" fillId="0" borderId="5" xfId="0" applyNumberFormat="1" applyFill="1" applyBorder="1" applyAlignment="1">
      <alignment horizontal="left"/>
    </xf>
    <xf numFmtId="0" fontId="0" fillId="0" borderId="25" xfId="0"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2" fontId="0" fillId="8" borderId="5" xfId="0" applyNumberFormat="1" applyFill="1" applyBorder="1" applyAlignment="1">
      <alignment horizontal="left"/>
    </xf>
    <xf numFmtId="2" fontId="0" fillId="8" borderId="25" xfId="0" applyNumberFormat="1" applyFill="1" applyBorder="1" applyAlignment="1">
      <alignment horizontal="left"/>
    </xf>
    <xf numFmtId="0" fontId="0" fillId="9" borderId="21" xfId="0" applyFont="1" applyFill="1" applyBorder="1" applyAlignment="1">
      <alignment horizontal="left"/>
    </xf>
    <xf numFmtId="0" fontId="0" fillId="9" borderId="22" xfId="0" applyFont="1" applyFill="1" applyBorder="1" applyAlignment="1">
      <alignment horizontal="left"/>
    </xf>
    <xf numFmtId="0" fontId="0" fillId="9" borderId="23" xfId="0" applyFont="1" applyFill="1" applyBorder="1" applyAlignment="1">
      <alignment horizontal="left"/>
    </xf>
    <xf numFmtId="0" fontId="0" fillId="9" borderId="0" xfId="0" applyFont="1" applyFill="1" applyAlignment="1">
      <alignment/>
    </xf>
    <xf numFmtId="0" fontId="0" fillId="9" borderId="24" xfId="0" applyFont="1" applyFill="1" applyBorder="1" applyAlignment="1">
      <alignment horizontal="left"/>
    </xf>
    <xf numFmtId="2" fontId="0" fillId="9" borderId="5" xfId="0" applyNumberFormat="1" applyFont="1" applyFill="1" applyBorder="1" applyAlignment="1">
      <alignment horizontal="left"/>
    </xf>
    <xf numFmtId="0" fontId="0" fillId="9" borderId="5" xfId="0" applyFont="1" applyFill="1" applyBorder="1" applyAlignment="1">
      <alignment horizontal="left"/>
    </xf>
    <xf numFmtId="0" fontId="0" fillId="9" borderId="25" xfId="0" applyFont="1" applyFill="1" applyBorder="1" applyAlignment="1">
      <alignment horizontal="left"/>
    </xf>
    <xf numFmtId="0" fontId="0" fillId="9" borderId="21" xfId="0" applyFill="1" applyBorder="1" applyAlignment="1">
      <alignment horizontal="left"/>
    </xf>
    <xf numFmtId="0" fontId="0" fillId="9" borderId="22" xfId="0" applyFill="1" applyBorder="1" applyAlignment="1">
      <alignment horizontal="left"/>
    </xf>
    <xf numFmtId="0" fontId="0" fillId="9" borderId="23" xfId="0" applyFill="1" applyBorder="1" applyAlignment="1">
      <alignment horizontal="left"/>
    </xf>
    <xf numFmtId="0" fontId="0" fillId="9" borderId="0" xfId="0" applyFill="1" applyAlignment="1">
      <alignment/>
    </xf>
    <xf numFmtId="0" fontId="0" fillId="9" borderId="24" xfId="0" applyFill="1" applyBorder="1" applyAlignment="1">
      <alignment horizontal="left"/>
    </xf>
    <xf numFmtId="2" fontId="0" fillId="9" borderId="5" xfId="0" applyNumberFormat="1" applyFill="1" applyBorder="1" applyAlignment="1">
      <alignment horizontal="left"/>
    </xf>
    <xf numFmtId="0" fontId="0" fillId="9" borderId="5" xfId="0" applyFill="1" applyBorder="1" applyAlignment="1">
      <alignment horizontal="left"/>
    </xf>
    <xf numFmtId="0" fontId="0" fillId="9" borderId="25" xfId="0" applyFill="1" applyBorder="1" applyAlignment="1">
      <alignment horizontal="left"/>
    </xf>
    <xf numFmtId="0" fontId="0" fillId="9" borderId="26" xfId="0" applyFill="1" applyBorder="1" applyAlignment="1">
      <alignment horizontal="left"/>
    </xf>
    <xf numFmtId="0" fontId="0" fillId="9" borderId="27" xfId="0" applyFill="1" applyBorder="1" applyAlignment="1">
      <alignment horizontal="left"/>
    </xf>
    <xf numFmtId="0" fontId="0" fillId="9" borderId="28" xfId="0" applyFill="1" applyBorder="1" applyAlignment="1">
      <alignment horizontal="left"/>
    </xf>
    <xf numFmtId="0" fontId="0" fillId="0" borderId="0" xfId="0" applyFill="1" applyAlignment="1" applyProtection="1">
      <alignment/>
      <protection/>
    </xf>
    <xf numFmtId="0" fontId="2" fillId="0" borderId="0" xfId="0" applyFont="1" applyFill="1" applyAlignment="1" applyProtection="1">
      <alignment horizontal="center"/>
      <protection/>
    </xf>
    <xf numFmtId="0" fontId="23" fillId="0" borderId="0" xfId="0" applyFont="1" applyFill="1" applyAlignment="1" applyProtection="1">
      <alignment/>
      <protection/>
    </xf>
    <xf numFmtId="0" fontId="23" fillId="0" borderId="0" xfId="0" applyNumberFormat="1" applyFont="1" applyFill="1" applyAlignment="1" applyProtection="1">
      <alignment horizontal="right"/>
      <protection/>
    </xf>
    <xf numFmtId="0" fontId="12" fillId="0" borderId="0" xfId="0" applyFont="1" applyAlignment="1" applyProtection="1">
      <alignment horizontal="left"/>
      <protection/>
    </xf>
    <xf numFmtId="0" fontId="15" fillId="5" borderId="10" xfId="0" applyFont="1" applyFill="1" applyBorder="1" applyAlignment="1" applyProtection="1">
      <alignment/>
      <protection/>
    </xf>
    <xf numFmtId="0" fontId="12" fillId="5" borderId="6" xfId="0" applyFont="1" applyFill="1" applyBorder="1" applyAlignment="1" applyProtection="1">
      <alignment/>
      <protection/>
    </xf>
    <xf numFmtId="0" fontId="12" fillId="5" borderId="5" xfId="0" applyFont="1" applyFill="1" applyBorder="1" applyAlignment="1" applyProtection="1">
      <alignment horizontal="center"/>
      <protection/>
    </xf>
    <xf numFmtId="0" fontId="12" fillId="0" borderId="6" xfId="0" applyFont="1" applyBorder="1" applyAlignment="1" applyProtection="1">
      <alignment/>
      <protection/>
    </xf>
    <xf numFmtId="37" fontId="12" fillId="7" borderId="5" xfId="33"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178" fontId="15" fillId="0" borderId="0" xfId="0" applyNumberFormat="1" applyFont="1" applyFill="1" applyBorder="1" applyAlignment="1" applyProtection="1">
      <alignment horizontal="center" vertical="center"/>
      <protection/>
    </xf>
    <xf numFmtId="0" fontId="15" fillId="0" borderId="10" xfId="0" applyFont="1" applyBorder="1" applyAlignment="1" applyProtection="1">
      <alignment horizontal="left"/>
      <protection/>
    </xf>
    <xf numFmtId="3" fontId="12" fillId="0" borderId="6" xfId="0" applyNumberFormat="1" applyFont="1" applyFill="1" applyBorder="1" applyAlignment="1" applyProtection="1">
      <alignment horizontal="center"/>
      <protection/>
    </xf>
    <xf numFmtId="3" fontId="12" fillId="0" borderId="5" xfId="0" applyNumberFormat="1" applyFont="1" applyFill="1" applyBorder="1" applyAlignment="1" applyProtection="1">
      <alignment horizontal="right"/>
      <protection locked="0"/>
    </xf>
    <xf numFmtId="0" fontId="0" fillId="0" borderId="12" xfId="0" applyNumberFormat="1" applyBorder="1" applyAlignment="1" applyProtection="1">
      <alignment horizontal="right"/>
      <protection/>
    </xf>
    <xf numFmtId="0" fontId="0" fillId="0" borderId="12" xfId="0" applyBorder="1" applyAlignment="1" applyProtection="1">
      <alignment/>
      <protection/>
    </xf>
    <xf numFmtId="0" fontId="12" fillId="0" borderId="5" xfId="0" applyFont="1" applyBorder="1" applyAlignment="1" applyProtection="1">
      <alignment/>
      <protection/>
    </xf>
    <xf numFmtId="0" fontId="0" fillId="0" borderId="6" xfId="0" applyFill="1" applyBorder="1" applyAlignment="1" applyProtection="1">
      <alignment/>
      <protection/>
    </xf>
    <xf numFmtId="0" fontId="18" fillId="0" borderId="0" xfId="0" applyFont="1" applyAlignment="1" applyProtection="1">
      <alignment horizontal="left"/>
      <protection/>
    </xf>
    <xf numFmtId="187" fontId="12" fillId="0" borderId="0" xfId="0" applyNumberFormat="1" applyFont="1" applyFill="1" applyBorder="1" applyAlignment="1" applyProtection="1">
      <alignment horizontal="center"/>
      <protection/>
    </xf>
    <xf numFmtId="14" fontId="3" fillId="0" borderId="0" xfId="0" applyNumberFormat="1" applyFont="1" applyFill="1" applyBorder="1" applyAlignment="1" applyProtection="1">
      <alignment horizontal="center" vertical="center"/>
      <protection/>
    </xf>
    <xf numFmtId="182" fontId="3" fillId="0" borderId="0" xfId="0" applyNumberFormat="1" applyFont="1" applyFill="1" applyBorder="1" applyAlignment="1" applyProtection="1">
      <alignment horizontal="center" vertical="center"/>
      <protection/>
    </xf>
    <xf numFmtId="182" fontId="30" fillId="0" borderId="0" xfId="0" applyNumberFormat="1" applyFont="1" applyFill="1" applyBorder="1" applyAlignment="1" applyProtection="1">
      <alignment horizontal="center" vertical="center"/>
      <protection/>
    </xf>
    <xf numFmtId="3" fontId="0" fillId="0" borderId="0" xfId="0" applyNumberFormat="1" applyFill="1" applyBorder="1" applyAlignment="1" applyProtection="1">
      <alignment/>
      <protection/>
    </xf>
    <xf numFmtId="177" fontId="12" fillId="0" borderId="0" xfId="0" applyNumberFormat="1" applyFont="1" applyFill="1" applyBorder="1" applyAlignment="1" applyProtection="1">
      <alignment vertical="center" wrapText="1"/>
      <protection/>
    </xf>
    <xf numFmtId="177" fontId="12" fillId="0" borderId="0" xfId="0" applyNumberFormat="1" applyFont="1" applyFill="1" applyBorder="1" applyAlignment="1" applyProtection="1">
      <alignment horizontal="center"/>
      <protection/>
    </xf>
    <xf numFmtId="178" fontId="15" fillId="0" borderId="0" xfId="0" applyNumberFormat="1" applyFont="1" applyBorder="1" applyAlignment="1" applyProtection="1">
      <alignment horizontal="center" vertical="center"/>
      <protection/>
    </xf>
    <xf numFmtId="0" fontId="0" fillId="5" borderId="0" xfId="0" applyFill="1" applyAlignment="1" applyProtection="1">
      <alignment/>
      <protection/>
    </xf>
    <xf numFmtId="9" fontId="12" fillId="0" borderId="0" xfId="0" applyNumberFormat="1" applyFont="1" applyFill="1" applyBorder="1" applyAlignment="1" applyProtection="1">
      <alignment horizontal="center"/>
      <protection/>
    </xf>
    <xf numFmtId="0" fontId="12" fillId="0" borderId="10" xfId="0" applyFont="1" applyFill="1" applyBorder="1" applyAlignment="1" applyProtection="1">
      <alignment/>
      <protection/>
    </xf>
    <xf numFmtId="0" fontId="12" fillId="0" borderId="6" xfId="0" applyFont="1" applyFill="1" applyBorder="1" applyAlignment="1" applyProtection="1">
      <alignment/>
      <protection/>
    </xf>
    <xf numFmtId="0" fontId="12" fillId="0" borderId="0" xfId="0" applyFont="1" applyFill="1" applyAlignment="1" applyProtection="1">
      <alignment/>
      <protection/>
    </xf>
    <xf numFmtId="0" fontId="0" fillId="0" borderId="0" xfId="0" applyFont="1" applyAlignment="1">
      <alignment horizontal="left"/>
    </xf>
    <xf numFmtId="2" fontId="0" fillId="9" borderId="5" xfId="0" applyNumberFormat="1" applyFont="1" applyFill="1" applyBorder="1" applyAlignment="1">
      <alignment horizontal="left"/>
    </xf>
    <xf numFmtId="2" fontId="0" fillId="8" borderId="28" xfId="0" applyNumberFormat="1" applyFill="1" applyBorder="1" applyAlignment="1">
      <alignment horizontal="left"/>
    </xf>
    <xf numFmtId="2" fontId="0" fillId="8" borderId="33" xfId="0" applyNumberFormat="1" applyFill="1" applyBorder="1" applyAlignment="1">
      <alignment horizontal="left"/>
    </xf>
    <xf numFmtId="2" fontId="0" fillId="0" borderId="22" xfId="0" applyNumberFormat="1" applyFont="1" applyBorder="1" applyAlignment="1">
      <alignment horizontal="left" wrapText="1"/>
    </xf>
    <xf numFmtId="2" fontId="0" fillId="0" borderId="23" xfId="0" applyNumberFormat="1" applyFont="1" applyBorder="1" applyAlignment="1">
      <alignment horizontal="left" wrapText="1"/>
    </xf>
    <xf numFmtId="2" fontId="0" fillId="0" borderId="5" xfId="0" applyNumberFormat="1" applyFont="1" applyBorder="1" applyAlignment="1">
      <alignment horizontal="left" wrapText="1"/>
    </xf>
    <xf numFmtId="2" fontId="0" fillId="0" borderId="25" xfId="0" applyNumberFormat="1" applyFont="1" applyBorder="1" applyAlignment="1">
      <alignment horizontal="left" wrapText="1"/>
    </xf>
    <xf numFmtId="2" fontId="0" fillId="0" borderId="27" xfId="0" applyNumberFormat="1" applyFont="1" applyBorder="1" applyAlignment="1">
      <alignment horizontal="left" wrapText="1"/>
    </xf>
    <xf numFmtId="2" fontId="0" fillId="0" borderId="28" xfId="0" applyNumberFormat="1" applyFont="1" applyBorder="1" applyAlignment="1">
      <alignment horizontal="left" wrapText="1"/>
    </xf>
    <xf numFmtId="2" fontId="0" fillId="0" borderId="34" xfId="36" applyNumberFormat="1" applyFont="1" applyFill="1" applyBorder="1" applyAlignment="1" applyProtection="1">
      <alignment horizontal="left" vertical="center"/>
      <protection/>
    </xf>
    <xf numFmtId="2" fontId="0" fillId="0" borderId="21" xfId="0" applyNumberFormat="1" applyFont="1" applyBorder="1" applyAlignment="1">
      <alignment horizontal="left"/>
    </xf>
    <xf numFmtId="2" fontId="0" fillId="0" borderId="22" xfId="0" applyNumberFormat="1" applyFont="1" applyBorder="1" applyAlignment="1">
      <alignment horizontal="left"/>
    </xf>
    <xf numFmtId="2" fontId="0" fillId="0" borderId="0" xfId="0" applyNumberFormat="1" applyAlignment="1">
      <alignment/>
    </xf>
    <xf numFmtId="2" fontId="0" fillId="0" borderId="21" xfId="0" applyNumberFormat="1" applyBorder="1" applyAlignment="1">
      <alignment/>
    </xf>
    <xf numFmtId="2" fontId="0" fillId="0" borderId="22" xfId="0" applyNumberFormat="1" applyBorder="1" applyAlignment="1">
      <alignment/>
    </xf>
    <xf numFmtId="2" fontId="0" fillId="7" borderId="22" xfId="0" applyNumberFormat="1" applyFill="1" applyBorder="1" applyAlignment="1">
      <alignment horizontal="left"/>
    </xf>
    <xf numFmtId="2" fontId="0" fillId="0" borderId="35" xfId="36" applyNumberFormat="1" applyFont="1" applyFill="1" applyBorder="1" applyAlignment="1" applyProtection="1">
      <alignment horizontal="left" vertical="center"/>
      <protection/>
    </xf>
    <xf numFmtId="2" fontId="0" fillId="0" borderId="24" xfId="0" applyNumberFormat="1" applyFont="1" applyBorder="1" applyAlignment="1">
      <alignment horizontal="left"/>
    </xf>
    <xf numFmtId="2" fontId="0" fillId="0" borderId="5" xfId="0" applyNumberFormat="1" applyFont="1" applyBorder="1" applyAlignment="1">
      <alignment horizontal="left"/>
    </xf>
    <xf numFmtId="2" fontId="0" fillId="0" borderId="24" xfId="0" applyNumberFormat="1" applyBorder="1" applyAlignment="1">
      <alignment/>
    </xf>
    <xf numFmtId="2" fontId="0" fillId="0" borderId="5" xfId="0" applyNumberFormat="1" applyBorder="1" applyAlignment="1">
      <alignment/>
    </xf>
    <xf numFmtId="2" fontId="0" fillId="0" borderId="36" xfId="36" applyNumberFormat="1" applyFont="1" applyFill="1" applyBorder="1" applyAlignment="1" applyProtection="1">
      <alignment horizontal="left" vertical="center"/>
      <protection/>
    </xf>
    <xf numFmtId="2" fontId="0" fillId="0" borderId="26" xfId="0" applyNumberFormat="1" applyFont="1" applyBorder="1" applyAlignment="1">
      <alignment horizontal="left"/>
    </xf>
    <xf numFmtId="2" fontId="0" fillId="0" borderId="27" xfId="0" applyNumberFormat="1" applyFont="1" applyBorder="1" applyAlignment="1">
      <alignment horizontal="left"/>
    </xf>
    <xf numFmtId="2" fontId="0" fillId="0" borderId="26" xfId="0" applyNumberFormat="1" applyBorder="1" applyAlignment="1">
      <alignment/>
    </xf>
    <xf numFmtId="2" fontId="0" fillId="0" borderId="27" xfId="0" applyNumberFormat="1" applyBorder="1" applyAlignment="1">
      <alignment/>
    </xf>
    <xf numFmtId="2" fontId="0" fillId="7" borderId="27" xfId="0" applyNumberFormat="1" applyFill="1" applyBorder="1" applyAlignment="1">
      <alignment horizontal="left"/>
    </xf>
    <xf numFmtId="2" fontId="0" fillId="7" borderId="28" xfId="0" applyNumberFormat="1" applyFill="1" applyBorder="1" applyAlignment="1">
      <alignment horizontal="left"/>
    </xf>
    <xf numFmtId="2" fontId="0" fillId="0" borderId="0" xfId="0" applyNumberFormat="1" applyFont="1" applyAlignment="1">
      <alignment horizontal="left"/>
    </xf>
    <xf numFmtId="2" fontId="0" fillId="0" borderId="37" xfId="36" applyNumberFormat="1" applyFont="1" applyFill="1" applyBorder="1" applyAlignment="1" applyProtection="1">
      <alignment horizontal="left" vertical="center"/>
      <protection/>
    </xf>
    <xf numFmtId="2" fontId="0" fillId="0" borderId="21" xfId="0" applyNumberFormat="1" applyFont="1" applyBorder="1" applyAlignment="1">
      <alignment horizontal="left" wrapText="1"/>
    </xf>
    <xf numFmtId="2" fontId="0" fillId="7" borderId="21" xfId="0" applyNumberFormat="1" applyFill="1" applyBorder="1" applyAlignment="1">
      <alignment horizontal="left"/>
    </xf>
    <xf numFmtId="2" fontId="0" fillId="0" borderId="38" xfId="36" applyNumberFormat="1" applyFont="1" applyFill="1" applyBorder="1" applyAlignment="1" applyProtection="1">
      <alignment horizontal="left" vertical="center"/>
      <protection/>
    </xf>
    <xf numFmtId="2" fontId="0" fillId="0" borderId="24" xfId="0" applyNumberFormat="1" applyFont="1" applyBorder="1" applyAlignment="1">
      <alignment horizontal="left" wrapText="1"/>
    </xf>
    <xf numFmtId="2" fontId="0" fillId="7" borderId="24" xfId="0" applyNumberFormat="1" applyFill="1" applyBorder="1" applyAlignment="1">
      <alignment horizontal="left"/>
    </xf>
    <xf numFmtId="2" fontId="0" fillId="0" borderId="39" xfId="36" applyNumberFormat="1" applyFont="1" applyFill="1" applyBorder="1" applyAlignment="1" applyProtection="1">
      <alignment horizontal="left" vertical="center"/>
      <protection/>
    </xf>
    <xf numFmtId="2" fontId="0" fillId="0" borderId="26" xfId="0" applyNumberFormat="1" applyFont="1" applyBorder="1" applyAlignment="1">
      <alignment horizontal="left" wrapText="1"/>
    </xf>
    <xf numFmtId="2" fontId="0" fillId="7" borderId="26" xfId="0" applyNumberFormat="1" applyFill="1" applyBorder="1" applyAlignment="1">
      <alignment horizontal="left"/>
    </xf>
    <xf numFmtId="2" fontId="10" fillId="0" borderId="0" xfId="0" applyNumberFormat="1" applyFont="1" applyAlignment="1">
      <alignment horizontal="left"/>
    </xf>
    <xf numFmtId="2" fontId="0" fillId="0" borderId="34" xfId="36" applyNumberFormat="1" applyFont="1" applyFill="1" applyBorder="1" applyAlignment="1" applyProtection="1">
      <alignment horizontal="left"/>
      <protection/>
    </xf>
    <xf numFmtId="2" fontId="0" fillId="0" borderId="21" xfId="0" applyNumberFormat="1" applyFill="1" applyBorder="1" applyAlignment="1">
      <alignment horizontal="left"/>
    </xf>
    <xf numFmtId="2" fontId="0" fillId="0" borderId="22" xfId="0" applyNumberFormat="1" applyFill="1" applyBorder="1" applyAlignment="1">
      <alignment horizontal="left"/>
    </xf>
    <xf numFmtId="2" fontId="0" fillId="0" borderId="35" xfId="36" applyNumberFormat="1" applyFont="1" applyFill="1" applyBorder="1" applyAlignment="1" applyProtection="1">
      <alignment horizontal="left"/>
      <protection/>
    </xf>
    <xf numFmtId="2" fontId="0" fillId="0" borderId="24" xfId="0" applyNumberFormat="1" applyFill="1" applyBorder="1" applyAlignment="1">
      <alignment horizontal="left"/>
    </xf>
    <xf numFmtId="2" fontId="0" fillId="0" borderId="40" xfId="36" applyNumberFormat="1" applyFont="1" applyFill="1" applyBorder="1" applyAlignment="1" applyProtection="1">
      <alignment horizontal="left"/>
      <protection/>
    </xf>
    <xf numFmtId="2" fontId="0" fillId="0" borderId="41" xfId="0" applyNumberFormat="1" applyFill="1" applyBorder="1" applyAlignment="1">
      <alignment horizontal="left"/>
    </xf>
    <xf numFmtId="2" fontId="0" fillId="7" borderId="42" xfId="0" applyNumberFormat="1" applyFill="1" applyBorder="1" applyAlignment="1">
      <alignment horizontal="left"/>
    </xf>
    <xf numFmtId="2" fontId="0" fillId="0" borderId="42" xfId="0" applyNumberFormat="1" applyFill="1" applyBorder="1" applyAlignment="1">
      <alignment horizontal="left"/>
    </xf>
    <xf numFmtId="2" fontId="0" fillId="0" borderId="36" xfId="36" applyNumberFormat="1" applyFont="1" applyFill="1" applyBorder="1" applyAlignment="1" applyProtection="1">
      <alignment horizontal="left"/>
      <protection/>
    </xf>
    <xf numFmtId="2" fontId="0" fillId="0" borderId="26" xfId="0" applyNumberFormat="1" applyFill="1" applyBorder="1" applyAlignment="1">
      <alignment horizontal="left"/>
    </xf>
    <xf numFmtId="2" fontId="0" fillId="0" borderId="27" xfId="0" applyNumberFormat="1" applyFill="1" applyBorder="1" applyAlignment="1">
      <alignment horizontal="left"/>
    </xf>
    <xf numFmtId="2" fontId="0" fillId="0" borderId="37" xfId="36" applyNumberFormat="1" applyFont="1" applyFill="1" applyBorder="1" applyAlignment="1" applyProtection="1">
      <alignment horizontal="left"/>
      <protection/>
    </xf>
    <xf numFmtId="2" fontId="0" fillId="0" borderId="38" xfId="36" applyNumberFormat="1" applyFont="1" applyFill="1" applyBorder="1" applyAlignment="1" applyProtection="1">
      <alignment horizontal="left"/>
      <protection/>
    </xf>
    <xf numFmtId="2" fontId="0" fillId="0" borderId="39" xfId="36" applyNumberFormat="1" applyFont="1" applyFill="1" applyBorder="1" applyAlignment="1" applyProtection="1">
      <alignment horizontal="left"/>
      <protection/>
    </xf>
    <xf numFmtId="2" fontId="0" fillId="7" borderId="30" xfId="0" applyNumberFormat="1" applyFill="1" applyBorder="1" applyAlignment="1">
      <alignment horizontal="left"/>
    </xf>
    <xf numFmtId="2" fontId="0" fillId="7" borderId="31" xfId="0" applyNumberFormat="1" applyFill="1" applyBorder="1" applyAlignment="1">
      <alignment horizontal="left"/>
    </xf>
    <xf numFmtId="2" fontId="0" fillId="7" borderId="32" xfId="0" applyNumberFormat="1" applyFill="1" applyBorder="1" applyAlignment="1">
      <alignment horizontal="left"/>
    </xf>
    <xf numFmtId="2" fontId="0" fillId="8" borderId="21" xfId="0" applyNumberFormat="1" applyFill="1" applyBorder="1" applyAlignment="1">
      <alignment horizontal="left"/>
    </xf>
    <xf numFmtId="2" fontId="0" fillId="8" borderId="22" xfId="0" applyNumberFormat="1" applyFill="1" applyBorder="1" applyAlignment="1">
      <alignment horizontal="left"/>
    </xf>
    <xf numFmtId="2" fontId="0" fillId="8" borderId="23" xfId="0" applyNumberFormat="1" applyFill="1" applyBorder="1" applyAlignment="1">
      <alignment horizontal="left"/>
    </xf>
    <xf numFmtId="2" fontId="0" fillId="8" borderId="24" xfId="0" applyNumberFormat="1" applyFill="1" applyBorder="1" applyAlignment="1">
      <alignment horizontal="left"/>
    </xf>
    <xf numFmtId="2" fontId="0" fillId="8" borderId="26" xfId="0" applyNumberFormat="1" applyFill="1" applyBorder="1" applyAlignment="1">
      <alignment horizontal="left"/>
    </xf>
    <xf numFmtId="2" fontId="0" fillId="8" borderId="27" xfId="0" applyNumberFormat="1" applyFill="1" applyBorder="1" applyAlignment="1">
      <alignment horizontal="left"/>
    </xf>
    <xf numFmtId="2" fontId="0" fillId="0" borderId="3" xfId="36" applyNumberFormat="1" applyFont="1" applyFill="1" applyBorder="1" applyAlignment="1" applyProtection="1">
      <alignment horizontal="left"/>
      <protection/>
    </xf>
    <xf numFmtId="2" fontId="0" fillId="0" borderId="43" xfId="0" applyNumberFormat="1" applyFont="1" applyBorder="1" applyAlignment="1">
      <alignment horizontal="left" wrapText="1"/>
    </xf>
    <xf numFmtId="2" fontId="0" fillId="0" borderId="13" xfId="0" applyNumberFormat="1" applyFont="1" applyBorder="1" applyAlignment="1">
      <alignment horizontal="left" wrapText="1"/>
    </xf>
    <xf numFmtId="2" fontId="0" fillId="0" borderId="33" xfId="0" applyNumberFormat="1" applyFont="1" applyBorder="1" applyAlignment="1">
      <alignment horizontal="left"/>
    </xf>
    <xf numFmtId="2" fontId="0" fillId="8" borderId="43" xfId="0" applyNumberFormat="1" applyFill="1" applyBorder="1" applyAlignment="1">
      <alignment horizontal="left"/>
    </xf>
    <xf numFmtId="2" fontId="0" fillId="8" borderId="13" xfId="0" applyNumberFormat="1" applyFill="1" applyBorder="1" applyAlignment="1">
      <alignment horizontal="left"/>
    </xf>
    <xf numFmtId="2" fontId="0" fillId="8" borderId="30" xfId="0" applyNumberFormat="1" applyFill="1" applyBorder="1" applyAlignment="1">
      <alignment horizontal="left"/>
    </xf>
    <xf numFmtId="2" fontId="0" fillId="8" borderId="31" xfId="0" applyNumberFormat="1" applyFill="1" applyBorder="1" applyAlignment="1">
      <alignment horizontal="left"/>
    </xf>
    <xf numFmtId="2" fontId="0" fillId="8" borderId="32" xfId="0" applyNumberFormat="1" applyFill="1" applyBorder="1" applyAlignment="1">
      <alignment horizontal="left"/>
    </xf>
    <xf numFmtId="2" fontId="0" fillId="9" borderId="34" xfId="36" applyNumberFormat="1" applyFont="1" applyFill="1" applyBorder="1" applyAlignment="1" applyProtection="1">
      <alignment horizontal="left"/>
      <protection/>
    </xf>
    <xf numFmtId="2" fontId="0" fillId="9" borderId="21" xfId="0" applyNumberFormat="1" applyFont="1" applyFill="1" applyBorder="1" applyAlignment="1">
      <alignment horizontal="left"/>
    </xf>
    <xf numFmtId="2" fontId="0" fillId="9" borderId="22" xfId="0" applyNumberFormat="1" applyFont="1" applyFill="1" applyBorder="1" applyAlignment="1">
      <alignment horizontal="left"/>
    </xf>
    <xf numFmtId="2" fontId="0" fillId="9" borderId="23" xfId="0" applyNumberFormat="1" applyFont="1" applyFill="1" applyBorder="1" applyAlignment="1">
      <alignment horizontal="left"/>
    </xf>
    <xf numFmtId="2" fontId="0" fillId="9" borderId="0" xfId="0" applyNumberFormat="1" applyFont="1" applyFill="1" applyAlignment="1">
      <alignment/>
    </xf>
    <xf numFmtId="2" fontId="0" fillId="9" borderId="21" xfId="0" applyNumberFormat="1" applyFont="1" applyFill="1" applyBorder="1" applyAlignment="1">
      <alignment horizontal="left"/>
    </xf>
    <xf numFmtId="2" fontId="0" fillId="9" borderId="22" xfId="0" applyNumberFormat="1" applyFont="1" applyFill="1" applyBorder="1" applyAlignment="1">
      <alignment horizontal="left"/>
    </xf>
    <xf numFmtId="2" fontId="0" fillId="9" borderId="23" xfId="0" applyNumberFormat="1" applyFont="1" applyFill="1" applyBorder="1" applyAlignment="1">
      <alignment horizontal="left"/>
    </xf>
    <xf numFmtId="2" fontId="0" fillId="9" borderId="35" xfId="36" applyNumberFormat="1" applyFont="1" applyFill="1" applyBorder="1" applyAlignment="1" applyProtection="1">
      <alignment horizontal="left"/>
      <protection/>
    </xf>
    <xf numFmtId="2" fontId="0" fillId="9" borderId="24" xfId="0" applyNumberFormat="1" applyFont="1" applyFill="1" applyBorder="1" applyAlignment="1">
      <alignment horizontal="left"/>
    </xf>
    <xf numFmtId="2" fontId="0" fillId="9" borderId="25" xfId="0" applyNumberFormat="1" applyFont="1" applyFill="1" applyBorder="1" applyAlignment="1">
      <alignment horizontal="left"/>
    </xf>
    <xf numFmtId="2" fontId="0" fillId="9" borderId="24" xfId="0" applyNumberFormat="1" applyFont="1" applyFill="1" applyBorder="1" applyAlignment="1">
      <alignment horizontal="left"/>
    </xf>
    <xf numFmtId="2" fontId="0" fillId="9" borderId="25" xfId="0" applyNumberFormat="1" applyFont="1" applyFill="1" applyBorder="1" applyAlignment="1">
      <alignment horizontal="left"/>
    </xf>
    <xf numFmtId="2" fontId="0" fillId="9" borderId="36" xfId="36" applyNumberFormat="1" applyFont="1" applyFill="1" applyBorder="1" applyAlignment="1" applyProtection="1">
      <alignment horizontal="left"/>
      <protection/>
    </xf>
    <xf numFmtId="2" fontId="0" fillId="9" borderId="26" xfId="0" applyNumberFormat="1" applyFont="1" applyFill="1" applyBorder="1" applyAlignment="1">
      <alignment horizontal="left"/>
    </xf>
    <xf numFmtId="2" fontId="0" fillId="9" borderId="27" xfId="0" applyNumberFormat="1" applyFont="1" applyFill="1" applyBorder="1" applyAlignment="1">
      <alignment horizontal="left"/>
    </xf>
    <xf numFmtId="2" fontId="0" fillId="9" borderId="28" xfId="0" applyNumberFormat="1" applyFont="1" applyFill="1" applyBorder="1" applyAlignment="1">
      <alignment horizontal="left"/>
    </xf>
    <xf numFmtId="2" fontId="0" fillId="9" borderId="0" xfId="0" applyNumberFormat="1" applyFill="1" applyAlignment="1">
      <alignment/>
    </xf>
    <xf numFmtId="2" fontId="0" fillId="9" borderId="21" xfId="0" applyNumberFormat="1" applyFill="1" applyBorder="1" applyAlignment="1">
      <alignment horizontal="left"/>
    </xf>
    <xf numFmtId="2" fontId="0" fillId="9" borderId="22" xfId="0" applyNumberFormat="1" applyFill="1" applyBorder="1" applyAlignment="1">
      <alignment horizontal="left"/>
    </xf>
    <xf numFmtId="2" fontId="0" fillId="9" borderId="23" xfId="0" applyNumberFormat="1" applyFill="1" applyBorder="1" applyAlignment="1">
      <alignment horizontal="left"/>
    </xf>
    <xf numFmtId="2" fontId="0" fillId="9" borderId="24" xfId="0" applyNumberFormat="1" applyFill="1" applyBorder="1" applyAlignment="1">
      <alignment horizontal="left"/>
    </xf>
    <xf numFmtId="2" fontId="0" fillId="9" borderId="25" xfId="0" applyNumberFormat="1" applyFill="1" applyBorder="1" applyAlignment="1">
      <alignment horizontal="left"/>
    </xf>
    <xf numFmtId="2" fontId="0" fillId="9" borderId="26" xfId="0" applyNumberFormat="1" applyFill="1" applyBorder="1" applyAlignment="1">
      <alignment horizontal="left"/>
    </xf>
    <xf numFmtId="2" fontId="0" fillId="9" borderId="27" xfId="0" applyNumberFormat="1" applyFill="1" applyBorder="1" applyAlignment="1">
      <alignment horizontal="left"/>
    </xf>
    <xf numFmtId="2" fontId="0" fillId="9" borderId="28" xfId="0" applyNumberFormat="1" applyFill="1" applyBorder="1" applyAlignment="1">
      <alignment horizontal="left"/>
    </xf>
    <xf numFmtId="2" fontId="0" fillId="5" borderId="14" xfId="0" applyNumberFormat="1" applyFont="1" applyFill="1" applyBorder="1" applyAlignment="1">
      <alignment horizontal="left"/>
    </xf>
    <xf numFmtId="2" fontId="0" fillId="0" borderId="44" xfId="0" applyNumberFormat="1" applyFill="1" applyBorder="1" applyAlignment="1">
      <alignment/>
    </xf>
    <xf numFmtId="2" fontId="0" fillId="5" borderId="3" xfId="0" applyNumberFormat="1" applyFill="1" applyBorder="1" applyAlignment="1">
      <alignment horizontal="left"/>
    </xf>
    <xf numFmtId="2" fontId="0" fillId="5" borderId="18" xfId="0" applyNumberFormat="1" applyFont="1" applyFill="1" applyBorder="1" applyAlignment="1">
      <alignment horizontal="left"/>
    </xf>
    <xf numFmtId="2" fontId="0" fillId="0" borderId="45" xfId="0" applyNumberFormat="1" applyFont="1" applyBorder="1" applyAlignment="1">
      <alignment horizontal="left"/>
    </xf>
    <xf numFmtId="2" fontId="0" fillId="0" borderId="34" xfId="0" applyNumberFormat="1" applyFont="1" applyBorder="1" applyAlignment="1">
      <alignment horizontal="left" vertical="top" wrapText="1"/>
    </xf>
    <xf numFmtId="2" fontId="0" fillId="0" borderId="0" xfId="0" applyNumberFormat="1" applyBorder="1" applyAlignment="1">
      <alignment/>
    </xf>
    <xf numFmtId="2" fontId="0" fillId="8" borderId="34" xfId="0" applyNumberFormat="1" applyFill="1" applyBorder="1" applyAlignment="1">
      <alignment horizontal="left"/>
    </xf>
    <xf numFmtId="2" fontId="0" fillId="0" borderId="6" xfId="0" applyNumberFormat="1" applyFont="1" applyBorder="1" applyAlignment="1">
      <alignment horizontal="left"/>
    </xf>
    <xf numFmtId="2" fontId="0" fillId="0" borderId="35" xfId="0" applyNumberFormat="1" applyFont="1" applyBorder="1" applyAlignment="1">
      <alignment horizontal="left" vertical="top" wrapText="1"/>
    </xf>
    <xf numFmtId="2" fontId="0" fillId="8" borderId="35" xfId="0" applyNumberFormat="1" applyFill="1" applyBorder="1" applyAlignment="1">
      <alignment horizontal="left"/>
    </xf>
    <xf numFmtId="2" fontId="0" fillId="0" borderId="46" xfId="0" applyNumberFormat="1" applyFont="1" applyBorder="1" applyAlignment="1">
      <alignment horizontal="left"/>
    </xf>
    <xf numFmtId="2" fontId="0" fillId="0" borderId="36" xfId="0" applyNumberFormat="1" applyFont="1" applyBorder="1" applyAlignment="1">
      <alignment horizontal="left" vertical="top" wrapText="1"/>
    </xf>
    <xf numFmtId="2" fontId="0" fillId="8" borderId="36" xfId="0" applyNumberFormat="1" applyFill="1" applyBorder="1" applyAlignment="1">
      <alignment horizontal="left"/>
    </xf>
    <xf numFmtId="2" fontId="0" fillId="7" borderId="34" xfId="0" applyNumberFormat="1" applyFill="1" applyBorder="1" applyAlignment="1">
      <alignment horizontal="left"/>
    </xf>
    <xf numFmtId="2" fontId="0" fillId="7" borderId="35" xfId="0" applyNumberFormat="1" applyFill="1" applyBorder="1" applyAlignment="1">
      <alignment horizontal="left"/>
    </xf>
    <xf numFmtId="2" fontId="0" fillId="7" borderId="36" xfId="0" applyNumberFormat="1" applyFill="1" applyBorder="1" applyAlignment="1">
      <alignment horizontal="left"/>
    </xf>
    <xf numFmtId="0" fontId="12" fillId="0" borderId="47" xfId="0" applyFont="1" applyBorder="1" applyAlignment="1" applyProtection="1">
      <alignment horizontal="center"/>
      <protection/>
    </xf>
    <xf numFmtId="0" fontId="31" fillId="10" borderId="14" xfId="0" applyFont="1" applyFill="1" applyBorder="1" applyAlignment="1" applyProtection="1">
      <alignment/>
      <protection/>
    </xf>
    <xf numFmtId="0" fontId="32" fillId="10" borderId="20" xfId="0" applyFont="1" applyFill="1" applyBorder="1" applyAlignment="1" applyProtection="1">
      <alignment/>
      <protection/>
    </xf>
    <xf numFmtId="0" fontId="0" fillId="0" borderId="0" xfId="0" applyFill="1" applyBorder="1" applyAlignment="1" applyProtection="1">
      <alignment horizontal="center"/>
      <protection/>
    </xf>
    <xf numFmtId="0" fontId="15" fillId="0" borderId="48" xfId="0" applyFont="1" applyBorder="1" applyAlignment="1" applyProtection="1">
      <alignment/>
      <protection/>
    </xf>
    <xf numFmtId="0" fontId="12" fillId="0" borderId="48" xfId="0" applyFont="1" applyBorder="1" applyAlignment="1" applyProtection="1">
      <alignment/>
      <protection/>
    </xf>
    <xf numFmtId="0" fontId="31" fillId="10" borderId="14" xfId="0" applyFont="1" applyFill="1" applyBorder="1" applyAlignment="1" applyProtection="1">
      <alignment horizontal="center"/>
      <protection/>
    </xf>
    <xf numFmtId="0" fontId="31" fillId="10" borderId="20" xfId="0" applyFont="1" applyFill="1" applyBorder="1" applyAlignment="1" applyProtection="1">
      <alignment horizontal="center"/>
      <protection/>
    </xf>
    <xf numFmtId="0" fontId="12" fillId="0" borderId="49" xfId="0" applyFont="1" applyBorder="1" applyAlignment="1" applyProtection="1">
      <alignment/>
      <protection/>
    </xf>
    <xf numFmtId="3" fontId="12" fillId="0" borderId="5" xfId="0" applyNumberFormat="1" applyFont="1" applyFill="1" applyBorder="1" applyAlignment="1" applyProtection="1">
      <alignment/>
      <protection locked="0"/>
    </xf>
    <xf numFmtId="43" fontId="12" fillId="0" borderId="5" xfId="0" applyNumberFormat="1" applyFont="1" applyFill="1" applyBorder="1" applyAlignment="1" applyProtection="1">
      <alignment/>
      <protection locked="0"/>
    </xf>
    <xf numFmtId="44" fontId="0" fillId="0" borderId="17" xfId="0" applyNumberFormat="1" applyBorder="1" applyAlignment="1" applyProtection="1">
      <alignment/>
      <protection/>
    </xf>
    <xf numFmtId="44" fontId="0" fillId="0" borderId="19" xfId="0" applyNumberFormat="1" applyFont="1" applyBorder="1" applyAlignment="1" applyProtection="1">
      <alignment/>
      <protection/>
    </xf>
    <xf numFmtId="41" fontId="0" fillId="0" borderId="12" xfId="0" applyNumberFormat="1" applyBorder="1" applyAlignment="1" applyProtection="1">
      <alignment horizontal="right"/>
      <protection/>
    </xf>
    <xf numFmtId="44" fontId="0" fillId="0" borderId="2" xfId="0" applyNumberFormat="1" applyBorder="1" applyAlignment="1" applyProtection="1">
      <alignment/>
      <protection/>
    </xf>
    <xf numFmtId="44" fontId="0" fillId="0" borderId="50" xfId="0" applyNumberFormat="1" applyFont="1" applyBorder="1" applyAlignment="1" applyProtection="1">
      <alignment/>
      <protection/>
    </xf>
    <xf numFmtId="44" fontId="0" fillId="0" borderId="51" xfId="0" applyNumberFormat="1" applyBorder="1" applyAlignment="1" applyProtection="1">
      <alignment/>
      <protection/>
    </xf>
    <xf numFmtId="44" fontId="0" fillId="0" borderId="52" xfId="0" applyNumberFormat="1" applyFont="1" applyBorder="1" applyAlignment="1" applyProtection="1">
      <alignment/>
      <protection/>
    </xf>
    <xf numFmtId="0" fontId="12" fillId="0" borderId="0" xfId="0" applyFont="1" applyFill="1" applyBorder="1" applyAlignment="1" applyProtection="1">
      <alignment horizontal="center"/>
      <protection/>
    </xf>
    <xf numFmtId="3" fontId="12" fillId="0" borderId="0" xfId="0" applyNumberFormat="1" applyFont="1" applyFill="1" applyBorder="1" applyAlignment="1" applyProtection="1">
      <alignment/>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15" fillId="0" borderId="48" xfId="0" applyFont="1" applyBorder="1" applyAlignment="1" applyProtection="1">
      <alignment horizontal="center"/>
      <protection/>
    </xf>
    <xf numFmtId="0" fontId="15" fillId="5" borderId="6" xfId="0" applyFont="1" applyFill="1" applyBorder="1" applyAlignment="1" applyProtection="1">
      <alignment horizontal="left"/>
      <protection/>
    </xf>
    <xf numFmtId="0" fontId="15" fillId="0" borderId="0"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6" fillId="0" borderId="0" xfId="0" applyFont="1" applyAlignment="1" applyProtection="1">
      <alignment/>
      <protection/>
    </xf>
    <xf numFmtId="0" fontId="16"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44" fontId="0" fillId="0" borderId="0" xfId="0" applyNumberFormat="1" applyBorder="1" applyAlignment="1" applyProtection="1">
      <alignment/>
      <protection/>
    </xf>
    <xf numFmtId="44" fontId="0" fillId="0" borderId="0" xfId="0" applyNumberFormat="1" applyFont="1" applyBorder="1" applyAlignment="1" applyProtection="1">
      <alignment/>
      <protection/>
    </xf>
    <xf numFmtId="41" fontId="0" fillId="0" borderId="0" xfId="0" applyNumberFormat="1" applyBorder="1" applyAlignment="1" applyProtection="1">
      <alignment horizontal="right"/>
      <protection/>
    </xf>
    <xf numFmtId="0" fontId="15" fillId="0" borderId="0" xfId="0" applyFont="1" applyBorder="1" applyAlignment="1" applyProtection="1">
      <alignment horizontal="center"/>
      <protection/>
    </xf>
    <xf numFmtId="0" fontId="12" fillId="0" borderId="53" xfId="0" applyFont="1" applyBorder="1" applyAlignment="1" applyProtection="1">
      <alignment horizontal="center"/>
      <protection/>
    </xf>
    <xf numFmtId="0" fontId="12" fillId="0" borderId="10" xfId="0" applyFont="1" applyBorder="1" applyAlignment="1" applyProtection="1">
      <alignment horizontal="center"/>
      <protection/>
    </xf>
    <xf numFmtId="41" fontId="12" fillId="0" borderId="54" xfId="0" applyNumberFormat="1" applyFont="1" applyFill="1" applyBorder="1" applyAlignment="1" applyProtection="1">
      <alignment/>
      <protection/>
    </xf>
    <xf numFmtId="0" fontId="12" fillId="0" borderId="55" xfId="0" applyFont="1" applyFill="1" applyBorder="1" applyAlignment="1" applyProtection="1">
      <alignment/>
      <protection/>
    </xf>
    <xf numFmtId="0" fontId="12" fillId="0" borderId="54" xfId="0" applyFont="1" applyFill="1" applyBorder="1" applyAlignment="1" applyProtection="1">
      <alignment/>
      <protection/>
    </xf>
    <xf numFmtId="0" fontId="0" fillId="0" borderId="0" xfId="0" applyFont="1" applyAlignment="1" applyProtection="1">
      <alignment/>
      <protection/>
    </xf>
    <xf numFmtId="44" fontId="0" fillId="0" borderId="17" xfId="0" applyNumberFormat="1" applyFont="1" applyBorder="1" applyAlignment="1" applyProtection="1">
      <alignment/>
      <protection/>
    </xf>
    <xf numFmtId="44" fontId="0" fillId="0" borderId="2" xfId="0" applyNumberFormat="1" applyFont="1" applyBorder="1" applyAlignment="1" applyProtection="1">
      <alignment/>
      <protection/>
    </xf>
    <xf numFmtId="44" fontId="0" fillId="0" borderId="51" xfId="0" applyNumberFormat="1" applyFont="1" applyBorder="1" applyAlignment="1" applyProtection="1">
      <alignment/>
      <protection/>
    </xf>
    <xf numFmtId="44" fontId="23" fillId="0" borderId="0" xfId="0" applyNumberFormat="1" applyFont="1" applyBorder="1" applyAlignment="1" applyProtection="1">
      <alignment/>
      <protection/>
    </xf>
    <xf numFmtId="44" fontId="0" fillId="0" borderId="3" xfId="0" applyNumberFormat="1" applyBorder="1" applyAlignment="1" applyProtection="1">
      <alignment/>
      <protection/>
    </xf>
    <xf numFmtId="10" fontId="16" fillId="8" borderId="5" xfId="34" applyNumberFormat="1" applyFont="1" applyFill="1" applyBorder="1">
      <alignment/>
      <protection/>
    </xf>
    <xf numFmtId="10" fontId="16" fillId="7" borderId="5" xfId="34" applyNumberFormat="1" applyFont="1" applyFill="1" applyBorder="1">
      <alignment/>
      <protection/>
    </xf>
    <xf numFmtId="4" fontId="12" fillId="0" borderId="5" xfId="34" applyNumberFormat="1" applyFont="1" applyFill="1" applyBorder="1" applyAlignment="1">
      <alignment horizontal="left"/>
      <protection/>
    </xf>
    <xf numFmtId="0" fontId="31" fillId="10" borderId="0"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 xfId="0" applyFont="1" applyFill="1" applyBorder="1" applyAlignment="1" applyProtection="1">
      <alignment/>
      <protection/>
    </xf>
    <xf numFmtId="0" fontId="0" fillId="0" borderId="51" xfId="0" applyFont="1" applyFill="1" applyBorder="1" applyAlignment="1" applyProtection="1">
      <alignment/>
      <protection/>
    </xf>
    <xf numFmtId="0" fontId="0" fillId="0" borderId="6" xfId="0" applyBorder="1" applyAlignment="1" applyProtection="1">
      <alignment/>
      <protection/>
    </xf>
    <xf numFmtId="3" fontId="16" fillId="0" borderId="5" xfId="0" applyNumberFormat="1" applyFont="1" applyFill="1" applyBorder="1" applyAlignment="1" applyProtection="1">
      <alignment/>
      <protection locked="0"/>
    </xf>
    <xf numFmtId="43" fontId="16" fillId="0" borderId="5" xfId="0" applyNumberFormat="1" applyFont="1" applyFill="1" applyBorder="1" applyAlignment="1" applyProtection="1">
      <alignment/>
      <protection locked="0"/>
    </xf>
    <xf numFmtId="0" fontId="23" fillId="0" borderId="0" xfId="0" applyFont="1" applyAlignment="1">
      <alignment/>
    </xf>
    <xf numFmtId="0" fontId="0" fillId="0" borderId="0" xfId="0" applyFont="1" applyFill="1" applyBorder="1" applyAlignment="1" applyProtection="1">
      <alignment/>
      <protection/>
    </xf>
    <xf numFmtId="3" fontId="0" fillId="0" borderId="17" xfId="0" applyNumberFormat="1" applyFont="1" applyFill="1" applyBorder="1" applyAlignment="1" applyProtection="1">
      <alignment/>
      <protection/>
    </xf>
    <xf numFmtId="3" fontId="0" fillId="0" borderId="2" xfId="0" applyNumberFormat="1" applyFont="1" applyFill="1" applyBorder="1" applyAlignment="1" applyProtection="1">
      <alignment/>
      <protection/>
    </xf>
    <xf numFmtId="3" fontId="0" fillId="0" borderId="51" xfId="0" applyNumberFormat="1" applyFont="1" applyFill="1" applyBorder="1" applyAlignment="1" applyProtection="1">
      <alignment/>
      <protection/>
    </xf>
    <xf numFmtId="0" fontId="12" fillId="0" borderId="5" xfId="0" applyFont="1" applyFill="1" applyBorder="1" applyAlignment="1" applyProtection="1">
      <alignment horizontal="center"/>
      <protection/>
    </xf>
    <xf numFmtId="0" fontId="12" fillId="0" borderId="56" xfId="0" applyFont="1" applyBorder="1" applyAlignment="1" applyProtection="1">
      <alignment horizontal="center"/>
      <protection/>
    </xf>
    <xf numFmtId="0" fontId="12" fillId="0" borderId="56" xfId="0" applyFont="1" applyBorder="1" applyAlignment="1" applyProtection="1">
      <alignment/>
      <protection/>
    </xf>
    <xf numFmtId="10" fontId="12" fillId="0" borderId="0" xfId="34" applyNumberFormat="1" applyFont="1" applyFill="1" applyBorder="1">
      <alignment/>
      <protection/>
    </xf>
    <xf numFmtId="0" fontId="15" fillId="0" borderId="0" xfId="34" applyFont="1" applyFill="1" applyBorder="1">
      <alignment/>
      <protection/>
    </xf>
    <xf numFmtId="3" fontId="12" fillId="0" borderId="53" xfId="34" applyNumberFormat="1" applyFont="1" applyFill="1" applyBorder="1" applyProtection="1">
      <alignment/>
      <protection hidden="1"/>
    </xf>
    <xf numFmtId="0" fontId="12" fillId="0" borderId="53" xfId="34" applyFont="1" applyFill="1" applyBorder="1">
      <alignment/>
      <protection/>
    </xf>
    <xf numFmtId="4" fontId="12" fillId="0" borderId="53" xfId="34" applyNumberFormat="1" applyFont="1" applyFill="1" applyBorder="1">
      <alignment/>
      <protection/>
    </xf>
    <xf numFmtId="0" fontId="15" fillId="0" borderId="55" xfId="0" applyFont="1" applyBorder="1" applyAlignment="1">
      <alignment vertical="top" wrapText="1"/>
    </xf>
    <xf numFmtId="0" fontId="12" fillId="0" borderId="55" xfId="0" applyFont="1" applyBorder="1" applyAlignment="1">
      <alignment vertical="top" wrapText="1"/>
    </xf>
    <xf numFmtId="167" fontId="12" fillId="0" borderId="55" xfId="0" applyNumberFormat="1" applyFont="1" applyBorder="1" applyAlignment="1">
      <alignment vertical="top" wrapText="1"/>
    </xf>
    <xf numFmtId="10" fontId="16" fillId="0" borderId="5" xfId="34" applyNumberFormat="1" applyFont="1" applyFill="1" applyBorder="1">
      <alignment/>
      <protection/>
    </xf>
    <xf numFmtId="0" fontId="21" fillId="0" borderId="10" xfId="0" applyFont="1" applyBorder="1" applyAlignment="1" applyProtection="1">
      <alignment/>
      <protection/>
    </xf>
    <xf numFmtId="0" fontId="0" fillId="0" borderId="0" xfId="0" applyAlignment="1" applyProtection="1">
      <alignment horizontal="left"/>
      <protection/>
    </xf>
    <xf numFmtId="0" fontId="0" fillId="0" borderId="0" xfId="0" applyFill="1" applyAlignment="1" applyProtection="1">
      <alignment horizontal="left"/>
      <protection/>
    </xf>
    <xf numFmtId="0" fontId="0" fillId="0" borderId="0" xfId="0" applyBorder="1" applyAlignment="1" applyProtection="1">
      <alignment horizontal="left"/>
      <protection/>
    </xf>
    <xf numFmtId="0" fontId="15" fillId="0" borderId="0" xfId="0" applyFont="1" applyBorder="1" applyAlignment="1" applyProtection="1">
      <alignment horizontal="left"/>
      <protection/>
    </xf>
    <xf numFmtId="0" fontId="23" fillId="0" borderId="0" xfId="0" applyFont="1" applyFill="1" applyBorder="1" applyAlignment="1" applyProtection="1">
      <alignment/>
      <protection/>
    </xf>
    <xf numFmtId="0" fontId="0" fillId="0" borderId="3" xfId="0" applyFont="1" applyFill="1" applyBorder="1" applyAlignment="1" applyProtection="1">
      <alignment/>
      <protection/>
    </xf>
    <xf numFmtId="3" fontId="0" fillId="0" borderId="3" xfId="0" applyNumberFormat="1" applyFont="1" applyFill="1" applyBorder="1" applyAlignment="1" applyProtection="1">
      <alignment/>
      <protection/>
    </xf>
    <xf numFmtId="0" fontId="15" fillId="0" borderId="0" xfId="0" applyFont="1" applyFill="1" applyAlignment="1" applyProtection="1">
      <alignment horizontal="left"/>
      <protection/>
    </xf>
    <xf numFmtId="0" fontId="0" fillId="0" borderId="0" xfId="0" applyFont="1" applyFill="1" applyAlignment="1" applyProtection="1">
      <alignment/>
      <protection/>
    </xf>
    <xf numFmtId="0" fontId="15" fillId="5" borderId="53" xfId="0" applyFont="1" applyFill="1" applyBorder="1" applyAlignment="1" applyProtection="1">
      <alignment horizontal="center"/>
      <protection/>
    </xf>
    <xf numFmtId="0" fontId="15" fillId="5" borderId="12" xfId="0" applyFont="1" applyFill="1" applyBorder="1" applyAlignment="1" applyProtection="1">
      <alignment horizontal="center"/>
      <protection/>
    </xf>
    <xf numFmtId="0" fontId="15" fillId="5" borderId="42" xfId="0" applyFont="1" applyFill="1" applyBorder="1" applyAlignment="1" applyProtection="1">
      <alignment horizontal="center"/>
      <protection/>
    </xf>
    <xf numFmtId="0" fontId="11" fillId="9" borderId="43" xfId="0" applyNumberFormat="1" applyFont="1" applyFill="1" applyBorder="1" applyAlignment="1" applyProtection="1" quotePrefix="1">
      <alignment horizontal="center"/>
      <protection/>
    </xf>
    <xf numFmtId="0" fontId="19" fillId="6" borderId="3" xfId="0" applyFont="1" applyFill="1" applyBorder="1" applyAlignment="1" applyProtection="1">
      <alignment horizontal="center" vertical="center" wrapText="1"/>
      <protection/>
    </xf>
    <xf numFmtId="178" fontId="19" fillId="6" borderId="57" xfId="0" applyNumberFormat="1" applyFont="1" applyFill="1" applyBorder="1" applyAlignment="1" applyProtection="1">
      <alignment horizontal="center" vertical="center" wrapText="1"/>
      <protection/>
    </xf>
    <xf numFmtId="178" fontId="19" fillId="6" borderId="43" xfId="0" applyNumberFormat="1" applyFont="1" applyFill="1" applyBorder="1" applyAlignment="1" applyProtection="1">
      <alignment horizontal="center" vertical="center" wrapText="1"/>
      <protection/>
    </xf>
    <xf numFmtId="0" fontId="19" fillId="6" borderId="13" xfId="0" applyFont="1" applyFill="1" applyBorder="1" applyAlignment="1" applyProtection="1">
      <alignment horizontal="center" vertical="center" wrapText="1"/>
      <protection/>
    </xf>
    <xf numFmtId="178" fontId="19" fillId="6" borderId="33" xfId="0" applyNumberFormat="1" applyFont="1" applyFill="1" applyBorder="1" applyAlignment="1" applyProtection="1">
      <alignment horizontal="center" vertical="center" wrapText="1"/>
      <protection/>
    </xf>
    <xf numFmtId="178" fontId="11" fillId="0" borderId="33" xfId="0" applyNumberFormat="1" applyFont="1" applyFill="1" applyBorder="1" applyAlignment="1" applyProtection="1" quotePrefix="1">
      <alignment horizontal="center"/>
      <protection/>
    </xf>
    <xf numFmtId="178" fontId="11" fillId="0" borderId="43" xfId="0" applyNumberFormat="1" applyFont="1" applyFill="1" applyBorder="1" applyAlignment="1" applyProtection="1" quotePrefix="1">
      <alignment horizontal="center"/>
      <protection/>
    </xf>
    <xf numFmtId="37" fontId="11" fillId="9" borderId="13" xfId="0" applyNumberFormat="1" applyFont="1" applyFill="1" applyBorder="1" applyAlignment="1" applyProtection="1" quotePrefix="1">
      <alignment horizontal="center"/>
      <protection/>
    </xf>
    <xf numFmtId="9" fontId="12" fillId="3" borderId="5" xfId="0" applyNumberFormat="1" applyFont="1" applyFill="1" applyBorder="1" applyAlignment="1" applyProtection="1">
      <alignment horizontal="center"/>
      <protection/>
    </xf>
    <xf numFmtId="188" fontId="12" fillId="0" borderId="0" xfId="37" applyNumberFormat="1" applyFont="1" applyFill="1" applyBorder="1" applyAlignment="1" applyProtection="1">
      <alignment horizontal="center"/>
      <protection/>
    </xf>
    <xf numFmtId="0" fontId="15" fillId="0" borderId="6" xfId="0" applyFont="1" applyBorder="1" applyAlignment="1" applyProtection="1">
      <alignment horizontal="right" vertical="center"/>
      <protection/>
    </xf>
    <xf numFmtId="0" fontId="14" fillId="0" borderId="6" xfId="0" applyFont="1" applyBorder="1" applyAlignment="1" applyProtection="1">
      <alignment horizontal="right"/>
      <protection/>
    </xf>
    <xf numFmtId="0" fontId="15" fillId="0" borderId="6" xfId="0" applyFont="1" applyBorder="1" applyAlignment="1" applyProtection="1">
      <alignment horizontal="right"/>
      <protection/>
    </xf>
    <xf numFmtId="0" fontId="0" fillId="0" borderId="54" xfId="0" applyFill="1" applyBorder="1" applyAlignment="1" applyProtection="1">
      <alignment/>
      <protection/>
    </xf>
    <xf numFmtId="1" fontId="12" fillId="0" borderId="0" xfId="0" applyNumberFormat="1" applyFont="1" applyFill="1" applyBorder="1" applyAlignment="1" applyProtection="1">
      <alignment horizontal="center"/>
      <protection/>
    </xf>
    <xf numFmtId="0" fontId="15" fillId="0" borderId="0" xfId="0" applyFont="1" applyAlignment="1" applyProtection="1">
      <alignment horizontal="center"/>
      <protection/>
    </xf>
    <xf numFmtId="0" fontId="15" fillId="0" borderId="0" xfId="0" applyFont="1" applyFill="1" applyAlignment="1" applyProtection="1">
      <alignment horizontal="center"/>
      <protection/>
    </xf>
    <xf numFmtId="178" fontId="19" fillId="0" borderId="0" xfId="0" applyNumberFormat="1" applyFont="1" applyFill="1" applyBorder="1" applyAlignment="1" applyProtection="1">
      <alignment horizontal="center" vertical="center" wrapText="1"/>
      <protection/>
    </xf>
    <xf numFmtId="178" fontId="11" fillId="0" borderId="0" xfId="0" applyNumberFormat="1" applyFont="1" applyFill="1" applyBorder="1" applyAlignment="1" applyProtection="1" quotePrefix="1">
      <alignment horizontal="center"/>
      <protection/>
    </xf>
    <xf numFmtId="0" fontId="29" fillId="0" borderId="14" xfId="0" applyFont="1" applyFill="1" applyBorder="1" applyAlignment="1" applyProtection="1">
      <alignment/>
      <protection/>
    </xf>
    <xf numFmtId="0" fontId="11" fillId="0" borderId="20" xfId="0" applyFont="1" applyFill="1" applyBorder="1" applyAlignment="1" applyProtection="1">
      <alignment/>
      <protection/>
    </xf>
    <xf numFmtId="44" fontId="0" fillId="0" borderId="19" xfId="0" applyNumberFormat="1" applyBorder="1" applyAlignment="1" applyProtection="1">
      <alignment/>
      <protection/>
    </xf>
    <xf numFmtId="44" fontId="0" fillId="0" borderId="50" xfId="0" applyNumberFormat="1" applyBorder="1" applyAlignment="1" applyProtection="1">
      <alignment/>
      <protection/>
    </xf>
    <xf numFmtId="189" fontId="0" fillId="0" borderId="17" xfId="0" applyNumberFormat="1" applyFont="1" applyBorder="1" applyAlignment="1" applyProtection="1">
      <alignment/>
      <protection/>
    </xf>
    <xf numFmtId="189" fontId="0" fillId="0" borderId="2" xfId="0" applyNumberFormat="1" applyFont="1" applyBorder="1" applyAlignment="1" applyProtection="1">
      <alignment/>
      <protection/>
    </xf>
    <xf numFmtId="189" fontId="0" fillId="0" borderId="51" xfId="0" applyNumberFormat="1" applyFont="1" applyBorder="1" applyAlignment="1" applyProtection="1">
      <alignment/>
      <protection/>
    </xf>
    <xf numFmtId="0" fontId="13" fillId="0" borderId="15" xfId="0" applyFont="1" applyFill="1" applyBorder="1" applyAlignment="1" applyProtection="1">
      <alignment/>
      <protection/>
    </xf>
    <xf numFmtId="0" fontId="33" fillId="0" borderId="0" xfId="0" applyFont="1" applyAlignment="1">
      <alignment/>
    </xf>
    <xf numFmtId="0" fontId="33" fillId="0" borderId="0" xfId="0" applyFont="1" applyAlignment="1">
      <alignment horizontal="left"/>
    </xf>
    <xf numFmtId="0" fontId="0" fillId="0" borderId="0" xfId="0" applyFill="1" applyBorder="1" applyAlignment="1">
      <alignment horizontal="left"/>
    </xf>
    <xf numFmtId="2" fontId="0" fillId="0" borderId="0" xfId="0" applyNumberFormat="1" applyFill="1" applyBorder="1" applyAlignment="1">
      <alignment horizontal="left"/>
    </xf>
    <xf numFmtId="0" fontId="0" fillId="0" borderId="0" xfId="0" applyFont="1" applyFill="1" applyBorder="1" applyAlignment="1">
      <alignment horizontal="left"/>
    </xf>
    <xf numFmtId="2" fontId="0" fillId="0" borderId="0" xfId="0" applyNumberFormat="1" applyFont="1" applyFill="1" applyBorder="1" applyAlignment="1">
      <alignment horizontal="left"/>
    </xf>
    <xf numFmtId="0" fontId="11" fillId="0" borderId="20" xfId="0" applyFont="1" applyFill="1" applyBorder="1" applyAlignment="1" applyProtection="1">
      <alignment horizontal="left"/>
      <protection/>
    </xf>
    <xf numFmtId="0" fontId="28" fillId="0" borderId="15" xfId="0" applyFont="1" applyFill="1" applyBorder="1" applyAlignment="1" applyProtection="1">
      <alignment/>
      <protection/>
    </xf>
    <xf numFmtId="0" fontId="19" fillId="6" borderId="58" xfId="0" applyFont="1" applyFill="1" applyBorder="1" applyAlignment="1" applyProtection="1">
      <alignment horizontal="center" vertical="center" wrapText="1"/>
      <protection/>
    </xf>
    <xf numFmtId="3" fontId="13" fillId="0" borderId="13" xfId="0" applyNumberFormat="1" applyFont="1" applyBorder="1" applyAlignment="1" applyProtection="1">
      <alignment horizontal="center"/>
      <protection/>
    </xf>
    <xf numFmtId="3" fontId="13" fillId="0" borderId="43" xfId="0" applyNumberFormat="1" applyFont="1" applyFill="1" applyBorder="1" applyAlignment="1" applyProtection="1">
      <alignment horizontal="center"/>
      <protection/>
    </xf>
    <xf numFmtId="188" fontId="12" fillId="0" borderId="5" xfId="37" applyNumberFormat="1" applyFont="1" applyFill="1" applyBorder="1" applyAlignment="1" applyProtection="1">
      <alignment horizontal="right"/>
      <protection/>
    </xf>
    <xf numFmtId="178" fontId="15" fillId="3" borderId="5" xfId="0" applyNumberFormat="1" applyFont="1" applyFill="1" applyBorder="1" applyAlignment="1" applyProtection="1">
      <alignment horizontal="right"/>
      <protection/>
    </xf>
    <xf numFmtId="41" fontId="15" fillId="5" borderId="59" xfId="0" applyNumberFormat="1" applyFont="1" applyFill="1" applyBorder="1" applyAlignment="1" applyProtection="1">
      <alignment horizontal="right"/>
      <protection/>
    </xf>
    <xf numFmtId="41" fontId="12" fillId="0" borderId="55" xfId="0" applyNumberFormat="1" applyFont="1" applyFill="1" applyBorder="1" applyAlignment="1" applyProtection="1">
      <alignment horizontal="right"/>
      <protection/>
    </xf>
    <xf numFmtId="0" fontId="12" fillId="0" borderId="0" xfId="0" applyFont="1" applyFill="1" applyAlignment="1" applyProtection="1">
      <alignment horizontal="right"/>
      <protection/>
    </xf>
    <xf numFmtId="3" fontId="12" fillId="0" borderId="0" xfId="0" applyNumberFormat="1" applyFont="1" applyFill="1" applyBorder="1" applyAlignment="1" applyProtection="1">
      <alignment horizontal="right"/>
      <protection/>
    </xf>
    <xf numFmtId="42" fontId="15" fillId="5" borderId="59" xfId="0" applyNumberFormat="1" applyFont="1" applyFill="1" applyBorder="1" applyAlignment="1" applyProtection="1">
      <alignment horizontal="right"/>
      <protection/>
    </xf>
    <xf numFmtId="188" fontId="12" fillId="0" borderId="0" xfId="37" applyNumberFormat="1" applyFont="1" applyFill="1" applyBorder="1" applyAlignment="1" applyProtection="1">
      <alignment horizontal="right"/>
      <protection/>
    </xf>
    <xf numFmtId="41" fontId="15" fillId="0" borderId="0" xfId="0" applyNumberFormat="1" applyFont="1" applyFill="1" applyBorder="1" applyAlignment="1" applyProtection="1">
      <alignment horizontal="right"/>
      <protection/>
    </xf>
    <xf numFmtId="188" fontId="15" fillId="5" borderId="59" xfId="0" applyNumberFormat="1" applyFont="1" applyFill="1" applyBorder="1" applyAlignment="1" applyProtection="1">
      <alignment horizontal="right"/>
      <protection/>
    </xf>
    <xf numFmtId="0" fontId="12" fillId="0" borderId="55" xfId="0" applyFont="1" applyFill="1" applyBorder="1" applyAlignment="1" applyProtection="1">
      <alignment horizontal="right"/>
      <protection/>
    </xf>
    <xf numFmtId="0" fontId="23" fillId="0" borderId="2" xfId="0" applyFont="1" applyFill="1" applyBorder="1" applyAlignment="1" applyProtection="1">
      <alignment/>
      <protection/>
    </xf>
    <xf numFmtId="168" fontId="11" fillId="0" borderId="43" xfId="0" applyNumberFormat="1" applyFont="1" applyFill="1" applyBorder="1" applyAlignment="1" applyProtection="1" quotePrefix="1">
      <alignment horizontal="center"/>
      <protection/>
    </xf>
    <xf numFmtId="169" fontId="11" fillId="0" borderId="33" xfId="0" applyNumberFormat="1" applyFont="1" applyFill="1" applyBorder="1" applyAlignment="1" applyProtection="1" quotePrefix="1">
      <alignment horizontal="center"/>
      <protection/>
    </xf>
    <xf numFmtId="170" fontId="11" fillId="0" borderId="33" xfId="0" applyNumberFormat="1" applyFont="1" applyFill="1" applyBorder="1" applyAlignment="1" applyProtection="1" quotePrefix="1">
      <alignment horizontal="center"/>
      <protection/>
    </xf>
    <xf numFmtId="42" fontId="15" fillId="0" borderId="0" xfId="0" applyNumberFormat="1" applyFont="1" applyFill="1" applyBorder="1" applyAlignment="1" applyProtection="1">
      <alignment horizontal="right"/>
      <protection/>
    </xf>
    <xf numFmtId="0" fontId="13" fillId="0" borderId="20" xfId="0" applyFont="1" applyFill="1" applyBorder="1" applyAlignment="1" applyProtection="1">
      <alignment/>
      <protection/>
    </xf>
    <xf numFmtId="37" fontId="12" fillId="0" borderId="10" xfId="33" applyNumberFormat="1" applyFont="1" applyFill="1" applyBorder="1" applyAlignment="1" applyProtection="1">
      <alignment vertical="center"/>
      <protection locked="0"/>
    </xf>
    <xf numFmtId="37" fontId="12" fillId="0" borderId="6" xfId="33" applyNumberFormat="1" applyFont="1" applyFill="1" applyBorder="1" applyAlignment="1" applyProtection="1">
      <alignment vertical="center"/>
      <protection locked="0"/>
    </xf>
    <xf numFmtId="0" fontId="13" fillId="0" borderId="0" xfId="0" applyFont="1" applyFill="1" applyBorder="1" applyAlignment="1" applyProtection="1">
      <alignment/>
      <protection/>
    </xf>
    <xf numFmtId="0" fontId="12" fillId="2" borderId="0" xfId="33" applyFont="1" applyFill="1" applyAlignment="1" applyProtection="1">
      <alignment/>
      <protection/>
    </xf>
    <xf numFmtId="0" fontId="12" fillId="2" borderId="0" xfId="33" applyFont="1" applyFill="1" applyProtection="1">
      <alignment/>
      <protection/>
    </xf>
    <xf numFmtId="0" fontId="15" fillId="0" borderId="0" xfId="33" applyFont="1" applyBorder="1" applyProtection="1">
      <alignment/>
      <protection/>
    </xf>
    <xf numFmtId="0" fontId="15" fillId="0" borderId="0" xfId="33" applyFont="1" applyProtection="1">
      <alignment/>
      <protection/>
    </xf>
    <xf numFmtId="0" fontId="15" fillId="0" borderId="0" xfId="33" applyFont="1" applyFill="1" applyProtection="1">
      <alignment/>
      <protection/>
    </xf>
    <xf numFmtId="0" fontId="12" fillId="0" borderId="0" xfId="33" applyFont="1" applyBorder="1" applyProtection="1">
      <alignment/>
      <protection/>
    </xf>
    <xf numFmtId="0" fontId="12" fillId="0" borderId="45" xfId="33" applyFont="1" applyBorder="1" applyAlignment="1" applyProtection="1">
      <alignment/>
      <protection/>
    </xf>
    <xf numFmtId="0" fontId="12" fillId="0" borderId="60" xfId="33" applyFont="1" applyBorder="1" applyAlignment="1" applyProtection="1">
      <alignment/>
      <protection/>
    </xf>
    <xf numFmtId="0" fontId="12" fillId="0" borderId="0" xfId="33" applyFont="1" applyFill="1" applyAlignment="1" applyProtection="1">
      <alignment/>
      <protection/>
    </xf>
    <xf numFmtId="0" fontId="12" fillId="0" borderId="6" xfId="33" applyFont="1" applyBorder="1" applyAlignment="1" applyProtection="1">
      <alignment/>
      <protection/>
    </xf>
    <xf numFmtId="0" fontId="12" fillId="0" borderId="61" xfId="33" applyFont="1" applyBorder="1" applyAlignment="1" applyProtection="1">
      <alignment/>
      <protection/>
    </xf>
    <xf numFmtId="0" fontId="15" fillId="0" borderId="5" xfId="35" applyFont="1" applyFill="1" applyBorder="1" applyAlignment="1" applyProtection="1">
      <alignment horizontal="center" vertical="center"/>
      <protection/>
    </xf>
    <xf numFmtId="0" fontId="15" fillId="0" borderId="53" xfId="35" applyFont="1" applyFill="1" applyBorder="1" applyAlignment="1" applyProtection="1">
      <alignment horizontal="center" vertical="center"/>
      <protection/>
    </xf>
    <xf numFmtId="0" fontId="12" fillId="0" borderId="6" xfId="33" applyFont="1" applyBorder="1" applyProtection="1">
      <alignment/>
      <protection/>
    </xf>
    <xf numFmtId="0" fontId="12" fillId="0" borderId="61" xfId="33" applyFont="1" applyBorder="1" applyProtection="1">
      <alignment/>
      <protection/>
    </xf>
    <xf numFmtId="0" fontId="12" fillId="0" borderId="10" xfId="35" applyFont="1" applyFill="1" applyBorder="1" applyAlignment="1" applyProtection="1">
      <alignment vertical="center"/>
      <protection/>
    </xf>
    <xf numFmtId="0" fontId="12" fillId="0" borderId="10" xfId="35" applyFont="1" applyFill="1" applyBorder="1" applyAlignment="1" applyProtection="1">
      <alignment horizontal="center" vertical="center"/>
      <protection/>
    </xf>
    <xf numFmtId="193" fontId="12" fillId="0" borderId="5" xfId="33" applyNumberFormat="1" applyFont="1" applyFill="1" applyBorder="1" applyAlignment="1" applyProtection="1">
      <alignment vertical="center"/>
      <protection locked="0"/>
    </xf>
    <xf numFmtId="0" fontId="12" fillId="0" borderId="0" xfId="33" applyFont="1" applyFill="1" applyBorder="1" applyProtection="1">
      <alignment/>
      <protection/>
    </xf>
    <xf numFmtId="14" fontId="12" fillId="0" borderId="0" xfId="33" applyNumberFormat="1" applyFont="1" applyBorder="1" applyProtection="1">
      <alignment/>
      <protection/>
    </xf>
    <xf numFmtId="180" fontId="12" fillId="0" borderId="0" xfId="33" applyNumberFormat="1" applyFont="1" applyBorder="1" applyProtection="1">
      <alignment/>
      <protection/>
    </xf>
    <xf numFmtId="3" fontId="12" fillId="0" borderId="0" xfId="35" applyNumberFormat="1" applyFont="1" applyFill="1" applyBorder="1" applyAlignment="1" applyProtection="1">
      <alignment horizontal="center" vertical="center"/>
      <protection/>
    </xf>
    <xf numFmtId="0" fontId="15" fillId="0" borderId="10" xfId="35" applyFont="1" applyFill="1" applyBorder="1" applyAlignment="1" applyProtection="1">
      <alignment vertical="center"/>
      <protection/>
    </xf>
    <xf numFmtId="0" fontId="15" fillId="0" borderId="6" xfId="35" applyFont="1" applyFill="1" applyBorder="1" applyAlignment="1" applyProtection="1">
      <alignment vertical="center"/>
      <protection/>
    </xf>
    <xf numFmtId="0" fontId="12" fillId="0" borderId="49" xfId="35" applyFont="1" applyFill="1" applyBorder="1" applyAlignment="1" applyProtection="1">
      <alignment vertical="center"/>
      <protection/>
    </xf>
    <xf numFmtId="0" fontId="15" fillId="0" borderId="49" xfId="35" applyFont="1" applyFill="1" applyBorder="1" applyAlignment="1" applyProtection="1">
      <alignment vertical="center"/>
      <protection/>
    </xf>
    <xf numFmtId="14" fontId="12" fillId="0" borderId="0" xfId="33" applyNumberFormat="1" applyFont="1" applyAlignment="1" applyProtection="1">
      <alignment vertical="center"/>
      <protection/>
    </xf>
    <xf numFmtId="0" fontId="0" fillId="0" borderId="3" xfId="0" applyBorder="1" applyAlignment="1" applyProtection="1">
      <alignment/>
      <protection/>
    </xf>
    <xf numFmtId="0" fontId="0" fillId="0" borderId="3" xfId="0" applyBorder="1" applyAlignment="1" applyProtection="1">
      <alignment horizontal="right"/>
      <protection/>
    </xf>
    <xf numFmtId="0" fontId="0" fillId="0" borderId="14" xfId="0" applyBorder="1" applyAlignment="1" applyProtection="1">
      <alignment/>
      <protection/>
    </xf>
    <xf numFmtId="0" fontId="0" fillId="0" borderId="3" xfId="0" applyBorder="1" applyAlignment="1" applyProtection="1">
      <alignment horizontal="center"/>
      <protection/>
    </xf>
    <xf numFmtId="0" fontId="0" fillId="0" borderId="2" xfId="0" applyFont="1" applyBorder="1" applyAlignment="1" applyProtection="1">
      <alignment/>
      <protection/>
    </xf>
    <xf numFmtId="42" fontId="0" fillId="0" borderId="2" xfId="20" applyNumberFormat="1" applyFill="1" applyBorder="1" applyAlignment="1" applyProtection="1">
      <alignment/>
      <protection/>
    </xf>
    <xf numFmtId="0" fontId="0" fillId="0" borderId="2" xfId="0" applyFont="1" applyFill="1" applyBorder="1" applyAlignment="1" applyProtection="1">
      <alignment/>
      <protection/>
    </xf>
    <xf numFmtId="42" fontId="0" fillId="0" borderId="2" xfId="20" applyNumberFormat="1" applyFont="1" applyFill="1" applyBorder="1" applyAlignment="1" applyProtection="1">
      <alignment/>
      <protection/>
    </xf>
    <xf numFmtId="0" fontId="0" fillId="0" borderId="51" xfId="0" applyFont="1" applyFill="1" applyBorder="1" applyAlignment="1" applyProtection="1">
      <alignment/>
      <protection/>
    </xf>
    <xf numFmtId="42" fontId="0" fillId="0" borderId="51" xfId="20" applyNumberFormat="1" applyFont="1" applyFill="1" applyBorder="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xf>
    <xf numFmtId="0" fontId="13" fillId="0" borderId="0" xfId="0" applyFont="1" applyFill="1" applyAlignment="1" applyProtection="1">
      <alignment/>
      <protection/>
    </xf>
    <xf numFmtId="0" fontId="15" fillId="0" borderId="0" xfId="0" applyFont="1" applyFill="1" applyAlignment="1" applyProtection="1">
      <alignment horizontal="right" vertical="center"/>
      <protection/>
    </xf>
    <xf numFmtId="0" fontId="15" fillId="0" borderId="54" xfId="0" applyFont="1" applyFill="1" applyBorder="1" applyAlignment="1" applyProtection="1">
      <alignment horizontal="center"/>
      <protection/>
    </xf>
    <xf numFmtId="0" fontId="13" fillId="0" borderId="16" xfId="0" applyFont="1" applyFill="1" applyBorder="1" applyAlignment="1" applyProtection="1">
      <alignment/>
      <protection/>
    </xf>
    <xf numFmtId="3" fontId="13" fillId="0" borderId="13" xfId="0" applyNumberFormat="1" applyFont="1" applyFill="1" applyBorder="1" applyAlignment="1" applyProtection="1">
      <alignment horizontal="center"/>
      <protection/>
    </xf>
    <xf numFmtId="44" fontId="0" fillId="0" borderId="50" xfId="0" applyNumberFormat="1" applyFill="1" applyBorder="1" applyAlignment="1" applyProtection="1">
      <alignment/>
      <protection/>
    </xf>
    <xf numFmtId="44" fontId="0" fillId="0" borderId="50" xfId="0" applyNumberFormat="1" applyFont="1" applyFill="1" applyBorder="1" applyAlignment="1" applyProtection="1">
      <alignment/>
      <protection/>
    </xf>
    <xf numFmtId="44" fontId="0" fillId="0" borderId="52" xfId="0" applyNumberFormat="1" applyFill="1" applyBorder="1" applyAlignment="1" applyProtection="1">
      <alignment/>
      <protection/>
    </xf>
    <xf numFmtId="44" fontId="0" fillId="0" borderId="0" xfId="0" applyNumberFormat="1" applyFill="1" applyBorder="1" applyAlignment="1" applyProtection="1">
      <alignment/>
      <protection/>
    </xf>
    <xf numFmtId="44" fontId="0" fillId="0" borderId="0" xfId="0" applyNumberFormat="1" applyFont="1" applyFill="1" applyBorder="1" applyAlignment="1" applyProtection="1">
      <alignment/>
      <protection/>
    </xf>
    <xf numFmtId="0" fontId="31" fillId="0" borderId="0" xfId="0" applyFont="1" applyFill="1" applyBorder="1" applyAlignment="1" applyProtection="1">
      <alignment horizontal="center"/>
      <protection/>
    </xf>
    <xf numFmtId="44" fontId="0" fillId="0" borderId="17" xfId="0" applyNumberFormat="1" applyFill="1" applyBorder="1" applyAlignment="1" applyProtection="1">
      <alignment/>
      <protection/>
    </xf>
    <xf numFmtId="44" fontId="0" fillId="0" borderId="19" xfId="0" applyNumberFormat="1" applyFont="1" applyFill="1" applyBorder="1" applyAlignment="1" applyProtection="1">
      <alignment/>
      <protection/>
    </xf>
    <xf numFmtId="44" fontId="0" fillId="0" borderId="2" xfId="0" applyNumberFormat="1" applyFill="1" applyBorder="1" applyAlignment="1" applyProtection="1">
      <alignment/>
      <protection/>
    </xf>
    <xf numFmtId="44" fontId="0" fillId="0" borderId="51" xfId="0" applyNumberFormat="1" applyFill="1" applyBorder="1" applyAlignment="1" applyProtection="1">
      <alignment/>
      <protection/>
    </xf>
    <xf numFmtId="44" fontId="0" fillId="0" borderId="52" xfId="0" applyNumberFormat="1" applyFont="1" applyFill="1" applyBorder="1" applyAlignment="1" applyProtection="1">
      <alignment/>
      <protection/>
    </xf>
    <xf numFmtId="44" fontId="0" fillId="0" borderId="19" xfId="0" applyNumberFormat="1" applyFill="1" applyBorder="1" applyAlignment="1" applyProtection="1">
      <alignment/>
      <protection/>
    </xf>
    <xf numFmtId="44" fontId="0" fillId="0" borderId="17" xfId="0" applyNumberFormat="1" applyFont="1" applyFill="1" applyBorder="1" applyAlignment="1" applyProtection="1">
      <alignment/>
      <protection/>
    </xf>
    <xf numFmtId="44" fontId="0" fillId="0" borderId="51" xfId="0" applyNumberFormat="1" applyFont="1" applyFill="1" applyBorder="1" applyAlignment="1" applyProtection="1">
      <alignment/>
      <protection/>
    </xf>
    <xf numFmtId="44" fontId="0" fillId="0" borderId="2" xfId="0" applyNumberFormat="1" applyFont="1" applyFill="1" applyBorder="1" applyAlignment="1" applyProtection="1">
      <alignment/>
      <protection/>
    </xf>
    <xf numFmtId="44" fontId="0" fillId="0" borderId="3" xfId="0" applyNumberFormat="1" applyFill="1" applyBorder="1" applyAlignment="1" applyProtection="1">
      <alignment/>
      <protection/>
    </xf>
    <xf numFmtId="44" fontId="0" fillId="0" borderId="3" xfId="0" applyNumberFormat="1" applyFont="1" applyFill="1" applyBorder="1" applyAlignment="1" applyProtection="1">
      <alignment/>
      <protection/>
    </xf>
    <xf numFmtId="0" fontId="13" fillId="0" borderId="14" xfId="0" applyFont="1" applyFill="1" applyBorder="1" applyAlignment="1" applyProtection="1">
      <alignment/>
      <protection/>
    </xf>
    <xf numFmtId="0" fontId="13" fillId="0" borderId="18" xfId="0" applyFont="1" applyFill="1" applyBorder="1" applyAlignment="1" applyProtection="1">
      <alignment/>
      <protection/>
    </xf>
    <xf numFmtId="0" fontId="13" fillId="0" borderId="19" xfId="0" applyFont="1" applyFill="1" applyBorder="1" applyAlignment="1" applyProtection="1">
      <alignment/>
      <protection/>
    </xf>
    <xf numFmtId="3" fontId="13" fillId="0" borderId="33" xfId="0" applyNumberFormat="1" applyFont="1" applyFill="1" applyBorder="1" applyAlignment="1" applyProtection="1">
      <alignment horizontal="center"/>
      <protection/>
    </xf>
    <xf numFmtId="178" fontId="13" fillId="0" borderId="13" xfId="0" applyNumberFormat="1" applyFont="1" applyFill="1" applyBorder="1" applyAlignment="1" applyProtection="1">
      <alignment horizontal="center"/>
      <protection/>
    </xf>
    <xf numFmtId="188" fontId="13" fillId="0" borderId="3" xfId="0" applyNumberFormat="1" applyFont="1" applyFill="1" applyBorder="1" applyAlignment="1" applyProtection="1">
      <alignment horizontal="center"/>
      <protection/>
    </xf>
    <xf numFmtId="170" fontId="13" fillId="0" borderId="33" xfId="0" applyNumberFormat="1" applyFont="1" applyFill="1" applyBorder="1" applyAlignment="1" applyProtection="1">
      <alignment horizontal="center"/>
      <protection/>
    </xf>
    <xf numFmtId="170" fontId="13" fillId="0" borderId="13" xfId="0" applyNumberFormat="1" applyFont="1" applyFill="1" applyBorder="1" applyAlignment="1" applyProtection="1">
      <alignment horizontal="center"/>
      <protection/>
    </xf>
    <xf numFmtId="170" fontId="13" fillId="0" borderId="62" xfId="0" applyNumberFormat="1" applyFont="1" applyFill="1" applyBorder="1" applyAlignment="1" applyProtection="1">
      <alignment horizontal="center"/>
      <protection/>
    </xf>
    <xf numFmtId="0" fontId="13" fillId="0" borderId="3" xfId="0" applyFont="1" applyFill="1" applyBorder="1" applyAlignment="1" applyProtection="1">
      <alignment/>
      <protection/>
    </xf>
    <xf numFmtId="3" fontId="13" fillId="0" borderId="0" xfId="0" applyNumberFormat="1" applyFont="1" applyFill="1" applyBorder="1" applyAlignment="1" applyProtection="1">
      <alignment horizontal="center"/>
      <protection/>
    </xf>
    <xf numFmtId="178" fontId="13" fillId="0" borderId="0" xfId="0" applyNumberFormat="1" applyFont="1" applyFill="1" applyBorder="1" applyAlignment="1" applyProtection="1">
      <alignment horizontal="center"/>
      <protection/>
    </xf>
    <xf numFmtId="188" fontId="13" fillId="0" borderId="0" xfId="0" applyNumberFormat="1" applyFont="1" applyFill="1" applyBorder="1" applyAlignment="1" applyProtection="1">
      <alignment horizontal="center"/>
      <protection/>
    </xf>
    <xf numFmtId="43" fontId="13" fillId="0" borderId="0" xfId="0" applyNumberFormat="1" applyFont="1" applyFill="1" applyBorder="1" applyAlignment="1" applyProtection="1">
      <alignment horizontal="center"/>
      <protection/>
    </xf>
    <xf numFmtId="3" fontId="13" fillId="0" borderId="57" xfId="0" applyNumberFormat="1" applyFont="1" applyFill="1" applyBorder="1" applyAlignment="1" applyProtection="1">
      <alignment horizontal="center"/>
      <protection/>
    </xf>
    <xf numFmtId="4" fontId="12" fillId="0" borderId="0" xfId="0" applyNumberFormat="1" applyFont="1" applyFill="1" applyAlignment="1" applyProtection="1">
      <alignment/>
      <protection/>
    </xf>
    <xf numFmtId="178" fontId="12" fillId="5" borderId="0" xfId="37" applyNumberFormat="1" applyFont="1" applyFill="1" applyBorder="1" applyAlignment="1" applyProtection="1">
      <alignment/>
      <protection/>
    </xf>
    <xf numFmtId="0" fontId="12" fillId="5" borderId="0" xfId="0" applyFont="1" applyFill="1" applyAlignment="1" applyProtection="1">
      <alignment/>
      <protection/>
    </xf>
    <xf numFmtId="2" fontId="12" fillId="0" borderId="0" xfId="0" applyNumberFormat="1" applyFont="1" applyAlignment="1" applyProtection="1">
      <alignment horizontal="left"/>
      <protection/>
    </xf>
    <xf numFmtId="0" fontId="12" fillId="0" borderId="0" xfId="0" applyNumberFormat="1" applyFont="1" applyAlignment="1" applyProtection="1">
      <alignment/>
      <protection/>
    </xf>
    <xf numFmtId="0" fontId="14" fillId="0" borderId="0" xfId="0" applyFont="1" applyFill="1" applyBorder="1" applyAlignment="1" applyProtection="1">
      <alignment/>
      <protection/>
    </xf>
    <xf numFmtId="1" fontId="14" fillId="0" borderId="0" xfId="0" applyNumberFormat="1" applyFont="1" applyFill="1" applyBorder="1" applyAlignment="1" applyProtection="1">
      <alignment horizontal="center"/>
      <protection/>
    </xf>
    <xf numFmtId="4" fontId="12" fillId="0" borderId="0" xfId="0" applyNumberFormat="1" applyFont="1" applyFill="1" applyBorder="1" applyAlignment="1" applyProtection="1">
      <alignment/>
      <protection/>
    </xf>
    <xf numFmtId="0" fontId="15" fillId="5" borderId="0" xfId="0" applyFont="1" applyFill="1" applyAlignment="1" applyProtection="1">
      <alignment/>
      <protection/>
    </xf>
    <xf numFmtId="178" fontId="12" fillId="5" borderId="0" xfId="0" applyNumberFormat="1" applyFont="1" applyFill="1" applyAlignment="1" applyProtection="1">
      <alignment/>
      <protection/>
    </xf>
    <xf numFmtId="0" fontId="15" fillId="0" borderId="0" xfId="0" applyFont="1" applyFill="1" applyAlignment="1" applyProtection="1" quotePrefix="1">
      <alignment horizontal="left" vertical="center"/>
      <protection/>
    </xf>
    <xf numFmtId="14" fontId="12" fillId="0" borderId="0" xfId="0" applyNumberFormat="1" applyFont="1" applyFill="1" applyAlignment="1" applyProtection="1">
      <alignment horizontal="left"/>
      <protection/>
    </xf>
    <xf numFmtId="0" fontId="14" fillId="0" borderId="0" xfId="0" applyFont="1" applyFill="1" applyAlignment="1" applyProtection="1">
      <alignment/>
      <protection/>
    </xf>
    <xf numFmtId="0" fontId="14" fillId="0" borderId="0" xfId="0" applyFont="1" applyAlignment="1" applyProtection="1">
      <alignment/>
      <protection/>
    </xf>
    <xf numFmtId="4" fontId="14" fillId="0" borderId="0" xfId="0" applyNumberFormat="1" applyFont="1" applyAlignment="1" applyProtection="1">
      <alignment/>
      <protection/>
    </xf>
    <xf numFmtId="0" fontId="10" fillId="0" borderId="54" xfId="0" applyFont="1" applyFill="1" applyBorder="1" applyAlignment="1" applyProtection="1">
      <alignment vertical="center"/>
      <protection/>
    </xf>
    <xf numFmtId="2" fontId="14" fillId="10" borderId="3" xfId="0" applyNumberFormat="1" applyFont="1" applyFill="1" applyBorder="1" applyAlignment="1" applyProtection="1">
      <alignment horizontal="lef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3" fontId="12" fillId="0" borderId="5" xfId="0" applyNumberFormat="1" applyFont="1" applyFill="1" applyBorder="1" applyAlignment="1" applyProtection="1">
      <alignment horizontal="right"/>
      <protection/>
    </xf>
    <xf numFmtId="2" fontId="12" fillId="0" borderId="3" xfId="0" applyNumberFormat="1" applyFont="1" applyBorder="1" applyAlignment="1" applyProtection="1">
      <alignment horizontal="left"/>
      <protection/>
    </xf>
    <xf numFmtId="4" fontId="15" fillId="3" borderId="53" xfId="0" applyNumberFormat="1" applyFont="1" applyFill="1" applyBorder="1" applyAlignment="1" applyProtection="1">
      <alignment horizontal="center"/>
      <protection/>
    </xf>
    <xf numFmtId="0" fontId="15" fillId="3" borderId="53" xfId="0" applyFont="1" applyFill="1" applyBorder="1" applyAlignment="1" applyProtection="1">
      <alignment horizontal="center" wrapText="1"/>
      <protection/>
    </xf>
    <xf numFmtId="0" fontId="15" fillId="3" borderId="53" xfId="0" applyFont="1" applyFill="1" applyBorder="1" applyAlignment="1" applyProtection="1">
      <alignment horizontal="center"/>
      <protection/>
    </xf>
    <xf numFmtId="0" fontId="15" fillId="3" borderId="42" xfId="0" applyFont="1" applyFill="1" applyBorder="1" applyAlignment="1" applyProtection="1">
      <alignment horizontal="center" wrapText="1"/>
      <protection/>
    </xf>
    <xf numFmtId="4" fontId="15" fillId="3" borderId="42" xfId="0" applyNumberFormat="1" applyFont="1" applyFill="1" applyBorder="1" applyAlignment="1" applyProtection="1">
      <alignment horizontal="center"/>
      <protection/>
    </xf>
    <xf numFmtId="0" fontId="15" fillId="3" borderId="42" xfId="0" applyFont="1" applyFill="1" applyBorder="1" applyAlignment="1" applyProtection="1">
      <alignment horizontal="center"/>
      <protection/>
    </xf>
    <xf numFmtId="4" fontId="12" fillId="0" borderId="5" xfId="0" applyNumberFormat="1" applyFont="1" applyFill="1" applyBorder="1" applyAlignment="1" applyProtection="1">
      <alignment/>
      <protection/>
    </xf>
    <xf numFmtId="2" fontId="12" fillId="0" borderId="3" xfId="0" applyNumberFormat="1" applyFont="1" applyFill="1" applyBorder="1" applyAlignment="1" applyProtection="1">
      <alignment horizontal="left"/>
      <protection/>
    </xf>
    <xf numFmtId="2" fontId="12" fillId="0" borderId="0" xfId="0" applyNumberFormat="1" applyFont="1" applyBorder="1" applyAlignment="1" applyProtection="1">
      <alignment/>
      <protection/>
    </xf>
    <xf numFmtId="0" fontId="12" fillId="0" borderId="49" xfId="0" applyFont="1" applyFill="1" applyBorder="1" applyAlignment="1" applyProtection="1">
      <alignment/>
      <protection/>
    </xf>
    <xf numFmtId="4" fontId="12" fillId="0" borderId="47" xfId="0" applyNumberFormat="1" applyFont="1" applyFill="1" applyBorder="1" applyAlignment="1" applyProtection="1">
      <alignment/>
      <protection/>
    </xf>
    <xf numFmtId="2" fontId="12" fillId="0" borderId="0" xfId="0" applyNumberFormat="1" applyFont="1" applyBorder="1" applyAlignment="1" applyProtection="1">
      <alignment horizontal="left"/>
      <protection/>
    </xf>
    <xf numFmtId="4" fontId="12" fillId="0" borderId="0" xfId="0" applyNumberFormat="1" applyFont="1" applyFill="1" applyBorder="1" applyAlignment="1" applyProtection="1">
      <alignment/>
      <protection/>
    </xf>
    <xf numFmtId="0" fontId="15" fillId="3" borderId="53" xfId="0" applyFont="1" applyFill="1" applyBorder="1" applyAlignment="1" applyProtection="1">
      <alignment/>
      <protection/>
    </xf>
    <xf numFmtId="14" fontId="15" fillId="0" borderId="0" xfId="0" applyNumberFormat="1" applyFont="1" applyFill="1" applyAlignment="1" applyProtection="1">
      <alignment/>
      <protection/>
    </xf>
    <xf numFmtId="4" fontId="12" fillId="0" borderId="0" xfId="0" applyNumberFormat="1" applyFont="1" applyFill="1" applyAlignment="1" applyProtection="1">
      <alignment/>
      <protection/>
    </xf>
    <xf numFmtId="178" fontId="15" fillId="0" borderId="0" xfId="37" applyNumberFormat="1" applyFont="1" applyFill="1" applyBorder="1" applyAlignment="1" applyProtection="1">
      <alignment/>
      <protection/>
    </xf>
    <xf numFmtId="0" fontId="12" fillId="0" borderId="49" xfId="0" applyFont="1" applyFill="1" applyBorder="1" applyAlignment="1" applyProtection="1">
      <alignment horizontal="right"/>
      <protection/>
    </xf>
    <xf numFmtId="4" fontId="12" fillId="0" borderId="5" xfId="0" applyNumberFormat="1" applyFont="1" applyFill="1" applyBorder="1" applyAlignment="1" applyProtection="1">
      <alignment horizontal="right"/>
      <protection/>
    </xf>
    <xf numFmtId="9" fontId="12" fillId="0" borderId="0" xfId="37" applyNumberFormat="1" applyFont="1" applyFill="1" applyBorder="1" applyAlignment="1" applyProtection="1">
      <alignment/>
      <protection/>
    </xf>
    <xf numFmtId="0" fontId="0" fillId="0" borderId="0" xfId="0" applyFill="1" applyBorder="1" applyAlignment="1" applyProtection="1">
      <alignment/>
      <protection/>
    </xf>
    <xf numFmtId="2" fontId="12" fillId="0" borderId="17" xfId="0" applyNumberFormat="1" applyFont="1" applyBorder="1" applyAlignment="1" applyProtection="1">
      <alignment horizontal="left"/>
      <protection/>
    </xf>
    <xf numFmtId="2" fontId="12" fillId="0" borderId="0" xfId="0" applyNumberFormat="1" applyFont="1" applyAlignment="1" applyProtection="1">
      <alignment/>
      <protection/>
    </xf>
    <xf numFmtId="9" fontId="12" fillId="0" borderId="0" xfId="37" applyNumberFormat="1" applyFont="1" applyFill="1" applyBorder="1" applyAlignment="1" applyProtection="1">
      <alignment horizontal="left"/>
      <protection/>
    </xf>
    <xf numFmtId="2" fontId="12" fillId="0" borderId="2" xfId="0" applyNumberFormat="1" applyFont="1" applyBorder="1" applyAlignment="1" applyProtection="1">
      <alignment horizontal="left"/>
      <protection/>
    </xf>
    <xf numFmtId="0" fontId="12" fillId="0" borderId="0" xfId="0" applyNumberFormat="1" applyFont="1" applyBorder="1" applyAlignment="1" applyProtection="1">
      <alignment horizontal="center"/>
      <protection/>
    </xf>
    <xf numFmtId="3" fontId="12" fillId="0" borderId="0" xfId="0" applyNumberFormat="1" applyFont="1" applyBorder="1" applyAlignment="1" applyProtection="1">
      <alignment/>
      <protection/>
    </xf>
    <xf numFmtId="2" fontId="12" fillId="0" borderId="51" xfId="0" applyNumberFormat="1" applyFont="1" applyBorder="1" applyAlignment="1" applyProtection="1">
      <alignment horizontal="left"/>
      <protection/>
    </xf>
    <xf numFmtId="0" fontId="15" fillId="3" borderId="6" xfId="0" applyFont="1" applyFill="1" applyBorder="1" applyAlignment="1" applyProtection="1">
      <alignment/>
      <protection/>
    </xf>
    <xf numFmtId="4" fontId="15" fillId="3" borderId="5" xfId="0" applyNumberFormat="1" applyFont="1" applyFill="1" applyBorder="1" applyAlignment="1" applyProtection="1">
      <alignment horizontal="center"/>
      <protection/>
    </xf>
    <xf numFmtId="178" fontId="12" fillId="5" borderId="0" xfId="0" applyNumberFormat="1" applyFont="1" applyFill="1" applyBorder="1" applyAlignment="1" applyProtection="1">
      <alignment/>
      <protection/>
    </xf>
    <xf numFmtId="0" fontId="15" fillId="3" borderId="0" xfId="0" applyFont="1" applyFill="1" applyBorder="1" applyAlignment="1" applyProtection="1">
      <alignment/>
      <protection/>
    </xf>
    <xf numFmtId="0" fontId="15" fillId="3" borderId="0" xfId="0" applyFont="1" applyFill="1" applyBorder="1" applyAlignment="1" applyProtection="1">
      <alignment horizontal="center"/>
      <protection/>
    </xf>
    <xf numFmtId="0" fontId="15" fillId="3" borderId="0" xfId="0" applyFont="1" applyFill="1" applyBorder="1" applyAlignment="1" applyProtection="1">
      <alignment horizontal="center" wrapText="1"/>
      <protection/>
    </xf>
    <xf numFmtId="3" fontId="12" fillId="0" borderId="42" xfId="0" applyNumberFormat="1" applyFont="1" applyFill="1" applyBorder="1" applyAlignment="1" applyProtection="1">
      <alignment horizontal="right"/>
      <protection/>
    </xf>
    <xf numFmtId="4" fontId="12" fillId="0" borderId="54" xfId="0" applyNumberFormat="1" applyFont="1" applyFill="1" applyBorder="1" applyAlignment="1" applyProtection="1">
      <alignment/>
      <protection/>
    </xf>
    <xf numFmtId="4" fontId="12" fillId="0" borderId="10" xfId="0" applyNumberFormat="1" applyFont="1" applyFill="1" applyBorder="1" applyAlignment="1" applyProtection="1">
      <alignment horizontal="right"/>
      <protection/>
    </xf>
    <xf numFmtId="0" fontId="15" fillId="0" borderId="0" xfId="0" applyFont="1" applyFill="1" applyAlignment="1" applyProtection="1">
      <alignment horizontal="right"/>
      <protection/>
    </xf>
    <xf numFmtId="4" fontId="15" fillId="0" borderId="0" xfId="0" applyNumberFormat="1" applyFont="1" applyFill="1" applyAlignment="1" applyProtection="1">
      <alignment horizontal="right"/>
      <protection/>
    </xf>
    <xf numFmtId="0" fontId="12" fillId="0" borderId="0" xfId="0" applyFont="1" applyAlignment="1" applyProtection="1">
      <alignment horizontal="right"/>
      <protection/>
    </xf>
    <xf numFmtId="0" fontId="12" fillId="5" borderId="0" xfId="0" applyFont="1" applyFill="1" applyBorder="1" applyAlignment="1" applyProtection="1">
      <alignment/>
      <protection/>
    </xf>
    <xf numFmtId="179" fontId="12" fillId="0" borderId="5" xfId="0" applyNumberFormat="1" applyFont="1" applyFill="1" applyBorder="1" applyAlignment="1" applyProtection="1">
      <alignment horizontal="right"/>
      <protection/>
    </xf>
    <xf numFmtId="9" fontId="12" fillId="0" borderId="0" xfId="37" applyNumberFormat="1" applyFont="1" applyFill="1" applyBorder="1" applyAlignment="1" applyProtection="1">
      <alignment horizontal="center"/>
      <protection/>
    </xf>
    <xf numFmtId="4" fontId="15" fillId="3" borderId="5" xfId="0" applyNumberFormat="1" applyFont="1" applyFill="1" applyBorder="1" applyAlignment="1" applyProtection="1">
      <alignment/>
      <protection/>
    </xf>
    <xf numFmtId="4" fontId="15" fillId="0" borderId="0" xfId="0" applyNumberFormat="1" applyFont="1" applyFill="1" applyBorder="1" applyAlignment="1" applyProtection="1">
      <alignment/>
      <protection/>
    </xf>
    <xf numFmtId="2" fontId="12" fillId="0" borderId="0" xfId="37" applyNumberFormat="1" applyFont="1" applyFill="1" applyBorder="1" applyAlignment="1" applyProtection="1">
      <alignment/>
      <protection/>
    </xf>
    <xf numFmtId="2" fontId="12" fillId="0" borderId="0" xfId="0" applyNumberFormat="1" applyFont="1" applyFill="1" applyAlignment="1" applyProtection="1">
      <alignment horizontal="left"/>
      <protection/>
    </xf>
    <xf numFmtId="0" fontId="12" fillId="0" borderId="0" xfId="0" applyNumberFormat="1" applyFont="1" applyFill="1" applyBorder="1" applyAlignment="1" applyProtection="1">
      <alignment horizontal="center"/>
      <protection/>
    </xf>
    <xf numFmtId="4" fontId="12" fillId="0" borderId="47" xfId="0" applyNumberFormat="1" applyFont="1" applyFill="1" applyBorder="1" applyAlignment="1" applyProtection="1">
      <alignment horizontal="right"/>
      <protection/>
    </xf>
    <xf numFmtId="4" fontId="15" fillId="0" borderId="0" xfId="0" applyNumberFormat="1" applyFont="1" applyFill="1" applyAlignment="1" applyProtection="1">
      <alignment/>
      <protection/>
    </xf>
    <xf numFmtId="4" fontId="15" fillId="3" borderId="5" xfId="0" applyNumberFormat="1" applyFont="1" applyFill="1" applyBorder="1" applyAlignment="1" applyProtection="1">
      <alignment horizontal="right"/>
      <protection/>
    </xf>
    <xf numFmtId="0" fontId="12" fillId="5" borderId="0" xfId="0" applyFont="1" applyFill="1" applyBorder="1" applyAlignment="1" applyProtection="1">
      <alignment/>
      <protection/>
    </xf>
    <xf numFmtId="2" fontId="12" fillId="0" borderId="0" xfId="0" applyNumberFormat="1" applyFont="1" applyFill="1" applyBorder="1" applyAlignment="1" applyProtection="1">
      <alignment horizontal="left"/>
      <protection/>
    </xf>
    <xf numFmtId="2" fontId="12" fillId="0" borderId="0" xfId="0" applyNumberFormat="1" applyFont="1" applyFill="1" applyBorder="1" applyAlignment="1" applyProtection="1">
      <alignment/>
      <protection/>
    </xf>
    <xf numFmtId="2" fontId="12" fillId="0" borderId="17" xfId="0" applyNumberFormat="1" applyFont="1" applyFill="1" applyBorder="1" applyAlignment="1" applyProtection="1">
      <alignment horizontal="left"/>
      <protection/>
    </xf>
    <xf numFmtId="2" fontId="12" fillId="0" borderId="2" xfId="0" applyNumberFormat="1" applyFont="1" applyFill="1" applyBorder="1" applyAlignment="1" applyProtection="1">
      <alignment horizontal="left"/>
      <protection/>
    </xf>
    <xf numFmtId="2" fontId="12" fillId="0" borderId="51" xfId="0" applyNumberFormat="1" applyFont="1" applyFill="1" applyBorder="1" applyAlignment="1" applyProtection="1">
      <alignment horizontal="left"/>
      <protection/>
    </xf>
    <xf numFmtId="2" fontId="12" fillId="0" borderId="16" xfId="0" applyNumberFormat="1" applyFont="1" applyFill="1" applyBorder="1" applyAlignment="1" applyProtection="1">
      <alignment horizontal="left"/>
      <protection/>
    </xf>
    <xf numFmtId="2" fontId="12" fillId="0" borderId="0" xfId="0" applyNumberFormat="1" applyFont="1" applyFill="1" applyAlignment="1" applyProtection="1">
      <alignment horizontal="left" vertical="center"/>
      <protection/>
    </xf>
    <xf numFmtId="0" fontId="12" fillId="0" borderId="0" xfId="0" applyNumberFormat="1" applyFont="1" applyFill="1" applyAlignment="1" applyProtection="1">
      <alignment horizontal="center"/>
      <protection/>
    </xf>
    <xf numFmtId="4" fontId="12" fillId="0" borderId="0" xfId="0" applyNumberFormat="1" applyFont="1" applyAlignment="1" applyProtection="1">
      <alignment/>
      <protection/>
    </xf>
    <xf numFmtId="179" fontId="12" fillId="0" borderId="5" xfId="0" applyNumberFormat="1" applyFont="1" applyFill="1" applyBorder="1" applyAlignment="1" applyProtection="1">
      <alignment/>
      <protection/>
    </xf>
    <xf numFmtId="0" fontId="15" fillId="3" borderId="10" xfId="0" applyFont="1" applyFill="1" applyBorder="1" applyAlignment="1" applyProtection="1">
      <alignment horizontal="left"/>
      <protection/>
    </xf>
    <xf numFmtId="0" fontId="15" fillId="3" borderId="49" xfId="0" applyFont="1" applyFill="1" applyBorder="1" applyAlignment="1" applyProtection="1">
      <alignment/>
      <protection/>
    </xf>
    <xf numFmtId="0" fontId="15" fillId="5" borderId="0" xfId="0" applyFont="1" applyFill="1" applyBorder="1" applyAlignment="1" applyProtection="1">
      <alignment/>
      <protection/>
    </xf>
    <xf numFmtId="0" fontId="15" fillId="5" borderId="0" xfId="0" applyFont="1" applyFill="1" applyBorder="1" applyAlignment="1" applyProtection="1">
      <alignment horizontal="center"/>
      <protection/>
    </xf>
    <xf numFmtId="0" fontId="18" fillId="0" borderId="0" xfId="0" applyFont="1" applyFill="1" applyAlignment="1" applyProtection="1">
      <alignment/>
      <protection/>
    </xf>
    <xf numFmtId="2" fontId="12" fillId="0" borderId="63" xfId="0" applyNumberFormat="1" applyFont="1" applyFill="1" applyBorder="1" applyAlignment="1" applyProtection="1">
      <alignment horizontal="left"/>
      <protection/>
    </xf>
    <xf numFmtId="0" fontId="15" fillId="0" borderId="6" xfId="0" applyFont="1" applyFill="1" applyBorder="1" applyAlignment="1" applyProtection="1">
      <alignment/>
      <protection/>
    </xf>
    <xf numFmtId="0" fontId="15" fillId="0" borderId="49" xfId="0" applyFont="1" applyFill="1" applyBorder="1" applyAlignment="1" applyProtection="1">
      <alignment horizontal="center"/>
      <protection/>
    </xf>
    <xf numFmtId="2" fontId="12" fillId="0" borderId="0" xfId="0" applyNumberFormat="1" applyFont="1" applyFill="1" applyAlignment="1" applyProtection="1">
      <alignment/>
      <protection/>
    </xf>
    <xf numFmtId="178" fontId="12" fillId="0" borderId="0" xfId="0" applyNumberFormat="1" applyFont="1" applyFill="1" applyBorder="1" applyAlignment="1" applyProtection="1">
      <alignment horizontal="center"/>
      <protection/>
    </xf>
    <xf numFmtId="3" fontId="12" fillId="0" borderId="10" xfId="0" applyNumberFormat="1" applyFont="1" applyBorder="1" applyAlignment="1" applyProtection="1">
      <alignment/>
      <protection/>
    </xf>
    <xf numFmtId="178" fontId="12" fillId="0" borderId="5" xfId="0" applyNumberFormat="1" applyFont="1" applyBorder="1" applyAlignment="1" applyProtection="1">
      <alignment/>
      <protection/>
    </xf>
    <xf numFmtId="4" fontId="12" fillId="0" borderId="0" xfId="0" applyNumberFormat="1" applyFont="1" applyBorder="1" applyAlignment="1" applyProtection="1">
      <alignment horizontal="center"/>
      <protection/>
    </xf>
    <xf numFmtId="178" fontId="12" fillId="0" borderId="0" xfId="0" applyNumberFormat="1" applyFont="1" applyBorder="1" applyAlignment="1" applyProtection="1">
      <alignment/>
      <protection/>
    </xf>
    <xf numFmtId="37" fontId="12" fillId="0" borderId="10" xfId="0" applyNumberFormat="1" applyFont="1" applyFill="1" applyBorder="1" applyAlignment="1" applyProtection="1">
      <alignment/>
      <protection/>
    </xf>
    <xf numFmtId="0" fontId="15" fillId="0" borderId="48" xfId="0" applyFont="1" applyFill="1" applyBorder="1" applyAlignment="1" applyProtection="1">
      <alignment horizontal="center" wrapText="1"/>
      <protection/>
    </xf>
    <xf numFmtId="0" fontId="12" fillId="5" borderId="0" xfId="0" applyFont="1" applyFill="1" applyAlignment="1" applyProtection="1">
      <alignment/>
      <protection/>
    </xf>
    <xf numFmtId="2" fontId="12" fillId="0" borderId="0" xfId="0" applyNumberFormat="1" applyFont="1" applyFill="1" applyAlignment="1" applyProtection="1">
      <alignment horizontal="center"/>
      <protection/>
    </xf>
    <xf numFmtId="178" fontId="12" fillId="0" borderId="5" xfId="0" applyNumberFormat="1" applyFont="1" applyBorder="1" applyAlignment="1" applyProtection="1">
      <alignment/>
      <protection/>
    </xf>
    <xf numFmtId="37" fontId="15" fillId="3" borderId="10" xfId="0" applyNumberFormat="1" applyFont="1" applyFill="1" applyBorder="1" applyAlignment="1" applyProtection="1">
      <alignment/>
      <protection/>
    </xf>
    <xf numFmtId="37" fontId="15" fillId="3" borderId="6" xfId="0" applyNumberFormat="1" applyFont="1" applyFill="1" applyBorder="1" applyAlignment="1" applyProtection="1">
      <alignment/>
      <protection/>
    </xf>
    <xf numFmtId="37" fontId="15" fillId="3" borderId="49" xfId="0" applyNumberFormat="1" applyFont="1" applyFill="1" applyBorder="1" applyAlignment="1" applyProtection="1">
      <alignment/>
      <protection/>
    </xf>
    <xf numFmtId="37" fontId="15" fillId="0" borderId="0" xfId="0" applyNumberFormat="1" applyFont="1" applyFill="1" applyBorder="1" applyAlignment="1" applyProtection="1">
      <alignment/>
      <protection/>
    </xf>
    <xf numFmtId="4" fontId="12" fillId="0" borderId="0" xfId="0" applyNumberFormat="1" applyFont="1" applyFill="1" applyAlignment="1" applyProtection="1">
      <alignment horizontal="right"/>
      <protection/>
    </xf>
    <xf numFmtId="0" fontId="12" fillId="0" borderId="49" xfId="0" applyFont="1" applyFill="1" applyBorder="1" applyAlignment="1" applyProtection="1">
      <alignment horizontal="left"/>
      <protection/>
    </xf>
    <xf numFmtId="0" fontId="12" fillId="0" borderId="64" xfId="0" applyFont="1" applyFill="1" applyBorder="1" applyAlignment="1" applyProtection="1">
      <alignment horizontal="left"/>
      <protection/>
    </xf>
    <xf numFmtId="0" fontId="15" fillId="0" borderId="49" xfId="0" applyFont="1" applyFill="1" applyBorder="1" applyAlignment="1" applyProtection="1">
      <alignment/>
      <protection/>
    </xf>
    <xf numFmtId="0" fontId="22" fillId="0" borderId="0" xfId="0" applyFont="1" applyFill="1" applyAlignment="1" applyProtection="1">
      <alignment/>
      <protection/>
    </xf>
    <xf numFmtId="37" fontId="12" fillId="0" borderId="0" xfId="0" applyNumberFormat="1" applyFont="1" applyFill="1" applyBorder="1" applyAlignment="1" applyProtection="1">
      <alignment/>
      <protection/>
    </xf>
    <xf numFmtId="178" fontId="12" fillId="0" borderId="0" xfId="0" applyNumberFormat="1" applyFont="1" applyBorder="1" applyAlignment="1" applyProtection="1">
      <alignment/>
      <protection/>
    </xf>
    <xf numFmtId="0" fontId="12" fillId="0" borderId="0" xfId="0" applyFont="1" applyFill="1" applyBorder="1" applyAlignment="1" applyProtection="1">
      <alignment horizontal="left"/>
      <protection/>
    </xf>
    <xf numFmtId="178" fontId="12" fillId="0" borderId="5" xfId="0" applyNumberFormat="1" applyFont="1" applyBorder="1" applyAlignment="1" applyProtection="1">
      <alignment horizontal="right"/>
      <protection/>
    </xf>
    <xf numFmtId="4" fontId="15" fillId="0" borderId="0" xfId="0" applyNumberFormat="1" applyFont="1" applyFill="1" applyBorder="1" applyAlignment="1" applyProtection="1">
      <alignment/>
      <protection/>
    </xf>
    <xf numFmtId="0" fontId="12" fillId="0" borderId="6" xfId="0" applyFont="1" applyBorder="1" applyAlignment="1" applyProtection="1">
      <alignment horizontal="left"/>
      <protection/>
    </xf>
    <xf numFmtId="0" fontId="12" fillId="0" borderId="5" xfId="0" applyFont="1" applyFill="1" applyBorder="1" applyAlignment="1" applyProtection="1">
      <alignment horizontal="left"/>
      <protection/>
    </xf>
    <xf numFmtId="0" fontId="0" fillId="0" borderId="54" xfId="0" applyFont="1" applyFill="1" applyBorder="1" applyAlignment="1" applyProtection="1">
      <alignment/>
      <protection/>
    </xf>
    <xf numFmtId="4" fontId="12" fillId="0" borderId="3" xfId="34" applyNumberFormat="1" applyFont="1" applyFill="1" applyBorder="1" applyProtection="1">
      <alignment/>
      <protection/>
    </xf>
    <xf numFmtId="0" fontId="0" fillId="5" borderId="6" xfId="0" applyFill="1" applyBorder="1" applyAlignment="1" applyProtection="1">
      <alignment/>
      <protection/>
    </xf>
    <xf numFmtId="178" fontId="12" fillId="0" borderId="0" xfId="37" applyNumberFormat="1" applyFont="1" applyFill="1" applyBorder="1" applyAlignment="1" applyProtection="1">
      <alignment horizontal="right"/>
      <protection/>
    </xf>
    <xf numFmtId="4" fontId="15" fillId="3" borderId="42" xfId="0" applyNumberFormat="1" applyFont="1" applyFill="1" applyBorder="1" applyAlignment="1" applyProtection="1">
      <alignment horizontal="right"/>
      <protection/>
    </xf>
    <xf numFmtId="43" fontId="12" fillId="0" borderId="0" xfId="0" applyNumberFormat="1" applyFont="1" applyFill="1" applyBorder="1" applyAlignment="1" applyProtection="1">
      <alignment/>
      <protection/>
    </xf>
    <xf numFmtId="3" fontId="12" fillId="0" borderId="5" xfId="0" applyNumberFormat="1" applyFont="1" applyFill="1" applyBorder="1" applyAlignment="1" applyProtection="1">
      <alignment horizontal="center"/>
      <protection/>
    </xf>
    <xf numFmtId="43" fontId="12" fillId="0" borderId="5" xfId="0" applyNumberFormat="1" applyFont="1" applyFill="1" applyBorder="1" applyAlignment="1" applyProtection="1">
      <alignment horizontal="center"/>
      <protection/>
    </xf>
    <xf numFmtId="0" fontId="12" fillId="0" borderId="10" xfId="0" applyFont="1" applyBorder="1" applyAlignment="1" applyProtection="1">
      <alignment horizontal="left"/>
      <protection/>
    </xf>
    <xf numFmtId="4" fontId="15" fillId="3" borderId="53" xfId="0" applyNumberFormat="1" applyFont="1" applyFill="1" applyBorder="1" applyAlignment="1" applyProtection="1">
      <alignment/>
      <protection/>
    </xf>
    <xf numFmtId="0" fontId="15" fillId="3" borderId="53" xfId="0" applyFont="1" applyFill="1" applyBorder="1" applyAlignment="1" applyProtection="1">
      <alignment wrapText="1"/>
      <protection/>
    </xf>
    <xf numFmtId="0" fontId="15" fillId="3" borderId="42" xfId="0" applyFont="1" applyFill="1" applyBorder="1" applyAlignment="1" applyProtection="1">
      <alignment wrapText="1"/>
      <protection/>
    </xf>
    <xf numFmtId="4" fontId="15" fillId="3" borderId="42" xfId="0" applyNumberFormat="1" applyFont="1" applyFill="1" applyBorder="1" applyAlignment="1" applyProtection="1">
      <alignment/>
      <protection/>
    </xf>
    <xf numFmtId="0" fontId="12" fillId="0" borderId="2" xfId="0" applyFont="1" applyFill="1" applyBorder="1" applyAlignment="1" applyProtection="1">
      <alignment/>
      <protection/>
    </xf>
    <xf numFmtId="0" fontId="12" fillId="0" borderId="51" xfId="0" applyFont="1" applyFill="1" applyBorder="1" applyAlignment="1" applyProtection="1">
      <alignment/>
      <protection/>
    </xf>
    <xf numFmtId="3" fontId="16" fillId="0" borderId="0" xfId="0" applyNumberFormat="1" applyFont="1" applyFill="1" applyBorder="1" applyAlignment="1" applyProtection="1">
      <alignment/>
      <protection/>
    </xf>
    <xf numFmtId="43" fontId="16" fillId="0" borderId="0" xfId="0" applyNumberFormat="1" applyFont="1" applyFill="1" applyBorder="1" applyAlignment="1" applyProtection="1">
      <alignment/>
      <protection/>
    </xf>
    <xf numFmtId="0" fontId="15" fillId="3" borderId="53" xfId="0" applyFont="1" applyFill="1" applyBorder="1" applyAlignment="1" applyProtection="1">
      <alignment horizontal="left"/>
      <protection/>
    </xf>
    <xf numFmtId="4" fontId="15" fillId="3" borderId="53" xfId="0" applyNumberFormat="1" applyFont="1" applyFill="1" applyBorder="1" applyAlignment="1" applyProtection="1">
      <alignment horizontal="left"/>
      <protection/>
    </xf>
    <xf numFmtId="0" fontId="15" fillId="3" borderId="53" xfId="0" applyFont="1" applyFill="1" applyBorder="1" applyAlignment="1" applyProtection="1">
      <alignment horizontal="left" wrapText="1"/>
      <protection/>
    </xf>
    <xf numFmtId="0" fontId="15" fillId="3" borderId="42" xfId="0" applyFont="1" applyFill="1" applyBorder="1" applyAlignment="1" applyProtection="1">
      <alignment horizontal="left" wrapText="1"/>
      <protection/>
    </xf>
    <xf numFmtId="4" fontId="15" fillId="3" borderId="42" xfId="0" applyNumberFormat="1" applyFont="1" applyFill="1" applyBorder="1" applyAlignment="1" applyProtection="1">
      <alignment horizontal="left"/>
      <protection/>
    </xf>
    <xf numFmtId="0" fontId="0" fillId="0" borderId="51" xfId="0" applyFill="1" applyBorder="1" applyAlignment="1" applyProtection="1">
      <alignment horizontal="left"/>
      <protection/>
    </xf>
    <xf numFmtId="0" fontId="0" fillId="0" borderId="49" xfId="0" applyBorder="1" applyAlignment="1" applyProtection="1">
      <alignment/>
      <protection/>
    </xf>
    <xf numFmtId="0" fontId="16" fillId="0" borderId="0" xfId="0" applyFont="1" applyFill="1" applyAlignment="1" applyProtection="1">
      <alignment/>
      <protection/>
    </xf>
    <xf numFmtId="4" fontId="12" fillId="0" borderId="0" xfId="0" applyNumberFormat="1" applyFont="1" applyFill="1" applyAlignment="1" applyProtection="1">
      <alignment horizontal="left"/>
      <protection/>
    </xf>
    <xf numFmtId="4" fontId="12" fillId="0" borderId="6" xfId="0" applyNumberFormat="1" applyFont="1" applyBorder="1" applyAlignment="1" applyProtection="1">
      <alignment/>
      <protection/>
    </xf>
    <xf numFmtId="0" fontId="15" fillId="3" borderId="6" xfId="0" applyFont="1" applyFill="1" applyBorder="1" applyAlignment="1" applyProtection="1" quotePrefix="1">
      <alignment/>
      <protection/>
    </xf>
    <xf numFmtId="0" fontId="0" fillId="5" borderId="49" xfId="0" applyFill="1" applyBorder="1" applyAlignment="1" applyProtection="1">
      <alignment/>
      <protection/>
    </xf>
    <xf numFmtId="0" fontId="15" fillId="0" borderId="0" xfId="0" applyFont="1" applyFill="1" applyAlignment="1" applyProtection="1">
      <alignment horizontal="center" wrapText="1"/>
      <protection/>
    </xf>
    <xf numFmtId="0" fontId="15" fillId="0" borderId="0" xfId="19" applyFont="1" applyFill="1" applyAlignment="1" applyProtection="1">
      <alignment/>
      <protection/>
    </xf>
    <xf numFmtId="0" fontId="15" fillId="3" borderId="47" xfId="0" applyFont="1" applyFill="1" applyBorder="1" applyAlignment="1" applyProtection="1">
      <alignment/>
      <protection/>
    </xf>
    <xf numFmtId="0" fontId="17" fillId="3" borderId="55" xfId="0" applyFont="1" applyFill="1" applyBorder="1" applyAlignment="1" applyProtection="1">
      <alignment horizontal="center"/>
      <protection/>
    </xf>
    <xf numFmtId="0" fontId="0" fillId="5" borderId="64" xfId="0" applyFill="1" applyBorder="1" applyAlignment="1" applyProtection="1">
      <alignment/>
      <protection/>
    </xf>
    <xf numFmtId="0" fontId="17" fillId="3" borderId="56" xfId="0" applyFont="1" applyFill="1" applyBorder="1" applyAlignment="1" applyProtection="1">
      <alignment horizontal="center"/>
      <protection/>
    </xf>
    <xf numFmtId="0" fontId="17" fillId="3" borderId="48" xfId="0" applyFont="1" applyFill="1" applyBorder="1" applyAlignment="1" applyProtection="1">
      <alignment horizontal="center"/>
      <protection/>
    </xf>
    <xf numFmtId="0" fontId="0" fillId="5" borderId="65" xfId="0" applyFill="1" applyBorder="1" applyAlignment="1" applyProtection="1">
      <alignment/>
      <protection/>
    </xf>
    <xf numFmtId="0" fontId="12" fillId="0" borderId="53" xfId="0" applyFont="1" applyBorder="1" applyAlignment="1" applyProtection="1">
      <alignment vertical="center"/>
      <protection/>
    </xf>
    <xf numFmtId="178" fontId="12" fillId="0" borderId="53" xfId="0" applyNumberFormat="1" applyFont="1" applyBorder="1" applyAlignment="1" applyProtection="1">
      <alignment vertical="center"/>
      <protection/>
    </xf>
    <xf numFmtId="0" fontId="20" fillId="0" borderId="6" xfId="0" applyFont="1" applyFill="1" applyBorder="1" applyAlignment="1" applyProtection="1">
      <alignment/>
      <protection/>
    </xf>
    <xf numFmtId="3" fontId="10" fillId="0" borderId="59" xfId="0" applyNumberFormat="1" applyFont="1" applyFill="1" applyBorder="1" applyAlignment="1" applyProtection="1">
      <alignment horizontal="center"/>
      <protection/>
    </xf>
    <xf numFmtId="0" fontId="25" fillId="0" borderId="0" xfId="0" applyFont="1" applyFill="1" applyBorder="1" applyAlignment="1" applyProtection="1">
      <alignment/>
      <protection/>
    </xf>
    <xf numFmtId="0" fontId="27" fillId="0" borderId="0" xfId="0" applyFont="1" applyFill="1" applyBorder="1" applyAlignment="1" applyProtection="1">
      <alignment/>
      <protection/>
    </xf>
    <xf numFmtId="0" fontId="0" fillId="0" borderId="15" xfId="0" applyFill="1" applyBorder="1" applyAlignment="1" applyProtection="1">
      <alignment/>
      <protection/>
    </xf>
    <xf numFmtId="0" fontId="0" fillId="0" borderId="20" xfId="0" applyFill="1" applyBorder="1" applyAlignment="1" applyProtection="1">
      <alignment/>
      <protection/>
    </xf>
    <xf numFmtId="0" fontId="0" fillId="0" borderId="14" xfId="0" applyFill="1" applyBorder="1" applyAlignment="1" applyProtection="1">
      <alignment horizontal="left"/>
      <protection/>
    </xf>
    <xf numFmtId="0" fontId="0" fillId="0" borderId="14" xfId="0" applyFill="1" applyBorder="1" applyAlignment="1" applyProtection="1">
      <alignment/>
      <protection/>
    </xf>
    <xf numFmtId="3" fontId="0" fillId="0" borderId="43" xfId="0" applyNumberFormat="1" applyFill="1" applyBorder="1" applyAlignment="1" applyProtection="1">
      <alignment horizontal="center"/>
      <protection/>
    </xf>
    <xf numFmtId="3" fontId="0" fillId="0" borderId="13" xfId="0" applyNumberFormat="1" applyFill="1" applyBorder="1" applyAlignment="1" applyProtection="1">
      <alignment horizontal="center"/>
      <protection/>
    </xf>
    <xf numFmtId="3" fontId="0" fillId="0" borderId="33" xfId="0" applyNumberFormat="1" applyFill="1" applyBorder="1" applyAlignment="1" applyProtection="1">
      <alignment horizontal="center"/>
      <protection/>
    </xf>
    <xf numFmtId="3" fontId="0" fillId="0" borderId="3" xfId="0" applyNumberFormat="1" applyFill="1" applyBorder="1" applyAlignment="1" applyProtection="1">
      <alignment horizontal="center"/>
      <protection/>
    </xf>
    <xf numFmtId="3" fontId="0" fillId="0" borderId="20" xfId="0" applyNumberFormat="1" applyFill="1" applyBorder="1" applyAlignment="1" applyProtection="1">
      <alignment horizontal="center"/>
      <protection/>
    </xf>
    <xf numFmtId="0" fontId="0" fillId="0" borderId="0" xfId="0" applyFill="1" applyAlignment="1" applyProtection="1">
      <alignment horizontal="center"/>
      <protection/>
    </xf>
    <xf numFmtId="3" fontId="0" fillId="0" borderId="0" xfId="0" applyNumberFormat="1" applyFill="1" applyBorder="1" applyAlignment="1" applyProtection="1">
      <alignment horizontal="center"/>
      <protection/>
    </xf>
    <xf numFmtId="178" fontId="0" fillId="0" borderId="0" xfId="0" applyNumberFormat="1" applyFill="1" applyBorder="1" applyAlignment="1" applyProtection="1">
      <alignment horizontal="center"/>
      <protection/>
    </xf>
    <xf numFmtId="37" fontId="12" fillId="0" borderId="0" xfId="33" applyNumberFormat="1" applyFont="1" applyFill="1" applyBorder="1" applyAlignment="1" applyProtection="1">
      <alignment vertical="center"/>
      <protection/>
    </xf>
    <xf numFmtId="37" fontId="12" fillId="0" borderId="48" xfId="33" applyNumberFormat="1" applyFont="1" applyFill="1" applyBorder="1" applyAlignment="1" applyProtection="1">
      <alignment vertical="center"/>
      <protection/>
    </xf>
    <xf numFmtId="37" fontId="12" fillId="0" borderId="0" xfId="33" applyNumberFormat="1" applyFont="1" applyFill="1" applyBorder="1" applyAlignment="1" applyProtection="1">
      <alignment horizontal="right" vertical="center"/>
      <protection/>
    </xf>
    <xf numFmtId="176" fontId="12" fillId="0" borderId="0" xfId="0" applyNumberFormat="1" applyFont="1" applyFill="1" applyBorder="1" applyAlignment="1" applyProtection="1">
      <alignment/>
      <protection/>
    </xf>
    <xf numFmtId="0" fontId="12" fillId="0" borderId="0" xfId="0" applyFont="1" applyFill="1" applyBorder="1" applyAlignment="1" applyProtection="1">
      <alignment vertical="top"/>
      <protection/>
    </xf>
    <xf numFmtId="0" fontId="12" fillId="0" borderId="0" xfId="0" applyFont="1" applyFill="1" applyBorder="1" applyAlignment="1">
      <alignment/>
    </xf>
    <xf numFmtId="0" fontId="12" fillId="0" borderId="0" xfId="0" applyNumberFormat="1" applyFont="1" applyFill="1" applyBorder="1" applyAlignment="1" applyProtection="1">
      <alignment horizontal="right"/>
      <protection/>
    </xf>
    <xf numFmtId="0" fontId="15" fillId="0" borderId="0" xfId="0" applyFont="1" applyFill="1" applyBorder="1" applyAlignment="1">
      <alignment/>
    </xf>
    <xf numFmtId="176" fontId="15" fillId="0" borderId="0" xfId="0" applyNumberFormat="1" applyFont="1" applyFill="1" applyBorder="1" applyAlignment="1" applyProtection="1">
      <alignment/>
      <protection/>
    </xf>
    <xf numFmtId="37" fontId="12" fillId="0" borderId="0" xfId="0" applyNumberFormat="1" applyFont="1" applyFill="1" applyBorder="1" applyAlignment="1" applyProtection="1">
      <alignment/>
      <protection/>
    </xf>
    <xf numFmtId="0" fontId="12" fillId="0" borderId="0" xfId="0" applyFont="1" applyFill="1" applyBorder="1" applyAlignment="1" applyProtection="1">
      <alignment horizontal="justify" vertical="top" wrapText="1"/>
      <protection/>
    </xf>
    <xf numFmtId="0" fontId="12" fillId="0" borderId="0" xfId="0" applyFont="1" applyFill="1" applyBorder="1" applyAlignment="1" applyProtection="1">
      <alignment vertical="top" wrapText="1"/>
      <protection/>
    </xf>
    <xf numFmtId="0" fontId="15" fillId="0" borderId="0" xfId="0" applyFont="1" applyFill="1" applyBorder="1" applyAlignment="1">
      <alignment vertical="top" wrapText="1"/>
    </xf>
    <xf numFmtId="0" fontId="12" fillId="0" borderId="0" xfId="0" applyFont="1" applyAlignment="1">
      <alignment wrapText="1"/>
    </xf>
    <xf numFmtId="0" fontId="12" fillId="0" borderId="0" xfId="0" applyFont="1" applyAlignment="1">
      <alignment horizontal="left" indent="4"/>
    </xf>
    <xf numFmtId="0" fontId="20" fillId="0" borderId="0" xfId="0" applyFont="1" applyAlignment="1">
      <alignment/>
    </xf>
    <xf numFmtId="0" fontId="12" fillId="2" borderId="0" xfId="33" applyFont="1" applyFill="1" applyProtection="1">
      <alignment/>
      <protection locked="0"/>
    </xf>
    <xf numFmtId="0" fontId="12" fillId="0" borderId="0" xfId="33" applyFont="1" applyBorder="1" applyProtection="1">
      <alignment/>
      <protection hidden="1"/>
    </xf>
    <xf numFmtId="0" fontId="15" fillId="0" borderId="0" xfId="33" applyFont="1" applyBorder="1" applyProtection="1">
      <alignment/>
      <protection hidden="1"/>
    </xf>
    <xf numFmtId="0" fontId="15" fillId="0" borderId="0" xfId="33" applyFont="1" applyBorder="1" applyAlignment="1" applyProtection="1">
      <alignment/>
      <protection hidden="1"/>
    </xf>
    <xf numFmtId="0" fontId="12" fillId="0" borderId="0" xfId="33" applyFont="1" applyBorder="1" applyAlignment="1" applyProtection="1">
      <alignment/>
      <protection hidden="1"/>
    </xf>
    <xf numFmtId="0" fontId="34" fillId="0" borderId="0" xfId="33" applyFont="1" applyBorder="1" applyAlignment="1" applyProtection="1">
      <alignment/>
      <protection hidden="1"/>
    </xf>
    <xf numFmtId="0" fontId="34" fillId="0" borderId="0" xfId="33" applyFont="1" applyBorder="1" applyAlignment="1" applyProtection="1">
      <alignment horizontal="left"/>
      <protection hidden="1"/>
    </xf>
    <xf numFmtId="37" fontId="12" fillId="0" borderId="0" xfId="33" applyNumberFormat="1" applyFont="1" applyBorder="1" applyProtection="1">
      <alignment/>
      <protection hidden="1"/>
    </xf>
    <xf numFmtId="0" fontId="14" fillId="0" borderId="0" xfId="33" applyFont="1" applyBorder="1" applyAlignment="1" applyProtection="1">
      <alignment horizontal="left"/>
      <protection hidden="1"/>
    </xf>
    <xf numFmtId="0" fontId="12" fillId="0" borderId="0" xfId="33" applyFont="1" applyBorder="1" applyAlignment="1" applyProtection="1">
      <alignment vertical="center"/>
      <protection hidden="1"/>
    </xf>
    <xf numFmtId="0" fontId="14" fillId="0" borderId="0" xfId="33" applyFont="1" applyBorder="1" applyAlignment="1" applyProtection="1">
      <alignment/>
      <protection hidden="1"/>
    </xf>
    <xf numFmtId="0" fontId="12" fillId="0" borderId="0" xfId="33" applyFont="1" applyProtection="1">
      <alignment/>
      <protection hidden="1"/>
    </xf>
    <xf numFmtId="0" fontId="12" fillId="0" borderId="0" xfId="33" applyFont="1" applyAlignment="1" applyProtection="1">
      <alignment/>
      <protection hidden="1"/>
    </xf>
    <xf numFmtId="0" fontId="12" fillId="0" borderId="37" xfId="33" applyFont="1" applyBorder="1" applyAlignment="1" applyProtection="1">
      <alignment/>
      <protection hidden="1"/>
    </xf>
    <xf numFmtId="0" fontId="12" fillId="0" borderId="38" xfId="33" applyFont="1" applyBorder="1" applyAlignment="1" applyProtection="1">
      <alignment/>
      <protection hidden="1"/>
    </xf>
    <xf numFmtId="0" fontId="12" fillId="0" borderId="6" xfId="33" applyFont="1" applyBorder="1" applyAlignment="1" applyProtection="1">
      <alignment/>
      <protection hidden="1"/>
    </xf>
    <xf numFmtId="0" fontId="12" fillId="0" borderId="49" xfId="33" applyFont="1" applyBorder="1" applyAlignment="1" applyProtection="1">
      <alignment/>
      <protection hidden="1"/>
    </xf>
    <xf numFmtId="0" fontId="12" fillId="0" borderId="61" xfId="33" applyFont="1" applyBorder="1" applyAlignment="1" applyProtection="1">
      <alignment/>
      <protection hidden="1"/>
    </xf>
    <xf numFmtId="0" fontId="0" fillId="0" borderId="0" xfId="0" applyBorder="1" applyAlignment="1">
      <alignment/>
    </xf>
    <xf numFmtId="0" fontId="12" fillId="0" borderId="6" xfId="33" applyFont="1" applyBorder="1" applyAlignment="1" applyProtection="1">
      <alignment vertical="center"/>
      <protection hidden="1"/>
    </xf>
    <xf numFmtId="0" fontId="12" fillId="0" borderId="49" xfId="33" applyFont="1" applyBorder="1" applyAlignment="1" applyProtection="1">
      <alignment vertical="center"/>
      <protection hidden="1"/>
    </xf>
    <xf numFmtId="0" fontId="15" fillId="0" borderId="6" xfId="33" applyFont="1" applyBorder="1" applyAlignment="1" applyProtection="1">
      <alignment vertical="center"/>
      <protection hidden="1"/>
    </xf>
    <xf numFmtId="37" fontId="12" fillId="0" borderId="14" xfId="33" applyNumberFormat="1" applyFont="1" applyFill="1" applyBorder="1" applyAlignment="1" applyProtection="1">
      <alignment vertical="center"/>
      <protection locked="0"/>
    </xf>
    <xf numFmtId="37" fontId="12" fillId="0" borderId="20" xfId="33" applyNumberFormat="1" applyFont="1" applyFill="1" applyBorder="1" applyAlignment="1" applyProtection="1">
      <alignment vertical="center"/>
      <protection locked="0"/>
    </xf>
    <xf numFmtId="37" fontId="12" fillId="0" borderId="0" xfId="33" applyNumberFormat="1" applyFont="1" applyFill="1" applyBorder="1" applyAlignment="1" applyProtection="1">
      <alignment vertical="center"/>
      <protection hidden="1"/>
    </xf>
    <xf numFmtId="14" fontId="17" fillId="0" borderId="0" xfId="33" applyNumberFormat="1" applyFont="1" applyAlignment="1" applyProtection="1">
      <alignment vertical="center"/>
      <protection/>
    </xf>
    <xf numFmtId="37" fontId="17" fillId="0" borderId="0" xfId="33" applyNumberFormat="1" applyFont="1" applyFill="1" applyBorder="1" applyAlignment="1" applyProtection="1">
      <alignment vertical="center"/>
      <protection hidden="1"/>
    </xf>
    <xf numFmtId="37" fontId="12" fillId="7" borderId="55" xfId="33" applyNumberFormat="1" applyFont="1" applyFill="1" applyBorder="1" applyAlignment="1" applyProtection="1">
      <alignment vertical="center"/>
      <protection/>
    </xf>
    <xf numFmtId="37" fontId="12" fillId="7" borderId="64" xfId="33" applyNumberFormat="1" applyFont="1" applyFill="1" applyBorder="1" applyAlignment="1" applyProtection="1">
      <alignment vertical="center"/>
      <protection/>
    </xf>
    <xf numFmtId="37" fontId="18" fillId="0" borderId="54" xfId="33" applyNumberFormat="1" applyFont="1" applyFill="1" applyBorder="1" applyAlignment="1" applyProtection="1">
      <alignment vertical="center"/>
      <protection/>
    </xf>
    <xf numFmtId="37" fontId="12" fillId="7" borderId="0" xfId="33" applyNumberFormat="1" applyFont="1" applyFill="1" applyBorder="1" applyAlignment="1" applyProtection="1">
      <alignment vertical="center"/>
      <protection/>
    </xf>
    <xf numFmtId="37" fontId="12" fillId="7" borderId="66" xfId="33" applyNumberFormat="1" applyFont="1" applyFill="1" applyBorder="1" applyAlignment="1" applyProtection="1">
      <alignment vertical="center"/>
      <protection/>
    </xf>
    <xf numFmtId="37" fontId="12" fillId="7" borderId="56" xfId="33" applyNumberFormat="1" applyFont="1" applyFill="1" applyBorder="1" applyAlignment="1" applyProtection="1">
      <alignment vertical="center"/>
      <protection/>
    </xf>
    <xf numFmtId="37" fontId="12" fillId="7" borderId="48" xfId="33" applyNumberFormat="1" applyFont="1" applyFill="1" applyBorder="1" applyAlignment="1" applyProtection="1">
      <alignment vertical="center"/>
      <protection/>
    </xf>
    <xf numFmtId="37" fontId="12" fillId="7" borderId="65" xfId="33" applyNumberFormat="1" applyFont="1" applyFill="1" applyBorder="1" applyAlignment="1" applyProtection="1">
      <alignment horizontal="right" vertical="center"/>
      <protection/>
    </xf>
    <xf numFmtId="37" fontId="12" fillId="7" borderId="65" xfId="33" applyNumberFormat="1" applyFont="1" applyFill="1" applyBorder="1" applyAlignment="1" applyProtection="1">
      <alignment vertical="center"/>
      <protection/>
    </xf>
    <xf numFmtId="0" fontId="12" fillId="0" borderId="0" xfId="33" applyFont="1" applyAlignment="1">
      <alignment vertical="center"/>
      <protection/>
    </xf>
    <xf numFmtId="0" fontId="22" fillId="0" borderId="0" xfId="33" applyNumberFormat="1" applyFont="1" applyBorder="1" applyAlignment="1" applyProtection="1">
      <alignment vertical="center"/>
      <protection/>
    </xf>
    <xf numFmtId="0" fontId="12" fillId="0" borderId="0" xfId="33" applyFont="1" applyAlignment="1">
      <alignment wrapText="1"/>
      <protection/>
    </xf>
    <xf numFmtId="0" fontId="12" fillId="0" borderId="0" xfId="0" applyFont="1" applyAlignment="1">
      <alignment horizontal="left" indent="6"/>
    </xf>
    <xf numFmtId="0" fontId="12" fillId="0" borderId="0" xfId="0" applyFont="1" applyAlignment="1">
      <alignment horizontal="left" indent="7"/>
    </xf>
    <xf numFmtId="0" fontId="18" fillId="0" borderId="0" xfId="33" applyFont="1" applyBorder="1" applyProtection="1">
      <alignment/>
      <protection/>
    </xf>
    <xf numFmtId="44" fontId="0" fillId="0" borderId="2" xfId="0" applyNumberFormat="1" applyFont="1" applyBorder="1" applyAlignment="1" applyProtection="1">
      <alignment/>
      <protection/>
    </xf>
    <xf numFmtId="2" fontId="0" fillId="9" borderId="30" xfId="0" applyNumberFormat="1" applyFont="1" applyFill="1" applyBorder="1" applyAlignment="1">
      <alignment horizontal="left"/>
    </xf>
    <xf numFmtId="2" fontId="0" fillId="9" borderId="31" xfId="0" applyNumberFormat="1" applyFont="1" applyFill="1" applyBorder="1" applyAlignment="1">
      <alignment horizontal="left"/>
    </xf>
    <xf numFmtId="2" fontId="0" fillId="9" borderId="32" xfId="0" applyNumberFormat="1" applyFont="1" applyFill="1" applyBorder="1" applyAlignment="1">
      <alignment horizontal="left"/>
    </xf>
    <xf numFmtId="0" fontId="0" fillId="9" borderId="30" xfId="0" applyFont="1" applyFill="1" applyBorder="1" applyAlignment="1">
      <alignment horizontal="left"/>
    </xf>
    <xf numFmtId="0" fontId="0" fillId="9" borderId="31" xfId="0" applyFont="1" applyFill="1" applyBorder="1" applyAlignment="1">
      <alignment horizontal="left"/>
    </xf>
    <xf numFmtId="0" fontId="0" fillId="9" borderId="32" xfId="0" applyFont="1" applyFill="1" applyBorder="1" applyAlignment="1">
      <alignment horizontal="left"/>
    </xf>
    <xf numFmtId="4" fontId="12" fillId="0" borderId="6" xfId="0" applyNumberFormat="1" applyFont="1" applyFill="1" applyBorder="1" applyAlignment="1" applyProtection="1">
      <alignment/>
      <protection/>
    </xf>
    <xf numFmtId="0" fontId="12" fillId="0" borderId="49" xfId="0" applyFont="1" applyFill="1" applyBorder="1" applyAlignment="1" applyProtection="1">
      <alignment/>
      <protection/>
    </xf>
    <xf numFmtId="0" fontId="17" fillId="0" borderId="0" xfId="33" applyFont="1" applyFill="1" applyAlignment="1" applyProtection="1">
      <alignment vertical="center"/>
      <protection/>
    </xf>
    <xf numFmtId="0" fontId="0" fillId="0" borderId="0" xfId="0" applyBorder="1" applyAlignment="1">
      <alignment horizont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2" fillId="0" borderId="3" xfId="0" applyFont="1" applyBorder="1" applyAlignment="1">
      <alignment horizontal="right"/>
    </xf>
    <xf numFmtId="1" fontId="12" fillId="0" borderId="3" xfId="0" applyNumberFormat="1" applyFont="1" applyBorder="1" applyAlignment="1">
      <alignment/>
    </xf>
    <xf numFmtId="194" fontId="12" fillId="0" borderId="16" xfId="0" applyNumberFormat="1" applyFont="1" applyBorder="1" applyAlignment="1">
      <alignment/>
    </xf>
    <xf numFmtId="0" fontId="12" fillId="0" borderId="3" xfId="0" applyFont="1" applyBorder="1" applyAlignment="1">
      <alignment/>
    </xf>
    <xf numFmtId="180" fontId="12" fillId="8" borderId="3" xfId="0" applyNumberFormat="1" applyFont="1" applyFill="1" applyBorder="1" applyAlignment="1">
      <alignment/>
    </xf>
    <xf numFmtId="195" fontId="12" fillId="0" borderId="3" xfId="0" applyNumberFormat="1" applyFont="1" applyBorder="1" applyAlignment="1">
      <alignment/>
    </xf>
    <xf numFmtId="0" fontId="12" fillId="0" borderId="14" xfId="0" applyFont="1" applyBorder="1" applyAlignment="1">
      <alignment/>
    </xf>
    <xf numFmtId="194" fontId="12" fillId="0" borderId="0" xfId="0" applyNumberFormat="1" applyFont="1" applyBorder="1" applyAlignment="1">
      <alignment/>
    </xf>
    <xf numFmtId="1" fontId="12" fillId="0" borderId="0" xfId="0" applyNumberFormat="1" applyFont="1" applyBorder="1" applyAlignment="1">
      <alignment/>
    </xf>
    <xf numFmtId="0" fontId="12" fillId="0" borderId="15" xfId="33" applyFont="1" applyBorder="1" applyProtection="1">
      <alignment/>
      <protection/>
    </xf>
    <xf numFmtId="0" fontId="12" fillId="0" borderId="20" xfId="33" applyFont="1" applyBorder="1" applyProtection="1">
      <alignment/>
      <protection/>
    </xf>
    <xf numFmtId="0" fontId="12" fillId="0" borderId="18" xfId="0" applyFont="1" applyBorder="1" applyAlignment="1">
      <alignment/>
    </xf>
    <xf numFmtId="0" fontId="12" fillId="0" borderId="19" xfId="0" applyFont="1" applyBorder="1" applyAlignment="1">
      <alignment/>
    </xf>
    <xf numFmtId="0" fontId="12" fillId="0" borderId="67" xfId="33" applyFont="1" applyBorder="1" applyProtection="1">
      <alignment/>
      <protection/>
    </xf>
    <xf numFmtId="0" fontId="12" fillId="0" borderId="52" xfId="33" applyFont="1" applyBorder="1" applyProtection="1">
      <alignment/>
      <protection/>
    </xf>
    <xf numFmtId="0" fontId="0" fillId="0" borderId="0" xfId="0" applyAlignment="1">
      <alignment/>
    </xf>
    <xf numFmtId="0" fontId="15" fillId="0" borderId="0" xfId="33" applyFont="1" applyProtection="1">
      <alignment/>
      <protection hidden="1"/>
    </xf>
    <xf numFmtId="0" fontId="15" fillId="0" borderId="0" xfId="0" applyFont="1" applyBorder="1" applyAlignment="1" applyProtection="1">
      <alignment/>
      <protection hidden="1"/>
    </xf>
    <xf numFmtId="0" fontId="12" fillId="0" borderId="0" xfId="0" applyFont="1" applyAlignment="1" applyProtection="1">
      <alignment/>
      <protection hidden="1"/>
    </xf>
    <xf numFmtId="0" fontId="12" fillId="0" borderId="0" xfId="0" applyFont="1" applyFill="1" applyAlignment="1" applyProtection="1">
      <alignment/>
      <protection hidden="1"/>
    </xf>
    <xf numFmtId="0" fontId="15" fillId="0" borderId="0" xfId="0" applyFont="1" applyFill="1" applyBorder="1" applyAlignment="1" applyProtection="1">
      <alignment/>
      <protection hidden="1"/>
    </xf>
    <xf numFmtId="0" fontId="12" fillId="0" borderId="0" xfId="0" applyFont="1" applyFill="1" applyBorder="1" applyAlignment="1" applyProtection="1">
      <alignment vertical="top" wrapText="1"/>
      <protection hidden="1"/>
    </xf>
    <xf numFmtId="0" fontId="12" fillId="0" borderId="0" xfId="0" applyFont="1" applyBorder="1" applyAlignment="1" applyProtection="1">
      <alignment/>
      <protection hidden="1"/>
    </xf>
    <xf numFmtId="0" fontId="12" fillId="0" borderId="0" xfId="0" applyFont="1" applyFill="1" applyBorder="1" applyAlignment="1" applyProtection="1">
      <alignment/>
      <protection hidden="1"/>
    </xf>
    <xf numFmtId="0" fontId="35" fillId="0" borderId="0" xfId="0" applyFont="1" applyFill="1" applyBorder="1" applyAlignment="1" applyProtection="1">
      <alignment/>
      <protection hidden="1"/>
    </xf>
    <xf numFmtId="0" fontId="12" fillId="0" borderId="3" xfId="0" applyFont="1" applyBorder="1" applyAlignment="1" applyProtection="1">
      <alignment vertical="center" wrapText="1"/>
      <protection hidden="1"/>
    </xf>
    <xf numFmtId="0" fontId="15" fillId="0" borderId="3" xfId="0" applyFont="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0" fillId="0" borderId="0" xfId="0" applyFont="1" applyAlignment="1" applyProtection="1">
      <alignment/>
      <protection hidden="1"/>
    </xf>
    <xf numFmtId="1" fontId="12" fillId="0" borderId="0" xfId="0" applyNumberFormat="1" applyFont="1" applyBorder="1" applyAlignment="1" applyProtection="1">
      <alignment/>
      <protection hidden="1"/>
    </xf>
    <xf numFmtId="1" fontId="12" fillId="0" borderId="0" xfId="0" applyNumberFormat="1" applyFont="1" applyAlignment="1" applyProtection="1">
      <alignment/>
      <protection hidden="1"/>
    </xf>
    <xf numFmtId="180" fontId="12" fillId="0" borderId="0" xfId="0" applyNumberFormat="1" applyFont="1" applyFill="1" applyAlignment="1" applyProtection="1">
      <alignment/>
      <protection hidden="1"/>
    </xf>
    <xf numFmtId="182" fontId="12" fillId="0" borderId="0" xfId="0" applyNumberFormat="1" applyFont="1" applyAlignment="1" applyProtection="1">
      <alignment/>
      <protection hidden="1"/>
    </xf>
    <xf numFmtId="0" fontId="12" fillId="0" borderId="3" xfId="0" applyFont="1" applyFill="1" applyBorder="1" applyAlignment="1" applyProtection="1">
      <alignment vertical="center"/>
      <protection hidden="1"/>
    </xf>
    <xf numFmtId="0" fontId="15" fillId="0" borderId="3" xfId="0" applyFont="1" applyFill="1" applyBorder="1" applyAlignment="1" applyProtection="1">
      <alignment vertical="center"/>
      <protection hidden="1"/>
    </xf>
    <xf numFmtId="0" fontId="12" fillId="0" borderId="3" xfId="0" applyFont="1" applyFill="1" applyBorder="1" applyAlignment="1" applyProtection="1">
      <alignment vertical="center" wrapText="1"/>
      <protection hidden="1"/>
    </xf>
    <xf numFmtId="1" fontId="12" fillId="0" borderId="0" xfId="0" applyNumberFormat="1" applyFont="1" applyFill="1" applyBorder="1" applyAlignment="1" applyProtection="1">
      <alignment/>
      <protection hidden="1"/>
    </xf>
    <xf numFmtId="1" fontId="12" fillId="0" borderId="0" xfId="0" applyNumberFormat="1" applyFont="1" applyFill="1" applyAlignment="1" applyProtection="1">
      <alignment/>
      <protection hidden="1"/>
    </xf>
    <xf numFmtId="0" fontId="16" fillId="0" borderId="0" xfId="0" applyFont="1" applyFill="1" applyAlignment="1" applyProtection="1">
      <alignment/>
      <protection hidden="1"/>
    </xf>
    <xf numFmtId="0" fontId="12" fillId="0" borderId="0" xfId="0" applyFont="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1" fontId="12" fillId="0" borderId="68" xfId="0" applyNumberFormat="1" applyFont="1" applyBorder="1" applyAlignment="1" applyProtection="1">
      <alignment/>
      <protection hidden="1"/>
    </xf>
    <xf numFmtId="0" fontId="16" fillId="0" borderId="0" xfId="0" applyFont="1" applyBorder="1" applyAlignment="1" applyProtection="1">
      <alignment/>
      <protection hidden="1"/>
    </xf>
    <xf numFmtId="0" fontId="16" fillId="0" borderId="0" xfId="0" applyFont="1" applyFill="1" applyBorder="1" applyAlignment="1" applyProtection="1">
      <alignment/>
      <protection hidden="1"/>
    </xf>
    <xf numFmtId="0" fontId="36" fillId="0" borderId="0" xfId="0" applyFont="1" applyFill="1" applyBorder="1" applyAlignment="1" applyProtection="1">
      <alignment/>
      <protection hidden="1"/>
    </xf>
    <xf numFmtId="0" fontId="18" fillId="0" borderId="0" xfId="0" applyFont="1" applyBorder="1" applyAlignment="1" applyProtection="1">
      <alignment/>
      <protection hidden="1"/>
    </xf>
    <xf numFmtId="0" fontId="12" fillId="0" borderId="3" xfId="0" applyFont="1" applyFill="1" applyBorder="1" applyAlignment="1" applyProtection="1">
      <alignment horizontal="center" vertical="center"/>
      <protection hidden="1"/>
    </xf>
    <xf numFmtId="9" fontId="12" fillId="0" borderId="5" xfId="37" applyNumberFormat="1" applyFont="1" applyFill="1" applyBorder="1" applyAlignment="1" applyProtection="1">
      <alignment horizontal="center"/>
      <protection/>
    </xf>
    <xf numFmtId="178" fontId="12" fillId="0" borderId="49" xfId="37" applyNumberFormat="1" applyFont="1" applyFill="1" applyBorder="1" applyAlignment="1" applyProtection="1">
      <alignment/>
      <protection/>
    </xf>
    <xf numFmtId="0" fontId="15" fillId="0" borderId="0" xfId="0" applyFont="1" applyFill="1" applyBorder="1" applyAlignment="1" applyProtection="1">
      <alignment horizontal="center" wrapText="1"/>
      <protection hidden="1"/>
    </xf>
    <xf numFmtId="0" fontId="15" fillId="3" borderId="5" xfId="0" applyFont="1" applyFill="1" applyBorder="1" applyAlignment="1" applyProtection="1">
      <alignment horizontal="center" wrapText="1"/>
      <protection hidden="1"/>
    </xf>
    <xf numFmtId="0" fontId="12" fillId="0" borderId="12" xfId="0" applyFont="1" applyBorder="1" applyAlignment="1" applyProtection="1">
      <alignment/>
      <protection/>
    </xf>
    <xf numFmtId="205" fontId="0" fillId="0" borderId="2" xfId="20" applyNumberFormat="1" applyBorder="1" applyAlignment="1" applyProtection="1">
      <alignment/>
      <protection/>
    </xf>
    <xf numFmtId="205" fontId="0" fillId="0" borderId="2" xfId="20" applyNumberFormat="1" applyFont="1" applyFill="1" applyBorder="1" applyAlignment="1" applyProtection="1">
      <alignment/>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20" xfId="0" applyBorder="1" applyAlignment="1" applyProtection="1">
      <alignment horizontal="left" vertical="center"/>
      <protection/>
    </xf>
    <xf numFmtId="205" fontId="0" fillId="0" borderId="3" xfId="20" applyNumberFormat="1" applyBorder="1" applyAlignment="1" applyProtection="1">
      <alignment/>
      <protection/>
    </xf>
    <xf numFmtId="4" fontId="12" fillId="0" borderId="10" xfId="0" applyNumberFormat="1" applyFont="1" applyFill="1" applyBorder="1" applyAlignment="1" applyProtection="1">
      <alignment/>
      <protection/>
    </xf>
    <xf numFmtId="178" fontId="12" fillId="0" borderId="64" xfId="37" applyNumberFormat="1" applyFont="1" applyFill="1" applyBorder="1" applyAlignment="1" applyProtection="1">
      <alignment/>
      <protection/>
    </xf>
    <xf numFmtId="178" fontId="12" fillId="0" borderId="65" xfId="37" applyNumberFormat="1" applyFont="1" applyFill="1" applyBorder="1" applyAlignment="1" applyProtection="1">
      <alignment/>
      <protection/>
    </xf>
    <xf numFmtId="3" fontId="15" fillId="3" borderId="5" xfId="0" applyNumberFormat="1" applyFont="1" applyFill="1" applyBorder="1" applyAlignment="1" applyProtection="1">
      <alignment horizontal="right"/>
      <protection/>
    </xf>
    <xf numFmtId="0" fontId="15" fillId="5" borderId="10" xfId="0" applyFont="1" applyFill="1" applyBorder="1" applyAlignment="1" applyProtection="1">
      <alignment horizontal="left"/>
      <protection/>
    </xf>
    <xf numFmtId="3" fontId="12" fillId="0" borderId="0" xfId="0" applyNumberFormat="1" applyFont="1" applyFill="1" applyBorder="1" applyAlignment="1" applyProtection="1">
      <alignment horizontal="center"/>
      <protection/>
    </xf>
    <xf numFmtId="0" fontId="12" fillId="0" borderId="48" xfId="0" applyFont="1" applyFill="1" applyBorder="1" applyAlignment="1" applyProtection="1">
      <alignment/>
      <protection/>
    </xf>
    <xf numFmtId="0" fontId="15" fillId="0" borderId="48" xfId="0" applyFont="1" applyFill="1" applyBorder="1" applyAlignment="1" applyProtection="1">
      <alignment horizontal="left"/>
      <protection/>
    </xf>
    <xf numFmtId="0" fontId="15" fillId="0" borderId="12" xfId="35" applyFont="1" applyFill="1" applyBorder="1" applyAlignment="1" applyProtection="1">
      <alignment vertical="center"/>
      <protection/>
    </xf>
    <xf numFmtId="0" fontId="0" fillId="0" borderId="49" xfId="0" applyNumberFormat="1" applyFill="1" applyBorder="1" applyAlignment="1" applyProtection="1">
      <alignment vertical="center"/>
      <protection/>
    </xf>
    <xf numFmtId="0" fontId="12" fillId="0" borderId="10" xfId="33" applyNumberFormat="1" applyFont="1" applyFill="1" applyBorder="1" applyAlignment="1" applyProtection="1">
      <alignment horizontal="left" vertical="center"/>
      <protection/>
    </xf>
    <xf numFmtId="188" fontId="15" fillId="3" borderId="5" xfId="37" applyNumberFormat="1" applyFont="1" applyFill="1" applyBorder="1" applyAlignment="1" applyProtection="1">
      <alignment horizontal="right"/>
      <protection/>
    </xf>
    <xf numFmtId="188" fontId="12" fillId="0" borderId="10" xfId="37" applyNumberFormat="1" applyFont="1" applyFill="1" applyBorder="1" applyAlignment="1" applyProtection="1">
      <alignment horizontal="right"/>
      <protection/>
    </xf>
    <xf numFmtId="188" fontId="12" fillId="0" borderId="49" xfId="37" applyNumberFormat="1" applyFont="1" applyFill="1" applyBorder="1" applyAlignment="1" applyProtection="1">
      <alignment horizontal="right"/>
      <protection/>
    </xf>
    <xf numFmtId="0" fontId="19" fillId="6" borderId="43" xfId="0" applyFont="1" applyFill="1" applyBorder="1" applyAlignment="1" applyProtection="1">
      <alignment horizontal="center" vertical="center" wrapText="1"/>
      <protection/>
    </xf>
    <xf numFmtId="0" fontId="19" fillId="6" borderId="33" xfId="0" applyFont="1" applyFill="1" applyBorder="1" applyAlignment="1" applyProtection="1">
      <alignment horizontal="center" vertical="center" wrapText="1"/>
      <protection/>
    </xf>
    <xf numFmtId="0" fontId="19" fillId="6" borderId="62" xfId="0" applyFont="1" applyFill="1" applyBorder="1" applyAlignment="1" applyProtection="1">
      <alignment horizontal="center" vertical="center" wrapText="1"/>
      <protection/>
    </xf>
    <xf numFmtId="2" fontId="0" fillId="9" borderId="26" xfId="0" applyNumberFormat="1" applyFont="1" applyFill="1" applyBorder="1" applyAlignment="1">
      <alignment horizontal="left"/>
    </xf>
    <xf numFmtId="2" fontId="0" fillId="9" borderId="27" xfId="0" applyNumberFormat="1" applyFont="1" applyFill="1" applyBorder="1" applyAlignment="1">
      <alignment horizontal="left"/>
    </xf>
    <xf numFmtId="2" fontId="0" fillId="9" borderId="28" xfId="0" applyNumberFormat="1" applyFont="1" applyFill="1" applyBorder="1" applyAlignment="1">
      <alignment horizontal="left"/>
    </xf>
    <xf numFmtId="37" fontId="11" fillId="9" borderId="43" xfId="0" applyNumberFormat="1" applyFont="1" applyFill="1" applyBorder="1" applyAlignment="1" applyProtection="1" quotePrefix="1">
      <alignment horizontal="center"/>
      <protection/>
    </xf>
    <xf numFmtId="0" fontId="19" fillId="0" borderId="14" xfId="0" applyFont="1" applyFill="1" applyBorder="1" applyAlignment="1" applyProtection="1">
      <alignment/>
      <protection/>
    </xf>
    <xf numFmtId="0" fontId="12" fillId="0" borderId="14" xfId="0" applyFont="1" applyFill="1" applyBorder="1" applyAlignment="1">
      <alignment horizontal="left" vertical="center"/>
    </xf>
    <xf numFmtId="0" fontId="12" fillId="0" borderId="20" xfId="33" applyFont="1" applyBorder="1" applyAlignment="1" applyProtection="1">
      <alignment vertical="center"/>
      <protection/>
    </xf>
    <xf numFmtId="0" fontId="12" fillId="0" borderId="0" xfId="0" applyFont="1" applyFill="1" applyAlignment="1">
      <alignment horizontal="left" vertical="top" wrapText="1"/>
    </xf>
    <xf numFmtId="0" fontId="0" fillId="0" borderId="6" xfId="0" applyBorder="1" applyAlignment="1">
      <alignment/>
    </xf>
    <xf numFmtId="14" fontId="12" fillId="0" borderId="10" xfId="33" applyNumberFormat="1" applyFont="1" applyFill="1" applyBorder="1" applyAlignment="1" applyProtection="1">
      <alignment horizontal="left" vertical="center"/>
      <protection/>
    </xf>
    <xf numFmtId="14" fontId="0" fillId="0" borderId="49" xfId="0" applyNumberFormat="1" applyFill="1" applyBorder="1" applyAlignment="1" applyProtection="1">
      <alignment vertical="center"/>
      <protection/>
    </xf>
    <xf numFmtId="0" fontId="0" fillId="0" borderId="10" xfId="0" applyBorder="1" applyAlignment="1">
      <alignment/>
    </xf>
    <xf numFmtId="0" fontId="0" fillId="0" borderId="53" xfId="0" applyBorder="1" applyAlignment="1">
      <alignment/>
    </xf>
    <xf numFmtId="0" fontId="0" fillId="0" borderId="3" xfId="0" applyBorder="1" applyAlignment="1">
      <alignment/>
    </xf>
    <xf numFmtId="1" fontId="12" fillId="0" borderId="0" xfId="0" applyNumberFormat="1" applyFont="1" applyFill="1" applyAlignment="1" applyProtection="1">
      <alignment horizontal="right" vertical="top"/>
      <protection hidden="1"/>
    </xf>
    <xf numFmtId="37" fontId="11" fillId="9" borderId="15" xfId="0" applyNumberFormat="1" applyFont="1" applyFill="1" applyBorder="1" applyAlignment="1" applyProtection="1" quotePrefix="1">
      <alignment horizontal="center"/>
      <protection/>
    </xf>
    <xf numFmtId="37" fontId="11" fillId="9" borderId="20" xfId="0" applyNumberFormat="1" applyFont="1" applyFill="1" applyBorder="1" applyAlignment="1" applyProtection="1" quotePrefix="1">
      <alignment horizontal="center"/>
      <protection/>
    </xf>
    <xf numFmtId="178" fontId="11" fillId="0" borderId="62" xfId="0" applyNumberFormat="1" applyFont="1" applyFill="1" applyBorder="1" applyAlignment="1" applyProtection="1" quotePrefix="1">
      <alignment horizontal="center"/>
      <protection/>
    </xf>
    <xf numFmtId="0" fontId="0" fillId="0" borderId="15" xfId="0" applyFill="1" applyBorder="1" applyAlignment="1" applyProtection="1">
      <alignment horizontal="left"/>
      <protection/>
    </xf>
    <xf numFmtId="3" fontId="0" fillId="0" borderId="57" xfId="0" applyNumberFormat="1" applyFill="1" applyBorder="1" applyAlignment="1" applyProtection="1">
      <alignment horizontal="center"/>
      <protection/>
    </xf>
    <xf numFmtId="0" fontId="28" fillId="0" borderId="20" xfId="0" applyFont="1" applyFill="1" applyBorder="1" applyAlignment="1" applyProtection="1">
      <alignment/>
      <protection/>
    </xf>
    <xf numFmtId="3" fontId="0" fillId="0" borderId="62" xfId="0" applyNumberFormat="1" applyFill="1" applyBorder="1" applyAlignment="1" applyProtection="1">
      <alignment horizontal="center"/>
      <protection/>
    </xf>
    <xf numFmtId="178" fontId="19" fillId="6" borderId="0" xfId="0" applyNumberFormat="1" applyFont="1" applyFill="1" applyBorder="1" applyAlignment="1" applyProtection="1">
      <alignment horizontal="center" vertical="center" wrapText="1"/>
      <protection/>
    </xf>
    <xf numFmtId="178" fontId="19" fillId="6" borderId="14" xfId="0" applyNumberFormat="1" applyFont="1" applyFill="1" applyBorder="1" applyAlignment="1" applyProtection="1">
      <alignment horizontal="center" vertical="center" wrapText="1"/>
      <protection/>
    </xf>
    <xf numFmtId="178" fontId="19" fillId="6" borderId="15" xfId="0" applyNumberFormat="1" applyFont="1" applyFill="1" applyBorder="1" applyAlignment="1" applyProtection="1">
      <alignment horizontal="center" vertical="center" wrapText="1"/>
      <protection/>
    </xf>
    <xf numFmtId="178" fontId="19" fillId="6" borderId="20" xfId="0" applyNumberFormat="1" applyFont="1" applyFill="1" applyBorder="1" applyAlignment="1" applyProtection="1">
      <alignment horizontal="center" vertical="center" wrapText="1"/>
      <protection/>
    </xf>
    <xf numFmtId="178" fontId="19" fillId="6" borderId="44" xfId="0" applyNumberFormat="1" applyFont="1" applyFill="1" applyBorder="1" applyAlignment="1" applyProtection="1">
      <alignment horizontal="center" vertical="center" wrapText="1"/>
      <protection/>
    </xf>
    <xf numFmtId="178" fontId="19" fillId="6" borderId="50" xfId="0" applyNumberFormat="1" applyFont="1" applyFill="1" applyBorder="1" applyAlignment="1" applyProtection="1">
      <alignment horizontal="center" vertical="center" wrapText="1"/>
      <protection/>
    </xf>
    <xf numFmtId="0" fontId="0" fillId="0" borderId="16" xfId="0" applyFill="1" applyBorder="1" applyAlignment="1" applyProtection="1">
      <alignment/>
      <protection/>
    </xf>
    <xf numFmtId="0" fontId="0" fillId="0" borderId="19" xfId="0" applyFill="1" applyBorder="1" applyAlignment="1" applyProtection="1">
      <alignment horizontal="left"/>
      <protection/>
    </xf>
    <xf numFmtId="3" fontId="13" fillId="0" borderId="30" xfId="0" applyNumberFormat="1" applyFont="1" applyFill="1" applyBorder="1" applyAlignment="1" applyProtection="1">
      <alignment horizontal="center"/>
      <protection/>
    </xf>
    <xf numFmtId="3" fontId="13" fillId="0" borderId="31" xfId="0" applyNumberFormat="1" applyFont="1" applyFill="1" applyBorder="1" applyAlignment="1" applyProtection="1">
      <alignment horizontal="center"/>
      <protection/>
    </xf>
    <xf numFmtId="3" fontId="13" fillId="0" borderId="32" xfId="0" applyNumberFormat="1" applyFont="1" applyFill="1" applyBorder="1" applyAlignment="1" applyProtection="1">
      <alignment horizontal="center"/>
      <protection/>
    </xf>
    <xf numFmtId="178" fontId="13" fillId="0" borderId="57" xfId="0" applyNumberFormat="1" applyFont="1" applyFill="1" applyBorder="1" applyAlignment="1" applyProtection="1">
      <alignment horizontal="center"/>
      <protection/>
    </xf>
    <xf numFmtId="178" fontId="19" fillId="6" borderId="2" xfId="0" applyNumberFormat="1" applyFont="1" applyFill="1" applyBorder="1" applyAlignment="1" applyProtection="1">
      <alignment horizontal="center" vertical="center" wrapText="1"/>
      <protection/>
    </xf>
    <xf numFmtId="0" fontId="19" fillId="0" borderId="20" xfId="0" applyFont="1" applyFill="1" applyBorder="1" applyAlignment="1" applyProtection="1">
      <alignment/>
      <protection/>
    </xf>
    <xf numFmtId="178" fontId="13" fillId="0" borderId="62" xfId="0" applyNumberFormat="1" applyFont="1" applyFill="1" applyBorder="1" applyAlignment="1" applyProtection="1">
      <alignment horizontal="center"/>
      <protection/>
    </xf>
    <xf numFmtId="0" fontId="13" fillId="0" borderId="17" xfId="0" applyFont="1" applyFill="1" applyBorder="1" applyAlignment="1" applyProtection="1">
      <alignment/>
      <protection/>
    </xf>
    <xf numFmtId="170" fontId="13" fillId="0" borderId="20" xfId="0" applyNumberFormat="1" applyFont="1" applyFill="1" applyBorder="1" applyAlignment="1" applyProtection="1">
      <alignment horizontal="center"/>
      <protection/>
    </xf>
    <xf numFmtId="0" fontId="19" fillId="0" borderId="17" xfId="0" applyFont="1" applyFill="1" applyBorder="1" applyAlignment="1" applyProtection="1">
      <alignment/>
      <protection/>
    </xf>
    <xf numFmtId="3" fontId="13" fillId="0" borderId="26" xfId="0" applyNumberFormat="1" applyFont="1" applyFill="1" applyBorder="1" applyAlignment="1" applyProtection="1">
      <alignment horizontal="center"/>
      <protection/>
    </xf>
    <xf numFmtId="3" fontId="13" fillId="0" borderId="27" xfId="0" applyNumberFormat="1" applyFont="1" applyFill="1" applyBorder="1" applyAlignment="1" applyProtection="1">
      <alignment horizontal="center"/>
      <protection/>
    </xf>
    <xf numFmtId="170" fontId="13" fillId="0" borderId="27" xfId="0" applyNumberFormat="1" applyFont="1" applyFill="1" applyBorder="1" applyAlignment="1" applyProtection="1">
      <alignment horizontal="center"/>
      <protection/>
    </xf>
    <xf numFmtId="170" fontId="13" fillId="0" borderId="28" xfId="0" applyNumberFormat="1" applyFont="1" applyFill="1" applyBorder="1" applyAlignment="1" applyProtection="1">
      <alignment horizontal="center"/>
      <protection/>
    </xf>
    <xf numFmtId="178" fontId="19" fillId="6" borderId="38" xfId="0" applyNumberFormat="1" applyFont="1" applyFill="1" applyBorder="1" applyAlignment="1" applyProtection="1">
      <alignment horizontal="center" vertical="center" wrapText="1"/>
      <protection/>
    </xf>
    <xf numFmtId="178" fontId="19" fillId="6" borderId="6" xfId="0" applyNumberFormat="1" applyFont="1" applyFill="1" applyBorder="1" applyAlignment="1" applyProtection="1">
      <alignment horizontal="center" vertical="center" wrapText="1"/>
      <protection/>
    </xf>
    <xf numFmtId="178" fontId="19" fillId="6" borderId="61" xfId="0" applyNumberFormat="1" applyFont="1" applyFill="1" applyBorder="1" applyAlignment="1" applyProtection="1">
      <alignment horizontal="center" vertical="center" wrapText="1"/>
      <protection/>
    </xf>
    <xf numFmtId="0" fontId="13" fillId="0" borderId="37" xfId="0" applyFont="1" applyFill="1" applyBorder="1" applyAlignment="1" applyProtection="1">
      <alignment/>
      <protection/>
    </xf>
    <xf numFmtId="0" fontId="13" fillId="0" borderId="45" xfId="0" applyFont="1" applyFill="1" applyBorder="1" applyAlignment="1" applyProtection="1">
      <alignment/>
      <protection/>
    </xf>
    <xf numFmtId="0" fontId="13" fillId="0" borderId="60" xfId="0" applyFont="1" applyFill="1" applyBorder="1" applyAlignment="1" applyProtection="1">
      <alignment/>
      <protection/>
    </xf>
    <xf numFmtId="178" fontId="19" fillId="6" borderId="63" xfId="0" applyNumberFormat="1" applyFont="1" applyFill="1" applyBorder="1" applyAlignment="1" applyProtection="1">
      <alignment horizontal="center" vertical="center" wrapText="1"/>
      <protection/>
    </xf>
    <xf numFmtId="3" fontId="13" fillId="0" borderId="57" xfId="0" applyNumberFormat="1" applyFont="1" applyBorder="1" applyAlignment="1" applyProtection="1">
      <alignment horizontal="center"/>
      <protection/>
    </xf>
    <xf numFmtId="0" fontId="0" fillId="0" borderId="19" xfId="0" applyFill="1" applyBorder="1" applyAlignment="1" applyProtection="1">
      <alignment/>
      <protection/>
    </xf>
    <xf numFmtId="0" fontId="28" fillId="0" borderId="19" xfId="0" applyFont="1" applyFill="1" applyBorder="1" applyAlignment="1" applyProtection="1">
      <alignment/>
      <protection/>
    </xf>
    <xf numFmtId="0" fontId="0" fillId="0" borderId="20" xfId="0" applyFill="1" applyBorder="1" applyAlignment="1" applyProtection="1">
      <alignment horizontal="left"/>
      <protection/>
    </xf>
    <xf numFmtId="178" fontId="0" fillId="0" borderId="14" xfId="0" applyNumberFormat="1" applyFill="1" applyBorder="1" applyAlignment="1" applyProtection="1">
      <alignment/>
      <protection/>
    </xf>
    <xf numFmtId="178" fontId="0" fillId="0" borderId="15" xfId="0" applyNumberFormat="1" applyFill="1" applyBorder="1" applyAlignment="1" applyProtection="1">
      <alignment/>
      <protection/>
    </xf>
    <xf numFmtId="178" fontId="0" fillId="0" borderId="20" xfId="0" applyNumberFormat="1" applyFill="1" applyBorder="1" applyAlignment="1" applyProtection="1">
      <alignment/>
      <protection/>
    </xf>
    <xf numFmtId="3" fontId="13" fillId="0" borderId="62" xfId="0" applyNumberFormat="1" applyFont="1" applyFill="1" applyBorder="1" applyAlignment="1" applyProtection="1">
      <alignment horizontal="center"/>
      <protection/>
    </xf>
    <xf numFmtId="178" fontId="19" fillId="6" borderId="32" xfId="0" applyNumberFormat="1" applyFont="1" applyFill="1" applyBorder="1" applyAlignment="1" applyProtection="1">
      <alignment horizontal="center" vertical="center" wrapText="1"/>
      <protection/>
    </xf>
    <xf numFmtId="178" fontId="19" fillId="6" borderId="11" xfId="0" applyNumberFormat="1" applyFont="1" applyFill="1" applyBorder="1" applyAlignment="1" applyProtection="1">
      <alignment horizontal="center" vertical="center" wrapText="1"/>
      <protection/>
    </xf>
    <xf numFmtId="178" fontId="19" fillId="6" borderId="12" xfId="0" applyNumberFormat="1" applyFont="1" applyFill="1" applyBorder="1" applyAlignment="1" applyProtection="1">
      <alignment horizontal="center" vertical="center" wrapText="1"/>
      <protection/>
    </xf>
    <xf numFmtId="178" fontId="19" fillId="6" borderId="69" xfId="0" applyNumberFormat="1" applyFont="1" applyFill="1" applyBorder="1" applyAlignment="1" applyProtection="1">
      <alignment horizontal="center" vertical="center" wrapText="1"/>
      <protection/>
    </xf>
    <xf numFmtId="170" fontId="13" fillId="0" borderId="31" xfId="0" applyNumberFormat="1" applyFont="1" applyFill="1" applyBorder="1" applyAlignment="1" applyProtection="1">
      <alignment horizontal="center"/>
      <protection/>
    </xf>
    <xf numFmtId="178" fontId="19" fillId="6" borderId="54" xfId="0" applyNumberFormat="1" applyFont="1" applyFill="1" applyBorder="1" applyAlignment="1" applyProtection="1">
      <alignment horizontal="center" vertical="center" wrapText="1"/>
      <protection/>
    </xf>
    <xf numFmtId="37" fontId="18" fillId="0" borderId="47" xfId="33" applyNumberFormat="1" applyFont="1" applyFill="1" applyBorder="1" applyAlignment="1" applyProtection="1">
      <alignment/>
      <protection/>
    </xf>
    <xf numFmtId="178" fontId="35" fillId="8" borderId="54" xfId="0" applyNumberFormat="1" applyFont="1" applyFill="1" applyBorder="1" applyAlignment="1" applyProtection="1">
      <alignment vertical="center"/>
      <protection hidden="1"/>
    </xf>
    <xf numFmtId="0" fontId="12" fillId="0" borderId="0" xfId="0" applyFont="1" applyAlignment="1">
      <alignment horizontal="left" wrapText="1"/>
    </xf>
    <xf numFmtId="0" fontId="12" fillId="0" borderId="0" xfId="0" applyFont="1" applyFill="1" applyBorder="1" applyAlignment="1">
      <alignment vertical="top"/>
    </xf>
    <xf numFmtId="0" fontId="12" fillId="0" borderId="0" xfId="0" applyNumberFormat="1" applyFont="1" applyAlignment="1" applyProtection="1">
      <alignment vertical="top"/>
      <protection/>
    </xf>
    <xf numFmtId="0" fontId="12" fillId="0" borderId="0" xfId="0" applyFont="1" applyAlignment="1" applyProtection="1">
      <alignment vertical="top"/>
      <protection/>
    </xf>
    <xf numFmtId="0" fontId="12" fillId="0" borderId="63" xfId="0" applyFont="1" applyBorder="1" applyAlignment="1" applyProtection="1">
      <alignment vertical="top"/>
      <protection/>
    </xf>
    <xf numFmtId="0" fontId="12" fillId="0" borderId="0" xfId="0" applyFont="1" applyBorder="1" applyAlignment="1" applyProtection="1">
      <alignment vertical="top"/>
      <protection/>
    </xf>
    <xf numFmtId="0" fontId="12" fillId="0" borderId="18" xfId="0" applyNumberFormat="1" applyFont="1" applyBorder="1" applyAlignment="1" applyProtection="1">
      <alignment vertical="top"/>
      <protection/>
    </xf>
    <xf numFmtId="0" fontId="12" fillId="0" borderId="16" xfId="0" applyFont="1" applyBorder="1" applyAlignment="1" applyProtection="1">
      <alignment vertical="top"/>
      <protection/>
    </xf>
    <xf numFmtId="0" fontId="12" fillId="0" borderId="16" xfId="0" applyFont="1" applyBorder="1" applyAlignment="1">
      <alignment/>
    </xf>
    <xf numFmtId="0" fontId="12" fillId="0" borderId="14" xfId="0" applyNumberFormat="1" applyFont="1" applyBorder="1" applyAlignment="1" applyProtection="1">
      <alignment vertical="top"/>
      <protection/>
    </xf>
    <xf numFmtId="0" fontId="12" fillId="0" borderId="15" xfId="0" applyNumberFormat="1" applyFont="1" applyBorder="1" applyAlignment="1" applyProtection="1">
      <alignment vertical="top"/>
      <protection/>
    </xf>
    <xf numFmtId="0" fontId="12" fillId="0" borderId="15" xfId="0" applyFont="1" applyBorder="1" applyAlignment="1">
      <alignment/>
    </xf>
    <xf numFmtId="0" fontId="12" fillId="0" borderId="20" xfId="0" applyFont="1" applyBorder="1" applyAlignment="1">
      <alignment/>
    </xf>
    <xf numFmtId="0" fontId="12" fillId="0" borderId="0" xfId="0" applyFont="1" applyAlignment="1">
      <alignment vertical="top"/>
    </xf>
    <xf numFmtId="0" fontId="15" fillId="0" borderId="0" xfId="0" applyFont="1" applyAlignment="1">
      <alignment vertical="center"/>
    </xf>
    <xf numFmtId="0" fontId="12" fillId="0" borderId="0" xfId="0" applyFont="1" applyFill="1" applyBorder="1" applyAlignment="1" applyProtection="1">
      <alignment vertical="center" wrapText="1"/>
      <protection/>
    </xf>
    <xf numFmtId="4" fontId="12" fillId="0" borderId="5" xfId="0" applyNumberFormat="1" applyFont="1" applyFill="1" applyBorder="1" applyAlignment="1" applyProtection="1">
      <alignment horizontal="right"/>
      <protection locked="0"/>
    </xf>
    <xf numFmtId="178" fontId="0" fillId="6" borderId="43" xfId="0" applyNumberFormat="1" applyFill="1" applyBorder="1" applyAlignment="1" applyProtection="1">
      <alignment horizontal="center"/>
      <protection/>
    </xf>
    <xf numFmtId="178" fontId="0" fillId="6" borderId="20" xfId="0" applyNumberFormat="1" applyFill="1" applyBorder="1" applyAlignment="1" applyProtection="1">
      <alignment horizontal="center"/>
      <protection/>
    </xf>
    <xf numFmtId="178" fontId="0" fillId="6" borderId="13" xfId="0" applyNumberFormat="1" applyFill="1" applyBorder="1" applyAlignment="1" applyProtection="1">
      <alignment horizontal="center"/>
      <protection/>
    </xf>
    <xf numFmtId="178" fontId="0" fillId="6" borderId="33" xfId="0" applyNumberFormat="1" applyFill="1" applyBorder="1" applyAlignment="1" applyProtection="1">
      <alignment horizontal="center"/>
      <protection/>
    </xf>
    <xf numFmtId="178" fontId="0" fillId="6" borderId="62" xfId="0" applyNumberFormat="1" applyFill="1" applyBorder="1" applyAlignment="1" applyProtection="1">
      <alignment horizontal="center"/>
      <protection/>
    </xf>
    <xf numFmtId="178" fontId="0" fillId="6" borderId="3" xfId="0" applyNumberFormat="1" applyFill="1" applyBorder="1" applyAlignment="1" applyProtection="1">
      <alignment horizontal="center"/>
      <protection/>
    </xf>
    <xf numFmtId="37" fontId="12" fillId="0" borderId="6" xfId="33" applyNumberFormat="1" applyFont="1" applyFill="1" applyBorder="1" applyAlignment="1" applyProtection="1">
      <alignment vertical="center"/>
      <protection/>
    </xf>
    <xf numFmtId="4" fontId="0" fillId="0" borderId="13" xfId="0" applyNumberFormat="1" applyFill="1" applyBorder="1" applyAlignment="1" applyProtection="1">
      <alignment horizontal="center"/>
      <protection/>
    </xf>
    <xf numFmtId="2" fontId="0" fillId="0" borderId="43" xfId="0" applyNumberFormat="1" applyFill="1" applyBorder="1" applyAlignment="1" applyProtection="1">
      <alignment horizontal="center"/>
      <protection/>
    </xf>
    <xf numFmtId="2" fontId="0" fillId="0" borderId="57" xfId="0" applyNumberFormat="1" applyFill="1" applyBorder="1" applyAlignment="1" applyProtection="1">
      <alignment horizontal="center"/>
      <protection/>
    </xf>
    <xf numFmtId="2" fontId="0" fillId="0" borderId="13" xfId="0" applyNumberFormat="1" applyFill="1" applyBorder="1" applyAlignment="1" applyProtection="1">
      <alignment horizontal="center"/>
      <protection/>
    </xf>
    <xf numFmtId="2" fontId="0" fillId="0" borderId="62" xfId="0" applyNumberFormat="1" applyFill="1" applyBorder="1" applyAlignment="1" applyProtection="1">
      <alignment horizontal="center"/>
      <protection/>
    </xf>
    <xf numFmtId="4" fontId="0" fillId="0" borderId="43" xfId="0" applyNumberFormat="1" applyFont="1" applyFill="1" applyBorder="1" applyAlignment="1" applyProtection="1">
      <alignment horizontal="center"/>
      <protection/>
    </xf>
    <xf numFmtId="4" fontId="0" fillId="0" borderId="33" xfId="0" applyNumberFormat="1" applyFill="1" applyBorder="1" applyAlignment="1" applyProtection="1">
      <alignment horizontal="center"/>
      <protection/>
    </xf>
    <xf numFmtId="4" fontId="0" fillId="0" borderId="43" xfId="0" applyNumberFormat="1" applyFill="1" applyBorder="1" applyAlignment="1" applyProtection="1">
      <alignment horizontal="center"/>
      <protection/>
    </xf>
    <xf numFmtId="4" fontId="0" fillId="0" borderId="57" xfId="0" applyNumberFormat="1" applyFill="1" applyBorder="1" applyAlignment="1" applyProtection="1">
      <alignment horizontal="center"/>
      <protection/>
    </xf>
    <xf numFmtId="4" fontId="13" fillId="0" borderId="33" xfId="0" applyNumberFormat="1" applyFont="1" applyFill="1" applyBorder="1" applyAlignment="1" applyProtection="1">
      <alignment horizontal="center"/>
      <protection/>
    </xf>
    <xf numFmtId="4" fontId="13" fillId="0" borderId="57" xfId="0" applyNumberFormat="1" applyFont="1" applyFill="1" applyBorder="1" applyAlignment="1" applyProtection="1">
      <alignment horizontal="center"/>
      <protection/>
    </xf>
    <xf numFmtId="4" fontId="13" fillId="0" borderId="13" xfId="0" applyNumberFormat="1" applyFont="1" applyFill="1" applyBorder="1" applyAlignment="1" applyProtection="1">
      <alignment horizontal="center"/>
      <protection/>
    </xf>
    <xf numFmtId="2" fontId="0" fillId="0" borderId="33" xfId="0" applyNumberFormat="1" applyFill="1" applyBorder="1" applyAlignment="1" applyProtection="1">
      <alignment horizontal="center"/>
      <protection/>
    </xf>
    <xf numFmtId="2" fontId="0" fillId="0" borderId="14" xfId="0" applyNumberFormat="1" applyFill="1" applyBorder="1" applyAlignment="1" applyProtection="1">
      <alignment horizontal="center"/>
      <protection/>
    </xf>
    <xf numFmtId="4" fontId="0" fillId="0" borderId="20" xfId="0" applyNumberFormat="1" applyFill="1" applyBorder="1" applyAlignment="1" applyProtection="1">
      <alignment horizontal="center"/>
      <protection/>
    </xf>
    <xf numFmtId="4" fontId="13" fillId="0" borderId="43" xfId="0" applyNumberFormat="1" applyFont="1" applyFill="1" applyBorder="1" applyAlignment="1" applyProtection="1">
      <alignment horizontal="center"/>
      <protection/>
    </xf>
    <xf numFmtId="2" fontId="13" fillId="0" borderId="43" xfId="0" applyNumberFormat="1" applyFont="1" applyFill="1" applyBorder="1" applyAlignment="1" applyProtection="1">
      <alignment horizontal="center"/>
      <protection/>
    </xf>
    <xf numFmtId="2" fontId="13" fillId="0" borderId="13" xfId="0" applyNumberFormat="1" applyFont="1" applyFill="1" applyBorder="1" applyAlignment="1" applyProtection="1">
      <alignment horizontal="center"/>
      <protection/>
    </xf>
    <xf numFmtId="2" fontId="13" fillId="0" borderId="33" xfId="0" applyNumberFormat="1" applyFont="1" applyFill="1" applyBorder="1" applyAlignment="1" applyProtection="1">
      <alignment horizontal="center"/>
      <protection/>
    </xf>
    <xf numFmtId="0" fontId="15" fillId="0" borderId="53" xfId="0" applyFont="1" applyFill="1" applyBorder="1" applyAlignment="1" applyProtection="1">
      <alignment horizontal="center"/>
      <protection/>
    </xf>
    <xf numFmtId="0" fontId="10" fillId="0" borderId="42" xfId="0" applyFont="1" applyFill="1" applyBorder="1" applyAlignment="1" applyProtection="1">
      <alignment horizontal="center"/>
      <protection/>
    </xf>
    <xf numFmtId="0" fontId="0" fillId="0" borderId="61" xfId="0" applyBorder="1" applyAlignment="1">
      <alignment horizontal="center" wrapText="1"/>
    </xf>
    <xf numFmtId="0" fontId="12" fillId="0" borderId="0" xfId="33" applyFont="1" applyAlignment="1" applyProtection="1">
      <alignment vertical="top" wrapText="1"/>
      <protection hidden="1"/>
    </xf>
    <xf numFmtId="0" fontId="15" fillId="0" borderId="48" xfId="35" applyFont="1" applyFill="1" applyBorder="1" applyAlignment="1" applyProtection="1">
      <alignment vertical="center"/>
      <protection/>
    </xf>
    <xf numFmtId="0" fontId="12" fillId="0" borderId="48" xfId="33" applyFont="1" applyBorder="1" applyAlignment="1">
      <alignment/>
      <protection/>
    </xf>
    <xf numFmtId="0" fontId="12" fillId="0" borderId="65" xfId="33" applyFont="1" applyBorder="1" applyAlignment="1">
      <alignment/>
      <protection/>
    </xf>
    <xf numFmtId="0" fontId="12" fillId="0" borderId="38" xfId="33" applyFont="1" applyBorder="1" applyAlignment="1" applyProtection="1">
      <alignment horizontal="center" wrapText="1"/>
      <protection hidden="1"/>
    </xf>
    <xf numFmtId="42" fontId="12" fillId="0" borderId="10" xfId="33" applyNumberFormat="1" applyFont="1" applyFill="1" applyBorder="1" applyAlignment="1" applyProtection="1">
      <alignment vertical="center" wrapText="1"/>
      <protection/>
    </xf>
    <xf numFmtId="0" fontId="0" fillId="0" borderId="49" xfId="0" applyBorder="1" applyAlignment="1">
      <alignment vertical="center" wrapText="1"/>
    </xf>
    <xf numFmtId="0" fontId="0" fillId="7" borderId="10" xfId="0" applyNumberFormat="1" applyFill="1" applyBorder="1" applyAlignment="1" applyProtection="1">
      <alignment horizontal="left" vertical="center" wrapText="1"/>
      <protection locked="0"/>
    </xf>
    <xf numFmtId="0" fontId="0" fillId="0" borderId="6" xfId="0" applyNumberFormat="1" applyBorder="1" applyAlignment="1" applyProtection="1">
      <alignment horizontal="left" vertical="center" wrapText="1"/>
      <protection locked="0"/>
    </xf>
    <xf numFmtId="0" fontId="0" fillId="0" borderId="49" xfId="0" applyNumberFormat="1" applyBorder="1" applyAlignment="1" applyProtection="1">
      <alignment horizontal="left" vertical="center" wrapText="1"/>
      <protection locked="0"/>
    </xf>
    <xf numFmtId="14" fontId="0" fillId="7" borderId="10" xfId="0" applyNumberFormat="1" applyFill="1" applyBorder="1" applyAlignment="1" applyProtection="1">
      <alignment horizontal="left" vertical="center" wrapText="1"/>
      <protection locked="0"/>
    </xf>
    <xf numFmtId="14" fontId="0" fillId="0" borderId="6" xfId="0" applyNumberFormat="1" applyBorder="1" applyAlignment="1" applyProtection="1">
      <alignment horizontal="left" vertical="center" wrapText="1"/>
      <protection locked="0"/>
    </xf>
    <xf numFmtId="14" fontId="0" fillId="0" borderId="49" xfId="0" applyNumberFormat="1" applyBorder="1" applyAlignment="1" applyProtection="1">
      <alignment horizontal="left" vertical="center" wrapText="1"/>
      <protection locked="0"/>
    </xf>
    <xf numFmtId="37" fontId="12" fillId="0" borderId="10" xfId="33" applyNumberFormat="1" applyFont="1" applyFill="1" applyBorder="1" applyAlignment="1" applyProtection="1">
      <alignment vertical="center"/>
      <protection locked="0"/>
    </xf>
    <xf numFmtId="37" fontId="12" fillId="0" borderId="6" xfId="33" applyNumberFormat="1" applyFont="1" applyFill="1" applyBorder="1" applyAlignment="1" applyProtection="1">
      <alignment vertical="center"/>
      <protection locked="0"/>
    </xf>
    <xf numFmtId="37" fontId="12" fillId="0" borderId="49" xfId="33" applyNumberFormat="1" applyFont="1" applyFill="1" applyBorder="1" applyAlignment="1" applyProtection="1">
      <alignment vertical="center"/>
      <protection locked="0"/>
    </xf>
    <xf numFmtId="0" fontId="0" fillId="0" borderId="6" xfId="0" applyBorder="1" applyAlignment="1">
      <alignment/>
    </xf>
    <xf numFmtId="0" fontId="0" fillId="0" borderId="49" xfId="0" applyBorder="1" applyAlignment="1">
      <alignment/>
    </xf>
    <xf numFmtId="37" fontId="12" fillId="0" borderId="6" xfId="33" applyNumberFormat="1" applyFont="1" applyFill="1" applyBorder="1" applyAlignment="1" applyProtection="1">
      <alignment vertical="center" wrapText="1"/>
      <protection locked="0"/>
    </xf>
    <xf numFmtId="0" fontId="0" fillId="0" borderId="6" xfId="0" applyBorder="1" applyAlignment="1">
      <alignment vertical="center" wrapText="1"/>
    </xf>
    <xf numFmtId="0" fontId="12" fillId="0" borderId="37" xfId="33" applyFont="1" applyBorder="1" applyAlignment="1" applyProtection="1">
      <alignment horizontal="center" wrapText="1"/>
      <protection hidden="1"/>
    </xf>
    <xf numFmtId="0" fontId="0" fillId="0" borderId="60" xfId="0" applyBorder="1" applyAlignment="1">
      <alignment horizontal="center" wrapText="1"/>
    </xf>
    <xf numFmtId="0" fontId="0" fillId="0" borderId="0" xfId="0" applyAlignment="1">
      <alignment wrapText="1"/>
    </xf>
    <xf numFmtId="3" fontId="12" fillId="0" borderId="38" xfId="35" applyNumberFormat="1" applyFont="1" applyFill="1" applyBorder="1" applyAlignment="1" applyProtection="1">
      <alignment horizontal="center" vertical="center"/>
      <protection/>
    </xf>
    <xf numFmtId="0" fontId="0" fillId="0" borderId="61" xfId="0" applyBorder="1" applyAlignment="1">
      <alignment horizontal="center" vertical="center"/>
    </xf>
    <xf numFmtId="0" fontId="12" fillId="0" borderId="0" xfId="35" applyFont="1" applyFill="1" applyBorder="1" applyAlignment="1" applyProtection="1">
      <alignment horizontal="left" vertical="center" wrapText="1"/>
      <protection/>
    </xf>
    <xf numFmtId="0" fontId="12" fillId="0" borderId="0" xfId="35" applyFont="1" applyFill="1" applyBorder="1" applyAlignment="1" applyProtection="1" quotePrefix="1">
      <alignment horizontal="left" vertical="center" wrapText="1"/>
      <protection/>
    </xf>
    <xf numFmtId="0" fontId="12" fillId="0" borderId="0" xfId="0" applyFont="1" applyAlignment="1">
      <alignment horizontal="left" vertical="center" wrapText="1"/>
    </xf>
    <xf numFmtId="14" fontId="12" fillId="0" borderId="38" xfId="35" applyNumberFormat="1" applyFont="1" applyFill="1" applyBorder="1" applyAlignment="1" applyProtection="1">
      <alignment horizontal="center" vertical="center" wrapText="1"/>
      <protection/>
    </xf>
    <xf numFmtId="0" fontId="0" fillId="0" borderId="61" xfId="0" applyBorder="1" applyAlignment="1">
      <alignment horizontal="center" vertical="center" wrapText="1"/>
    </xf>
    <xf numFmtId="37" fontId="12" fillId="0" borderId="47" xfId="33" applyNumberFormat="1" applyFont="1" applyFill="1" applyBorder="1" applyAlignment="1" applyProtection="1">
      <alignment vertical="center"/>
      <protection locked="0"/>
    </xf>
    <xf numFmtId="37" fontId="12" fillId="0" borderId="55" xfId="33" applyNumberFormat="1" applyFont="1" applyFill="1" applyBorder="1" applyAlignment="1" applyProtection="1">
      <alignment vertical="center"/>
      <protection locked="0"/>
    </xf>
    <xf numFmtId="37" fontId="12" fillId="0" borderId="56" xfId="33" applyNumberFormat="1" applyFont="1" applyFill="1" applyBorder="1" applyAlignment="1" applyProtection="1">
      <alignment vertical="center"/>
      <protection locked="0"/>
    </xf>
    <xf numFmtId="37" fontId="12" fillId="0" borderId="48" xfId="33" applyNumberFormat="1" applyFont="1" applyFill="1" applyBorder="1" applyAlignment="1" applyProtection="1">
      <alignment vertical="center"/>
      <protection locked="0"/>
    </xf>
    <xf numFmtId="0" fontId="12" fillId="0" borderId="6" xfId="33" applyFont="1" applyBorder="1" applyAlignment="1" applyProtection="1">
      <alignment vertical="center"/>
      <protection locked="0"/>
    </xf>
    <xf numFmtId="0" fontId="12" fillId="0" borderId="49" xfId="33" applyFont="1" applyBorder="1" applyAlignment="1" applyProtection="1">
      <alignment vertical="center"/>
      <protection locked="0"/>
    </xf>
    <xf numFmtId="0" fontId="35" fillId="0" borderId="14" xfId="0" applyFont="1" applyBorder="1" applyAlignment="1" applyProtection="1">
      <alignment vertical="center" wrapText="1"/>
      <protection hidden="1"/>
    </xf>
    <xf numFmtId="0" fontId="0" fillId="0" borderId="15" xfId="0" applyBorder="1" applyAlignment="1">
      <alignment vertical="center" wrapText="1"/>
    </xf>
    <xf numFmtId="0" fontId="0" fillId="0" borderId="20" xfId="0" applyBorder="1" applyAlignment="1">
      <alignment vertical="center" wrapText="1"/>
    </xf>
    <xf numFmtId="0" fontId="15" fillId="0" borderId="14" xfId="0" applyFont="1" applyBorder="1" applyAlignment="1" applyProtection="1">
      <alignment wrapText="1"/>
      <protection hidden="1"/>
    </xf>
    <xf numFmtId="0" fontId="0" fillId="0" borderId="15" xfId="0" applyBorder="1" applyAlignment="1">
      <alignment wrapText="1"/>
    </xf>
    <xf numFmtId="0" fontId="0" fillId="0" borderId="20" xfId="0" applyBorder="1" applyAlignment="1">
      <alignment wrapText="1"/>
    </xf>
    <xf numFmtId="0" fontId="12" fillId="0" borderId="14" xfId="0" applyFont="1" applyBorder="1" applyAlignment="1" applyProtection="1">
      <alignment vertical="top" wrapText="1"/>
      <protection hidden="1"/>
    </xf>
    <xf numFmtId="0" fontId="0" fillId="0" borderId="15" xfId="0" applyBorder="1" applyAlignment="1">
      <alignment/>
    </xf>
    <xf numFmtId="0" fontId="0" fillId="0" borderId="20" xfId="0" applyBorder="1" applyAlignment="1">
      <alignment/>
    </xf>
    <xf numFmtId="0" fontId="12" fillId="0" borderId="0" xfId="0" applyFont="1" applyAlignment="1">
      <alignment horizontal="left" vertical="top" wrapText="1"/>
    </xf>
    <xf numFmtId="0" fontId="12" fillId="0" borderId="0" xfId="0" applyFont="1" applyAlignment="1">
      <alignment vertical="center" wrapText="1"/>
    </xf>
    <xf numFmtId="0" fontId="12" fillId="0" borderId="0" xfId="0" applyFont="1" applyAlignment="1">
      <alignment horizontal="left" wrapText="1"/>
    </xf>
    <xf numFmtId="0" fontId="12" fillId="8" borderId="14"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vertical="top" wrapText="1"/>
      <protection/>
    </xf>
    <xf numFmtId="0" fontId="12" fillId="0" borderId="0" xfId="0" applyNumberFormat="1" applyFont="1" applyAlignment="1" applyProtection="1">
      <alignment horizontal="justify" vertical="top" wrapText="1"/>
      <protection/>
    </xf>
    <xf numFmtId="0" fontId="12" fillId="0" borderId="18" xfId="0" applyFont="1" applyBorder="1" applyAlignment="1" applyProtection="1">
      <alignment horizontal="center" vertical="top"/>
      <protection/>
    </xf>
    <xf numFmtId="0" fontId="0" fillId="0" borderId="19" xfId="0" applyBorder="1" applyAlignment="1">
      <alignment/>
    </xf>
    <xf numFmtId="0" fontId="12" fillId="0" borderId="14" xfId="0" applyFont="1" applyBorder="1" applyAlignment="1" applyProtection="1">
      <alignment horizontal="center" vertical="top"/>
      <protection/>
    </xf>
    <xf numFmtId="0" fontId="0" fillId="0" borderId="20" xfId="0" applyBorder="1" applyAlignment="1">
      <alignment horizontal="center" vertical="top"/>
    </xf>
    <xf numFmtId="0" fontId="12" fillId="6" borderId="14" xfId="0" applyNumberFormat="1" applyFont="1" applyFill="1" applyBorder="1" applyAlignment="1" applyProtection="1">
      <alignment vertical="top"/>
      <protection/>
    </xf>
    <xf numFmtId="0" fontId="0" fillId="0" borderId="20" xfId="0" applyBorder="1" applyAlignment="1">
      <alignment vertical="top"/>
    </xf>
    <xf numFmtId="0" fontId="7" fillId="0" borderId="0" xfId="19" applyAlignment="1">
      <alignment horizontal="center" wrapText="1"/>
    </xf>
    <xf numFmtId="0" fontId="12" fillId="0" borderId="0" xfId="0" applyFont="1" applyAlignment="1">
      <alignment horizontal="center" wrapText="1"/>
    </xf>
    <xf numFmtId="0" fontId="0" fillId="0" borderId="0" xfId="0" applyAlignment="1">
      <alignment horizontal="justify" vertical="top" wrapText="1"/>
    </xf>
    <xf numFmtId="0" fontId="12" fillId="0" borderId="0" xfId="0" applyFont="1" applyFill="1" applyAlignment="1" quotePrefix="1">
      <alignment horizontal="left" vertical="top" wrapText="1"/>
    </xf>
    <xf numFmtId="0" fontId="12" fillId="0" borderId="0" xfId="0" applyFont="1" applyFill="1" applyAlignment="1">
      <alignment horizontal="left" vertical="top" wrapText="1"/>
    </xf>
    <xf numFmtId="0" fontId="12" fillId="0" borderId="0" xfId="0" applyFont="1" applyAlignment="1" applyProtection="1">
      <alignment horizontal="justify" vertical="top" wrapText="1"/>
      <protection/>
    </xf>
    <xf numFmtId="0" fontId="12" fillId="0" borderId="0" xfId="0" applyFont="1" applyAlignment="1" applyProtection="1">
      <alignment vertical="top"/>
      <protection/>
    </xf>
    <xf numFmtId="0" fontId="15" fillId="0" borderId="0" xfId="0" applyFont="1" applyFill="1" applyBorder="1" applyAlignment="1" applyProtection="1">
      <alignment horizontal="center" wrapText="1"/>
      <protection hidden="1"/>
    </xf>
    <xf numFmtId="0" fontId="15" fillId="3" borderId="10" xfId="0" applyFont="1" applyFill="1" applyBorder="1" applyAlignment="1" applyProtection="1">
      <alignment/>
      <protection/>
    </xf>
    <xf numFmtId="0" fontId="0" fillId="0" borderId="6" xfId="0" applyFont="1" applyBorder="1" applyAlignment="1" applyProtection="1">
      <alignment/>
      <protection/>
    </xf>
    <xf numFmtId="0" fontId="10" fillId="0" borderId="44"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178" fontId="15" fillId="0" borderId="10" xfId="0" applyNumberFormat="1" applyFont="1" applyBorder="1" applyAlignment="1" applyProtection="1">
      <alignment horizontal="center" vertical="center"/>
      <protection/>
    </xf>
    <xf numFmtId="0" fontId="0" fillId="0" borderId="49" xfId="0" applyBorder="1" applyAlignment="1">
      <alignment horizontal="center" vertical="center"/>
    </xf>
    <xf numFmtId="188" fontId="15" fillId="0" borderId="10" xfId="37" applyNumberFormat="1" applyFont="1" applyFill="1" applyBorder="1" applyAlignment="1" applyProtection="1">
      <alignment horizontal="center"/>
      <protection/>
    </xf>
    <xf numFmtId="0" fontId="10" fillId="0" borderId="49" xfId="0" applyFont="1" applyBorder="1" applyAlignment="1">
      <alignment horizontal="center"/>
    </xf>
    <xf numFmtId="42" fontId="15" fillId="0" borderId="10" xfId="0" applyNumberFormat="1" applyFont="1" applyBorder="1" applyAlignment="1" applyProtection="1">
      <alignment horizontal="center" vertical="center"/>
      <protection locked="0"/>
    </xf>
    <xf numFmtId="2" fontId="0" fillId="0" borderId="38" xfId="0" applyNumberFormat="1" applyFont="1" applyBorder="1" applyAlignment="1">
      <alignment horizontal="left" wrapText="1"/>
    </xf>
    <xf numFmtId="2" fontId="0" fillId="0" borderId="6" xfId="0" applyNumberFormat="1" applyFont="1" applyBorder="1" applyAlignment="1">
      <alignment horizontal="left" wrapText="1"/>
    </xf>
    <xf numFmtId="2" fontId="0" fillId="0" borderId="61" xfId="0" applyNumberFormat="1" applyFont="1" applyBorder="1" applyAlignment="1">
      <alignment horizontal="left"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20" xfId="0" applyFill="1" applyBorder="1" applyAlignment="1">
      <alignment horizontal="center"/>
    </xf>
    <xf numFmtId="2" fontId="0" fillId="0" borderId="37" xfId="36" applyNumberFormat="1" applyFont="1" applyFill="1" applyBorder="1" applyAlignment="1" applyProtection="1">
      <alignment horizontal="left"/>
      <protection/>
    </xf>
    <xf numFmtId="2" fontId="0" fillId="0" borderId="45" xfId="36" applyNumberFormat="1" applyFont="1" applyFill="1" applyBorder="1" applyAlignment="1" applyProtection="1">
      <alignment horizontal="left"/>
      <protection/>
    </xf>
    <xf numFmtId="2" fontId="0" fillId="0" borderId="38" xfId="36" applyNumberFormat="1" applyFont="1" applyFill="1" applyBorder="1" applyAlignment="1" applyProtection="1">
      <alignment horizontal="left"/>
      <protection/>
    </xf>
    <xf numFmtId="2" fontId="0" fillId="0" borderId="6" xfId="36" applyNumberFormat="1" applyFont="1" applyFill="1" applyBorder="1" applyAlignment="1" applyProtection="1">
      <alignment horizontal="left"/>
      <protection/>
    </xf>
    <xf numFmtId="2" fontId="0" fillId="0" borderId="39" xfId="36" applyNumberFormat="1" applyFont="1" applyFill="1" applyBorder="1" applyAlignment="1" applyProtection="1">
      <alignment horizontal="left"/>
      <protection/>
    </xf>
    <xf numFmtId="2" fontId="0" fillId="0" borderId="46" xfId="36" applyNumberFormat="1" applyFont="1" applyFill="1" applyBorder="1" applyAlignment="1" applyProtection="1">
      <alignment horizontal="left"/>
      <protection/>
    </xf>
    <xf numFmtId="2" fontId="0" fillId="0" borderId="39" xfId="0" applyNumberFormat="1" applyFont="1" applyBorder="1" applyAlignment="1">
      <alignment horizontal="left" wrapText="1"/>
    </xf>
    <xf numFmtId="2" fontId="0" fillId="0" borderId="46" xfId="0" applyNumberFormat="1" applyFont="1" applyBorder="1" applyAlignment="1">
      <alignment horizontal="left" wrapText="1"/>
    </xf>
    <xf numFmtId="2" fontId="0" fillId="0" borderId="70" xfId="0" applyNumberFormat="1" applyFont="1" applyBorder="1" applyAlignment="1">
      <alignment horizontal="left" wrapText="1"/>
    </xf>
    <xf numFmtId="2" fontId="0" fillId="0" borderId="0" xfId="36" applyNumberFormat="1" applyFont="1" applyFill="1" applyBorder="1" applyAlignment="1" applyProtection="1">
      <alignment horizontal="left"/>
      <protection/>
    </xf>
    <xf numFmtId="2" fontId="0" fillId="0" borderId="37" xfId="0" applyNumberFormat="1" applyFont="1" applyBorder="1" applyAlignment="1">
      <alignment horizontal="left" wrapText="1"/>
    </xf>
    <xf numFmtId="2" fontId="0" fillId="0" borderId="45" xfId="0" applyNumberFormat="1" applyFont="1" applyBorder="1" applyAlignment="1">
      <alignment horizontal="left" wrapText="1"/>
    </xf>
    <xf numFmtId="2" fontId="0" fillId="0" borderId="60" xfId="0" applyNumberFormat="1" applyFont="1" applyBorder="1" applyAlignment="1">
      <alignment horizontal="left" wrapText="1"/>
    </xf>
    <xf numFmtId="0" fontId="15" fillId="0" borderId="0" xfId="33" applyFont="1" applyFill="1" applyBorder="1" applyAlignment="1" applyProtection="1">
      <alignment vertical="center"/>
      <protection hidden="1"/>
    </xf>
  </cellXfs>
  <cellStyles count="36">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Standaard_26Nacalculatieformulier GGZ 2005 versie 051021" xfId="34"/>
    <cellStyle name="Standaard_Concept nac 2004 ent II" xfId="35"/>
    <cellStyle name="Standaard_vb+zzp" xfId="36"/>
    <cellStyle name="Tabelstandaard" xfId="37"/>
    <cellStyle name="Tabelstandaard financieel" xfId="38"/>
    <cellStyle name="Tabelstandaard negatief" xfId="39"/>
    <cellStyle name="Tabelstandaard Totaal" xfId="40"/>
    <cellStyle name="Tabelstandaard Totaal Negatief" xfId="41"/>
    <cellStyle name="Tabelstandaard Totaal_1077029755_GGZ-01c nacalculatieformulier ribw 2003 versie 040217(1)" xfId="42"/>
    <cellStyle name="Tabelstandaard_1077029755_GGZ-01c nacalculatieformulier ribw 2003 versie 040217(1)" xfId="43"/>
    <cellStyle name="Table  - Opmaakprofiel6" xfId="44"/>
    <cellStyle name="Title  - Opmaakprofiel1" xfId="45"/>
    <cellStyle name="TotCol - Opmaakprofiel5" xfId="46"/>
    <cellStyle name="TotRow - Opmaakprofiel4" xfId="47"/>
    <cellStyle name="Currency" xfId="48"/>
    <cellStyle name="Currency [0]" xfId="49"/>
  </cellStyles>
  <dxfs count="9">
    <dxf>
      <font>
        <color rgb="FFFFFFFF"/>
      </font>
      <fill>
        <patternFill>
          <bgColor rgb="FFFF0000"/>
        </patternFill>
      </fill>
      <border/>
    </dxf>
    <dxf>
      <fill>
        <patternFill>
          <bgColor rgb="FFFFCC99"/>
        </patternFill>
      </fill>
      <border/>
    </dxf>
    <dxf>
      <fill>
        <patternFill>
          <bgColor rgb="FFD7DCEF"/>
        </patternFill>
      </fill>
      <border/>
    </dxf>
    <dxf>
      <fill>
        <patternFill>
          <bgColor rgb="FFCCFFFF"/>
        </patternFill>
      </fill>
      <border/>
    </dxf>
    <dxf>
      <fill>
        <patternFill>
          <bgColor rgb="FF99CCFF"/>
        </patternFill>
      </fill>
      <border/>
    </dxf>
    <dxf>
      <font>
        <b/>
        <i val="0"/>
        <color rgb="FF800000"/>
      </font>
      <fill>
        <patternFill patternType="none">
          <bgColor indexed="65"/>
        </patternFill>
      </fill>
      <border/>
    </dxf>
    <dxf>
      <font>
        <color rgb="FFFF0000"/>
      </font>
      <fill>
        <patternFill patternType="none">
          <bgColor indexed="65"/>
        </patternFill>
      </fill>
      <border/>
    </dxf>
    <dxf>
      <font>
        <color rgb="FF800000"/>
      </font>
      <fill>
        <patternFill>
          <bgColor rgb="FFFFFFCC"/>
        </patternFill>
      </fill>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E2DCD3"/>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66675</xdr:colOff>
      <xdr:row>2</xdr:row>
      <xdr:rowOff>95250</xdr:rowOff>
    </xdr:from>
    <xdr:to>
      <xdr:col>15</xdr:col>
      <xdr:colOff>314325</xdr:colOff>
      <xdr:row>7</xdr:row>
      <xdr:rowOff>47625</xdr:rowOff>
    </xdr:to>
    <xdr:pic>
      <xdr:nvPicPr>
        <xdr:cNvPr id="1" name="Picture 6"/>
        <xdr:cNvPicPr preferRelativeResize="1">
          <a:picLocks noChangeAspect="1"/>
        </xdr:cNvPicPr>
      </xdr:nvPicPr>
      <xdr:blipFill>
        <a:blip r:embed="rId1"/>
        <a:stretch>
          <a:fillRect/>
        </a:stretch>
      </xdr:blipFill>
      <xdr:spPr>
        <a:xfrm>
          <a:off x="7553325" y="95250"/>
          <a:ext cx="1838325" cy="9048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10</xdr:col>
      <xdr:colOff>0</xdr:colOff>
      <xdr:row>32</xdr:row>
      <xdr:rowOff>0</xdr:rowOff>
    </xdr:to>
    <xdr:grpSp>
      <xdr:nvGrpSpPr>
        <xdr:cNvPr id="1" name="Group 6"/>
        <xdr:cNvGrpSpPr>
          <a:grpSpLocks/>
        </xdr:cNvGrpSpPr>
      </xdr:nvGrpSpPr>
      <xdr:grpSpPr>
        <a:xfrm>
          <a:off x="8153400" y="7715250"/>
          <a:ext cx="0" cy="0"/>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35</xdr:row>
      <xdr:rowOff>0</xdr:rowOff>
    </xdr:from>
    <xdr:to>
      <xdr:col>10</xdr:col>
      <xdr:colOff>0</xdr:colOff>
      <xdr:row>35</xdr:row>
      <xdr:rowOff>0</xdr:rowOff>
    </xdr:to>
    <xdr:grpSp>
      <xdr:nvGrpSpPr>
        <xdr:cNvPr id="6" name="Group 36"/>
        <xdr:cNvGrpSpPr>
          <a:grpSpLocks/>
        </xdr:cNvGrpSpPr>
      </xdr:nvGrpSpPr>
      <xdr:grpSpPr>
        <a:xfrm>
          <a:off x="8153400" y="8410575"/>
          <a:ext cx="0" cy="0"/>
          <a:chOff x="769" y="35"/>
          <a:chExt cx="110" cy="41"/>
        </a:xfrm>
        <a:solidFill>
          <a:srgbClr val="FFFFFF"/>
        </a:solidFill>
      </xdr:grpSpPr>
      <xdr:sp>
        <xdr:nvSpPr>
          <xdr:cNvPr id="7"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32</xdr:row>
      <xdr:rowOff>0</xdr:rowOff>
    </xdr:from>
    <xdr:to>
      <xdr:col>10</xdr:col>
      <xdr:colOff>0</xdr:colOff>
      <xdr:row>32</xdr:row>
      <xdr:rowOff>0</xdr:rowOff>
    </xdr:to>
    <xdr:grpSp>
      <xdr:nvGrpSpPr>
        <xdr:cNvPr id="11" name="Group 46"/>
        <xdr:cNvGrpSpPr>
          <a:grpSpLocks/>
        </xdr:cNvGrpSpPr>
      </xdr:nvGrpSpPr>
      <xdr:grpSpPr>
        <a:xfrm>
          <a:off x="8153400" y="7715250"/>
          <a:ext cx="0" cy="0"/>
          <a:chOff x="769" y="35"/>
          <a:chExt cx="110" cy="41"/>
        </a:xfrm>
        <a:solidFill>
          <a:srgbClr val="FFFFFF"/>
        </a:solidFill>
      </xdr:grpSpPr>
      <xdr:sp>
        <xdr:nvSpPr>
          <xdr:cNvPr id="12"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51</xdr:row>
      <xdr:rowOff>38100</xdr:rowOff>
    </xdr:from>
    <xdr:to>
      <xdr:col>10</xdr:col>
      <xdr:colOff>0</xdr:colOff>
      <xdr:row>51</xdr:row>
      <xdr:rowOff>38100</xdr:rowOff>
    </xdr:to>
    <xdr:grpSp>
      <xdr:nvGrpSpPr>
        <xdr:cNvPr id="16" name="Group 70"/>
        <xdr:cNvGrpSpPr>
          <a:grpSpLocks/>
        </xdr:cNvGrpSpPr>
      </xdr:nvGrpSpPr>
      <xdr:grpSpPr>
        <a:xfrm>
          <a:off x="8153400" y="13087350"/>
          <a:ext cx="0" cy="0"/>
          <a:chOff x="769" y="35"/>
          <a:chExt cx="110" cy="41"/>
        </a:xfrm>
        <a:solidFill>
          <a:srgbClr val="FFFFFF"/>
        </a:solidFill>
      </xdr:grpSpPr>
      <xdr:sp>
        <xdr:nvSpPr>
          <xdr:cNvPr id="17" name="Rectangle 7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7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7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33</xdr:row>
      <xdr:rowOff>0</xdr:rowOff>
    </xdr:from>
    <xdr:to>
      <xdr:col>10</xdr:col>
      <xdr:colOff>0</xdr:colOff>
      <xdr:row>33</xdr:row>
      <xdr:rowOff>0</xdr:rowOff>
    </xdr:to>
    <xdr:grpSp>
      <xdr:nvGrpSpPr>
        <xdr:cNvPr id="21" name="Group 75"/>
        <xdr:cNvGrpSpPr>
          <a:grpSpLocks/>
        </xdr:cNvGrpSpPr>
      </xdr:nvGrpSpPr>
      <xdr:grpSpPr>
        <a:xfrm>
          <a:off x="8153400" y="7962900"/>
          <a:ext cx="0" cy="0"/>
          <a:chOff x="769" y="35"/>
          <a:chExt cx="110" cy="41"/>
        </a:xfrm>
        <a:solidFill>
          <a:srgbClr val="FFFFFF"/>
        </a:solidFill>
      </xdr:grpSpPr>
      <xdr:sp>
        <xdr:nvSpPr>
          <xdr:cNvPr id="22" name="Rectangle 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kmr3\ggz\Budgetaanvragen\Standaard\2002\test\1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YGNUS\iloa$\kmr3\ggz\Budgetaanvragen\Formulieren\2002\test\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3\ggz\Budgetaanvragen\Formulieren\2002\test\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ygnus\afd\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LAY-OUT%20(definitie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NACALCULATIEFORMULIEREN%202004\LAY-OUT%20(definitie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472\LAY-OUT%20(definitie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Care\Algemeen\Beoordeling\VV\2008\Budget\Testresultaten%20formulier\testen%20juliformulier\Hertest\Nacalculatie%20op%20geleverde%20productie%2020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YGNUS\iloa$\kmr3\ggz\Budgetaanvragen\Standaard\2002\test\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oorblad"/>
      <sheetName val="AO IC"/>
      <sheetName val="Toelichting nac. op productie "/>
      <sheetName val="Nac. geleverde productie 2007"/>
      <sheetName val="Vragenlijst"/>
      <sheetName val="Verantw. document prod. 2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re@nza.nl" TargetMode="External" /><Relationship Id="rId2" Type="http://schemas.openxmlformats.org/officeDocument/2006/relationships/hyperlink" Target="mailto:inbox@nza.nl" TargetMode="Externa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8">
    <tabColor indexed="45"/>
  </sheetPr>
  <dimension ref="A1:IV1615"/>
  <sheetViews>
    <sheetView showGridLines="0" tabSelected="1" workbookViewId="0" topLeftCell="A3">
      <selection activeCell="F4" sqref="F4"/>
    </sheetView>
  </sheetViews>
  <sheetFormatPr defaultColWidth="9.140625" defaultRowHeight="12.75" zeroHeight="1"/>
  <cols>
    <col min="1" max="1" width="6.7109375" style="93" customWidth="1"/>
    <col min="2" max="2" width="8.140625" style="94" customWidth="1"/>
    <col min="3" max="3" width="8.140625" style="93" customWidth="1"/>
    <col min="4" max="4" width="12.421875" style="93" customWidth="1"/>
    <col min="5" max="5" width="3.140625" style="93" customWidth="1"/>
    <col min="6" max="6" width="19.00390625" style="93" customWidth="1"/>
    <col min="7" max="8" width="6.7109375" style="93" customWidth="1"/>
    <col min="9" max="9" width="2.7109375" style="93" customWidth="1"/>
    <col min="10" max="10" width="6.7109375" style="93" customWidth="1"/>
    <col min="11" max="12" width="8.140625" style="94" customWidth="1"/>
    <col min="13" max="13" width="12.421875" style="94" customWidth="1"/>
    <col min="14" max="14" width="3.140625" style="94" customWidth="1"/>
    <col min="15" max="15" width="23.8515625" style="94" customWidth="1"/>
    <col min="16" max="16" width="10.140625" style="93" customWidth="1"/>
    <col min="17" max="17" width="0.2890625" style="93" customWidth="1"/>
    <col min="18" max="23" width="11.57421875" style="93" hidden="1" customWidth="1"/>
    <col min="24" max="24" width="11.8515625" style="93" hidden="1" customWidth="1"/>
    <col min="25" max="25" width="11.7109375" style="93" hidden="1" customWidth="1"/>
    <col min="26" max="252" width="11.57421875" style="93" hidden="1" customWidth="1"/>
    <col min="253" max="16384" width="0" style="109" hidden="1" customWidth="1"/>
  </cols>
  <sheetData>
    <row r="1" spans="1:256" s="486" customFormat="1" ht="11.25" customHeight="1" hidden="1">
      <c r="A1" s="751" t="b">
        <v>1</v>
      </c>
      <c r="B1" s="485"/>
      <c r="K1" s="485"/>
      <c r="L1" s="485"/>
      <c r="M1" s="485"/>
      <c r="N1" s="485"/>
      <c r="O1" s="485"/>
      <c r="IS1" s="109"/>
      <c r="IT1" s="109"/>
      <c r="IU1" s="109"/>
      <c r="IV1" s="109"/>
    </row>
    <row r="2" spans="1:256" s="486" customFormat="1" ht="11.25" customHeight="1" hidden="1">
      <c r="A2" s="486">
        <v>6</v>
      </c>
      <c r="B2" s="485">
        <v>7.43</v>
      </c>
      <c r="C2" s="486">
        <v>7.43</v>
      </c>
      <c r="D2" s="486">
        <v>7.43</v>
      </c>
      <c r="F2" s="486">
        <v>24</v>
      </c>
      <c r="G2" s="486">
        <v>6</v>
      </c>
      <c r="H2" s="486">
        <v>6</v>
      </c>
      <c r="I2" s="486">
        <v>2</v>
      </c>
      <c r="J2" s="486">
        <v>6</v>
      </c>
      <c r="K2" s="485">
        <v>7.43</v>
      </c>
      <c r="L2" s="485">
        <v>7.43</v>
      </c>
      <c r="M2" s="485">
        <v>7.43</v>
      </c>
      <c r="N2" s="485"/>
      <c r="O2" s="485">
        <v>24</v>
      </c>
      <c r="P2" s="486">
        <v>6</v>
      </c>
      <c r="R2" s="486">
        <f>SUM(A2:P2)</f>
        <v>124.58000000000001</v>
      </c>
      <c r="IS2" s="109"/>
      <c r="IT2" s="109"/>
      <c r="IU2" s="109"/>
      <c r="IV2" s="109"/>
    </row>
    <row r="3" spans="1:256" s="488" customFormat="1" ht="15" customHeight="1">
      <c r="A3" s="1088" t="s">
        <v>353</v>
      </c>
      <c r="B3" s="753"/>
      <c r="C3" s="753"/>
      <c r="D3" s="753"/>
      <c r="E3" s="753"/>
      <c r="F3" s="752"/>
      <c r="G3" s="753"/>
      <c r="H3" s="753"/>
      <c r="I3" s="753"/>
      <c r="J3" s="753"/>
      <c r="K3" s="754"/>
      <c r="L3" s="754"/>
      <c r="M3" s="754"/>
      <c r="N3" s="754"/>
      <c r="O3" s="754"/>
      <c r="P3" s="753"/>
      <c r="Q3" s="753"/>
      <c r="R3" s="487"/>
      <c r="IS3" s="489"/>
      <c r="IT3" s="489"/>
      <c r="IU3" s="489"/>
      <c r="IV3" s="489"/>
    </row>
    <row r="4" spans="1:25" ht="12.75" customHeight="1">
      <c r="A4" s="752"/>
      <c r="B4" s="752"/>
      <c r="C4" s="752"/>
      <c r="D4" s="752"/>
      <c r="E4" s="752"/>
      <c r="F4" s="752"/>
      <c r="G4" s="752"/>
      <c r="H4" s="752"/>
      <c r="I4" s="752"/>
      <c r="J4" s="752"/>
      <c r="K4" s="755"/>
      <c r="L4" s="755"/>
      <c r="M4" s="755"/>
      <c r="N4" s="755"/>
      <c r="O4" s="755"/>
      <c r="P4" s="752"/>
      <c r="Q4" s="752"/>
      <c r="R4" s="490"/>
      <c r="X4" s="490" t="s">
        <v>1163</v>
      </c>
      <c r="Y4" s="490"/>
    </row>
    <row r="5" spans="2:25" ht="18">
      <c r="B5" s="756"/>
      <c r="C5" s="756"/>
      <c r="D5" s="757"/>
      <c r="E5" s="757"/>
      <c r="H5" s="758"/>
      <c r="I5" s="752"/>
      <c r="J5" s="752"/>
      <c r="K5" s="755"/>
      <c r="L5" s="755"/>
      <c r="M5" s="759">
        <v>366</v>
      </c>
      <c r="N5" s="759"/>
      <c r="P5" s="755"/>
      <c r="Q5" s="755"/>
      <c r="R5" s="490"/>
      <c r="X5" s="887" t="s">
        <v>788</v>
      </c>
      <c r="Y5" s="888"/>
    </row>
    <row r="6" spans="1:25" ht="18">
      <c r="A6" s="756" t="s">
        <v>148</v>
      </c>
      <c r="B6" s="756"/>
      <c r="C6" s="756"/>
      <c r="D6" s="756">
        <v>2009</v>
      </c>
      <c r="E6" s="756"/>
      <c r="F6" s="757"/>
      <c r="G6" s="760"/>
      <c r="H6" s="760" t="str">
        <f>S7</f>
        <v>INDIENEN VOOR 1 NOVEMBER 2009</v>
      </c>
      <c r="I6" s="752"/>
      <c r="J6" s="752"/>
      <c r="K6" s="755"/>
      <c r="L6" s="755"/>
      <c r="M6" s="755"/>
      <c r="N6" s="755"/>
      <c r="O6" s="761"/>
      <c r="P6" s="755"/>
      <c r="Q6" s="755"/>
      <c r="R6" s="490"/>
      <c r="S6" s="812" t="s">
        <v>828</v>
      </c>
      <c r="T6" s="815"/>
      <c r="U6" s="816"/>
      <c r="X6" s="887" t="s">
        <v>789</v>
      </c>
      <c r="Y6" s="888"/>
    </row>
    <row r="7" spans="1:25" ht="11.25">
      <c r="A7" s="762"/>
      <c r="B7" s="763"/>
      <c r="C7" s="762"/>
      <c r="D7" s="762"/>
      <c r="E7" s="762"/>
      <c r="F7" s="762"/>
      <c r="G7" s="762"/>
      <c r="I7" s="752"/>
      <c r="J7" s="762"/>
      <c r="K7" s="763"/>
      <c r="L7" s="763"/>
      <c r="M7" s="763"/>
      <c r="N7" s="763"/>
      <c r="O7" s="763"/>
      <c r="P7" s="762"/>
      <c r="Q7" s="762"/>
      <c r="S7" s="812" t="str">
        <f>IF(O14&lt;(T18+14),"INDIENEN VOOR 1 MAART 2009","INDIENEN VOOR 1 NOVEMBER 2009")</f>
        <v>INDIENEN VOOR 1 NOVEMBER 2009</v>
      </c>
      <c r="T7" s="815"/>
      <c r="U7" s="816"/>
      <c r="X7" s="887" t="s">
        <v>790</v>
      </c>
      <c r="Y7" s="816"/>
    </row>
    <row r="8" spans="1:25" ht="11.25">
      <c r="A8" s="822" t="s">
        <v>952</v>
      </c>
      <c r="B8" s="763"/>
      <c r="C8" s="762"/>
      <c r="D8" s="762"/>
      <c r="E8" s="762"/>
      <c r="F8" s="762"/>
      <c r="G8" s="762"/>
      <c r="H8" s="762"/>
      <c r="I8" s="752"/>
      <c r="J8" s="762"/>
      <c r="K8" s="763"/>
      <c r="L8" s="763"/>
      <c r="M8" s="763"/>
      <c r="N8" s="763"/>
      <c r="O8" s="763"/>
      <c r="P8" s="762"/>
      <c r="Q8" s="762"/>
      <c r="X8" s="887" t="s">
        <v>791</v>
      </c>
      <c r="Y8" s="816"/>
    </row>
    <row r="9" spans="1:256" s="94" customFormat="1" ht="11.25" customHeight="1">
      <c r="A9" s="995" t="s">
        <v>953</v>
      </c>
      <c r="B9" s="1017"/>
      <c r="C9" s="1017"/>
      <c r="D9" s="1017"/>
      <c r="E9" s="1017"/>
      <c r="F9" s="1017"/>
      <c r="G9" s="1017"/>
      <c r="H9" s="1017"/>
      <c r="I9" s="1017"/>
      <c r="J9" s="763"/>
      <c r="K9" s="763"/>
      <c r="Q9" s="803"/>
      <c r="X9" s="887" t="s">
        <v>792</v>
      </c>
      <c r="Y9" s="888"/>
      <c r="IS9" s="493"/>
      <c r="IT9" s="493"/>
      <c r="IU9" s="493"/>
      <c r="IV9" s="493"/>
    </row>
    <row r="10" spans="1:256" s="94" customFormat="1" ht="11.25" customHeight="1">
      <c r="A10" s="1017"/>
      <c r="B10" s="1017"/>
      <c r="C10" s="1017"/>
      <c r="D10" s="1017"/>
      <c r="E10" s="1017"/>
      <c r="F10" s="1017"/>
      <c r="G10" s="1017"/>
      <c r="H10" s="1017"/>
      <c r="I10" s="1017"/>
      <c r="J10" s="821"/>
      <c r="K10" s="763"/>
      <c r="L10" s="764" t="s">
        <v>1159</v>
      </c>
      <c r="M10" s="491"/>
      <c r="N10" s="492"/>
      <c r="O10" s="1015" t="s">
        <v>1160</v>
      </c>
      <c r="P10" s="1016"/>
      <c r="Q10" s="803"/>
      <c r="X10" s="887" t="s">
        <v>149</v>
      </c>
      <c r="Y10" s="816"/>
      <c r="IS10" s="493"/>
      <c r="IT10" s="493"/>
      <c r="IU10" s="493"/>
      <c r="IV10" s="493"/>
    </row>
    <row r="11" spans="1:256" s="94" customFormat="1" ht="11.25" customHeight="1">
      <c r="A11" s="1017"/>
      <c r="B11" s="1017"/>
      <c r="C11" s="1017"/>
      <c r="D11" s="1017"/>
      <c r="E11" s="1017"/>
      <c r="F11" s="1017"/>
      <c r="G11" s="1017"/>
      <c r="H11" s="1017"/>
      <c r="I11" s="1017"/>
      <c r="J11" s="821"/>
      <c r="K11" s="763"/>
      <c r="L11" s="765" t="s">
        <v>666</v>
      </c>
      <c r="M11" s="494"/>
      <c r="N11" s="495"/>
      <c r="O11" s="999"/>
      <c r="P11" s="994"/>
      <c r="Q11" s="803"/>
      <c r="X11" s="887" t="s">
        <v>150</v>
      </c>
      <c r="Y11" s="888"/>
      <c r="IS11" s="493"/>
      <c r="IT11" s="493"/>
      <c r="IU11" s="493"/>
      <c r="IV11" s="493"/>
    </row>
    <row r="12" spans="1:256" s="94" customFormat="1" ht="11.25" customHeight="1">
      <c r="A12" s="1017"/>
      <c r="B12" s="1017"/>
      <c r="C12" s="1017"/>
      <c r="D12" s="1017"/>
      <c r="E12" s="1017"/>
      <c r="F12" s="1017"/>
      <c r="G12" s="1017"/>
      <c r="H12" s="1017"/>
      <c r="I12" s="1017"/>
      <c r="J12" s="821"/>
      <c r="K12" s="763"/>
      <c r="L12" s="765" t="s">
        <v>667</v>
      </c>
      <c r="M12" s="494"/>
      <c r="N12" s="495"/>
      <c r="O12" s="999">
        <f>IF(H15&gt;0,IF(ISERROR(VLOOKUP($H$15,NAW!$B$2:$F$297,3,FALSE)=TRUE),"",VLOOKUP($H$15,NAW!$B$2:$E$297,3,FALSE)),"")</f>
      </c>
      <c r="P12" s="994"/>
      <c r="Q12" s="804"/>
      <c r="X12" s="887" t="s">
        <v>793</v>
      </c>
      <c r="Y12" s="816"/>
      <c r="IS12" s="493"/>
      <c r="IT12" s="493"/>
      <c r="IU12" s="493"/>
      <c r="IV12" s="493"/>
    </row>
    <row r="13" spans="9:256" s="490" customFormat="1" ht="11.25" customHeight="1">
      <c r="I13" s="752"/>
      <c r="J13" s="752"/>
      <c r="K13" s="755"/>
      <c r="L13" s="765" t="s">
        <v>1161</v>
      </c>
      <c r="M13" s="498"/>
      <c r="N13" s="499"/>
      <c r="O13" s="1023" t="s">
        <v>976</v>
      </c>
      <c r="P13" s="1024"/>
      <c r="Q13" s="805"/>
      <c r="S13" s="490">
        <v>0</v>
      </c>
      <c r="T13" s="490">
        <v>9999</v>
      </c>
      <c r="X13" s="887" t="s">
        <v>794</v>
      </c>
      <c r="Y13" s="816"/>
      <c r="IS13" s="503"/>
      <c r="IT13" s="503"/>
      <c r="IU13" s="503"/>
      <c r="IV13" s="503"/>
    </row>
    <row r="14" spans="1:256" s="490" customFormat="1" ht="11.25" customHeight="1">
      <c r="A14" s="996" t="str">
        <f>IF(OR($H15=0),"U dient het NZa-nummer in te vullen.","")</f>
        <v>U dient het NZa-nummer in te vullen.</v>
      </c>
      <c r="B14" s="997"/>
      <c r="C14" s="997"/>
      <c r="D14" s="997"/>
      <c r="E14" s="997"/>
      <c r="F14" s="998"/>
      <c r="G14" s="496" t="s">
        <v>668</v>
      </c>
      <c r="H14" s="497" t="s">
        <v>669</v>
      </c>
      <c r="I14" s="752"/>
      <c r="J14" s="752"/>
      <c r="K14" s="755"/>
      <c r="L14" s="765" t="s">
        <v>1092</v>
      </c>
      <c r="M14" s="498"/>
      <c r="N14" s="499"/>
      <c r="O14" s="1023">
        <f ca="1">TODAY()</f>
        <v>40008</v>
      </c>
      <c r="P14" s="1024"/>
      <c r="Q14" s="506"/>
      <c r="S14" s="504">
        <f>O14</f>
        <v>40008</v>
      </c>
      <c r="T14" s="505">
        <f>T24</f>
        <v>40148</v>
      </c>
      <c r="X14" s="887" t="s">
        <v>795</v>
      </c>
      <c r="Y14" s="888"/>
      <c r="IS14" s="503"/>
      <c r="IT14" s="503"/>
      <c r="IU14" s="503"/>
      <c r="IV14" s="503"/>
    </row>
    <row r="15" spans="1:256" s="490" customFormat="1" ht="11.25" customHeight="1">
      <c r="A15" s="500" t="s">
        <v>713</v>
      </c>
      <c r="B15" s="766"/>
      <c r="C15" s="766"/>
      <c r="D15" s="766"/>
      <c r="E15" s="766"/>
      <c r="F15" s="767"/>
      <c r="G15" s="501">
        <v>120</v>
      </c>
      <c r="H15" s="502"/>
      <c r="I15" s="752"/>
      <c r="J15" s="752"/>
      <c r="K15" s="755"/>
      <c r="L15" s="765" t="s">
        <v>1162</v>
      </c>
      <c r="M15" s="766"/>
      <c r="N15" s="768"/>
      <c r="O15" s="1018" t="str">
        <f>RIGHT(Productie!M426,6)</f>
        <v>342085</v>
      </c>
      <c r="P15" s="1019"/>
      <c r="Q15" s="506"/>
      <c r="X15" s="887" t="s">
        <v>796</v>
      </c>
      <c r="Y15" s="888"/>
      <c r="IS15" s="503"/>
      <c r="IT15" s="503"/>
      <c r="IU15" s="503"/>
      <c r="IV15" s="503"/>
    </row>
    <row r="16" spans="2:256" s="490" customFormat="1" ht="9.75" customHeight="1">
      <c r="B16" s="763"/>
      <c r="C16" s="762"/>
      <c r="D16" s="762"/>
      <c r="E16" s="762"/>
      <c r="F16" s="762"/>
      <c r="G16" s="762"/>
      <c r="H16" s="762"/>
      <c r="I16" s="752"/>
      <c r="J16" s="752"/>
      <c r="K16" s="755"/>
      <c r="L16" s="755"/>
      <c r="M16" s="755"/>
      <c r="N16" s="755"/>
      <c r="O16" s="506"/>
      <c r="P16" s="506"/>
      <c r="Q16" s="506"/>
      <c r="X16" s="887" t="s">
        <v>151</v>
      </c>
      <c r="Y16" s="888"/>
      <c r="IS16" s="503"/>
      <c r="IT16" s="503"/>
      <c r="IU16" s="503"/>
      <c r="IV16" s="503"/>
    </row>
    <row r="17" spans="1:256" s="490" customFormat="1" ht="12.75" customHeight="1">
      <c r="A17" s="507" t="s">
        <v>0</v>
      </c>
      <c r="B17" s="508"/>
      <c r="C17" s="770"/>
      <c r="D17" s="770"/>
      <c r="E17" s="770"/>
      <c r="F17" s="770"/>
      <c r="G17" s="770"/>
      <c r="H17" s="771"/>
      <c r="I17" s="95"/>
      <c r="J17" s="507" t="s">
        <v>1065</v>
      </c>
      <c r="K17" s="772"/>
      <c r="L17" s="770"/>
      <c r="M17" s="770"/>
      <c r="N17" s="770"/>
      <c r="O17" s="770"/>
      <c r="P17" s="771"/>
      <c r="Q17" s="506"/>
      <c r="S17" s="806" t="s">
        <v>825</v>
      </c>
      <c r="T17" s="806" t="s">
        <v>826</v>
      </c>
      <c r="X17" s="887" t="s">
        <v>1073</v>
      </c>
      <c r="Y17" s="888"/>
      <c r="IS17" s="503"/>
      <c r="IT17" s="503"/>
      <c r="IU17" s="503"/>
      <c r="IV17" s="503"/>
    </row>
    <row r="18" spans="1:33" ht="12.75">
      <c r="A18" s="500" t="s">
        <v>612</v>
      </c>
      <c r="B18" s="509"/>
      <c r="C18" s="1008"/>
      <c r="D18" s="1009"/>
      <c r="E18" s="1009"/>
      <c r="F18" s="1009"/>
      <c r="G18" s="1009"/>
      <c r="H18" s="1010"/>
      <c r="I18" s="95"/>
      <c r="J18" s="500" t="s">
        <v>612</v>
      </c>
      <c r="K18" s="771"/>
      <c r="L18" s="1008"/>
      <c r="M18" s="1011"/>
      <c r="N18" s="1011"/>
      <c r="O18" s="1011"/>
      <c r="P18" s="1012"/>
      <c r="Q18" s="506"/>
      <c r="S18" s="811">
        <v>39887</v>
      </c>
      <c r="T18" s="807">
        <f>S18</f>
        <v>39887</v>
      </c>
      <c r="X18" s="887" t="s">
        <v>797</v>
      </c>
      <c r="Y18" s="816"/>
      <c r="Z18" s="95"/>
      <c r="AA18" s="95"/>
      <c r="AE18" s="792"/>
      <c r="AF18" s="792"/>
      <c r="AG18" s="792"/>
    </row>
    <row r="19" spans="1:33" ht="12.75" customHeight="1">
      <c r="A19" s="500" t="s">
        <v>1066</v>
      </c>
      <c r="B19" s="509"/>
      <c r="C19" s="1008"/>
      <c r="D19" s="1009"/>
      <c r="E19" s="1009"/>
      <c r="F19" s="1009"/>
      <c r="G19" s="1009"/>
      <c r="H19" s="1010"/>
      <c r="I19" s="95"/>
      <c r="J19" s="500" t="s">
        <v>1066</v>
      </c>
      <c r="K19" s="771"/>
      <c r="L19" s="1025"/>
      <c r="M19" s="1026"/>
      <c r="N19" s="1009"/>
      <c r="O19" s="1009"/>
      <c r="P19" s="1010"/>
      <c r="Q19" s="506"/>
      <c r="S19" s="811">
        <v>40132</v>
      </c>
      <c r="T19" s="807">
        <f>S19</f>
        <v>40132</v>
      </c>
      <c r="X19" s="887" t="s">
        <v>798</v>
      </c>
      <c r="Y19" s="888"/>
      <c r="Z19" s="95"/>
      <c r="AA19" s="95"/>
      <c r="AE19" s="490"/>
      <c r="AF19" s="490"/>
      <c r="AG19" s="490"/>
    </row>
    <row r="20" spans="1:33" ht="19.5" customHeight="1">
      <c r="A20" s="500" t="s">
        <v>1067</v>
      </c>
      <c r="B20" s="509"/>
      <c r="C20" s="482"/>
      <c r="D20" s="483"/>
      <c r="E20" s="1013"/>
      <c r="F20" s="1014"/>
      <c r="G20" s="1014"/>
      <c r="H20" s="1001"/>
      <c r="I20" s="95"/>
      <c r="J20" s="500" t="s">
        <v>1067</v>
      </c>
      <c r="K20" s="770"/>
      <c r="L20" s="773"/>
      <c r="M20" s="774"/>
      <c r="N20" s="1013"/>
      <c r="O20" s="1014"/>
      <c r="P20" s="1001"/>
      <c r="Q20" s="506"/>
      <c r="S20" s="808"/>
      <c r="T20" s="808"/>
      <c r="X20" s="887" t="s">
        <v>799</v>
      </c>
      <c r="Y20" s="816"/>
      <c r="AE20" s="490"/>
      <c r="AF20" s="490"/>
      <c r="AG20" s="490"/>
    </row>
    <row r="21" spans="1:33" ht="12.75" customHeight="1">
      <c r="A21" s="500" t="s">
        <v>1068</v>
      </c>
      <c r="B21" s="509"/>
      <c r="C21" s="1008"/>
      <c r="D21" s="1029"/>
      <c r="E21" s="1029"/>
      <c r="F21" s="1029"/>
      <c r="G21" s="1029"/>
      <c r="H21" s="1030"/>
      <c r="I21" s="95"/>
      <c r="J21" s="500" t="s">
        <v>1068</v>
      </c>
      <c r="K21" s="771"/>
      <c r="L21" s="1027"/>
      <c r="M21" s="1028"/>
      <c r="N21" s="1009"/>
      <c r="O21" s="1009"/>
      <c r="P21" s="1010"/>
      <c r="Q21" s="506"/>
      <c r="S21" s="813"/>
      <c r="T21" s="814"/>
      <c r="X21" s="887" t="s">
        <v>152</v>
      </c>
      <c r="Y21" s="888"/>
      <c r="AE21" s="490"/>
      <c r="AF21" s="490"/>
      <c r="AG21" s="490"/>
    </row>
    <row r="22" spans="1:33" ht="12.75" customHeight="1">
      <c r="A22" s="500" t="s">
        <v>1069</v>
      </c>
      <c r="B22" s="509"/>
      <c r="C22" s="1008"/>
      <c r="D22" s="1009"/>
      <c r="E22" s="1009"/>
      <c r="F22" s="1009"/>
      <c r="G22" s="1009"/>
      <c r="H22" s="1010"/>
      <c r="I22" s="95"/>
      <c r="J22" s="500" t="s">
        <v>1069</v>
      </c>
      <c r="K22" s="771"/>
      <c r="L22" s="1008"/>
      <c r="M22" s="1009"/>
      <c r="N22" s="1009"/>
      <c r="O22" s="1009"/>
      <c r="P22" s="1010"/>
      <c r="Q22" s="506"/>
      <c r="S22" s="817" t="s">
        <v>1239</v>
      </c>
      <c r="T22" s="818"/>
      <c r="X22" s="887" t="s">
        <v>1074</v>
      </c>
      <c r="Y22" s="888"/>
      <c r="Z22" s="95"/>
      <c r="AA22" s="95"/>
      <c r="AE22" s="490"/>
      <c r="AF22" s="490"/>
      <c r="AG22" s="490"/>
    </row>
    <row r="23" spans="1:33" ht="10.5" customHeight="1">
      <c r="A23" s="775"/>
      <c r="B23" s="775"/>
      <c r="C23" s="775"/>
      <c r="D23" s="775"/>
      <c r="E23" s="775"/>
      <c r="F23" s="775"/>
      <c r="G23" s="775"/>
      <c r="H23" s="775"/>
      <c r="I23" s="96"/>
      <c r="J23" s="775"/>
      <c r="K23" s="775"/>
      <c r="L23" s="775"/>
      <c r="M23" s="775"/>
      <c r="N23" s="775"/>
      <c r="O23" s="775"/>
      <c r="P23" s="775"/>
      <c r="Q23" s="506"/>
      <c r="S23" s="819" t="s">
        <v>1240</v>
      </c>
      <c r="T23" s="820"/>
      <c r="X23" s="887" t="s">
        <v>800</v>
      </c>
      <c r="Y23" s="888"/>
      <c r="AE23" s="490"/>
      <c r="AF23" s="490"/>
      <c r="AG23" s="490"/>
    </row>
    <row r="24" spans="1:33" ht="12" customHeight="1">
      <c r="A24" s="802"/>
      <c r="B24" s="97"/>
      <c r="C24" s="97"/>
      <c r="D24" s="97"/>
      <c r="E24" s="97"/>
      <c r="F24" s="97"/>
      <c r="G24" s="97"/>
      <c r="H24" s="97"/>
      <c r="I24" s="97"/>
      <c r="J24" s="776"/>
      <c r="K24" s="97"/>
      <c r="L24" s="97"/>
      <c r="M24" s="97"/>
      <c r="N24" s="97"/>
      <c r="O24" s="97"/>
      <c r="P24" s="97"/>
      <c r="Q24" s="506"/>
      <c r="S24" s="809" t="s">
        <v>827</v>
      </c>
      <c r="T24" s="810">
        <v>40148</v>
      </c>
      <c r="X24" s="887" t="s">
        <v>153</v>
      </c>
      <c r="Y24" s="888"/>
      <c r="Z24" s="95"/>
      <c r="AA24" s="95"/>
      <c r="AE24" s="490"/>
      <c r="AF24" s="490"/>
      <c r="AG24" s="490"/>
    </row>
    <row r="25" spans="1:33" ht="10.5" customHeight="1">
      <c r="A25" s="1020" t="s">
        <v>506</v>
      </c>
      <c r="B25" s="1021"/>
      <c r="C25" s="1021"/>
      <c r="D25" s="1021"/>
      <c r="E25" s="1021"/>
      <c r="F25" s="1021"/>
      <c r="G25" s="1021"/>
      <c r="H25" s="1021"/>
      <c r="I25" s="1021"/>
      <c r="J25" s="1021"/>
      <c r="K25" s="1021"/>
      <c r="L25" s="1021"/>
      <c r="M25" s="1021"/>
      <c r="N25" s="1021"/>
      <c r="O25" s="1021"/>
      <c r="P25" s="1021"/>
      <c r="Q25" s="506"/>
      <c r="X25" s="887" t="s">
        <v>801</v>
      </c>
      <c r="Y25" s="888"/>
      <c r="AE25" s="490"/>
      <c r="AF25" s="490"/>
      <c r="AG25" s="490"/>
    </row>
    <row r="26" spans="1:33" ht="10.5" customHeight="1">
      <c r="A26" s="1021"/>
      <c r="B26" s="1021"/>
      <c r="C26" s="1021"/>
      <c r="D26" s="1021"/>
      <c r="E26" s="1021"/>
      <c r="F26" s="1021"/>
      <c r="G26" s="1021"/>
      <c r="H26" s="1021"/>
      <c r="I26" s="1021"/>
      <c r="J26" s="1021"/>
      <c r="K26" s="1021"/>
      <c r="L26" s="1021"/>
      <c r="M26" s="1021"/>
      <c r="N26" s="1021"/>
      <c r="O26" s="1021"/>
      <c r="P26" s="1021"/>
      <c r="Q26" s="506"/>
      <c r="X26" s="887" t="s">
        <v>802</v>
      </c>
      <c r="Y26" s="816"/>
      <c r="AE26" s="490"/>
      <c r="AF26" s="490"/>
      <c r="AG26" s="490"/>
    </row>
    <row r="27" spans="1:33" ht="10.5" customHeight="1">
      <c r="A27" s="1021"/>
      <c r="B27" s="1021"/>
      <c r="C27" s="1021"/>
      <c r="D27" s="1021"/>
      <c r="E27" s="1021"/>
      <c r="F27" s="1021"/>
      <c r="G27" s="1021"/>
      <c r="H27" s="1021"/>
      <c r="I27" s="1021"/>
      <c r="J27" s="1021"/>
      <c r="K27" s="1021"/>
      <c r="L27" s="1021"/>
      <c r="M27" s="1021"/>
      <c r="N27" s="1021"/>
      <c r="O27" s="1021"/>
      <c r="P27" s="1021"/>
      <c r="Q27" s="506"/>
      <c r="X27" s="887" t="s">
        <v>1164</v>
      </c>
      <c r="Y27" s="816"/>
      <c r="Z27" s="95"/>
      <c r="AA27" s="95"/>
      <c r="AE27" s="490"/>
      <c r="AF27" s="490"/>
      <c r="AG27" s="490"/>
    </row>
    <row r="28" spans="1:33" ht="10.5" customHeight="1">
      <c r="A28" s="1022"/>
      <c r="B28" s="1022"/>
      <c r="C28" s="1022"/>
      <c r="D28" s="1022"/>
      <c r="E28" s="1022"/>
      <c r="F28" s="1022"/>
      <c r="G28" s="1022"/>
      <c r="H28" s="1022"/>
      <c r="I28" s="1022"/>
      <c r="J28" s="1022"/>
      <c r="K28" s="1022"/>
      <c r="L28" s="1022"/>
      <c r="M28" s="1022"/>
      <c r="N28" s="1022"/>
      <c r="O28" s="1022"/>
      <c r="P28" s="1022"/>
      <c r="Q28" s="506"/>
      <c r="X28" s="887" t="s">
        <v>803</v>
      </c>
      <c r="Y28" s="888"/>
      <c r="Z28" s="95"/>
      <c r="AA28" s="95"/>
      <c r="AE28" s="490"/>
      <c r="AF28" s="490"/>
      <c r="AG28" s="490"/>
    </row>
    <row r="29" spans="1:33" ht="10.5" customHeight="1">
      <c r="A29" s="1022"/>
      <c r="B29" s="1022"/>
      <c r="C29" s="1022"/>
      <c r="D29" s="1022"/>
      <c r="E29" s="1022"/>
      <c r="F29" s="1022"/>
      <c r="G29" s="1022"/>
      <c r="H29" s="1022"/>
      <c r="I29" s="1022"/>
      <c r="J29" s="1022"/>
      <c r="K29" s="1022"/>
      <c r="L29" s="1022"/>
      <c r="M29" s="1022"/>
      <c r="N29" s="1022"/>
      <c r="O29" s="1022"/>
      <c r="P29" s="1022"/>
      <c r="Q29" s="506"/>
      <c r="X29" s="887" t="s">
        <v>804</v>
      </c>
      <c r="Y29" s="888"/>
      <c r="Z29" s="95"/>
      <c r="AA29" s="95"/>
      <c r="AE29" s="490"/>
      <c r="AF29" s="490"/>
      <c r="AG29" s="490"/>
    </row>
    <row r="30" spans="1:256" s="95" customFormat="1" ht="10.5" customHeight="1">
      <c r="A30" s="97"/>
      <c r="B30" s="777"/>
      <c r="C30" s="777"/>
      <c r="D30" s="777"/>
      <c r="E30" s="777"/>
      <c r="F30" s="777"/>
      <c r="G30" s="777"/>
      <c r="H30" s="777"/>
      <c r="I30" s="98"/>
      <c r="J30" s="777"/>
      <c r="K30" s="777"/>
      <c r="L30" s="777"/>
      <c r="M30" s="777"/>
      <c r="N30" s="777"/>
      <c r="O30" s="777"/>
      <c r="P30" s="777"/>
      <c r="Q30" s="506"/>
      <c r="S30" s="93"/>
      <c r="T30" s="93"/>
      <c r="U30" s="93"/>
      <c r="V30" s="93"/>
      <c r="X30" s="887" t="s">
        <v>805</v>
      </c>
      <c r="Y30" s="888"/>
      <c r="AE30" s="490"/>
      <c r="AF30" s="490"/>
      <c r="AG30" s="490"/>
      <c r="IS30" s="110"/>
      <c r="IT30" s="110"/>
      <c r="IU30" s="110"/>
      <c r="IV30" s="110"/>
    </row>
    <row r="31" spans="1:256" s="95" customFormat="1" ht="10.5" customHeight="1">
      <c r="A31" s="97"/>
      <c r="B31" s="777"/>
      <c r="C31" s="777"/>
      <c r="D31" s="777"/>
      <c r="E31" s="777"/>
      <c r="F31" s="777"/>
      <c r="G31" s="777"/>
      <c r="H31" s="777"/>
      <c r="I31" s="98"/>
      <c r="J31" s="777"/>
      <c r="K31" s="777"/>
      <c r="L31" s="777"/>
      <c r="M31" s="777"/>
      <c r="N31" s="777"/>
      <c r="O31" s="777"/>
      <c r="P31" s="777"/>
      <c r="Q31" s="506"/>
      <c r="S31" s="93"/>
      <c r="T31" s="93"/>
      <c r="U31" s="93"/>
      <c r="V31" s="93"/>
      <c r="X31" s="887" t="s">
        <v>806</v>
      </c>
      <c r="Y31" s="888"/>
      <c r="AE31" s="490"/>
      <c r="AF31" s="490"/>
      <c r="AG31" s="490"/>
      <c r="IS31" s="110"/>
      <c r="IT31" s="110"/>
      <c r="IU31" s="110"/>
      <c r="IV31" s="110"/>
    </row>
    <row r="32" spans="1:256" s="95" customFormat="1" ht="14.25" customHeight="1">
      <c r="A32" s="507" t="s">
        <v>954</v>
      </c>
      <c r="B32" s="508"/>
      <c r="C32" s="770"/>
      <c r="D32" s="770"/>
      <c r="E32" s="770"/>
      <c r="F32" s="770"/>
      <c r="G32" s="770"/>
      <c r="H32" s="771"/>
      <c r="I32" s="96"/>
      <c r="J32" s="507" t="s">
        <v>955</v>
      </c>
      <c r="K32" s="772"/>
      <c r="L32" s="770"/>
      <c r="M32" s="770"/>
      <c r="N32" s="770"/>
      <c r="O32" s="770"/>
      <c r="P32" s="771"/>
      <c r="Q32" s="506"/>
      <c r="S32" s="93"/>
      <c r="T32" s="93"/>
      <c r="U32" s="93"/>
      <c r="V32" s="93"/>
      <c r="X32" s="887" t="s">
        <v>807</v>
      </c>
      <c r="Y32" s="888"/>
      <c r="AE32" s="490"/>
      <c r="AF32" s="490"/>
      <c r="AG32" s="490"/>
      <c r="IS32" s="110"/>
      <c r="IT32" s="110"/>
      <c r="IU32" s="110"/>
      <c r="IV32" s="110"/>
    </row>
    <row r="33" spans="1:256" s="95" customFormat="1" ht="14.25" customHeight="1">
      <c r="A33" s="507"/>
      <c r="B33" s="508"/>
      <c r="C33" s="508"/>
      <c r="D33" s="508"/>
      <c r="E33" s="508"/>
      <c r="F33" s="508"/>
      <c r="G33" s="508"/>
      <c r="H33" s="508"/>
      <c r="I33" s="873"/>
      <c r="J33" s="507"/>
      <c r="K33" s="508"/>
      <c r="L33" s="508"/>
      <c r="M33" s="508"/>
      <c r="N33" s="508"/>
      <c r="O33" s="508"/>
      <c r="P33" s="510"/>
      <c r="Q33" s="506"/>
      <c r="S33" s="93"/>
      <c r="T33" s="93"/>
      <c r="U33" s="93"/>
      <c r="V33" s="93"/>
      <c r="X33" s="887" t="s">
        <v>154</v>
      </c>
      <c r="Y33" s="888"/>
      <c r="Z33" s="93"/>
      <c r="AA33" s="93"/>
      <c r="AE33" s="490"/>
      <c r="AF33" s="490"/>
      <c r="AG33" s="490"/>
      <c r="IS33" s="110"/>
      <c r="IT33" s="110"/>
      <c r="IU33" s="110"/>
      <c r="IV33" s="110"/>
    </row>
    <row r="34" spans="1:256" s="95" customFormat="1" ht="10.5" customHeight="1">
      <c r="A34" s="947">
        <f>IF($O$14&gt;$T$24,"De vervaldatum van dit formulier is verstreken","")</f>
      </c>
      <c r="B34" s="778"/>
      <c r="C34" s="778"/>
      <c r="D34" s="778"/>
      <c r="E34" s="778"/>
      <c r="F34" s="778"/>
      <c r="G34" s="778"/>
      <c r="H34" s="779"/>
      <c r="J34" s="947">
        <f>IF($O$14&gt;$T$24,"De vervaldatum van dit formulier is verstreken","")</f>
      </c>
      <c r="K34" s="778"/>
      <c r="L34" s="778"/>
      <c r="M34" s="778"/>
      <c r="N34" s="778"/>
      <c r="O34" s="778"/>
      <c r="P34" s="779"/>
      <c r="Q34" s="506"/>
      <c r="S34" s="93"/>
      <c r="T34" s="93"/>
      <c r="U34" s="93"/>
      <c r="V34" s="93"/>
      <c r="X34" s="887" t="s">
        <v>155</v>
      </c>
      <c r="Y34" s="888"/>
      <c r="Z34" s="93"/>
      <c r="AA34" s="93"/>
      <c r="AE34" s="490"/>
      <c r="AF34" s="490"/>
      <c r="AG34" s="490"/>
      <c r="IS34" s="110"/>
      <c r="IT34" s="110"/>
      <c r="IU34" s="110"/>
      <c r="IV34" s="110"/>
    </row>
    <row r="35" spans="1:256" s="95" customFormat="1" ht="10.5" customHeight="1">
      <c r="A35" s="780">
        <f>IF($O$14&gt;$T$24,"download een nieuw formulier op www.nza.nl","")</f>
      </c>
      <c r="B35" s="781"/>
      <c r="C35" s="781"/>
      <c r="D35" s="781"/>
      <c r="E35" s="781"/>
      <c r="F35" s="781"/>
      <c r="G35" s="781"/>
      <c r="H35" s="782"/>
      <c r="J35" s="780">
        <f>IF($O$14&gt;$T$24,"download een nieuw formulier op www.nza.nl","")</f>
      </c>
      <c r="K35" s="781"/>
      <c r="L35" s="781"/>
      <c r="M35" s="781"/>
      <c r="N35" s="781"/>
      <c r="O35" s="781"/>
      <c r="P35" s="782"/>
      <c r="Q35" s="506"/>
      <c r="S35" s="93"/>
      <c r="T35" s="93"/>
      <c r="U35" s="93"/>
      <c r="V35" s="93"/>
      <c r="X35" s="887" t="s">
        <v>811</v>
      </c>
      <c r="Y35" s="816"/>
      <c r="AE35" s="490"/>
      <c r="AF35" s="490"/>
      <c r="AG35" s="490"/>
      <c r="IS35" s="110"/>
      <c r="IT35" s="110"/>
      <c r="IU35" s="110"/>
      <c r="IV35" s="110"/>
    </row>
    <row r="36" spans="1:256" s="95" customFormat="1" ht="10.5" customHeight="1">
      <c r="A36" s="948" t="str">
        <f>IF(foutmeldingen!F16&gt;0,"nog niet ondertekenen, er is een foutmelding, zie tab foutmeldingen"," ")</f>
        <v>nog niet ondertekenen, er is een foutmelding, zie tab foutmeldingen</v>
      </c>
      <c r="B36" s="781"/>
      <c r="C36" s="781"/>
      <c r="D36" s="781"/>
      <c r="E36" s="781"/>
      <c r="F36" s="781"/>
      <c r="G36" s="781"/>
      <c r="H36" s="782"/>
      <c r="J36" s="948" t="str">
        <f>IF(foutmeldingen!F16&gt;0,"nog niet ondertekenen, er is een foutmelding, zie tab foutmeldingen"," ")</f>
        <v>nog niet ondertekenen, er is een foutmelding, zie tab foutmeldingen</v>
      </c>
      <c r="K36" s="781"/>
      <c r="L36" s="781"/>
      <c r="M36" s="781"/>
      <c r="N36" s="781"/>
      <c r="O36" s="781"/>
      <c r="P36" s="782"/>
      <c r="Q36" s="506"/>
      <c r="S36" s="93"/>
      <c r="T36" s="93"/>
      <c r="U36" s="93"/>
      <c r="V36" s="93"/>
      <c r="X36" s="887" t="s">
        <v>868</v>
      </c>
      <c r="Y36" s="888"/>
      <c r="AE36" s="490"/>
      <c r="AF36" s="490"/>
      <c r="AG36" s="490"/>
      <c r="IS36" s="110"/>
      <c r="IT36" s="110"/>
      <c r="IU36" s="110"/>
      <c r="IV36" s="110"/>
    </row>
    <row r="37" spans="1:256" s="95" customFormat="1" ht="10.5" customHeight="1">
      <c r="A37" s="780"/>
      <c r="B37" s="781"/>
      <c r="C37" s="781"/>
      <c r="D37" s="781"/>
      <c r="E37" s="781"/>
      <c r="F37" s="781"/>
      <c r="G37" s="781"/>
      <c r="H37" s="782"/>
      <c r="J37" s="780"/>
      <c r="K37" s="781"/>
      <c r="L37" s="781"/>
      <c r="M37" s="781"/>
      <c r="N37" s="781"/>
      <c r="O37" s="781"/>
      <c r="P37" s="782"/>
      <c r="Q37" s="506"/>
      <c r="S37" s="93"/>
      <c r="T37" s="93"/>
      <c r="U37" s="93"/>
      <c r="V37" s="93"/>
      <c r="AE37" s="490"/>
      <c r="AF37" s="490"/>
      <c r="AG37" s="490"/>
      <c r="IS37" s="110"/>
      <c r="IT37" s="110"/>
      <c r="IU37" s="110"/>
      <c r="IV37" s="110"/>
    </row>
    <row r="38" spans="1:256" s="95" customFormat="1" ht="10.5" customHeight="1">
      <c r="A38" s="783" t="s">
        <v>1165</v>
      </c>
      <c r="B38" s="784"/>
      <c r="C38" s="784"/>
      <c r="D38" s="784"/>
      <c r="E38" s="784"/>
      <c r="F38" s="784"/>
      <c r="G38" s="784"/>
      <c r="H38" s="785"/>
      <c r="J38" s="783" t="s">
        <v>1165</v>
      </c>
      <c r="K38" s="784"/>
      <c r="L38" s="784"/>
      <c r="M38" s="784"/>
      <c r="N38" s="784"/>
      <c r="O38" s="784"/>
      <c r="P38" s="786"/>
      <c r="Q38" s="506"/>
      <c r="S38" s="93"/>
      <c r="T38" s="93"/>
      <c r="U38" s="93"/>
      <c r="V38" s="93"/>
      <c r="AE38" s="490"/>
      <c r="AF38" s="490"/>
      <c r="AG38" s="490"/>
      <c r="IS38" s="110"/>
      <c r="IT38" s="110"/>
      <c r="IU38" s="110"/>
      <c r="IV38" s="110"/>
    </row>
    <row r="39" spans="1:256" s="95" customFormat="1" ht="13.5" customHeight="1">
      <c r="A39" s="972"/>
      <c r="B39" s="736"/>
      <c r="C39" s="736"/>
      <c r="D39" s="735"/>
      <c r="E39" s="735"/>
      <c r="F39" s="735"/>
      <c r="G39" s="735"/>
      <c r="H39" s="737"/>
      <c r="J39" s="736"/>
      <c r="K39" s="736"/>
      <c r="L39" s="736"/>
      <c r="M39" s="736"/>
      <c r="N39" s="736"/>
      <c r="O39" s="736"/>
      <c r="P39" s="736"/>
      <c r="Q39" s="506"/>
      <c r="S39" s="93"/>
      <c r="T39" s="93"/>
      <c r="U39" s="93"/>
      <c r="V39" s="93"/>
      <c r="AE39" s="490"/>
      <c r="AF39" s="490"/>
      <c r="AG39" s="490"/>
      <c r="IS39" s="110"/>
      <c r="IT39" s="110"/>
      <c r="IU39" s="110"/>
      <c r="IV39" s="110"/>
    </row>
    <row r="40" spans="1:256" s="95" customFormat="1" ht="12.75" customHeight="1">
      <c r="A40" s="875" t="s">
        <v>612</v>
      </c>
      <c r="B40" s="874"/>
      <c r="C40" s="1002"/>
      <c r="D40" s="1003"/>
      <c r="E40" s="1003"/>
      <c r="F40" s="1003"/>
      <c r="G40" s="1003"/>
      <c r="H40" s="1004"/>
      <c r="J40" s="875" t="s">
        <v>612</v>
      </c>
      <c r="K40" s="874"/>
      <c r="L40" s="1002"/>
      <c r="M40" s="1003"/>
      <c r="N40" s="1003"/>
      <c r="O40" s="1003"/>
      <c r="P40" s="1004"/>
      <c r="Q40" s="506"/>
      <c r="S40" s="93"/>
      <c r="T40" s="93"/>
      <c r="U40" s="93"/>
      <c r="V40" s="93"/>
      <c r="AE40" s="490"/>
      <c r="AF40" s="490"/>
      <c r="AG40" s="490"/>
      <c r="IS40" s="110"/>
      <c r="IT40" s="110"/>
      <c r="IU40" s="110"/>
      <c r="IV40" s="110"/>
    </row>
    <row r="41" spans="1:256" s="95" customFormat="1" ht="12.75" customHeight="1">
      <c r="A41" s="891" t="s">
        <v>666</v>
      </c>
      <c r="B41" s="892"/>
      <c r="C41" s="1005"/>
      <c r="D41" s="1006"/>
      <c r="E41" s="1006"/>
      <c r="F41" s="1006"/>
      <c r="G41" s="1006"/>
      <c r="H41" s="1007"/>
      <c r="I41" s="110"/>
      <c r="J41" s="891" t="s">
        <v>666</v>
      </c>
      <c r="K41" s="892"/>
      <c r="L41" s="1005"/>
      <c r="M41" s="1006"/>
      <c r="N41" s="1006"/>
      <c r="O41" s="1006"/>
      <c r="P41" s="1007"/>
      <c r="Q41" s="506"/>
      <c r="S41" s="93"/>
      <c r="T41" s="93"/>
      <c r="U41" s="93"/>
      <c r="V41" s="93"/>
      <c r="AE41" s="490"/>
      <c r="AF41" s="490"/>
      <c r="AG41" s="490"/>
      <c r="IS41" s="110"/>
      <c r="IT41" s="110"/>
      <c r="IU41" s="110"/>
      <c r="IV41" s="110"/>
    </row>
    <row r="42" spans="17:33" s="110" customFormat="1" ht="12.75" customHeight="1">
      <c r="Q42" s="506"/>
      <c r="S42" s="109"/>
      <c r="T42" s="109"/>
      <c r="U42" s="109"/>
      <c r="V42" s="109"/>
      <c r="Z42" s="93"/>
      <c r="AA42" s="93"/>
      <c r="AE42" s="490"/>
      <c r="AF42" s="490"/>
      <c r="AG42" s="490"/>
    </row>
    <row r="43" spans="2:256" s="95" customFormat="1" ht="12.75">
      <c r="B43" s="769"/>
      <c r="C43" s="769"/>
      <c r="D43" s="769"/>
      <c r="E43" s="769"/>
      <c r="F43" s="99" t="s">
        <v>1166</v>
      </c>
      <c r="H43" s="94"/>
      <c r="I43" s="94"/>
      <c r="J43" s="94"/>
      <c r="K43" s="94"/>
      <c r="L43" s="94"/>
      <c r="M43" s="94"/>
      <c r="N43" s="94"/>
      <c r="O43" s="1000">
        <f>Productie!H16</f>
        <v>0</v>
      </c>
      <c r="P43" s="1001"/>
      <c r="Q43" s="506"/>
      <c r="S43" s="93"/>
      <c r="T43" s="93"/>
      <c r="U43" s="93"/>
      <c r="V43" s="93"/>
      <c r="AE43" s="490"/>
      <c r="AF43" s="490"/>
      <c r="AG43" s="490"/>
      <c r="IS43" s="110"/>
      <c r="IT43" s="110"/>
      <c r="IU43" s="110"/>
      <c r="IV43" s="110"/>
    </row>
    <row r="44" spans="2:256" s="95" customFormat="1" ht="11.25" customHeight="1">
      <c r="B44" s="787"/>
      <c r="C44" s="787"/>
      <c r="D44" s="787"/>
      <c r="E44" s="787"/>
      <c r="F44" s="787"/>
      <c r="G44" s="787"/>
      <c r="H44" s="787"/>
      <c r="I44" s="93"/>
      <c r="J44" s="93"/>
      <c r="K44" s="94"/>
      <c r="L44" s="94"/>
      <c r="M44" s="94"/>
      <c r="N44" s="94"/>
      <c r="O44" s="94"/>
      <c r="P44" s="93"/>
      <c r="Q44" s="506"/>
      <c r="AE44" s="490"/>
      <c r="AF44" s="490"/>
      <c r="AG44" s="490"/>
      <c r="IS44" s="110"/>
      <c r="IT44" s="110"/>
      <c r="IU44" s="110"/>
      <c r="IV44" s="110"/>
    </row>
    <row r="45" spans="1:256" s="95" customFormat="1" ht="11.25" hidden="1">
      <c r="A45" s="788"/>
      <c r="B45" s="94"/>
      <c r="C45" s="93"/>
      <c r="D45" s="93"/>
      <c r="E45" s="93"/>
      <c r="F45" s="93"/>
      <c r="G45" s="93"/>
      <c r="H45" s="93"/>
      <c r="I45" s="93"/>
      <c r="J45" s="93"/>
      <c r="K45" s="94"/>
      <c r="L45" s="94"/>
      <c r="M45" s="94"/>
      <c r="N45" s="94"/>
      <c r="O45" s="94"/>
      <c r="P45" s="93"/>
      <c r="Q45" s="93"/>
      <c r="S45" s="511"/>
      <c r="AE45" s="490"/>
      <c r="AF45" s="490"/>
      <c r="AG45" s="490"/>
      <c r="IS45" s="110"/>
      <c r="IT45" s="110"/>
      <c r="IU45" s="110"/>
      <c r="IV45" s="110"/>
    </row>
    <row r="46" spans="1:256" s="95" customFormat="1" ht="11.25" hidden="1">
      <c r="A46" s="93"/>
      <c r="B46" s="94"/>
      <c r="C46" s="93"/>
      <c r="D46" s="93"/>
      <c r="E46" s="93"/>
      <c r="F46" s="93"/>
      <c r="G46" s="93"/>
      <c r="H46" s="93"/>
      <c r="I46" s="93"/>
      <c r="J46" s="93"/>
      <c r="K46" s="94"/>
      <c r="L46" s="94"/>
      <c r="M46" s="94"/>
      <c r="N46" s="94"/>
      <c r="O46" s="94"/>
      <c r="P46" s="93"/>
      <c r="Q46" s="93"/>
      <c r="AE46" s="490"/>
      <c r="AF46" s="490"/>
      <c r="AG46" s="490"/>
      <c r="IS46" s="110"/>
      <c r="IT46" s="110"/>
      <c r="IU46" s="110"/>
      <c r="IV46" s="110"/>
    </row>
    <row r="47" spans="1:256" s="95" customFormat="1" ht="11.25" customHeight="1" hidden="1">
      <c r="A47" s="14"/>
      <c r="B47" s="94"/>
      <c r="C47" s="93"/>
      <c r="D47" s="93"/>
      <c r="E47" s="93"/>
      <c r="F47" s="93"/>
      <c r="G47" s="93"/>
      <c r="H47" s="93"/>
      <c r="I47" s="93"/>
      <c r="J47" s="789"/>
      <c r="K47" s="789"/>
      <c r="L47" s="789"/>
      <c r="M47" s="789"/>
      <c r="N47" s="789"/>
      <c r="O47" s="789"/>
      <c r="P47" s="789"/>
      <c r="Q47" s="789"/>
      <c r="AE47" s="490"/>
      <c r="AF47" s="490"/>
      <c r="AG47" s="490"/>
      <c r="IS47" s="110"/>
      <c r="IT47" s="110"/>
      <c r="IU47" s="110"/>
      <c r="IV47" s="110"/>
    </row>
    <row r="48" spans="1:256" s="95" customFormat="1" ht="11.25" hidden="1">
      <c r="A48" s="749"/>
      <c r="B48" s="94"/>
      <c r="C48" s="93"/>
      <c r="D48" s="93"/>
      <c r="E48" s="93"/>
      <c r="F48" s="93"/>
      <c r="G48" s="93"/>
      <c r="H48" s="93"/>
      <c r="I48" s="93"/>
      <c r="J48" s="93"/>
      <c r="K48" s="94"/>
      <c r="L48" s="94"/>
      <c r="M48" s="94"/>
      <c r="N48" s="94"/>
      <c r="O48" s="94"/>
      <c r="P48" s="93"/>
      <c r="Q48" s="93"/>
      <c r="S48" s="93"/>
      <c r="T48" s="93"/>
      <c r="U48" s="93"/>
      <c r="V48" s="93"/>
      <c r="AE48" s="490"/>
      <c r="AF48" s="490"/>
      <c r="AG48" s="490"/>
      <c r="IS48" s="110"/>
      <c r="IT48" s="110"/>
      <c r="IU48" s="110"/>
      <c r="IV48" s="110"/>
    </row>
    <row r="49" spans="1:256" s="95" customFormat="1" ht="11.25" hidden="1">
      <c r="A49" s="749"/>
      <c r="B49" s="94"/>
      <c r="C49" s="93"/>
      <c r="D49" s="93"/>
      <c r="E49" s="93"/>
      <c r="F49" s="93"/>
      <c r="G49" s="93"/>
      <c r="H49" s="93"/>
      <c r="I49" s="93"/>
      <c r="J49" s="93"/>
      <c r="K49" s="94"/>
      <c r="L49" s="94"/>
      <c r="M49" s="94"/>
      <c r="N49" s="94"/>
      <c r="O49" s="94"/>
      <c r="P49" s="93"/>
      <c r="Q49" s="93"/>
      <c r="R49" s="96"/>
      <c r="S49" s="93"/>
      <c r="T49" s="93"/>
      <c r="U49" s="93"/>
      <c r="V49" s="93"/>
      <c r="AE49" s="490"/>
      <c r="AF49" s="490"/>
      <c r="AG49" s="490"/>
      <c r="IS49" s="110"/>
      <c r="IT49" s="110"/>
      <c r="IU49" s="110"/>
      <c r="IV49" s="110"/>
    </row>
    <row r="50" spans="1:256" s="95" customFormat="1" ht="10.5" customHeight="1" hidden="1">
      <c r="A50" s="790"/>
      <c r="B50" s="94"/>
      <c r="C50" s="93"/>
      <c r="D50" s="93"/>
      <c r="E50" s="93"/>
      <c r="F50" s="93"/>
      <c r="G50" s="93"/>
      <c r="H50" s="93"/>
      <c r="I50" s="93"/>
      <c r="J50" s="93"/>
      <c r="K50" s="94"/>
      <c r="L50" s="94"/>
      <c r="M50" s="94"/>
      <c r="N50" s="94"/>
      <c r="O50" s="94"/>
      <c r="P50" s="93"/>
      <c r="Q50" s="93"/>
      <c r="R50" s="96"/>
      <c r="S50" s="93"/>
      <c r="T50" s="93"/>
      <c r="U50" s="93"/>
      <c r="V50" s="93"/>
      <c r="AE50" s="490"/>
      <c r="AF50" s="490"/>
      <c r="AG50" s="490"/>
      <c r="IS50" s="110"/>
      <c r="IT50" s="110"/>
      <c r="IU50" s="110"/>
      <c r="IV50" s="110"/>
    </row>
    <row r="51" spans="1:256" s="95" customFormat="1" ht="16.5" customHeight="1" hidden="1">
      <c r="A51" s="790"/>
      <c r="B51" s="94"/>
      <c r="C51" s="93"/>
      <c r="D51" s="93"/>
      <c r="E51" s="93"/>
      <c r="F51" s="93"/>
      <c r="G51" s="93"/>
      <c r="H51" s="93"/>
      <c r="I51" s="93"/>
      <c r="J51" s="93"/>
      <c r="K51" s="94"/>
      <c r="L51" s="94"/>
      <c r="M51" s="94"/>
      <c r="N51" s="94"/>
      <c r="O51" s="94"/>
      <c r="P51" s="93"/>
      <c r="Q51" s="93"/>
      <c r="R51" s="96"/>
      <c r="S51" s="93"/>
      <c r="T51" s="93"/>
      <c r="U51" s="93"/>
      <c r="V51" s="93"/>
      <c r="AE51" s="490"/>
      <c r="AF51" s="490"/>
      <c r="AG51" s="490"/>
      <c r="IS51" s="110"/>
      <c r="IT51" s="110"/>
      <c r="IU51" s="110"/>
      <c r="IV51" s="110"/>
    </row>
    <row r="52" spans="1:256" s="95" customFormat="1" ht="16.5" customHeight="1" hidden="1">
      <c r="A52" s="791"/>
      <c r="B52" s="94"/>
      <c r="C52" s="93"/>
      <c r="D52" s="93"/>
      <c r="E52" s="93"/>
      <c r="F52" s="93"/>
      <c r="G52" s="93"/>
      <c r="H52" s="93"/>
      <c r="I52" s="93"/>
      <c r="J52" s="93"/>
      <c r="K52" s="94"/>
      <c r="L52" s="94"/>
      <c r="M52" s="94"/>
      <c r="N52" s="94"/>
      <c r="O52" s="94"/>
      <c r="P52" s="93"/>
      <c r="Q52" s="93"/>
      <c r="AE52" s="490"/>
      <c r="AF52" s="490"/>
      <c r="AG52" s="490"/>
      <c r="IS52" s="110"/>
      <c r="IT52" s="110"/>
      <c r="IU52" s="110"/>
      <c r="IV52" s="110"/>
    </row>
    <row r="53" spans="1:256" s="95" customFormat="1" ht="21" customHeight="1" hidden="1">
      <c r="A53" s="791"/>
      <c r="B53" s="94"/>
      <c r="C53" s="93"/>
      <c r="D53" s="93"/>
      <c r="E53" s="93"/>
      <c r="F53" s="93"/>
      <c r="G53" s="93"/>
      <c r="H53" s="93"/>
      <c r="I53" s="93"/>
      <c r="J53" s="93"/>
      <c r="K53" s="94"/>
      <c r="L53" s="94"/>
      <c r="M53" s="94"/>
      <c r="N53" s="94"/>
      <c r="O53" s="94"/>
      <c r="P53" s="93"/>
      <c r="Q53" s="93"/>
      <c r="X53" s="94"/>
      <c r="AA53" s="94"/>
      <c r="AE53" s="490"/>
      <c r="AF53" s="490"/>
      <c r="AG53" s="490"/>
      <c r="IS53" s="110"/>
      <c r="IT53" s="110"/>
      <c r="IU53" s="110"/>
      <c r="IV53" s="110"/>
    </row>
    <row r="54" spans="1:256" s="95" customFormat="1" ht="14.25" customHeight="1" hidden="1">
      <c r="A54" s="790"/>
      <c r="B54" s="94"/>
      <c r="C54" s="93"/>
      <c r="D54" s="93"/>
      <c r="E54" s="93"/>
      <c r="F54" s="93"/>
      <c r="G54" s="93"/>
      <c r="H54" s="93"/>
      <c r="I54" s="93"/>
      <c r="J54" s="93"/>
      <c r="K54" s="94"/>
      <c r="L54" s="94"/>
      <c r="M54" s="94"/>
      <c r="N54" s="94"/>
      <c r="O54" s="94"/>
      <c r="P54" s="93"/>
      <c r="Q54" s="93"/>
      <c r="X54" s="93"/>
      <c r="AA54" s="93"/>
      <c r="AE54" s="490"/>
      <c r="AF54" s="490"/>
      <c r="AG54" s="490"/>
      <c r="IS54" s="110"/>
      <c r="IT54" s="110"/>
      <c r="IU54" s="110"/>
      <c r="IV54" s="110"/>
    </row>
    <row r="55" spans="1:256" s="95" customFormat="1" ht="16.5" customHeight="1" hidden="1">
      <c r="A55" s="93"/>
      <c r="B55" s="94"/>
      <c r="C55" s="93"/>
      <c r="D55" s="93"/>
      <c r="E55" s="93"/>
      <c r="F55" s="93"/>
      <c r="G55" s="93"/>
      <c r="H55" s="93"/>
      <c r="I55" s="93"/>
      <c r="J55" s="93"/>
      <c r="K55" s="94"/>
      <c r="L55" s="94"/>
      <c r="M55" s="94"/>
      <c r="N55" s="94"/>
      <c r="O55" s="94"/>
      <c r="P55" s="93"/>
      <c r="Q55" s="93"/>
      <c r="X55" s="93"/>
      <c r="AA55" s="93"/>
      <c r="AE55" s="490"/>
      <c r="AF55" s="490"/>
      <c r="AG55" s="490"/>
      <c r="IS55" s="110"/>
      <c r="IT55" s="110"/>
      <c r="IU55" s="110"/>
      <c r="IV55" s="110"/>
    </row>
    <row r="56" spans="1:256" s="95" customFormat="1" ht="16.5" customHeight="1" hidden="1">
      <c r="A56" s="93"/>
      <c r="B56" s="94"/>
      <c r="C56" s="93"/>
      <c r="D56" s="93"/>
      <c r="E56" s="93"/>
      <c r="F56" s="93"/>
      <c r="G56" s="93"/>
      <c r="H56" s="93"/>
      <c r="I56" s="93"/>
      <c r="J56" s="93"/>
      <c r="K56" s="94"/>
      <c r="L56" s="94"/>
      <c r="M56" s="94"/>
      <c r="N56" s="94"/>
      <c r="O56" s="94"/>
      <c r="P56" s="93"/>
      <c r="Q56" s="93"/>
      <c r="X56" s="93"/>
      <c r="AA56" s="93"/>
      <c r="AE56" s="490"/>
      <c r="AF56" s="490"/>
      <c r="AG56" s="490"/>
      <c r="IS56" s="110"/>
      <c r="IT56" s="110"/>
      <c r="IU56" s="110"/>
      <c r="IV56" s="110"/>
    </row>
    <row r="57" spans="1:256" s="95" customFormat="1" ht="16.5" customHeight="1" hidden="1">
      <c r="A57" s="93"/>
      <c r="B57" s="94"/>
      <c r="C57" s="93"/>
      <c r="D57" s="93"/>
      <c r="E57" s="93"/>
      <c r="F57" s="93"/>
      <c r="G57" s="93"/>
      <c r="H57" s="93"/>
      <c r="I57" s="93"/>
      <c r="J57" s="93"/>
      <c r="K57" s="94"/>
      <c r="L57" s="94"/>
      <c r="M57" s="94"/>
      <c r="N57" s="94"/>
      <c r="O57" s="94"/>
      <c r="P57" s="93"/>
      <c r="Q57" s="93"/>
      <c r="X57" s="93"/>
      <c r="AA57" s="93"/>
      <c r="AE57" s="490"/>
      <c r="AF57" s="490"/>
      <c r="AG57" s="490"/>
      <c r="IS57" s="110"/>
      <c r="IT57" s="110"/>
      <c r="IU57" s="110"/>
      <c r="IV57" s="110"/>
    </row>
    <row r="58" spans="1:256" s="95" customFormat="1" ht="16.5" customHeight="1" hidden="1">
      <c r="A58" s="93"/>
      <c r="B58" s="94"/>
      <c r="C58" s="93"/>
      <c r="D58" s="93"/>
      <c r="E58" s="93"/>
      <c r="F58" s="93"/>
      <c r="G58" s="93"/>
      <c r="H58" s="93"/>
      <c r="I58" s="93"/>
      <c r="J58" s="93"/>
      <c r="K58" s="94"/>
      <c r="L58" s="94"/>
      <c r="M58" s="94"/>
      <c r="N58" s="94"/>
      <c r="O58" s="94"/>
      <c r="P58" s="93"/>
      <c r="Q58" s="93"/>
      <c r="X58" s="93"/>
      <c r="AA58" s="93"/>
      <c r="AE58" s="490"/>
      <c r="AF58" s="490"/>
      <c r="AG58" s="490"/>
      <c r="IS58" s="110"/>
      <c r="IT58" s="110"/>
      <c r="IU58" s="110"/>
      <c r="IV58" s="110"/>
    </row>
    <row r="59" spans="1:256" s="95" customFormat="1" ht="16.5" customHeight="1" hidden="1">
      <c r="A59" s="93"/>
      <c r="B59" s="94"/>
      <c r="C59" s="93"/>
      <c r="D59" s="93"/>
      <c r="E59" s="93"/>
      <c r="F59" s="93"/>
      <c r="G59" s="93"/>
      <c r="H59" s="93"/>
      <c r="I59" s="93"/>
      <c r="J59" s="93"/>
      <c r="K59" s="94"/>
      <c r="L59" s="94"/>
      <c r="M59" s="94"/>
      <c r="N59" s="94"/>
      <c r="O59" s="94"/>
      <c r="P59" s="93"/>
      <c r="Q59" s="93"/>
      <c r="X59" s="93"/>
      <c r="AA59" s="93"/>
      <c r="AE59" s="490"/>
      <c r="AF59" s="490"/>
      <c r="AG59" s="490"/>
      <c r="IS59" s="110"/>
      <c r="IT59" s="110"/>
      <c r="IU59" s="110"/>
      <c r="IV59" s="110"/>
    </row>
    <row r="60" spans="1:256" s="95" customFormat="1" ht="16.5" customHeight="1" hidden="1">
      <c r="A60" s="93"/>
      <c r="B60" s="94"/>
      <c r="C60" s="93"/>
      <c r="D60" s="93"/>
      <c r="E60" s="93"/>
      <c r="F60" s="93"/>
      <c r="G60" s="93"/>
      <c r="H60" s="93"/>
      <c r="I60" s="93"/>
      <c r="J60" s="93"/>
      <c r="K60" s="94"/>
      <c r="L60" s="94"/>
      <c r="M60" s="94"/>
      <c r="N60" s="94"/>
      <c r="O60" s="94"/>
      <c r="P60" s="93"/>
      <c r="Q60" s="93"/>
      <c r="X60" s="93"/>
      <c r="AA60" s="93"/>
      <c r="AE60" s="490"/>
      <c r="AF60" s="490"/>
      <c r="AG60" s="490"/>
      <c r="IS60" s="110"/>
      <c r="IT60" s="110"/>
      <c r="IU60" s="110"/>
      <c r="IV60" s="110"/>
    </row>
    <row r="61" spans="1:256" s="95" customFormat="1" ht="16.5" customHeight="1" hidden="1">
      <c r="A61" s="93"/>
      <c r="B61" s="94"/>
      <c r="C61" s="93"/>
      <c r="D61" s="93"/>
      <c r="E61" s="93"/>
      <c r="F61" s="93"/>
      <c r="G61" s="93"/>
      <c r="H61" s="93"/>
      <c r="I61" s="93"/>
      <c r="J61" s="93"/>
      <c r="K61" s="94"/>
      <c r="L61" s="94"/>
      <c r="M61" s="94"/>
      <c r="N61" s="94"/>
      <c r="O61" s="94"/>
      <c r="P61" s="93"/>
      <c r="Q61" s="93"/>
      <c r="X61" s="93"/>
      <c r="AA61" s="93"/>
      <c r="AE61" s="490"/>
      <c r="AF61" s="490"/>
      <c r="AG61" s="490"/>
      <c r="IS61" s="110"/>
      <c r="IT61" s="110"/>
      <c r="IU61" s="110"/>
      <c r="IV61" s="110"/>
    </row>
    <row r="62" spans="1:256" s="95" customFormat="1" ht="13.5" customHeight="1" hidden="1">
      <c r="A62" s="93"/>
      <c r="B62" s="94"/>
      <c r="C62" s="93"/>
      <c r="D62" s="93"/>
      <c r="E62" s="93"/>
      <c r="F62" s="93"/>
      <c r="G62" s="93"/>
      <c r="H62" s="93"/>
      <c r="I62" s="93"/>
      <c r="J62" s="93"/>
      <c r="K62" s="94"/>
      <c r="L62" s="94"/>
      <c r="M62" s="94"/>
      <c r="N62" s="94"/>
      <c r="O62" s="94"/>
      <c r="P62" s="93"/>
      <c r="Q62" s="93"/>
      <c r="X62" s="93"/>
      <c r="Y62" s="94"/>
      <c r="Z62" s="94"/>
      <c r="AA62" s="93"/>
      <c r="AE62" s="490"/>
      <c r="AF62" s="490"/>
      <c r="AG62" s="490"/>
      <c r="IS62" s="110"/>
      <c r="IT62" s="110"/>
      <c r="IU62" s="110"/>
      <c r="IV62" s="110"/>
    </row>
    <row r="63" spans="1:256" s="94" customFormat="1" ht="12" customHeight="1" hidden="1">
      <c r="A63" s="93"/>
      <c r="C63" s="93"/>
      <c r="D63" s="93"/>
      <c r="E63" s="93"/>
      <c r="F63" s="93"/>
      <c r="G63" s="93"/>
      <c r="H63" s="93"/>
      <c r="I63" s="93"/>
      <c r="J63" s="93"/>
      <c r="P63" s="93"/>
      <c r="Q63" s="93"/>
      <c r="R63" s="95"/>
      <c r="X63" s="93"/>
      <c r="Y63" s="93"/>
      <c r="Z63" s="93"/>
      <c r="AA63" s="93"/>
      <c r="AE63" s="490"/>
      <c r="AF63" s="490"/>
      <c r="AG63" s="490"/>
      <c r="IS63" s="493"/>
      <c r="IT63" s="493"/>
      <c r="IU63" s="493"/>
      <c r="IV63" s="493"/>
    </row>
    <row r="64" spans="18:33" ht="12" customHeight="1" hidden="1">
      <c r="R64" s="94"/>
      <c r="AE64" s="490"/>
      <c r="AF64" s="490"/>
      <c r="AG64" s="490"/>
    </row>
    <row r="65" spans="31:33" ht="11.25" hidden="1">
      <c r="AE65" s="490"/>
      <c r="AF65" s="490"/>
      <c r="AG65" s="490"/>
    </row>
    <row r="66" spans="31:33" ht="11.25" hidden="1">
      <c r="AE66" s="490"/>
      <c r="AF66" s="490"/>
      <c r="AG66" s="490"/>
    </row>
    <row r="67" spans="31:33" ht="11.25" hidden="1">
      <c r="AE67" s="490"/>
      <c r="AF67" s="490"/>
      <c r="AG67" s="490"/>
    </row>
    <row r="68" spans="31:33" ht="11.25" hidden="1">
      <c r="AE68" s="490"/>
      <c r="AF68" s="490"/>
      <c r="AG68" s="490"/>
    </row>
    <row r="69" spans="31:33" ht="11.25" hidden="1">
      <c r="AE69" s="490"/>
      <c r="AF69" s="490"/>
      <c r="AG69" s="490"/>
    </row>
    <row r="70" spans="31:33" ht="11.25" hidden="1">
      <c r="AE70" s="490"/>
      <c r="AF70" s="490"/>
      <c r="AG70" s="490"/>
    </row>
    <row r="71" spans="31:33" ht="11.25" hidden="1">
      <c r="AE71" s="490"/>
      <c r="AF71" s="490"/>
      <c r="AG71" s="490"/>
    </row>
    <row r="72" spans="31:33" ht="11.25" hidden="1">
      <c r="AE72" s="490"/>
      <c r="AF72" s="490"/>
      <c r="AG72" s="490"/>
    </row>
    <row r="73" spans="31:33" ht="11.25" hidden="1">
      <c r="AE73" s="490"/>
      <c r="AF73" s="490"/>
      <c r="AG73" s="490"/>
    </row>
    <row r="74" spans="31:33" ht="11.25" hidden="1">
      <c r="AE74" s="490"/>
      <c r="AF74" s="490"/>
      <c r="AG74" s="490"/>
    </row>
    <row r="75" spans="31:33" ht="11.25" hidden="1">
      <c r="AE75" s="490"/>
      <c r="AF75" s="490"/>
      <c r="AG75" s="490"/>
    </row>
    <row r="76" spans="31:33" ht="11.25" hidden="1">
      <c r="AE76" s="490"/>
      <c r="AF76" s="490"/>
      <c r="AG76" s="490"/>
    </row>
    <row r="77" spans="31:33" ht="11.25" hidden="1">
      <c r="AE77" s="490"/>
      <c r="AF77" s="490"/>
      <c r="AG77" s="490"/>
    </row>
    <row r="78" spans="31:33" ht="11.25" hidden="1">
      <c r="AE78" s="490"/>
      <c r="AF78" s="490"/>
      <c r="AG78" s="490"/>
    </row>
    <row r="79" spans="31:33" ht="11.25" hidden="1">
      <c r="AE79" s="490"/>
      <c r="AF79" s="490"/>
      <c r="AG79" s="490"/>
    </row>
    <row r="80" spans="31:33" ht="11.25" hidden="1">
      <c r="AE80" s="490"/>
      <c r="AF80" s="490"/>
      <c r="AG80" s="490"/>
    </row>
    <row r="81" spans="31:33" ht="11.25" hidden="1">
      <c r="AE81" s="490"/>
      <c r="AF81" s="490"/>
      <c r="AG81" s="490"/>
    </row>
    <row r="82" spans="31:33" ht="11.25" hidden="1">
      <c r="AE82" s="490"/>
      <c r="AF82" s="490"/>
      <c r="AG82" s="490"/>
    </row>
    <row r="83" spans="31:33" ht="11.25" hidden="1">
      <c r="AE83" s="490"/>
      <c r="AF83" s="490"/>
      <c r="AG83" s="490"/>
    </row>
    <row r="84" spans="31:33" ht="11.25" hidden="1">
      <c r="AE84" s="490"/>
      <c r="AF84" s="490"/>
      <c r="AG84" s="490"/>
    </row>
    <row r="85" spans="31:33" ht="11.25" hidden="1">
      <c r="AE85" s="490"/>
      <c r="AF85" s="490"/>
      <c r="AG85" s="490"/>
    </row>
    <row r="86" spans="31:33" ht="11.25" hidden="1">
      <c r="AE86" s="490"/>
      <c r="AF86" s="490"/>
      <c r="AG86" s="490"/>
    </row>
    <row r="87" spans="31:33" ht="11.25" hidden="1">
      <c r="AE87" s="490"/>
      <c r="AF87" s="490"/>
      <c r="AG87" s="490"/>
    </row>
    <row r="88" spans="31:33" ht="11.25" hidden="1">
      <c r="AE88" s="490"/>
      <c r="AF88" s="490"/>
      <c r="AG88" s="490"/>
    </row>
    <row r="89" spans="31:33" ht="11.25" hidden="1">
      <c r="AE89" s="490"/>
      <c r="AF89" s="490"/>
      <c r="AG89" s="490"/>
    </row>
    <row r="90" spans="31:33" ht="11.25" hidden="1">
      <c r="AE90" s="490"/>
      <c r="AF90" s="490"/>
      <c r="AG90" s="490"/>
    </row>
    <row r="91" spans="31:33" ht="11.25" hidden="1">
      <c r="AE91" s="490"/>
      <c r="AF91" s="490"/>
      <c r="AG91" s="490"/>
    </row>
    <row r="92" spans="31:33" ht="11.25" hidden="1">
      <c r="AE92" s="490"/>
      <c r="AF92" s="490"/>
      <c r="AG92" s="490"/>
    </row>
    <row r="93" spans="31:33" ht="11.25" hidden="1">
      <c r="AE93" s="490"/>
      <c r="AF93" s="490"/>
      <c r="AG93" s="490"/>
    </row>
    <row r="94" spans="31:33" ht="11.25" hidden="1">
      <c r="AE94" s="490"/>
      <c r="AF94" s="490"/>
      <c r="AG94" s="490"/>
    </row>
    <row r="95" spans="31:33" ht="11.25" hidden="1">
      <c r="AE95" s="490"/>
      <c r="AF95" s="490"/>
      <c r="AG95" s="490"/>
    </row>
    <row r="96" spans="31:33" ht="11.25" hidden="1">
      <c r="AE96" s="490"/>
      <c r="AF96" s="490"/>
      <c r="AG96" s="490"/>
    </row>
    <row r="97" spans="31:33" ht="11.25" hidden="1">
      <c r="AE97" s="490"/>
      <c r="AF97" s="490"/>
      <c r="AG97" s="490"/>
    </row>
    <row r="98" spans="31:33" ht="11.25" hidden="1">
      <c r="AE98" s="490"/>
      <c r="AF98" s="490"/>
      <c r="AG98" s="490"/>
    </row>
    <row r="99" spans="31:33" ht="11.25" hidden="1">
      <c r="AE99" s="490"/>
      <c r="AF99" s="490"/>
      <c r="AG99" s="490"/>
    </row>
    <row r="100" spans="31:33" ht="11.25" hidden="1">
      <c r="AE100" s="490"/>
      <c r="AF100" s="490"/>
      <c r="AG100" s="490"/>
    </row>
    <row r="101" spans="31:33" ht="11.25" hidden="1">
      <c r="AE101" s="490"/>
      <c r="AF101" s="490"/>
      <c r="AG101" s="490"/>
    </row>
    <row r="102" spans="31:33" ht="11.25" hidden="1">
      <c r="AE102" s="490"/>
      <c r="AF102" s="490"/>
      <c r="AG102" s="490"/>
    </row>
    <row r="103" spans="31:33" ht="11.25" hidden="1">
      <c r="AE103" s="490"/>
      <c r="AF103" s="490"/>
      <c r="AG103" s="490"/>
    </row>
    <row r="104" spans="31:33" ht="11.25" hidden="1">
      <c r="AE104" s="490"/>
      <c r="AF104" s="490"/>
      <c r="AG104" s="490"/>
    </row>
    <row r="105" spans="31:33" ht="11.25" hidden="1">
      <c r="AE105" s="490"/>
      <c r="AF105" s="490"/>
      <c r="AG105" s="490"/>
    </row>
    <row r="106" spans="31:33" ht="11.25" hidden="1">
      <c r="AE106" s="490"/>
      <c r="AF106" s="490"/>
      <c r="AG106" s="490"/>
    </row>
    <row r="107" spans="31:33" ht="11.25" hidden="1">
      <c r="AE107" s="490"/>
      <c r="AF107" s="490"/>
      <c r="AG107" s="490"/>
    </row>
    <row r="108" spans="31:33" ht="11.25" hidden="1">
      <c r="AE108" s="490"/>
      <c r="AF108" s="490"/>
      <c r="AG108" s="490"/>
    </row>
    <row r="109" spans="31:33" ht="11.25" hidden="1">
      <c r="AE109" s="490"/>
      <c r="AF109" s="490"/>
      <c r="AG109" s="490"/>
    </row>
    <row r="110" spans="31:33" ht="11.25" hidden="1">
      <c r="AE110" s="490"/>
      <c r="AF110" s="490"/>
      <c r="AG110" s="490"/>
    </row>
    <row r="111" spans="31:33" ht="11.25" hidden="1">
      <c r="AE111" s="490"/>
      <c r="AF111" s="490"/>
      <c r="AG111" s="490"/>
    </row>
    <row r="112" spans="31:33" ht="11.25" hidden="1">
      <c r="AE112" s="490"/>
      <c r="AF112" s="490"/>
      <c r="AG112" s="490"/>
    </row>
    <row r="113" spans="31:33" ht="11.25" hidden="1">
      <c r="AE113" s="490"/>
      <c r="AF113" s="490"/>
      <c r="AG113" s="490"/>
    </row>
    <row r="114" spans="31:33" ht="11.25" hidden="1">
      <c r="AE114" s="490"/>
      <c r="AF114" s="490"/>
      <c r="AG114" s="490"/>
    </row>
    <row r="115" spans="31:33" ht="11.25" hidden="1">
      <c r="AE115" s="490"/>
      <c r="AF115" s="490"/>
      <c r="AG115" s="490"/>
    </row>
    <row r="116" spans="31:33" ht="11.25" hidden="1">
      <c r="AE116" s="490"/>
      <c r="AF116" s="490"/>
      <c r="AG116" s="490"/>
    </row>
    <row r="117" spans="31:33" ht="11.25" hidden="1">
      <c r="AE117" s="490"/>
      <c r="AF117" s="490"/>
      <c r="AG117" s="490"/>
    </row>
    <row r="118" spans="31:33" ht="11.25" hidden="1">
      <c r="AE118" s="490"/>
      <c r="AF118" s="490"/>
      <c r="AG118" s="490"/>
    </row>
    <row r="119" spans="31:33" ht="11.25" hidden="1">
      <c r="AE119" s="490"/>
      <c r="AF119" s="490"/>
      <c r="AG119" s="490"/>
    </row>
    <row r="120" spans="31:33" ht="11.25" hidden="1">
      <c r="AE120" s="490"/>
      <c r="AF120" s="490"/>
      <c r="AG120" s="490"/>
    </row>
    <row r="121" spans="31:33" ht="11.25" hidden="1">
      <c r="AE121" s="490"/>
      <c r="AF121" s="490"/>
      <c r="AG121" s="490"/>
    </row>
    <row r="122" spans="31:33" ht="11.25" hidden="1">
      <c r="AE122" s="490"/>
      <c r="AF122" s="490"/>
      <c r="AG122" s="490"/>
    </row>
    <row r="123" spans="31:33" ht="11.25" hidden="1">
      <c r="AE123" s="490"/>
      <c r="AF123" s="490"/>
      <c r="AG123" s="490"/>
    </row>
    <row r="124" spans="31:33" ht="11.25" hidden="1">
      <c r="AE124" s="490"/>
      <c r="AF124" s="490"/>
      <c r="AG124" s="490"/>
    </row>
    <row r="125" spans="31:33" ht="11.25" hidden="1">
      <c r="AE125" s="490"/>
      <c r="AF125" s="490"/>
      <c r="AG125" s="490"/>
    </row>
    <row r="126" spans="31:33" ht="11.25" hidden="1">
      <c r="AE126" s="490"/>
      <c r="AF126" s="490"/>
      <c r="AG126" s="490"/>
    </row>
    <row r="127" spans="31:33" ht="11.25" hidden="1">
      <c r="AE127" s="490"/>
      <c r="AF127" s="490"/>
      <c r="AG127" s="490"/>
    </row>
    <row r="128" spans="31:33" ht="11.25" hidden="1">
      <c r="AE128" s="490"/>
      <c r="AF128" s="490"/>
      <c r="AG128" s="490"/>
    </row>
    <row r="129" spans="31:33" ht="11.25" hidden="1">
      <c r="AE129" s="490"/>
      <c r="AF129" s="490"/>
      <c r="AG129" s="490"/>
    </row>
    <row r="130" spans="31:33" ht="11.25" hidden="1">
      <c r="AE130" s="490"/>
      <c r="AF130" s="490"/>
      <c r="AG130" s="490"/>
    </row>
    <row r="131" spans="31:33" ht="11.25" hidden="1">
      <c r="AE131" s="490"/>
      <c r="AF131" s="490"/>
      <c r="AG131" s="490"/>
    </row>
    <row r="132" spans="31:33" ht="11.25" hidden="1">
      <c r="AE132" s="490"/>
      <c r="AF132" s="490"/>
      <c r="AG132" s="490"/>
    </row>
    <row r="133" spans="31:33" ht="11.25" hidden="1">
      <c r="AE133" s="490"/>
      <c r="AF133" s="490"/>
      <c r="AG133" s="490"/>
    </row>
    <row r="134" spans="31:33" ht="11.25" hidden="1">
      <c r="AE134" s="490"/>
      <c r="AF134" s="490"/>
      <c r="AG134" s="490"/>
    </row>
    <row r="135" spans="31:33" ht="11.25" hidden="1">
      <c r="AE135" s="490"/>
      <c r="AF135" s="490"/>
      <c r="AG135" s="490"/>
    </row>
    <row r="136" spans="31:33" ht="11.25" hidden="1">
      <c r="AE136" s="490"/>
      <c r="AF136" s="490"/>
      <c r="AG136" s="490"/>
    </row>
    <row r="137" spans="31:33" ht="11.25" hidden="1">
      <c r="AE137" s="490"/>
      <c r="AF137" s="490"/>
      <c r="AG137" s="490"/>
    </row>
    <row r="138" spans="31:33" ht="11.25" hidden="1">
      <c r="AE138" s="490"/>
      <c r="AF138" s="490"/>
      <c r="AG138" s="490"/>
    </row>
    <row r="139" spans="31:33" ht="11.25" hidden="1">
      <c r="AE139" s="490"/>
      <c r="AF139" s="490"/>
      <c r="AG139" s="490"/>
    </row>
    <row r="140" spans="31:33" ht="11.25" hidden="1">
      <c r="AE140" s="490"/>
      <c r="AF140" s="490"/>
      <c r="AG140" s="490"/>
    </row>
    <row r="141" spans="31:33" ht="11.25" hidden="1">
      <c r="AE141" s="490"/>
      <c r="AF141" s="490"/>
      <c r="AG141" s="490"/>
    </row>
    <row r="142" spans="31:33" ht="11.25" hidden="1">
      <c r="AE142" s="490"/>
      <c r="AF142" s="490"/>
      <c r="AG142" s="490"/>
    </row>
    <row r="143" spans="31:33" ht="11.25" hidden="1">
      <c r="AE143" s="490"/>
      <c r="AF143" s="490"/>
      <c r="AG143" s="490"/>
    </row>
    <row r="144" spans="31:33" ht="11.25" hidden="1">
      <c r="AE144" s="490"/>
      <c r="AF144" s="490"/>
      <c r="AG144" s="490"/>
    </row>
    <row r="145" spans="31:33" ht="11.25" hidden="1">
      <c r="AE145" s="490"/>
      <c r="AF145" s="490"/>
      <c r="AG145" s="490"/>
    </row>
    <row r="146" spans="31:33" ht="11.25" hidden="1">
      <c r="AE146" s="490"/>
      <c r="AF146" s="490"/>
      <c r="AG146" s="490"/>
    </row>
    <row r="147" spans="31:33" ht="11.25" hidden="1">
      <c r="AE147" s="490"/>
      <c r="AF147" s="490"/>
      <c r="AG147" s="490"/>
    </row>
    <row r="148" spans="31:33" ht="11.25" hidden="1">
      <c r="AE148" s="490"/>
      <c r="AF148" s="490"/>
      <c r="AG148" s="490"/>
    </row>
    <row r="149" spans="31:33" ht="11.25" hidden="1">
      <c r="AE149" s="490"/>
      <c r="AF149" s="490"/>
      <c r="AG149" s="490"/>
    </row>
    <row r="150" spans="31:33" ht="11.25" hidden="1">
      <c r="AE150" s="490"/>
      <c r="AF150" s="490"/>
      <c r="AG150" s="490"/>
    </row>
    <row r="151" spans="31:33" ht="11.25" hidden="1">
      <c r="AE151" s="490"/>
      <c r="AF151" s="490"/>
      <c r="AG151" s="490"/>
    </row>
    <row r="152" spans="31:33" ht="11.25" hidden="1">
      <c r="AE152" s="490"/>
      <c r="AF152" s="490"/>
      <c r="AG152" s="490"/>
    </row>
    <row r="153" spans="31:33" ht="11.25" hidden="1">
      <c r="AE153" s="490"/>
      <c r="AF153" s="490"/>
      <c r="AG153" s="490"/>
    </row>
    <row r="154" spans="31:33" ht="11.25" hidden="1">
      <c r="AE154" s="490"/>
      <c r="AF154" s="490"/>
      <c r="AG154" s="490"/>
    </row>
    <row r="155" spans="31:33" ht="11.25" hidden="1">
      <c r="AE155" s="490"/>
      <c r="AF155" s="490"/>
      <c r="AG155" s="490"/>
    </row>
    <row r="156" spans="31:33" ht="11.25" hidden="1">
      <c r="AE156" s="490"/>
      <c r="AF156" s="490"/>
      <c r="AG156" s="490"/>
    </row>
    <row r="157" spans="31:33" ht="11.25" hidden="1">
      <c r="AE157" s="490"/>
      <c r="AF157" s="490"/>
      <c r="AG157" s="490"/>
    </row>
    <row r="158" spans="31:33" ht="11.25" hidden="1">
      <c r="AE158" s="490"/>
      <c r="AF158" s="490"/>
      <c r="AG158" s="490"/>
    </row>
    <row r="159" spans="31:33" ht="11.25" hidden="1">
      <c r="AE159" s="490"/>
      <c r="AF159" s="490"/>
      <c r="AG159" s="490"/>
    </row>
    <row r="160" spans="31:33" ht="11.25" hidden="1">
      <c r="AE160" s="490"/>
      <c r="AF160" s="490"/>
      <c r="AG160" s="490"/>
    </row>
    <row r="161" spans="31:33" ht="11.25" hidden="1">
      <c r="AE161" s="490"/>
      <c r="AF161" s="490"/>
      <c r="AG161" s="490"/>
    </row>
    <row r="162" spans="31:33" ht="11.25" hidden="1">
      <c r="AE162" s="490"/>
      <c r="AF162" s="490"/>
      <c r="AG162" s="490"/>
    </row>
    <row r="163" spans="31:33" ht="11.25" hidden="1">
      <c r="AE163" s="490"/>
      <c r="AF163" s="490"/>
      <c r="AG163" s="490"/>
    </row>
    <row r="164" spans="31:33" ht="11.25" hidden="1">
      <c r="AE164" s="490"/>
      <c r="AF164" s="490"/>
      <c r="AG164" s="490"/>
    </row>
    <row r="165" spans="31:33" ht="11.25" hidden="1">
      <c r="AE165" s="490"/>
      <c r="AF165" s="490"/>
      <c r="AG165" s="490"/>
    </row>
    <row r="166" spans="31:33" ht="11.25" hidden="1">
      <c r="AE166" s="490"/>
      <c r="AF166" s="490"/>
      <c r="AG166" s="490"/>
    </row>
    <row r="167" spans="31:33" ht="11.25" hidden="1">
      <c r="AE167" s="490"/>
      <c r="AF167" s="490"/>
      <c r="AG167" s="490"/>
    </row>
    <row r="168" spans="31:33" ht="11.25" hidden="1">
      <c r="AE168" s="490"/>
      <c r="AF168" s="490"/>
      <c r="AG168" s="490"/>
    </row>
    <row r="169" spans="31:33" ht="11.25" hidden="1">
      <c r="AE169" s="490"/>
      <c r="AF169" s="490"/>
      <c r="AG169" s="490"/>
    </row>
    <row r="170" spans="31:33" ht="11.25" hidden="1">
      <c r="AE170" s="490"/>
      <c r="AF170" s="490"/>
      <c r="AG170" s="490"/>
    </row>
    <row r="171" spans="31:33" ht="11.25" hidden="1">
      <c r="AE171" s="490"/>
      <c r="AF171" s="490"/>
      <c r="AG171" s="490"/>
    </row>
    <row r="172" spans="31:33" ht="11.25" hidden="1">
      <c r="AE172" s="490"/>
      <c r="AF172" s="490"/>
      <c r="AG172" s="490"/>
    </row>
    <row r="173" spans="31:33" ht="11.25" hidden="1">
      <c r="AE173" s="490"/>
      <c r="AF173" s="490"/>
      <c r="AG173" s="490"/>
    </row>
    <row r="174" spans="31:33" ht="11.25" hidden="1">
      <c r="AE174" s="490"/>
      <c r="AF174" s="490"/>
      <c r="AG174" s="490"/>
    </row>
    <row r="175" spans="31:33" ht="11.25" hidden="1">
      <c r="AE175" s="490"/>
      <c r="AF175" s="490"/>
      <c r="AG175" s="490"/>
    </row>
    <row r="176" spans="31:33" ht="11.25" hidden="1">
      <c r="AE176" s="490"/>
      <c r="AF176" s="490"/>
      <c r="AG176" s="490"/>
    </row>
    <row r="177" spans="31:33" ht="11.25" hidden="1">
      <c r="AE177" s="490"/>
      <c r="AF177" s="490"/>
      <c r="AG177" s="490"/>
    </row>
    <row r="178" spans="31:33" ht="11.25" hidden="1">
      <c r="AE178" s="490"/>
      <c r="AF178" s="490"/>
      <c r="AG178" s="490"/>
    </row>
    <row r="179" spans="31:33" ht="11.25" hidden="1">
      <c r="AE179" s="490"/>
      <c r="AF179" s="490"/>
      <c r="AG179" s="490"/>
    </row>
    <row r="180" spans="31:33" ht="11.25" hidden="1">
      <c r="AE180" s="490"/>
      <c r="AF180" s="490"/>
      <c r="AG180" s="490"/>
    </row>
    <row r="181" spans="31:33" ht="11.25" hidden="1">
      <c r="AE181" s="490"/>
      <c r="AF181" s="490"/>
      <c r="AG181" s="490"/>
    </row>
    <row r="182" spans="31:33" ht="11.25" hidden="1">
      <c r="AE182" s="490"/>
      <c r="AF182" s="490"/>
      <c r="AG182" s="490"/>
    </row>
    <row r="183" spans="31:33" ht="11.25" hidden="1">
      <c r="AE183" s="490"/>
      <c r="AF183" s="490"/>
      <c r="AG183" s="490"/>
    </row>
    <row r="184" spans="31:33" ht="11.25" hidden="1">
      <c r="AE184" s="490"/>
      <c r="AF184" s="490"/>
      <c r="AG184" s="490"/>
    </row>
    <row r="185" spans="31:33" ht="11.25" hidden="1">
      <c r="AE185" s="490"/>
      <c r="AF185" s="490"/>
      <c r="AG185" s="490"/>
    </row>
    <row r="186" spans="31:33" ht="11.25" hidden="1">
      <c r="AE186" s="490"/>
      <c r="AF186" s="490"/>
      <c r="AG186" s="490"/>
    </row>
    <row r="187" spans="31:33" ht="11.25" hidden="1">
      <c r="AE187" s="490"/>
      <c r="AF187" s="490"/>
      <c r="AG187" s="490"/>
    </row>
    <row r="188" spans="31:33" ht="11.25" hidden="1">
      <c r="AE188" s="490"/>
      <c r="AF188" s="490"/>
      <c r="AG188" s="490"/>
    </row>
    <row r="189" spans="31:33" ht="11.25" hidden="1">
      <c r="AE189" s="490"/>
      <c r="AF189" s="490"/>
      <c r="AG189" s="490"/>
    </row>
    <row r="190" spans="31:33" ht="11.25" hidden="1">
      <c r="AE190" s="490"/>
      <c r="AF190" s="490"/>
      <c r="AG190" s="490"/>
    </row>
    <row r="191" spans="31:33" ht="11.25" hidden="1">
      <c r="AE191" s="490"/>
      <c r="AF191" s="490"/>
      <c r="AG191" s="490"/>
    </row>
    <row r="192" spans="31:33" ht="11.25" hidden="1">
      <c r="AE192" s="490"/>
      <c r="AF192" s="490"/>
      <c r="AG192" s="490"/>
    </row>
    <row r="193" spans="31:33" ht="11.25" hidden="1">
      <c r="AE193" s="490"/>
      <c r="AF193" s="490"/>
      <c r="AG193" s="490"/>
    </row>
    <row r="194" spans="31:33" ht="11.25" hidden="1">
      <c r="AE194" s="490"/>
      <c r="AF194" s="490"/>
      <c r="AG194" s="490"/>
    </row>
    <row r="195" spans="31:33" ht="11.25" hidden="1">
      <c r="AE195" s="490"/>
      <c r="AF195" s="490"/>
      <c r="AG195" s="490"/>
    </row>
    <row r="196" spans="31:33" ht="11.25" hidden="1">
      <c r="AE196" s="490"/>
      <c r="AF196" s="490"/>
      <c r="AG196" s="490"/>
    </row>
    <row r="197" spans="31:33" ht="11.25" hidden="1">
      <c r="AE197" s="490"/>
      <c r="AF197" s="490"/>
      <c r="AG197" s="490"/>
    </row>
    <row r="198" spans="31:33" ht="11.25" hidden="1">
      <c r="AE198" s="490"/>
      <c r="AF198" s="490"/>
      <c r="AG198" s="490"/>
    </row>
    <row r="199" spans="31:33" ht="11.25" hidden="1">
      <c r="AE199" s="490"/>
      <c r="AF199" s="490"/>
      <c r="AG199" s="490"/>
    </row>
    <row r="200" spans="31:33" ht="11.25" hidden="1">
      <c r="AE200" s="490"/>
      <c r="AF200" s="490"/>
      <c r="AG200" s="490"/>
    </row>
    <row r="201" spans="31:33" ht="11.25" hidden="1">
      <c r="AE201" s="490"/>
      <c r="AF201" s="490"/>
      <c r="AG201" s="490"/>
    </row>
    <row r="202" spans="31:33" ht="11.25" hidden="1">
      <c r="AE202" s="490"/>
      <c r="AF202" s="490"/>
      <c r="AG202" s="490"/>
    </row>
    <row r="203" spans="31:33" ht="11.25" hidden="1">
      <c r="AE203" s="490"/>
      <c r="AF203" s="490"/>
      <c r="AG203" s="490"/>
    </row>
    <row r="204" spans="31:33" ht="11.25" hidden="1">
      <c r="AE204" s="490"/>
      <c r="AF204" s="490"/>
      <c r="AG204" s="490"/>
    </row>
    <row r="205" spans="31:33" ht="11.25" hidden="1">
      <c r="AE205" s="490"/>
      <c r="AF205" s="490"/>
      <c r="AG205" s="490"/>
    </row>
    <row r="206" spans="31:33" ht="11.25" hidden="1">
      <c r="AE206" s="490"/>
      <c r="AF206" s="490"/>
      <c r="AG206" s="490"/>
    </row>
    <row r="207" spans="31:33" ht="11.25" hidden="1">
      <c r="AE207" s="490"/>
      <c r="AF207" s="490"/>
      <c r="AG207" s="490"/>
    </row>
    <row r="208" spans="31:33" ht="11.25" hidden="1">
      <c r="AE208" s="490"/>
      <c r="AF208" s="490"/>
      <c r="AG208" s="490"/>
    </row>
    <row r="209" spans="31:33" ht="11.25" hidden="1">
      <c r="AE209" s="490"/>
      <c r="AF209" s="490"/>
      <c r="AG209" s="490"/>
    </row>
    <row r="210" spans="31:33" ht="11.25" hidden="1">
      <c r="AE210" s="490"/>
      <c r="AF210" s="490"/>
      <c r="AG210" s="490"/>
    </row>
    <row r="211" spans="31:33" ht="11.25" hidden="1">
      <c r="AE211" s="490"/>
      <c r="AF211" s="490"/>
      <c r="AG211" s="490"/>
    </row>
    <row r="212" spans="31:33" ht="11.25" hidden="1">
      <c r="AE212" s="490"/>
      <c r="AF212" s="490"/>
      <c r="AG212" s="490"/>
    </row>
    <row r="213" spans="31:33" ht="11.25" hidden="1">
      <c r="AE213" s="490"/>
      <c r="AF213" s="490"/>
      <c r="AG213" s="490"/>
    </row>
    <row r="214" spans="31:33" ht="11.25" hidden="1">
      <c r="AE214" s="490"/>
      <c r="AF214" s="490"/>
      <c r="AG214" s="490"/>
    </row>
    <row r="215" spans="31:33" ht="11.25" hidden="1">
      <c r="AE215" s="490"/>
      <c r="AF215" s="490"/>
      <c r="AG215" s="490"/>
    </row>
    <row r="216" spans="31:33" ht="11.25" hidden="1">
      <c r="AE216" s="490"/>
      <c r="AF216" s="490"/>
      <c r="AG216" s="490"/>
    </row>
    <row r="217" spans="31:33" ht="11.25" hidden="1">
      <c r="AE217" s="490"/>
      <c r="AF217" s="490"/>
      <c r="AG217" s="490"/>
    </row>
    <row r="218" spans="31:33" ht="11.25" hidden="1">
      <c r="AE218" s="490"/>
      <c r="AF218" s="490"/>
      <c r="AG218" s="490"/>
    </row>
    <row r="219" spans="31:33" ht="11.25" hidden="1">
      <c r="AE219" s="490"/>
      <c r="AF219" s="490"/>
      <c r="AG219" s="490"/>
    </row>
    <row r="220" spans="31:33" ht="11.25" hidden="1">
      <c r="AE220" s="490"/>
      <c r="AF220" s="490"/>
      <c r="AG220" s="490"/>
    </row>
    <row r="221" spans="31:33" ht="11.25" hidden="1">
      <c r="AE221" s="490"/>
      <c r="AF221" s="490"/>
      <c r="AG221" s="490"/>
    </row>
    <row r="222" spans="31:33" ht="11.25" hidden="1">
      <c r="AE222" s="490"/>
      <c r="AF222" s="490"/>
      <c r="AG222" s="490"/>
    </row>
    <row r="223" spans="31:33" ht="11.25" hidden="1">
      <c r="AE223" s="490"/>
      <c r="AF223" s="490"/>
      <c r="AG223" s="490"/>
    </row>
    <row r="224" spans="31:33" ht="11.25" hidden="1">
      <c r="AE224" s="490"/>
      <c r="AF224" s="490"/>
      <c r="AG224" s="490"/>
    </row>
    <row r="225" spans="31:33" ht="11.25" hidden="1">
      <c r="AE225" s="490"/>
      <c r="AF225" s="490"/>
      <c r="AG225" s="490"/>
    </row>
    <row r="226" spans="31:33" ht="11.25" hidden="1">
      <c r="AE226" s="490"/>
      <c r="AF226" s="490"/>
      <c r="AG226" s="490"/>
    </row>
    <row r="227" spans="31:33" ht="11.25" hidden="1">
      <c r="AE227" s="490"/>
      <c r="AF227" s="490"/>
      <c r="AG227" s="490"/>
    </row>
    <row r="228" spans="31:33" ht="11.25" hidden="1">
      <c r="AE228" s="490"/>
      <c r="AF228" s="490"/>
      <c r="AG228" s="490"/>
    </row>
    <row r="229" spans="31:33" ht="11.25" hidden="1">
      <c r="AE229" s="490"/>
      <c r="AF229" s="490"/>
      <c r="AG229" s="490"/>
    </row>
    <row r="230" spans="31:33" ht="11.25" hidden="1">
      <c r="AE230" s="490"/>
      <c r="AF230" s="490"/>
      <c r="AG230" s="490"/>
    </row>
    <row r="231" spans="31:33" ht="11.25" hidden="1">
      <c r="AE231" s="490"/>
      <c r="AF231" s="490"/>
      <c r="AG231" s="490"/>
    </row>
    <row r="232" spans="31:33" ht="11.25" hidden="1">
      <c r="AE232" s="490"/>
      <c r="AF232" s="490"/>
      <c r="AG232" s="490"/>
    </row>
    <row r="233" spans="31:33" ht="11.25" hidden="1">
      <c r="AE233" s="490"/>
      <c r="AF233" s="490"/>
      <c r="AG233" s="490"/>
    </row>
    <row r="234" spans="31:33" ht="11.25" hidden="1">
      <c r="AE234" s="490"/>
      <c r="AF234" s="490"/>
      <c r="AG234" s="490"/>
    </row>
    <row r="235" spans="31:33" ht="11.25" hidden="1">
      <c r="AE235" s="490"/>
      <c r="AF235" s="490"/>
      <c r="AG235" s="490"/>
    </row>
    <row r="236" spans="31:33" ht="11.25" hidden="1">
      <c r="AE236" s="490"/>
      <c r="AF236" s="490"/>
      <c r="AG236" s="490"/>
    </row>
    <row r="237" spans="31:33" ht="11.25" hidden="1">
      <c r="AE237" s="490"/>
      <c r="AF237" s="490"/>
      <c r="AG237" s="490"/>
    </row>
    <row r="238" spans="31:33" ht="11.25" hidden="1">
      <c r="AE238" s="490"/>
      <c r="AF238" s="490"/>
      <c r="AG238" s="490"/>
    </row>
    <row r="239" spans="31:33" ht="11.25" hidden="1">
      <c r="AE239" s="490"/>
      <c r="AF239" s="490"/>
      <c r="AG239" s="490"/>
    </row>
    <row r="240" spans="31:33" ht="11.25" hidden="1">
      <c r="AE240" s="490"/>
      <c r="AF240" s="490"/>
      <c r="AG240" s="490"/>
    </row>
    <row r="241" spans="31:33" ht="11.25" hidden="1">
      <c r="AE241" s="490"/>
      <c r="AF241" s="490"/>
      <c r="AG241" s="490"/>
    </row>
    <row r="242" spans="31:33" ht="11.25" hidden="1">
      <c r="AE242" s="490"/>
      <c r="AF242" s="490"/>
      <c r="AG242" s="490"/>
    </row>
    <row r="243" spans="31:33" ht="11.25" hidden="1">
      <c r="AE243" s="490"/>
      <c r="AF243" s="490"/>
      <c r="AG243" s="490"/>
    </row>
    <row r="244" spans="31:33" ht="11.25" hidden="1">
      <c r="AE244" s="490"/>
      <c r="AF244" s="490"/>
      <c r="AG244" s="490"/>
    </row>
    <row r="245" spans="31:33" ht="11.25" hidden="1">
      <c r="AE245" s="490"/>
      <c r="AF245" s="490"/>
      <c r="AG245" s="490"/>
    </row>
    <row r="246" spans="31:33" ht="11.25" hidden="1">
      <c r="AE246" s="490"/>
      <c r="AF246" s="490"/>
      <c r="AG246" s="490"/>
    </row>
    <row r="247" spans="31:33" ht="11.25" hidden="1">
      <c r="AE247" s="490"/>
      <c r="AF247" s="490"/>
      <c r="AG247" s="490"/>
    </row>
    <row r="248" spans="31:33" ht="11.25" hidden="1">
      <c r="AE248" s="490"/>
      <c r="AF248" s="490"/>
      <c r="AG248" s="490"/>
    </row>
    <row r="249" spans="31:33" ht="11.25" hidden="1">
      <c r="AE249" s="490"/>
      <c r="AF249" s="490"/>
      <c r="AG249" s="490"/>
    </row>
    <row r="250" spans="31:33" ht="11.25" hidden="1">
      <c r="AE250" s="490"/>
      <c r="AF250" s="490"/>
      <c r="AG250" s="490"/>
    </row>
    <row r="251" spans="31:33" ht="11.25" hidden="1">
      <c r="AE251" s="490"/>
      <c r="AF251" s="490"/>
      <c r="AG251" s="490"/>
    </row>
    <row r="252" spans="31:33" ht="11.25" hidden="1">
      <c r="AE252" s="490"/>
      <c r="AF252" s="490"/>
      <c r="AG252" s="490"/>
    </row>
    <row r="253" spans="31:33" ht="11.25" hidden="1">
      <c r="AE253" s="490"/>
      <c r="AF253" s="490"/>
      <c r="AG253" s="490"/>
    </row>
    <row r="254" spans="31:33" ht="11.25" hidden="1">
      <c r="AE254" s="490"/>
      <c r="AF254" s="490"/>
      <c r="AG254" s="490"/>
    </row>
    <row r="255" spans="31:33" ht="11.25" hidden="1">
      <c r="AE255" s="490"/>
      <c r="AF255" s="490"/>
      <c r="AG255" s="490"/>
    </row>
    <row r="256" spans="31:33" ht="11.25" hidden="1">
      <c r="AE256" s="490"/>
      <c r="AF256" s="490"/>
      <c r="AG256" s="490"/>
    </row>
    <row r="257" spans="31:33" ht="11.25" hidden="1">
      <c r="AE257" s="490"/>
      <c r="AF257" s="490"/>
      <c r="AG257" s="490"/>
    </row>
    <row r="258" spans="31:33" ht="11.25" hidden="1">
      <c r="AE258" s="490"/>
      <c r="AF258" s="490"/>
      <c r="AG258" s="490"/>
    </row>
    <row r="259" spans="31:33" ht="11.25" hidden="1">
      <c r="AE259" s="490"/>
      <c r="AF259" s="490"/>
      <c r="AG259" s="490"/>
    </row>
    <row r="260" spans="31:33" ht="11.25" hidden="1">
      <c r="AE260" s="490"/>
      <c r="AF260" s="490"/>
      <c r="AG260" s="490"/>
    </row>
    <row r="261" spans="31:33" ht="11.25" hidden="1">
      <c r="AE261" s="490"/>
      <c r="AF261" s="490"/>
      <c r="AG261" s="490"/>
    </row>
    <row r="262" spans="31:33" ht="11.25" hidden="1">
      <c r="AE262" s="490"/>
      <c r="AF262" s="490"/>
      <c r="AG262" s="490"/>
    </row>
    <row r="263" spans="31:33" ht="11.25" hidden="1">
      <c r="AE263" s="490"/>
      <c r="AF263" s="490"/>
      <c r="AG263" s="490"/>
    </row>
    <row r="264" spans="31:33" ht="11.25" hidden="1">
      <c r="AE264" s="490"/>
      <c r="AF264" s="490"/>
      <c r="AG264" s="490"/>
    </row>
    <row r="265" spans="31:33" ht="11.25" hidden="1">
      <c r="AE265" s="490"/>
      <c r="AF265" s="490"/>
      <c r="AG265" s="490"/>
    </row>
    <row r="266" spans="31:33" ht="11.25" hidden="1">
      <c r="AE266" s="490"/>
      <c r="AF266" s="490"/>
      <c r="AG266" s="490"/>
    </row>
    <row r="267" spans="31:33" ht="11.25" hidden="1">
      <c r="AE267" s="490"/>
      <c r="AF267" s="490"/>
      <c r="AG267" s="490"/>
    </row>
    <row r="268" spans="31:33" ht="11.25" hidden="1">
      <c r="AE268" s="490"/>
      <c r="AF268" s="490"/>
      <c r="AG268" s="490"/>
    </row>
    <row r="269" spans="31:33" ht="11.25" hidden="1">
      <c r="AE269" s="490"/>
      <c r="AF269" s="490"/>
      <c r="AG269" s="490"/>
    </row>
    <row r="270" spans="31:33" ht="11.25" hidden="1">
      <c r="AE270" s="490"/>
      <c r="AF270" s="490"/>
      <c r="AG270" s="490"/>
    </row>
    <row r="271" spans="31:33" ht="11.25" hidden="1">
      <c r="AE271" s="490"/>
      <c r="AF271" s="490"/>
      <c r="AG271" s="490"/>
    </row>
    <row r="272" spans="31:33" ht="11.25" hidden="1">
      <c r="AE272" s="490"/>
      <c r="AF272" s="490"/>
      <c r="AG272" s="490"/>
    </row>
    <row r="273" spans="31:33" ht="11.25" hidden="1">
      <c r="AE273" s="490"/>
      <c r="AF273" s="490"/>
      <c r="AG273" s="490"/>
    </row>
    <row r="274" spans="31:33" ht="11.25" hidden="1">
      <c r="AE274" s="490"/>
      <c r="AF274" s="490"/>
      <c r="AG274" s="490"/>
    </row>
    <row r="275" spans="31:33" ht="11.25" hidden="1">
      <c r="AE275" s="490"/>
      <c r="AF275" s="490"/>
      <c r="AG275" s="490"/>
    </row>
    <row r="276" spans="31:33" ht="11.25" hidden="1">
      <c r="AE276" s="490"/>
      <c r="AF276" s="490"/>
      <c r="AG276" s="490"/>
    </row>
    <row r="277" spans="31:33" ht="11.25" hidden="1">
      <c r="AE277" s="490"/>
      <c r="AF277" s="490"/>
      <c r="AG277" s="490"/>
    </row>
    <row r="278" spans="31:33" ht="11.25" hidden="1">
      <c r="AE278" s="490"/>
      <c r="AF278" s="490"/>
      <c r="AG278" s="490"/>
    </row>
    <row r="279" spans="31:33" ht="11.25" hidden="1">
      <c r="AE279" s="490"/>
      <c r="AF279" s="490"/>
      <c r="AG279" s="490"/>
    </row>
    <row r="280" spans="31:33" ht="11.25" hidden="1">
      <c r="AE280" s="490"/>
      <c r="AF280" s="490"/>
      <c r="AG280" s="490"/>
    </row>
    <row r="281" spans="31:33" ht="11.25" hidden="1">
      <c r="AE281" s="490"/>
      <c r="AF281" s="490"/>
      <c r="AG281" s="490"/>
    </row>
    <row r="282" spans="31:33" ht="11.25" hidden="1">
      <c r="AE282" s="490"/>
      <c r="AF282" s="490"/>
      <c r="AG282" s="490"/>
    </row>
    <row r="283" spans="31:33" ht="11.25" hidden="1">
      <c r="AE283" s="490"/>
      <c r="AF283" s="490"/>
      <c r="AG283" s="490"/>
    </row>
    <row r="284" spans="31:33" ht="11.25" hidden="1">
      <c r="AE284" s="490"/>
      <c r="AF284" s="490"/>
      <c r="AG284" s="490"/>
    </row>
    <row r="285" spans="31:33" ht="11.25" hidden="1">
      <c r="AE285" s="490"/>
      <c r="AF285" s="490"/>
      <c r="AG285" s="490"/>
    </row>
    <row r="286" spans="31:33" ht="11.25" hidden="1">
      <c r="AE286" s="490"/>
      <c r="AF286" s="490"/>
      <c r="AG286" s="490"/>
    </row>
    <row r="287" spans="31:33" ht="11.25" hidden="1">
      <c r="AE287" s="490"/>
      <c r="AF287" s="490"/>
      <c r="AG287" s="490"/>
    </row>
    <row r="288" spans="31:33" ht="11.25" hidden="1">
      <c r="AE288" s="490"/>
      <c r="AF288" s="490"/>
      <c r="AG288" s="490"/>
    </row>
    <row r="289" spans="31:33" ht="11.25" hidden="1">
      <c r="AE289" s="490"/>
      <c r="AF289" s="490"/>
      <c r="AG289" s="490"/>
    </row>
    <row r="290" spans="31:33" ht="11.25" hidden="1">
      <c r="AE290" s="490"/>
      <c r="AF290" s="490"/>
      <c r="AG290" s="490"/>
    </row>
    <row r="291" spans="31:33" ht="11.25" hidden="1">
      <c r="AE291" s="490"/>
      <c r="AF291" s="490"/>
      <c r="AG291" s="490"/>
    </row>
    <row r="292" spans="31:33" ht="11.25" hidden="1">
      <c r="AE292" s="490"/>
      <c r="AF292" s="490"/>
      <c r="AG292" s="490"/>
    </row>
    <row r="293" spans="31:33" ht="11.25" hidden="1">
      <c r="AE293" s="490"/>
      <c r="AF293" s="490"/>
      <c r="AG293" s="490"/>
    </row>
    <row r="294" spans="31:33" ht="11.25" hidden="1">
      <c r="AE294" s="490"/>
      <c r="AF294" s="490"/>
      <c r="AG294" s="490"/>
    </row>
    <row r="295" spans="31:33" ht="11.25" hidden="1">
      <c r="AE295" s="490"/>
      <c r="AF295" s="490"/>
      <c r="AG295" s="490"/>
    </row>
    <row r="296" spans="31:33" ht="11.25" hidden="1">
      <c r="AE296" s="490"/>
      <c r="AF296" s="490"/>
      <c r="AG296" s="490"/>
    </row>
    <row r="297" spans="31:33" ht="11.25" hidden="1">
      <c r="AE297" s="490"/>
      <c r="AF297" s="490"/>
      <c r="AG297" s="490"/>
    </row>
    <row r="298" spans="31:33" ht="11.25" hidden="1">
      <c r="AE298" s="490"/>
      <c r="AF298" s="490"/>
      <c r="AG298" s="490"/>
    </row>
    <row r="299" spans="31:33" ht="11.25" hidden="1">
      <c r="AE299" s="490"/>
      <c r="AF299" s="490"/>
      <c r="AG299" s="490"/>
    </row>
    <row r="300" spans="31:33" ht="11.25" hidden="1">
      <c r="AE300" s="490"/>
      <c r="AF300" s="490"/>
      <c r="AG300" s="490"/>
    </row>
    <row r="301" spans="31:33" ht="11.25" hidden="1">
      <c r="AE301" s="490"/>
      <c r="AF301" s="490"/>
      <c r="AG301" s="490"/>
    </row>
    <row r="302" spans="31:33" ht="11.25" hidden="1">
      <c r="AE302" s="490"/>
      <c r="AF302" s="490"/>
      <c r="AG302" s="490"/>
    </row>
    <row r="303" spans="31:33" ht="11.25" hidden="1">
      <c r="AE303" s="490"/>
      <c r="AF303" s="490"/>
      <c r="AG303" s="490"/>
    </row>
    <row r="304" spans="31:33" ht="11.25" hidden="1">
      <c r="AE304" s="490"/>
      <c r="AF304" s="490"/>
      <c r="AG304" s="490"/>
    </row>
    <row r="305" spans="31:33" ht="11.25" hidden="1">
      <c r="AE305" s="490"/>
      <c r="AF305" s="490"/>
      <c r="AG305" s="490"/>
    </row>
    <row r="306" spans="31:33" ht="11.25" hidden="1">
      <c r="AE306" s="490"/>
      <c r="AF306" s="490"/>
      <c r="AG306" s="490"/>
    </row>
    <row r="307" spans="31:33" ht="11.25" hidden="1">
      <c r="AE307" s="490"/>
      <c r="AF307" s="490"/>
      <c r="AG307" s="490"/>
    </row>
    <row r="308" spans="31:33" ht="11.25" hidden="1">
      <c r="AE308" s="490"/>
      <c r="AF308" s="490"/>
      <c r="AG308" s="490"/>
    </row>
    <row r="309" spans="31:33" ht="11.25" hidden="1">
      <c r="AE309" s="490"/>
      <c r="AF309" s="490"/>
      <c r="AG309" s="490"/>
    </row>
    <row r="310" spans="31:33" ht="11.25" hidden="1">
      <c r="AE310" s="490"/>
      <c r="AF310" s="490"/>
      <c r="AG310" s="490"/>
    </row>
    <row r="311" spans="31:33" ht="11.25" hidden="1">
      <c r="AE311" s="490"/>
      <c r="AF311" s="490"/>
      <c r="AG311" s="490"/>
    </row>
    <row r="312" spans="31:33" ht="11.25" hidden="1">
      <c r="AE312" s="490"/>
      <c r="AF312" s="490"/>
      <c r="AG312" s="490"/>
    </row>
    <row r="313" spans="31:33" ht="11.25" hidden="1">
      <c r="AE313" s="490"/>
      <c r="AF313" s="490"/>
      <c r="AG313" s="490"/>
    </row>
    <row r="314" spans="31:33" ht="11.25" hidden="1">
      <c r="AE314" s="490"/>
      <c r="AF314" s="490"/>
      <c r="AG314" s="490"/>
    </row>
    <row r="315" spans="31:33" ht="11.25" hidden="1">
      <c r="AE315" s="490"/>
      <c r="AF315" s="490"/>
      <c r="AG315" s="490"/>
    </row>
    <row r="316" spans="31:33" ht="11.25" hidden="1">
      <c r="AE316" s="490"/>
      <c r="AF316" s="490"/>
      <c r="AG316" s="490"/>
    </row>
    <row r="317" spans="31:33" ht="11.25" hidden="1">
      <c r="AE317" s="490"/>
      <c r="AF317" s="490"/>
      <c r="AG317" s="490"/>
    </row>
    <row r="318" spans="31:33" ht="11.25" hidden="1">
      <c r="AE318" s="490"/>
      <c r="AF318" s="490"/>
      <c r="AG318" s="490"/>
    </row>
    <row r="319" spans="31:33" ht="11.25" hidden="1">
      <c r="AE319" s="490"/>
      <c r="AF319" s="490"/>
      <c r="AG319" s="490"/>
    </row>
    <row r="320" spans="31:33" ht="11.25" hidden="1">
      <c r="AE320" s="490"/>
      <c r="AF320" s="490"/>
      <c r="AG320" s="490"/>
    </row>
    <row r="321" spans="31:33" ht="11.25" hidden="1">
      <c r="AE321" s="490"/>
      <c r="AF321" s="490"/>
      <c r="AG321" s="490"/>
    </row>
    <row r="322" spans="31:33" ht="11.25" hidden="1">
      <c r="AE322" s="490"/>
      <c r="AF322" s="490"/>
      <c r="AG322" s="490"/>
    </row>
    <row r="323" spans="31:33" ht="11.25" hidden="1">
      <c r="AE323" s="490"/>
      <c r="AF323" s="490"/>
      <c r="AG323" s="490"/>
    </row>
    <row r="324" spans="31:33" ht="11.25" hidden="1">
      <c r="AE324" s="490"/>
      <c r="AF324" s="490"/>
      <c r="AG324" s="490"/>
    </row>
    <row r="325" spans="31:33" ht="11.25" hidden="1">
      <c r="AE325" s="490"/>
      <c r="AF325" s="490"/>
      <c r="AG325" s="490"/>
    </row>
    <row r="326" spans="31:33" ht="11.25" hidden="1">
      <c r="AE326" s="490"/>
      <c r="AF326" s="490"/>
      <c r="AG326" s="490"/>
    </row>
    <row r="327" spans="31:33" ht="11.25" hidden="1">
      <c r="AE327" s="490"/>
      <c r="AF327" s="490"/>
      <c r="AG327" s="490"/>
    </row>
    <row r="328" spans="31:33" ht="11.25" hidden="1">
      <c r="AE328" s="490"/>
      <c r="AF328" s="490"/>
      <c r="AG328" s="490"/>
    </row>
    <row r="329" spans="31:33" ht="11.25" hidden="1">
      <c r="AE329" s="490"/>
      <c r="AF329" s="490"/>
      <c r="AG329" s="490"/>
    </row>
    <row r="330" spans="31:33" ht="11.25" hidden="1">
      <c r="AE330" s="490"/>
      <c r="AF330" s="490"/>
      <c r="AG330" s="490"/>
    </row>
    <row r="331" spans="31:33" ht="11.25" hidden="1">
      <c r="AE331" s="490"/>
      <c r="AF331" s="490"/>
      <c r="AG331" s="490"/>
    </row>
    <row r="332" spans="31:33" ht="11.25" hidden="1">
      <c r="AE332" s="490"/>
      <c r="AF332" s="490"/>
      <c r="AG332" s="490"/>
    </row>
    <row r="333" spans="31:33" ht="11.25" hidden="1">
      <c r="AE333" s="490"/>
      <c r="AF333" s="490"/>
      <c r="AG333" s="490"/>
    </row>
    <row r="334" spans="31:33" ht="11.25" hidden="1">
      <c r="AE334" s="490"/>
      <c r="AF334" s="490"/>
      <c r="AG334" s="490"/>
    </row>
    <row r="335" spans="31:33" ht="11.25" hidden="1">
      <c r="AE335" s="490"/>
      <c r="AF335" s="490"/>
      <c r="AG335" s="490"/>
    </row>
    <row r="336" spans="31:33" ht="11.25" hidden="1">
      <c r="AE336" s="490"/>
      <c r="AF336" s="490"/>
      <c r="AG336" s="490"/>
    </row>
    <row r="337" spans="31:33" ht="11.25" hidden="1">
      <c r="AE337" s="490"/>
      <c r="AF337" s="490"/>
      <c r="AG337" s="490"/>
    </row>
    <row r="338" spans="31:33" ht="11.25" hidden="1">
      <c r="AE338" s="490"/>
      <c r="AF338" s="490"/>
      <c r="AG338" s="490"/>
    </row>
    <row r="339" spans="31:33" ht="11.25" hidden="1">
      <c r="AE339" s="490"/>
      <c r="AF339" s="490"/>
      <c r="AG339" s="490"/>
    </row>
    <row r="340" spans="31:33" ht="11.25" hidden="1">
      <c r="AE340" s="490"/>
      <c r="AF340" s="490"/>
      <c r="AG340" s="490"/>
    </row>
    <row r="341" spans="31:33" ht="11.25" hidden="1">
      <c r="AE341" s="490"/>
      <c r="AF341" s="490"/>
      <c r="AG341" s="490"/>
    </row>
    <row r="342" spans="31:33" ht="11.25" hidden="1">
      <c r="AE342" s="490"/>
      <c r="AF342" s="490"/>
      <c r="AG342" s="490"/>
    </row>
    <row r="343" spans="31:33" ht="11.25" hidden="1">
      <c r="AE343" s="490"/>
      <c r="AF343" s="490"/>
      <c r="AG343" s="490"/>
    </row>
    <row r="344" spans="31:33" ht="11.25" hidden="1">
      <c r="AE344" s="490"/>
      <c r="AF344" s="490"/>
      <c r="AG344" s="490"/>
    </row>
    <row r="345" spans="31:33" ht="11.25" hidden="1">
      <c r="AE345" s="490"/>
      <c r="AF345" s="490"/>
      <c r="AG345" s="490"/>
    </row>
    <row r="346" spans="31:33" ht="11.25" hidden="1">
      <c r="AE346" s="490"/>
      <c r="AF346" s="490"/>
      <c r="AG346" s="490"/>
    </row>
    <row r="347" spans="31:33" ht="11.25" hidden="1">
      <c r="AE347" s="490"/>
      <c r="AF347" s="490"/>
      <c r="AG347" s="490"/>
    </row>
    <row r="348" spans="31:33" ht="11.25" hidden="1">
      <c r="AE348" s="490"/>
      <c r="AF348" s="490"/>
      <c r="AG348" s="490"/>
    </row>
    <row r="349" spans="31:33" ht="11.25" hidden="1">
      <c r="AE349" s="490"/>
      <c r="AF349" s="490"/>
      <c r="AG349" s="490"/>
    </row>
    <row r="350" spans="31:33" ht="11.25" hidden="1">
      <c r="AE350" s="490"/>
      <c r="AF350" s="490"/>
      <c r="AG350" s="490"/>
    </row>
    <row r="351" spans="31:33" ht="11.25" hidden="1">
      <c r="AE351" s="490"/>
      <c r="AF351" s="490"/>
      <c r="AG351" s="490"/>
    </row>
    <row r="352" spans="31:33" ht="11.25" hidden="1">
      <c r="AE352" s="490"/>
      <c r="AF352" s="490"/>
      <c r="AG352" s="490"/>
    </row>
    <row r="353" spans="31:33" ht="11.25" hidden="1">
      <c r="AE353" s="490"/>
      <c r="AF353" s="490"/>
      <c r="AG353" s="490"/>
    </row>
    <row r="354" spans="31:33" ht="11.25" hidden="1">
      <c r="AE354" s="490"/>
      <c r="AF354" s="490"/>
      <c r="AG354" s="490"/>
    </row>
    <row r="355" spans="31:33" ht="11.25" hidden="1">
      <c r="AE355" s="490"/>
      <c r="AF355" s="490"/>
      <c r="AG355" s="490"/>
    </row>
    <row r="356" spans="31:33" ht="11.25" hidden="1">
      <c r="AE356" s="490"/>
      <c r="AF356" s="490"/>
      <c r="AG356" s="490"/>
    </row>
    <row r="357" spans="31:33" ht="11.25" hidden="1">
      <c r="AE357" s="490"/>
      <c r="AF357" s="490"/>
      <c r="AG357" s="490"/>
    </row>
    <row r="358" spans="31:33" ht="11.25" hidden="1">
      <c r="AE358" s="490"/>
      <c r="AF358" s="490"/>
      <c r="AG358" s="490"/>
    </row>
    <row r="359" spans="31:33" ht="11.25" hidden="1">
      <c r="AE359" s="490"/>
      <c r="AF359" s="490"/>
      <c r="AG359" s="490"/>
    </row>
    <row r="360" spans="31:33" ht="11.25" hidden="1">
      <c r="AE360" s="490"/>
      <c r="AF360" s="490"/>
      <c r="AG360" s="490"/>
    </row>
    <row r="361" spans="31:33" ht="11.25" hidden="1">
      <c r="AE361" s="490"/>
      <c r="AF361" s="490"/>
      <c r="AG361" s="490"/>
    </row>
    <row r="362" spans="31:33" ht="11.25" hidden="1">
      <c r="AE362" s="490"/>
      <c r="AF362" s="490"/>
      <c r="AG362" s="490"/>
    </row>
    <row r="363" spans="31:33" ht="11.25" hidden="1">
      <c r="AE363" s="490"/>
      <c r="AF363" s="490"/>
      <c r="AG363" s="490"/>
    </row>
    <row r="364" spans="31:33" ht="11.25" hidden="1">
      <c r="AE364" s="490"/>
      <c r="AF364" s="490"/>
      <c r="AG364" s="490"/>
    </row>
    <row r="365" spans="31:33" ht="11.25" hidden="1">
      <c r="AE365" s="490"/>
      <c r="AF365" s="490"/>
      <c r="AG365" s="490"/>
    </row>
    <row r="366" spans="31:33" ht="11.25" hidden="1">
      <c r="AE366" s="490"/>
      <c r="AF366" s="490"/>
      <c r="AG366" s="490"/>
    </row>
    <row r="367" spans="31:33" ht="11.25" hidden="1">
      <c r="AE367" s="490"/>
      <c r="AF367" s="490"/>
      <c r="AG367" s="490"/>
    </row>
    <row r="368" spans="31:33" ht="11.25" hidden="1">
      <c r="AE368" s="490"/>
      <c r="AF368" s="490"/>
      <c r="AG368" s="490"/>
    </row>
    <row r="369" spans="31:33" ht="11.25" hidden="1">
      <c r="AE369" s="490"/>
      <c r="AF369" s="490"/>
      <c r="AG369" s="490"/>
    </row>
    <row r="370" spans="31:33" ht="11.25" hidden="1">
      <c r="AE370" s="490"/>
      <c r="AF370" s="490"/>
      <c r="AG370" s="490"/>
    </row>
    <row r="371" spans="31:33" ht="11.25" hidden="1">
      <c r="AE371" s="490"/>
      <c r="AF371" s="490"/>
      <c r="AG371" s="490"/>
    </row>
    <row r="372" spans="31:33" ht="11.25" hidden="1">
      <c r="AE372" s="490"/>
      <c r="AF372" s="490"/>
      <c r="AG372" s="490"/>
    </row>
    <row r="373" spans="31:33" ht="11.25" hidden="1">
      <c r="AE373" s="490"/>
      <c r="AF373" s="490"/>
      <c r="AG373" s="490"/>
    </row>
    <row r="374" spans="31:33" ht="11.25" hidden="1">
      <c r="AE374" s="490"/>
      <c r="AF374" s="490"/>
      <c r="AG374" s="490"/>
    </row>
    <row r="375" spans="31:33" ht="11.25" hidden="1">
      <c r="AE375" s="490"/>
      <c r="AF375" s="490"/>
      <c r="AG375" s="490"/>
    </row>
    <row r="376" spans="31:33" ht="11.25" hidden="1">
      <c r="AE376" s="490"/>
      <c r="AF376" s="490"/>
      <c r="AG376" s="490"/>
    </row>
    <row r="377" spans="31:33" ht="11.25" hidden="1">
      <c r="AE377" s="490"/>
      <c r="AF377" s="490"/>
      <c r="AG377" s="490"/>
    </row>
    <row r="378" spans="31:33" ht="11.25" hidden="1">
      <c r="AE378" s="490"/>
      <c r="AF378" s="490"/>
      <c r="AG378" s="490"/>
    </row>
    <row r="379" spans="31:33" ht="11.25" hidden="1">
      <c r="AE379" s="490"/>
      <c r="AF379" s="490"/>
      <c r="AG379" s="490"/>
    </row>
    <row r="380" spans="31:33" ht="11.25" hidden="1">
      <c r="AE380" s="490"/>
      <c r="AF380" s="490"/>
      <c r="AG380" s="490"/>
    </row>
    <row r="381" spans="31:33" ht="11.25" hidden="1">
      <c r="AE381" s="490"/>
      <c r="AF381" s="490"/>
      <c r="AG381" s="490"/>
    </row>
    <row r="382" spans="31:33" ht="11.25" hidden="1">
      <c r="AE382" s="490"/>
      <c r="AF382" s="490"/>
      <c r="AG382" s="490"/>
    </row>
    <row r="383" spans="31:33" ht="11.25" hidden="1">
      <c r="AE383" s="490"/>
      <c r="AF383" s="490"/>
      <c r="AG383" s="490"/>
    </row>
    <row r="384" spans="31:33" ht="11.25" hidden="1">
      <c r="AE384" s="490"/>
      <c r="AF384" s="490"/>
      <c r="AG384" s="490"/>
    </row>
    <row r="385" spans="31:33" ht="11.25" hidden="1">
      <c r="AE385" s="490"/>
      <c r="AF385" s="490"/>
      <c r="AG385" s="490"/>
    </row>
    <row r="386" spans="31:33" ht="11.25" hidden="1">
      <c r="AE386" s="490"/>
      <c r="AF386" s="490"/>
      <c r="AG386" s="490"/>
    </row>
    <row r="387" spans="31:33" ht="11.25" hidden="1">
      <c r="AE387" s="490"/>
      <c r="AF387" s="490"/>
      <c r="AG387" s="490"/>
    </row>
    <row r="388" spans="31:33" ht="11.25" hidden="1">
      <c r="AE388" s="490"/>
      <c r="AF388" s="490"/>
      <c r="AG388" s="490"/>
    </row>
    <row r="389" spans="31:33" ht="11.25" hidden="1">
      <c r="AE389" s="490"/>
      <c r="AF389" s="490"/>
      <c r="AG389" s="490"/>
    </row>
    <row r="390" spans="31:33" ht="11.25" hidden="1">
      <c r="AE390" s="490"/>
      <c r="AF390" s="490"/>
      <c r="AG390" s="490"/>
    </row>
    <row r="391" spans="31:33" ht="11.25" hidden="1">
      <c r="AE391" s="490"/>
      <c r="AF391" s="490"/>
      <c r="AG391" s="490"/>
    </row>
    <row r="392" spans="31:33" ht="11.25" hidden="1">
      <c r="AE392" s="490"/>
      <c r="AF392" s="490"/>
      <c r="AG392" s="490"/>
    </row>
    <row r="393" spans="31:33" ht="11.25" hidden="1">
      <c r="AE393" s="490"/>
      <c r="AF393" s="490"/>
      <c r="AG393" s="490"/>
    </row>
    <row r="394" spans="31:33" ht="11.25" hidden="1">
      <c r="AE394" s="490"/>
      <c r="AF394" s="490"/>
      <c r="AG394" s="490"/>
    </row>
    <row r="395" spans="31:33" ht="11.25" hidden="1">
      <c r="AE395" s="490"/>
      <c r="AF395" s="490"/>
      <c r="AG395" s="490"/>
    </row>
    <row r="396" spans="31:33" ht="11.25" hidden="1">
      <c r="AE396" s="490"/>
      <c r="AF396" s="490"/>
      <c r="AG396" s="490"/>
    </row>
    <row r="397" spans="31:33" ht="11.25" hidden="1">
      <c r="AE397" s="490"/>
      <c r="AF397" s="490"/>
      <c r="AG397" s="490"/>
    </row>
    <row r="398" spans="31:33" ht="11.25" hidden="1">
      <c r="AE398" s="490"/>
      <c r="AF398" s="490"/>
      <c r="AG398" s="490"/>
    </row>
    <row r="399" spans="31:33" ht="11.25" hidden="1">
      <c r="AE399" s="490"/>
      <c r="AF399" s="490"/>
      <c r="AG399" s="490"/>
    </row>
    <row r="400" spans="31:33" ht="11.25" hidden="1">
      <c r="AE400" s="490"/>
      <c r="AF400" s="490"/>
      <c r="AG400" s="490"/>
    </row>
    <row r="401" spans="31:33" ht="11.25" hidden="1">
      <c r="AE401" s="490"/>
      <c r="AF401" s="490"/>
      <c r="AG401" s="490"/>
    </row>
    <row r="402" spans="31:33" ht="11.25" hidden="1">
      <c r="AE402" s="490"/>
      <c r="AF402" s="490"/>
      <c r="AG402" s="490"/>
    </row>
    <row r="403" spans="31:33" ht="11.25" hidden="1">
      <c r="AE403" s="490"/>
      <c r="AF403" s="490"/>
      <c r="AG403" s="490"/>
    </row>
    <row r="404" spans="31:33" ht="11.25" hidden="1">
      <c r="AE404" s="490"/>
      <c r="AF404" s="490"/>
      <c r="AG404" s="490"/>
    </row>
    <row r="405" spans="31:33" ht="11.25" hidden="1">
      <c r="AE405" s="490"/>
      <c r="AF405" s="490"/>
      <c r="AG405" s="490"/>
    </row>
    <row r="406" spans="31:33" ht="11.25" hidden="1">
      <c r="AE406" s="490"/>
      <c r="AF406" s="490"/>
      <c r="AG406" s="490"/>
    </row>
    <row r="407" spans="31:33" ht="11.25" hidden="1">
      <c r="AE407" s="490"/>
      <c r="AF407" s="490"/>
      <c r="AG407" s="490"/>
    </row>
    <row r="408" spans="31:33" ht="11.25" hidden="1">
      <c r="AE408" s="490"/>
      <c r="AF408" s="490"/>
      <c r="AG408" s="490"/>
    </row>
    <row r="409" spans="31:33" ht="11.25" hidden="1">
      <c r="AE409" s="490"/>
      <c r="AF409" s="490"/>
      <c r="AG409" s="490"/>
    </row>
    <row r="410" spans="31:33" ht="11.25" hidden="1">
      <c r="AE410" s="490"/>
      <c r="AF410" s="490"/>
      <c r="AG410" s="490"/>
    </row>
    <row r="411" spans="31:33" ht="11.25" hidden="1">
      <c r="AE411" s="490"/>
      <c r="AF411" s="490"/>
      <c r="AG411" s="490"/>
    </row>
    <row r="412" spans="31:33" ht="11.25" hidden="1">
      <c r="AE412" s="490"/>
      <c r="AF412" s="490"/>
      <c r="AG412" s="490"/>
    </row>
    <row r="413" spans="31:33" ht="11.25" hidden="1">
      <c r="AE413" s="490"/>
      <c r="AF413" s="490"/>
      <c r="AG413" s="490"/>
    </row>
    <row r="414" spans="31:33" ht="11.25" hidden="1">
      <c r="AE414" s="490"/>
      <c r="AF414" s="490"/>
      <c r="AG414" s="490"/>
    </row>
    <row r="415" spans="31:33" ht="11.25" hidden="1">
      <c r="AE415" s="490"/>
      <c r="AF415" s="490"/>
      <c r="AG415" s="490"/>
    </row>
    <row r="416" spans="31:33" ht="11.25" hidden="1">
      <c r="AE416" s="490"/>
      <c r="AF416" s="490"/>
      <c r="AG416" s="490"/>
    </row>
    <row r="417" spans="31:33" ht="11.25" hidden="1">
      <c r="AE417" s="490"/>
      <c r="AF417" s="490"/>
      <c r="AG417" s="490"/>
    </row>
    <row r="418" spans="31:33" ht="11.25" hidden="1">
      <c r="AE418" s="490"/>
      <c r="AF418" s="490"/>
      <c r="AG418" s="490"/>
    </row>
    <row r="419" spans="31:33" ht="11.25" hidden="1">
      <c r="AE419" s="490"/>
      <c r="AF419" s="490"/>
      <c r="AG419" s="490"/>
    </row>
    <row r="420" spans="31:33" ht="11.25" hidden="1">
      <c r="AE420" s="490"/>
      <c r="AF420" s="490"/>
      <c r="AG420" s="490"/>
    </row>
    <row r="421" spans="31:33" ht="11.25" hidden="1">
      <c r="AE421" s="490"/>
      <c r="AF421" s="490"/>
      <c r="AG421" s="490"/>
    </row>
    <row r="422" spans="31:33" ht="11.25" hidden="1">
      <c r="AE422" s="490"/>
      <c r="AF422" s="490"/>
      <c r="AG422" s="490"/>
    </row>
    <row r="423" spans="31:33" ht="11.25" hidden="1">
      <c r="AE423" s="490"/>
      <c r="AF423" s="490"/>
      <c r="AG423" s="490"/>
    </row>
    <row r="424" spans="31:33" ht="11.25" hidden="1">
      <c r="AE424" s="490"/>
      <c r="AF424" s="490"/>
      <c r="AG424" s="490"/>
    </row>
    <row r="425" spans="31:33" ht="11.25" hidden="1">
      <c r="AE425" s="490"/>
      <c r="AF425" s="490"/>
      <c r="AG425" s="490"/>
    </row>
    <row r="426" spans="31:33" ht="11.25" hidden="1">
      <c r="AE426" s="490"/>
      <c r="AF426" s="490"/>
      <c r="AG426" s="490"/>
    </row>
    <row r="427" spans="31:33" ht="11.25" hidden="1">
      <c r="AE427" s="490"/>
      <c r="AF427" s="490"/>
      <c r="AG427" s="490"/>
    </row>
    <row r="428" spans="31:33" ht="11.25" hidden="1">
      <c r="AE428" s="490"/>
      <c r="AF428" s="490"/>
      <c r="AG428" s="490"/>
    </row>
    <row r="429" spans="31:33" ht="11.25" hidden="1">
      <c r="AE429" s="490"/>
      <c r="AF429" s="490"/>
      <c r="AG429" s="490"/>
    </row>
    <row r="430" spans="31:33" ht="11.25" hidden="1">
      <c r="AE430" s="490"/>
      <c r="AF430" s="490"/>
      <c r="AG430" s="490"/>
    </row>
    <row r="431" spans="31:33" ht="11.25" hidden="1">
      <c r="AE431" s="490"/>
      <c r="AF431" s="490"/>
      <c r="AG431" s="490"/>
    </row>
    <row r="432" spans="31:33" ht="11.25" hidden="1">
      <c r="AE432" s="490"/>
      <c r="AF432" s="490"/>
      <c r="AG432" s="490"/>
    </row>
    <row r="433" spans="31:33" ht="11.25" hidden="1">
      <c r="AE433" s="490"/>
      <c r="AF433" s="490"/>
      <c r="AG433" s="490"/>
    </row>
    <row r="434" spans="31:33" ht="11.25" hidden="1">
      <c r="AE434" s="490"/>
      <c r="AF434" s="490"/>
      <c r="AG434" s="490"/>
    </row>
    <row r="435" spans="31:33" ht="11.25" hidden="1">
      <c r="AE435" s="490"/>
      <c r="AF435" s="490"/>
      <c r="AG435" s="490"/>
    </row>
    <row r="436" spans="31:33" ht="11.25" hidden="1">
      <c r="AE436" s="490"/>
      <c r="AF436" s="490"/>
      <c r="AG436" s="490"/>
    </row>
    <row r="437" spans="31:33" ht="11.25" hidden="1">
      <c r="AE437" s="490"/>
      <c r="AF437" s="490"/>
      <c r="AG437" s="490"/>
    </row>
    <row r="438" spans="31:33" ht="11.25" hidden="1">
      <c r="AE438" s="490"/>
      <c r="AF438" s="490"/>
      <c r="AG438" s="490"/>
    </row>
    <row r="439" spans="31:33" ht="11.25" hidden="1">
      <c r="AE439" s="490"/>
      <c r="AF439" s="490"/>
      <c r="AG439" s="490"/>
    </row>
    <row r="440" spans="31:33" ht="11.25" hidden="1">
      <c r="AE440" s="490"/>
      <c r="AF440" s="490"/>
      <c r="AG440" s="490"/>
    </row>
    <row r="441" spans="31:33" ht="11.25" hidden="1">
      <c r="AE441" s="490"/>
      <c r="AF441" s="490"/>
      <c r="AG441" s="490"/>
    </row>
    <row r="442" spans="31:33" ht="11.25" hidden="1">
      <c r="AE442" s="490"/>
      <c r="AF442" s="490"/>
      <c r="AG442" s="490"/>
    </row>
    <row r="443" spans="31:33" ht="11.25" hidden="1">
      <c r="AE443" s="490"/>
      <c r="AF443" s="490"/>
      <c r="AG443" s="490"/>
    </row>
    <row r="444" spans="31:33" ht="11.25" hidden="1">
      <c r="AE444" s="490"/>
      <c r="AF444" s="490"/>
      <c r="AG444" s="490"/>
    </row>
    <row r="445" spans="31:33" ht="11.25" hidden="1">
      <c r="AE445" s="490"/>
      <c r="AF445" s="490"/>
      <c r="AG445" s="490"/>
    </row>
    <row r="446" spans="31:33" ht="11.25" hidden="1">
      <c r="AE446" s="490"/>
      <c r="AF446" s="490"/>
      <c r="AG446" s="490"/>
    </row>
    <row r="447" spans="31:33" ht="11.25" hidden="1">
      <c r="AE447" s="490"/>
      <c r="AF447" s="490"/>
      <c r="AG447" s="490"/>
    </row>
    <row r="448" spans="31:33" ht="11.25" hidden="1">
      <c r="AE448" s="490"/>
      <c r="AF448" s="490"/>
      <c r="AG448" s="490"/>
    </row>
    <row r="449" spans="31:33" ht="11.25" hidden="1">
      <c r="AE449" s="490"/>
      <c r="AF449" s="490"/>
      <c r="AG449" s="490"/>
    </row>
    <row r="450" spans="31:33" ht="11.25" hidden="1">
      <c r="AE450" s="490"/>
      <c r="AF450" s="490"/>
      <c r="AG450" s="490"/>
    </row>
    <row r="451" spans="31:33" ht="11.25" hidden="1">
      <c r="AE451" s="490"/>
      <c r="AF451" s="490"/>
      <c r="AG451" s="490"/>
    </row>
    <row r="452" spans="31:33" ht="11.25" hidden="1">
      <c r="AE452" s="490"/>
      <c r="AF452" s="490"/>
      <c r="AG452" s="490"/>
    </row>
    <row r="453" spans="31:33" ht="11.25" hidden="1">
      <c r="AE453" s="490"/>
      <c r="AF453" s="490"/>
      <c r="AG453" s="490"/>
    </row>
    <row r="454" spans="31:33" ht="11.25" hidden="1">
      <c r="AE454" s="490"/>
      <c r="AF454" s="490"/>
      <c r="AG454" s="490"/>
    </row>
    <row r="455" spans="31:33" ht="11.25" hidden="1">
      <c r="AE455" s="490"/>
      <c r="AF455" s="490"/>
      <c r="AG455" s="490"/>
    </row>
    <row r="456" spans="31:33" ht="11.25" hidden="1">
      <c r="AE456" s="490"/>
      <c r="AF456" s="490"/>
      <c r="AG456" s="490"/>
    </row>
    <row r="457" spans="31:33" ht="11.25" hidden="1">
      <c r="AE457" s="490"/>
      <c r="AF457" s="490"/>
      <c r="AG457" s="490"/>
    </row>
    <row r="458" spans="31:33" ht="11.25" hidden="1">
      <c r="AE458" s="490"/>
      <c r="AF458" s="490"/>
      <c r="AG458" s="490"/>
    </row>
    <row r="459" spans="31:33" ht="11.25" hidden="1">
      <c r="AE459" s="490"/>
      <c r="AF459" s="490"/>
      <c r="AG459" s="490"/>
    </row>
    <row r="460" spans="31:33" ht="11.25" hidden="1">
      <c r="AE460" s="490"/>
      <c r="AF460" s="490"/>
      <c r="AG460" s="490"/>
    </row>
    <row r="461" spans="31:33" ht="11.25" hidden="1">
      <c r="AE461" s="490"/>
      <c r="AF461" s="490"/>
      <c r="AG461" s="490"/>
    </row>
    <row r="462" spans="31:33" ht="11.25" hidden="1">
      <c r="AE462" s="490"/>
      <c r="AF462" s="490"/>
      <c r="AG462" s="490"/>
    </row>
    <row r="463" spans="31:33" ht="11.25" hidden="1">
      <c r="AE463" s="490"/>
      <c r="AF463" s="490"/>
      <c r="AG463" s="490"/>
    </row>
    <row r="464" spans="31:33" ht="11.25" hidden="1">
      <c r="AE464" s="490"/>
      <c r="AF464" s="490"/>
      <c r="AG464" s="490"/>
    </row>
    <row r="465" spans="31:33" ht="11.25" hidden="1">
      <c r="AE465" s="490"/>
      <c r="AF465" s="490"/>
      <c r="AG465" s="490"/>
    </row>
    <row r="466" spans="31:33" ht="11.25" hidden="1">
      <c r="AE466" s="490"/>
      <c r="AF466" s="490"/>
      <c r="AG466" s="490"/>
    </row>
    <row r="467" spans="31:33" ht="11.25" hidden="1">
      <c r="AE467" s="490"/>
      <c r="AF467" s="490"/>
      <c r="AG467" s="490"/>
    </row>
    <row r="468" spans="31:33" ht="11.25" hidden="1">
      <c r="AE468" s="490"/>
      <c r="AF468" s="490"/>
      <c r="AG468" s="490"/>
    </row>
    <row r="469" spans="31:33" ht="11.25" hidden="1">
      <c r="AE469" s="490"/>
      <c r="AF469" s="490"/>
      <c r="AG469" s="490"/>
    </row>
    <row r="470" spans="31:33" ht="11.25" hidden="1">
      <c r="AE470" s="490"/>
      <c r="AF470" s="490"/>
      <c r="AG470" s="490"/>
    </row>
    <row r="471" spans="31:33" ht="11.25" hidden="1">
      <c r="AE471" s="490"/>
      <c r="AF471" s="490"/>
      <c r="AG471" s="490"/>
    </row>
    <row r="472" spans="31:33" ht="11.25" hidden="1">
      <c r="AE472" s="490"/>
      <c r="AF472" s="490"/>
      <c r="AG472" s="490"/>
    </row>
    <row r="473" spans="31:33" ht="11.25" hidden="1">
      <c r="AE473" s="490"/>
      <c r="AF473" s="490"/>
      <c r="AG473" s="490"/>
    </row>
    <row r="474" spans="31:33" ht="11.25" hidden="1">
      <c r="AE474" s="490"/>
      <c r="AF474" s="490"/>
      <c r="AG474" s="490"/>
    </row>
    <row r="475" spans="31:33" ht="11.25" hidden="1">
      <c r="AE475" s="490"/>
      <c r="AF475" s="490"/>
      <c r="AG475" s="490"/>
    </row>
    <row r="476" spans="31:33" ht="11.25" hidden="1">
      <c r="AE476" s="490"/>
      <c r="AF476" s="490"/>
      <c r="AG476" s="490"/>
    </row>
    <row r="477" spans="31:33" ht="11.25" hidden="1">
      <c r="AE477" s="490"/>
      <c r="AF477" s="490"/>
      <c r="AG477" s="490"/>
    </row>
    <row r="478" spans="31:33" ht="11.25" hidden="1">
      <c r="AE478" s="490"/>
      <c r="AF478" s="490"/>
      <c r="AG478" s="490"/>
    </row>
    <row r="479" spans="31:33" ht="11.25" hidden="1">
      <c r="AE479" s="490"/>
      <c r="AF479" s="490"/>
      <c r="AG479" s="490"/>
    </row>
    <row r="480" spans="31:33" ht="11.25" hidden="1">
      <c r="AE480" s="490"/>
      <c r="AF480" s="490"/>
      <c r="AG480" s="490"/>
    </row>
    <row r="481" spans="31:33" ht="11.25" hidden="1">
      <c r="AE481" s="490"/>
      <c r="AF481" s="490"/>
      <c r="AG481" s="490"/>
    </row>
    <row r="482" spans="31:33" ht="11.25" hidden="1">
      <c r="AE482" s="490"/>
      <c r="AF482" s="490"/>
      <c r="AG482" s="490"/>
    </row>
    <row r="483" spans="31:33" ht="11.25" hidden="1">
      <c r="AE483" s="490"/>
      <c r="AF483" s="490"/>
      <c r="AG483" s="490"/>
    </row>
    <row r="484" spans="31:33" ht="11.25" hidden="1">
      <c r="AE484" s="490"/>
      <c r="AF484" s="490"/>
      <c r="AG484" s="490"/>
    </row>
    <row r="485" spans="31:33" ht="11.25" hidden="1">
      <c r="AE485" s="490"/>
      <c r="AF485" s="490"/>
      <c r="AG485" s="490"/>
    </row>
    <row r="486" spans="31:33" ht="11.25" hidden="1">
      <c r="AE486" s="490"/>
      <c r="AF486" s="490"/>
      <c r="AG486" s="490"/>
    </row>
    <row r="487" spans="31:33" ht="11.25" hidden="1">
      <c r="AE487" s="490"/>
      <c r="AF487" s="490"/>
      <c r="AG487" s="490"/>
    </row>
    <row r="488" spans="31:33" ht="11.25" hidden="1">
      <c r="AE488" s="490"/>
      <c r="AF488" s="490"/>
      <c r="AG488" s="490"/>
    </row>
    <row r="489" spans="31:33" ht="11.25" hidden="1">
      <c r="AE489" s="490"/>
      <c r="AF489" s="490"/>
      <c r="AG489" s="490"/>
    </row>
    <row r="490" spans="31:33" ht="11.25" hidden="1">
      <c r="AE490" s="490"/>
      <c r="AF490" s="490"/>
      <c r="AG490" s="490"/>
    </row>
    <row r="491" spans="31:33" ht="11.25" hidden="1">
      <c r="AE491" s="490"/>
      <c r="AF491" s="490"/>
      <c r="AG491" s="490"/>
    </row>
    <row r="492" spans="31:33" ht="11.25" hidden="1">
      <c r="AE492" s="490"/>
      <c r="AF492" s="490"/>
      <c r="AG492" s="490"/>
    </row>
    <row r="493" spans="31:33" ht="11.25" hidden="1">
      <c r="AE493" s="490"/>
      <c r="AF493" s="490"/>
      <c r="AG493" s="490"/>
    </row>
    <row r="494" spans="31:33" ht="11.25" hidden="1">
      <c r="AE494" s="490"/>
      <c r="AF494" s="490"/>
      <c r="AG494" s="490"/>
    </row>
    <row r="495" spans="31:33" ht="11.25" hidden="1">
      <c r="AE495" s="490"/>
      <c r="AF495" s="490"/>
      <c r="AG495" s="490"/>
    </row>
    <row r="496" spans="31:33" ht="11.25" hidden="1">
      <c r="AE496" s="490"/>
      <c r="AF496" s="490"/>
      <c r="AG496" s="490"/>
    </row>
    <row r="497" spans="31:33" ht="11.25" hidden="1">
      <c r="AE497" s="490"/>
      <c r="AF497" s="490"/>
      <c r="AG497" s="490"/>
    </row>
    <row r="498" spans="31:33" ht="11.25" hidden="1">
      <c r="AE498" s="490"/>
      <c r="AF498" s="490"/>
      <c r="AG498" s="490"/>
    </row>
    <row r="499" spans="31:33" ht="11.25" hidden="1">
      <c r="AE499" s="490"/>
      <c r="AF499" s="490"/>
      <c r="AG499" s="490"/>
    </row>
    <row r="500" spans="31:33" ht="11.25" hidden="1">
      <c r="AE500" s="490"/>
      <c r="AF500" s="490"/>
      <c r="AG500" s="490"/>
    </row>
    <row r="501" spans="31:33" ht="11.25" hidden="1">
      <c r="AE501" s="490"/>
      <c r="AF501" s="490"/>
      <c r="AG501" s="490"/>
    </row>
    <row r="502" spans="31:33" ht="11.25" hidden="1">
      <c r="AE502" s="490"/>
      <c r="AF502" s="490"/>
      <c r="AG502" s="490"/>
    </row>
    <row r="503" spans="31:33" ht="11.25" hidden="1">
      <c r="AE503" s="490"/>
      <c r="AF503" s="490"/>
      <c r="AG503" s="490"/>
    </row>
    <row r="504" spans="31:33" ht="11.25" hidden="1">
      <c r="AE504" s="490"/>
      <c r="AF504" s="490"/>
      <c r="AG504" s="490"/>
    </row>
    <row r="505" spans="31:33" ht="11.25" hidden="1">
      <c r="AE505" s="490"/>
      <c r="AF505" s="490"/>
      <c r="AG505" s="490"/>
    </row>
    <row r="506" spans="31:33" ht="11.25" hidden="1">
      <c r="AE506" s="490"/>
      <c r="AF506" s="490"/>
      <c r="AG506" s="490"/>
    </row>
    <row r="507" spans="31:33" ht="11.25" hidden="1">
      <c r="AE507" s="490"/>
      <c r="AF507" s="490"/>
      <c r="AG507" s="490"/>
    </row>
    <row r="508" spans="31:33" ht="11.25" hidden="1">
      <c r="AE508" s="490"/>
      <c r="AF508" s="490"/>
      <c r="AG508" s="490"/>
    </row>
    <row r="509" spans="31:33" ht="11.25" hidden="1">
      <c r="AE509" s="490"/>
      <c r="AF509" s="490"/>
      <c r="AG509" s="490"/>
    </row>
    <row r="510" spans="31:33" ht="11.25" hidden="1">
      <c r="AE510" s="490"/>
      <c r="AF510" s="490"/>
      <c r="AG510" s="490"/>
    </row>
    <row r="511" spans="31:33" ht="11.25" hidden="1">
      <c r="AE511" s="490"/>
      <c r="AF511" s="490"/>
      <c r="AG511" s="490"/>
    </row>
    <row r="512" spans="31:33" ht="11.25" hidden="1">
      <c r="AE512" s="490"/>
      <c r="AF512" s="490"/>
      <c r="AG512" s="490"/>
    </row>
    <row r="513" spans="31:33" ht="11.25" hidden="1">
      <c r="AE513" s="490"/>
      <c r="AF513" s="490"/>
      <c r="AG513" s="490"/>
    </row>
    <row r="514" spans="31:33" ht="11.25" hidden="1">
      <c r="AE514" s="490"/>
      <c r="AF514" s="490"/>
      <c r="AG514" s="490"/>
    </row>
    <row r="515" spans="31:33" ht="11.25" hidden="1">
      <c r="AE515" s="490"/>
      <c r="AF515" s="490"/>
      <c r="AG515" s="490"/>
    </row>
    <row r="516" spans="31:33" ht="11.25" hidden="1">
      <c r="AE516" s="490"/>
      <c r="AF516" s="490"/>
      <c r="AG516" s="490"/>
    </row>
    <row r="517" spans="31:33" ht="11.25" hidden="1">
      <c r="AE517" s="490"/>
      <c r="AF517" s="490"/>
      <c r="AG517" s="490"/>
    </row>
    <row r="518" spans="31:33" ht="11.25" hidden="1">
      <c r="AE518" s="490"/>
      <c r="AF518" s="490"/>
      <c r="AG518" s="490"/>
    </row>
    <row r="519" spans="31:33" ht="11.25" hidden="1">
      <c r="AE519" s="490"/>
      <c r="AF519" s="490"/>
      <c r="AG519" s="490"/>
    </row>
    <row r="520" spans="31:33" ht="11.25" hidden="1">
      <c r="AE520" s="490"/>
      <c r="AF520" s="490"/>
      <c r="AG520" s="490"/>
    </row>
    <row r="521" spans="31:33" ht="11.25" hidden="1">
      <c r="AE521" s="490"/>
      <c r="AF521" s="490"/>
      <c r="AG521" s="490"/>
    </row>
    <row r="522" spans="31:33" ht="11.25" hidden="1">
      <c r="AE522" s="490"/>
      <c r="AF522" s="490"/>
      <c r="AG522" s="490"/>
    </row>
    <row r="523" spans="31:33" ht="11.25" hidden="1">
      <c r="AE523" s="490"/>
      <c r="AF523" s="490"/>
      <c r="AG523" s="490"/>
    </row>
    <row r="524" spans="31:33" ht="11.25" hidden="1">
      <c r="AE524" s="490"/>
      <c r="AF524" s="490"/>
      <c r="AG524" s="490"/>
    </row>
    <row r="525" spans="31:33" ht="11.25" hidden="1">
      <c r="AE525" s="490"/>
      <c r="AF525" s="490"/>
      <c r="AG525" s="490"/>
    </row>
    <row r="526" spans="31:33" ht="11.25" hidden="1">
      <c r="AE526" s="490"/>
      <c r="AF526" s="490"/>
      <c r="AG526" s="490"/>
    </row>
    <row r="527" spans="31:33" ht="11.25" hidden="1">
      <c r="AE527" s="490"/>
      <c r="AF527" s="490"/>
      <c r="AG527" s="490"/>
    </row>
    <row r="528" spans="31:33" ht="11.25" hidden="1">
      <c r="AE528" s="490"/>
      <c r="AF528" s="490"/>
      <c r="AG528" s="490"/>
    </row>
    <row r="529" spans="31:33" ht="11.25" hidden="1">
      <c r="AE529" s="490"/>
      <c r="AF529" s="490"/>
      <c r="AG529" s="490"/>
    </row>
    <row r="530" spans="31:33" ht="11.25" hidden="1">
      <c r="AE530" s="490"/>
      <c r="AF530" s="490"/>
      <c r="AG530" s="490"/>
    </row>
    <row r="531" spans="31:33" ht="11.25" hidden="1">
      <c r="AE531" s="490"/>
      <c r="AF531" s="490"/>
      <c r="AG531" s="490"/>
    </row>
    <row r="532" spans="31:33" ht="11.25" hidden="1">
      <c r="AE532" s="490"/>
      <c r="AF532" s="490"/>
      <c r="AG532" s="490"/>
    </row>
    <row r="533" spans="31:33" ht="11.25" hidden="1">
      <c r="AE533" s="490"/>
      <c r="AF533" s="490"/>
      <c r="AG533" s="490"/>
    </row>
    <row r="534" spans="31:33" ht="11.25" hidden="1">
      <c r="AE534" s="490"/>
      <c r="AF534" s="490"/>
      <c r="AG534" s="490"/>
    </row>
    <row r="535" spans="31:33" ht="11.25" hidden="1">
      <c r="AE535" s="490"/>
      <c r="AF535" s="490"/>
      <c r="AG535" s="490"/>
    </row>
    <row r="536" spans="31:33" ht="11.25" hidden="1">
      <c r="AE536" s="490"/>
      <c r="AF536" s="490"/>
      <c r="AG536" s="490"/>
    </row>
    <row r="537" spans="31:33" ht="11.25" hidden="1">
      <c r="AE537" s="490"/>
      <c r="AF537" s="490"/>
      <c r="AG537" s="490"/>
    </row>
    <row r="538" spans="31:33" ht="11.25" hidden="1">
      <c r="AE538" s="490"/>
      <c r="AF538" s="490"/>
      <c r="AG538" s="490"/>
    </row>
    <row r="539" spans="31:33" ht="11.25" hidden="1">
      <c r="AE539" s="490"/>
      <c r="AF539" s="490"/>
      <c r="AG539" s="490"/>
    </row>
    <row r="540" spans="31:33" ht="11.25" hidden="1">
      <c r="AE540" s="490"/>
      <c r="AF540" s="490"/>
      <c r="AG540" s="490"/>
    </row>
    <row r="541" spans="31:33" ht="11.25" hidden="1">
      <c r="AE541" s="490"/>
      <c r="AF541" s="490"/>
      <c r="AG541" s="490"/>
    </row>
    <row r="542" spans="31:33" ht="11.25" hidden="1">
      <c r="AE542" s="490"/>
      <c r="AF542" s="490"/>
      <c r="AG542" s="490"/>
    </row>
    <row r="543" spans="31:33" ht="11.25" hidden="1">
      <c r="AE543" s="490"/>
      <c r="AF543" s="490"/>
      <c r="AG543" s="490"/>
    </row>
    <row r="544" spans="31:33" ht="11.25" hidden="1">
      <c r="AE544" s="490"/>
      <c r="AF544" s="490"/>
      <c r="AG544" s="490"/>
    </row>
    <row r="545" spans="31:33" ht="11.25" hidden="1">
      <c r="AE545" s="490"/>
      <c r="AF545" s="490"/>
      <c r="AG545" s="490"/>
    </row>
    <row r="546" spans="31:33" ht="11.25" hidden="1">
      <c r="AE546" s="490"/>
      <c r="AF546" s="490"/>
      <c r="AG546" s="490"/>
    </row>
    <row r="547" spans="31:33" ht="11.25" hidden="1">
      <c r="AE547" s="490"/>
      <c r="AF547" s="490"/>
      <c r="AG547" s="490"/>
    </row>
    <row r="548" spans="31:33" ht="11.25" hidden="1">
      <c r="AE548" s="490"/>
      <c r="AF548" s="490"/>
      <c r="AG548" s="490"/>
    </row>
    <row r="549" spans="31:33" ht="11.25" hidden="1">
      <c r="AE549" s="490"/>
      <c r="AF549" s="490"/>
      <c r="AG549" s="490"/>
    </row>
    <row r="550" spans="31:33" ht="11.25" hidden="1">
      <c r="AE550" s="490"/>
      <c r="AF550" s="490"/>
      <c r="AG550" s="490"/>
    </row>
    <row r="551" spans="31:33" ht="11.25" hidden="1">
      <c r="AE551" s="490"/>
      <c r="AF551" s="490"/>
      <c r="AG551" s="490"/>
    </row>
    <row r="552" spans="31:33" ht="11.25" hidden="1">
      <c r="AE552" s="490"/>
      <c r="AF552" s="490"/>
      <c r="AG552" s="490"/>
    </row>
    <row r="553" spans="31:33" ht="11.25" hidden="1">
      <c r="AE553" s="490"/>
      <c r="AF553" s="490"/>
      <c r="AG553" s="490"/>
    </row>
    <row r="554" spans="31:33" ht="11.25" hidden="1">
      <c r="AE554" s="490"/>
      <c r="AF554" s="490"/>
      <c r="AG554" s="490"/>
    </row>
    <row r="555" spans="31:33" ht="11.25" hidden="1">
      <c r="AE555" s="490"/>
      <c r="AF555" s="490"/>
      <c r="AG555" s="490"/>
    </row>
    <row r="556" spans="31:33" ht="11.25" hidden="1">
      <c r="AE556" s="490"/>
      <c r="AF556" s="490"/>
      <c r="AG556" s="490"/>
    </row>
    <row r="557" spans="31:33" ht="11.25" hidden="1">
      <c r="AE557" s="490"/>
      <c r="AF557" s="490"/>
      <c r="AG557" s="490"/>
    </row>
    <row r="558" spans="31:33" ht="11.25" hidden="1">
      <c r="AE558" s="490"/>
      <c r="AF558" s="490"/>
      <c r="AG558" s="490"/>
    </row>
    <row r="559" spans="31:33" ht="11.25" hidden="1">
      <c r="AE559" s="490"/>
      <c r="AF559" s="490"/>
      <c r="AG559" s="490"/>
    </row>
    <row r="560" spans="31:33" ht="11.25" hidden="1">
      <c r="AE560" s="490"/>
      <c r="AF560" s="490"/>
      <c r="AG560" s="490"/>
    </row>
    <row r="561" spans="31:33" ht="11.25" hidden="1">
      <c r="AE561" s="490"/>
      <c r="AF561" s="490"/>
      <c r="AG561" s="490"/>
    </row>
    <row r="562" spans="31:33" ht="11.25" hidden="1">
      <c r="AE562" s="490"/>
      <c r="AF562" s="490"/>
      <c r="AG562" s="490"/>
    </row>
    <row r="563" spans="31:33" ht="11.25" hidden="1">
      <c r="AE563" s="490"/>
      <c r="AF563" s="490"/>
      <c r="AG563" s="490"/>
    </row>
    <row r="564" spans="31:33" ht="11.25" hidden="1">
      <c r="AE564" s="490"/>
      <c r="AF564" s="490"/>
      <c r="AG564" s="490"/>
    </row>
    <row r="565" spans="31:33" ht="11.25" hidden="1">
      <c r="AE565" s="490"/>
      <c r="AF565" s="490"/>
      <c r="AG565" s="490"/>
    </row>
    <row r="566" spans="31:33" ht="11.25" hidden="1">
      <c r="AE566" s="490"/>
      <c r="AF566" s="490"/>
      <c r="AG566" s="490"/>
    </row>
    <row r="567" spans="31:33" ht="11.25" hidden="1">
      <c r="AE567" s="490"/>
      <c r="AF567" s="490"/>
      <c r="AG567" s="490"/>
    </row>
    <row r="568" spans="31:33" ht="11.25" hidden="1">
      <c r="AE568" s="490"/>
      <c r="AF568" s="490"/>
      <c r="AG568" s="490"/>
    </row>
    <row r="569" spans="31:33" ht="11.25" hidden="1">
      <c r="AE569" s="490"/>
      <c r="AF569" s="490"/>
      <c r="AG569" s="490"/>
    </row>
    <row r="570" spans="31:33" ht="11.25" hidden="1">
      <c r="AE570" s="490"/>
      <c r="AF570" s="490"/>
      <c r="AG570" s="490"/>
    </row>
    <row r="571" spans="31:33" ht="11.25" hidden="1">
      <c r="AE571" s="490"/>
      <c r="AF571" s="490"/>
      <c r="AG571" s="490"/>
    </row>
    <row r="572" spans="31:33" ht="11.25" hidden="1">
      <c r="AE572" s="490"/>
      <c r="AF572" s="490"/>
      <c r="AG572" s="490"/>
    </row>
    <row r="573" spans="31:33" ht="11.25" hidden="1">
      <c r="AE573" s="490"/>
      <c r="AF573" s="490"/>
      <c r="AG573" s="490"/>
    </row>
    <row r="574" spans="31:33" ht="11.25" hidden="1">
      <c r="AE574" s="490"/>
      <c r="AF574" s="490"/>
      <c r="AG574" s="490"/>
    </row>
    <row r="575" spans="31:33" ht="11.25" hidden="1">
      <c r="AE575" s="490"/>
      <c r="AF575" s="490"/>
      <c r="AG575" s="490"/>
    </row>
    <row r="576" spans="31:33" ht="11.25" hidden="1">
      <c r="AE576" s="490"/>
      <c r="AF576" s="490"/>
      <c r="AG576" s="490"/>
    </row>
    <row r="577" spans="31:33" ht="11.25" hidden="1">
      <c r="AE577" s="490"/>
      <c r="AF577" s="490"/>
      <c r="AG577" s="490"/>
    </row>
    <row r="578" spans="31:33" ht="11.25" hidden="1">
      <c r="AE578" s="490"/>
      <c r="AF578" s="490"/>
      <c r="AG578" s="490"/>
    </row>
    <row r="579" spans="31:33" ht="11.25" hidden="1">
      <c r="AE579" s="490"/>
      <c r="AF579" s="490"/>
      <c r="AG579" s="490"/>
    </row>
    <row r="580" spans="31:33" ht="11.25" hidden="1">
      <c r="AE580" s="490"/>
      <c r="AF580" s="490"/>
      <c r="AG580" s="490"/>
    </row>
    <row r="581" spans="31:33" ht="11.25" hidden="1">
      <c r="AE581" s="490"/>
      <c r="AF581" s="490"/>
      <c r="AG581" s="490"/>
    </row>
    <row r="582" spans="31:33" ht="11.25" hidden="1">
      <c r="AE582" s="490"/>
      <c r="AF582" s="490"/>
      <c r="AG582" s="490"/>
    </row>
    <row r="583" spans="31:33" ht="11.25" hidden="1">
      <c r="AE583" s="490"/>
      <c r="AF583" s="490"/>
      <c r="AG583" s="490"/>
    </row>
    <row r="584" spans="31:33" ht="11.25" hidden="1">
      <c r="AE584" s="490"/>
      <c r="AF584" s="490"/>
      <c r="AG584" s="490"/>
    </row>
    <row r="585" spans="31:33" ht="11.25" hidden="1">
      <c r="AE585" s="490"/>
      <c r="AF585" s="490"/>
      <c r="AG585" s="490"/>
    </row>
    <row r="586" spans="31:33" ht="11.25" hidden="1">
      <c r="AE586" s="490"/>
      <c r="AF586" s="490"/>
      <c r="AG586" s="490"/>
    </row>
    <row r="587" spans="31:33" ht="11.25" hidden="1">
      <c r="AE587" s="490"/>
      <c r="AF587" s="490"/>
      <c r="AG587" s="490"/>
    </row>
    <row r="588" spans="31:33" ht="11.25" hidden="1">
      <c r="AE588" s="490"/>
      <c r="AF588" s="490"/>
      <c r="AG588" s="490"/>
    </row>
    <row r="589" spans="31:33" ht="11.25" hidden="1">
      <c r="AE589" s="490"/>
      <c r="AF589" s="490"/>
      <c r="AG589" s="490"/>
    </row>
    <row r="590" spans="31:33" ht="11.25" hidden="1">
      <c r="AE590" s="490"/>
      <c r="AF590" s="490"/>
      <c r="AG590" s="490"/>
    </row>
    <row r="591" spans="31:33" ht="11.25" hidden="1">
      <c r="AE591" s="490"/>
      <c r="AF591" s="490"/>
      <c r="AG591" s="490"/>
    </row>
    <row r="592" spans="31:33" ht="11.25" hidden="1">
      <c r="AE592" s="490"/>
      <c r="AF592" s="490"/>
      <c r="AG592" s="490"/>
    </row>
    <row r="593" spans="31:33" ht="11.25" hidden="1">
      <c r="AE593" s="490"/>
      <c r="AF593" s="490"/>
      <c r="AG593" s="490"/>
    </row>
    <row r="594" spans="31:33" ht="11.25" hidden="1">
      <c r="AE594" s="490"/>
      <c r="AF594" s="490"/>
      <c r="AG594" s="490"/>
    </row>
    <row r="595" spans="31:33" ht="11.25" hidden="1">
      <c r="AE595" s="490"/>
      <c r="AF595" s="490"/>
      <c r="AG595" s="490"/>
    </row>
    <row r="596" spans="31:33" ht="11.25" hidden="1">
      <c r="AE596" s="490"/>
      <c r="AF596" s="490"/>
      <c r="AG596" s="490"/>
    </row>
    <row r="597" spans="31:33" ht="11.25" hidden="1">
      <c r="AE597" s="490"/>
      <c r="AF597" s="490"/>
      <c r="AG597" s="490"/>
    </row>
    <row r="598" spans="31:33" ht="11.25" hidden="1">
      <c r="AE598" s="490"/>
      <c r="AF598" s="490"/>
      <c r="AG598" s="490"/>
    </row>
    <row r="599" spans="31:33" ht="11.25" hidden="1">
      <c r="AE599" s="490"/>
      <c r="AF599" s="490"/>
      <c r="AG599" s="490"/>
    </row>
    <row r="600" spans="31:33" ht="11.25" hidden="1">
      <c r="AE600" s="490"/>
      <c r="AF600" s="490"/>
      <c r="AG600" s="490"/>
    </row>
    <row r="601" spans="31:33" ht="11.25" hidden="1">
      <c r="AE601" s="490"/>
      <c r="AF601" s="490"/>
      <c r="AG601" s="490"/>
    </row>
    <row r="602" spans="31:33" ht="11.25" hidden="1">
      <c r="AE602" s="490"/>
      <c r="AF602" s="490"/>
      <c r="AG602" s="490"/>
    </row>
    <row r="603" spans="31:33" ht="11.25" hidden="1">
      <c r="AE603" s="490"/>
      <c r="AF603" s="490"/>
      <c r="AG603" s="490"/>
    </row>
    <row r="604" spans="31:33" ht="11.25" hidden="1">
      <c r="AE604" s="490"/>
      <c r="AF604" s="490"/>
      <c r="AG604" s="490"/>
    </row>
    <row r="605" spans="31:33" ht="11.25" hidden="1">
      <c r="AE605" s="490"/>
      <c r="AF605" s="490"/>
      <c r="AG605" s="490"/>
    </row>
    <row r="606" spans="31:33" ht="11.25" hidden="1">
      <c r="AE606" s="490"/>
      <c r="AF606" s="490"/>
      <c r="AG606" s="490"/>
    </row>
    <row r="607" spans="31:33" ht="11.25" hidden="1">
      <c r="AE607" s="490"/>
      <c r="AF607" s="490"/>
      <c r="AG607" s="490"/>
    </row>
    <row r="608" spans="31:33" ht="11.25" hidden="1">
      <c r="AE608" s="490"/>
      <c r="AF608" s="490"/>
      <c r="AG608" s="490"/>
    </row>
    <row r="609" spans="31:33" ht="11.25" hidden="1">
      <c r="AE609" s="490"/>
      <c r="AF609" s="490"/>
      <c r="AG609" s="490"/>
    </row>
    <row r="610" spans="31:33" ht="11.25" hidden="1">
      <c r="AE610" s="490"/>
      <c r="AF610" s="490"/>
      <c r="AG610" s="490"/>
    </row>
    <row r="611" spans="31:33" ht="11.25" hidden="1">
      <c r="AE611" s="490"/>
      <c r="AF611" s="490"/>
      <c r="AG611" s="490"/>
    </row>
    <row r="612" spans="31:33" ht="11.25" hidden="1">
      <c r="AE612" s="490"/>
      <c r="AF612" s="490"/>
      <c r="AG612" s="490"/>
    </row>
    <row r="613" spans="31:33" ht="11.25" hidden="1">
      <c r="AE613" s="490"/>
      <c r="AF613" s="490"/>
      <c r="AG613" s="490"/>
    </row>
    <row r="614" spans="31:33" ht="11.25" hidden="1">
      <c r="AE614" s="490"/>
      <c r="AF614" s="490"/>
      <c r="AG614" s="490"/>
    </row>
    <row r="615" spans="31:33" ht="11.25" hidden="1">
      <c r="AE615" s="490"/>
      <c r="AF615" s="490"/>
      <c r="AG615" s="490"/>
    </row>
    <row r="616" spans="31:33" ht="11.25" hidden="1">
      <c r="AE616" s="490"/>
      <c r="AF616" s="490"/>
      <c r="AG616" s="490"/>
    </row>
    <row r="617" spans="31:33" ht="11.25" hidden="1">
      <c r="AE617" s="490"/>
      <c r="AF617" s="490"/>
      <c r="AG617" s="490"/>
    </row>
    <row r="618" spans="31:33" ht="11.25" hidden="1">
      <c r="AE618" s="490"/>
      <c r="AF618" s="490"/>
      <c r="AG618" s="490"/>
    </row>
    <row r="619" spans="31:33" ht="11.25" hidden="1">
      <c r="AE619" s="490"/>
      <c r="AF619" s="490"/>
      <c r="AG619" s="490"/>
    </row>
    <row r="620" spans="31:33" ht="11.25" hidden="1">
      <c r="AE620" s="490"/>
      <c r="AF620" s="490"/>
      <c r="AG620" s="490"/>
    </row>
    <row r="621" spans="31:33" ht="11.25" hidden="1">
      <c r="AE621" s="490"/>
      <c r="AF621" s="490"/>
      <c r="AG621" s="490"/>
    </row>
    <row r="622" spans="31:33" ht="11.25" hidden="1">
      <c r="AE622" s="490"/>
      <c r="AF622" s="490"/>
      <c r="AG622" s="490"/>
    </row>
    <row r="623" spans="31:33" ht="11.25" hidden="1">
      <c r="AE623" s="490"/>
      <c r="AF623" s="490"/>
      <c r="AG623" s="490"/>
    </row>
    <row r="624" spans="31:33" ht="11.25" hidden="1">
      <c r="AE624" s="490"/>
      <c r="AF624" s="490"/>
      <c r="AG624" s="490"/>
    </row>
    <row r="625" spans="31:33" ht="11.25" hidden="1">
      <c r="AE625" s="490"/>
      <c r="AF625" s="490"/>
      <c r="AG625" s="490"/>
    </row>
    <row r="626" spans="31:33" ht="11.25" hidden="1">
      <c r="AE626" s="490"/>
      <c r="AF626" s="490"/>
      <c r="AG626" s="490"/>
    </row>
    <row r="627" spans="31:33" ht="11.25" hidden="1">
      <c r="AE627" s="490"/>
      <c r="AF627" s="490"/>
      <c r="AG627" s="490"/>
    </row>
    <row r="628" spans="31:33" ht="11.25" hidden="1">
      <c r="AE628" s="490"/>
      <c r="AF628" s="490"/>
      <c r="AG628" s="490"/>
    </row>
    <row r="629" spans="31:33" ht="11.25" hidden="1">
      <c r="AE629" s="490"/>
      <c r="AF629" s="490"/>
      <c r="AG629" s="490"/>
    </row>
    <row r="630" spans="31:33" ht="11.25" hidden="1">
      <c r="AE630" s="490"/>
      <c r="AF630" s="490"/>
      <c r="AG630" s="490"/>
    </row>
    <row r="631" spans="31:33" ht="11.25" hidden="1">
      <c r="AE631" s="490"/>
      <c r="AF631" s="490"/>
      <c r="AG631" s="490"/>
    </row>
    <row r="632" spans="31:33" ht="11.25" hidden="1">
      <c r="AE632" s="490"/>
      <c r="AF632" s="490"/>
      <c r="AG632" s="490"/>
    </row>
    <row r="633" spans="31:33" ht="11.25" hidden="1">
      <c r="AE633" s="490"/>
      <c r="AF633" s="490"/>
      <c r="AG633" s="490"/>
    </row>
    <row r="634" spans="31:33" ht="11.25" hidden="1">
      <c r="AE634" s="490"/>
      <c r="AF634" s="490"/>
      <c r="AG634" s="490"/>
    </row>
    <row r="635" spans="31:33" ht="11.25" hidden="1">
      <c r="AE635" s="490"/>
      <c r="AF635" s="490"/>
      <c r="AG635" s="490"/>
    </row>
    <row r="636" spans="31:33" ht="11.25" hidden="1">
      <c r="AE636" s="490"/>
      <c r="AF636" s="490"/>
      <c r="AG636" s="490"/>
    </row>
    <row r="637" spans="31:33" ht="11.25" hidden="1">
      <c r="AE637" s="490"/>
      <c r="AF637" s="490"/>
      <c r="AG637" s="490"/>
    </row>
    <row r="638" spans="31:33" ht="11.25" hidden="1">
      <c r="AE638" s="490"/>
      <c r="AF638" s="490"/>
      <c r="AG638" s="490"/>
    </row>
    <row r="639" spans="31:33" ht="11.25" hidden="1">
      <c r="AE639" s="490"/>
      <c r="AF639" s="490"/>
      <c r="AG639" s="490"/>
    </row>
    <row r="640" spans="31:33" ht="11.25" hidden="1">
      <c r="AE640" s="490"/>
      <c r="AF640" s="490"/>
      <c r="AG640" s="490"/>
    </row>
    <row r="641" spans="31:33" ht="11.25" hidden="1">
      <c r="AE641" s="490"/>
      <c r="AF641" s="490"/>
      <c r="AG641" s="490"/>
    </row>
    <row r="642" spans="31:33" ht="11.25" hidden="1">
      <c r="AE642" s="490"/>
      <c r="AF642" s="490"/>
      <c r="AG642" s="490"/>
    </row>
    <row r="643" spans="31:33" ht="11.25" hidden="1">
      <c r="AE643" s="490"/>
      <c r="AF643" s="490"/>
      <c r="AG643" s="490"/>
    </row>
    <row r="644" spans="31:33" ht="11.25" hidden="1">
      <c r="AE644" s="490"/>
      <c r="AF644" s="490"/>
      <c r="AG644" s="490"/>
    </row>
    <row r="645" spans="31:33" ht="11.25" hidden="1">
      <c r="AE645" s="490"/>
      <c r="AF645" s="490"/>
      <c r="AG645" s="490"/>
    </row>
    <row r="646" spans="31:33" ht="11.25" hidden="1">
      <c r="AE646" s="490"/>
      <c r="AF646" s="490"/>
      <c r="AG646" s="490"/>
    </row>
    <row r="647" spans="31:33" ht="11.25" hidden="1">
      <c r="AE647" s="490"/>
      <c r="AF647" s="490"/>
      <c r="AG647" s="490"/>
    </row>
    <row r="648" spans="31:33" ht="11.25" hidden="1">
      <c r="AE648" s="490"/>
      <c r="AF648" s="490"/>
      <c r="AG648" s="490"/>
    </row>
    <row r="649" spans="31:33" ht="11.25" hidden="1">
      <c r="AE649" s="490"/>
      <c r="AF649" s="490"/>
      <c r="AG649" s="490"/>
    </row>
    <row r="650" spans="31:33" ht="11.25" hidden="1">
      <c r="AE650" s="490"/>
      <c r="AF650" s="490"/>
      <c r="AG650" s="490"/>
    </row>
    <row r="651" spans="31:33" ht="11.25" hidden="1">
      <c r="AE651" s="490"/>
      <c r="AF651" s="490"/>
      <c r="AG651" s="490"/>
    </row>
    <row r="652" spans="31:33" ht="11.25" hidden="1">
      <c r="AE652" s="490"/>
      <c r="AF652" s="490"/>
      <c r="AG652" s="490"/>
    </row>
    <row r="653" spans="31:33" ht="11.25" hidden="1">
      <c r="AE653" s="490"/>
      <c r="AF653" s="490"/>
      <c r="AG653" s="490"/>
    </row>
    <row r="654" spans="31:33" ht="11.25" hidden="1">
      <c r="AE654" s="490"/>
      <c r="AF654" s="490"/>
      <c r="AG654" s="490"/>
    </row>
    <row r="655" spans="31:33" ht="11.25" hidden="1">
      <c r="AE655" s="490"/>
      <c r="AF655" s="490"/>
      <c r="AG655" s="490"/>
    </row>
    <row r="656" spans="31:33" ht="11.25" hidden="1">
      <c r="AE656" s="490"/>
      <c r="AF656" s="490"/>
      <c r="AG656" s="490"/>
    </row>
    <row r="657" spans="31:33" ht="11.25" hidden="1">
      <c r="AE657" s="490"/>
      <c r="AF657" s="490"/>
      <c r="AG657" s="490"/>
    </row>
    <row r="658" spans="31:33" ht="11.25" hidden="1">
      <c r="AE658" s="490"/>
      <c r="AF658" s="490"/>
      <c r="AG658" s="490"/>
    </row>
    <row r="659" spans="31:33" ht="11.25" hidden="1">
      <c r="AE659" s="490"/>
      <c r="AF659" s="490"/>
      <c r="AG659" s="490"/>
    </row>
    <row r="660" spans="31:33" ht="11.25" hidden="1">
      <c r="AE660" s="490"/>
      <c r="AF660" s="490"/>
      <c r="AG660" s="490"/>
    </row>
    <row r="661" spans="31:33" ht="11.25" hidden="1">
      <c r="AE661" s="490"/>
      <c r="AF661" s="490"/>
      <c r="AG661" s="490"/>
    </row>
    <row r="662" spans="31:33" ht="11.25" hidden="1">
      <c r="AE662" s="490"/>
      <c r="AF662" s="490"/>
      <c r="AG662" s="490"/>
    </row>
    <row r="663" spans="31:33" ht="11.25" hidden="1">
      <c r="AE663" s="490"/>
      <c r="AF663" s="490"/>
      <c r="AG663" s="490"/>
    </row>
    <row r="664" spans="31:33" ht="11.25" hidden="1">
      <c r="AE664" s="490"/>
      <c r="AF664" s="490"/>
      <c r="AG664" s="490"/>
    </row>
    <row r="665" spans="31:33" ht="11.25" hidden="1">
      <c r="AE665" s="490"/>
      <c r="AF665" s="490"/>
      <c r="AG665" s="490"/>
    </row>
    <row r="666" spans="31:33" ht="11.25" hidden="1">
      <c r="AE666" s="490"/>
      <c r="AF666" s="490"/>
      <c r="AG666" s="490"/>
    </row>
    <row r="667" spans="31:33" ht="11.25" hidden="1">
      <c r="AE667" s="490"/>
      <c r="AF667" s="490"/>
      <c r="AG667" s="490"/>
    </row>
    <row r="668" spans="31:33" ht="11.25" hidden="1">
      <c r="AE668" s="490"/>
      <c r="AF668" s="490"/>
      <c r="AG668" s="490"/>
    </row>
    <row r="669" spans="31:33" ht="11.25" hidden="1">
      <c r="AE669" s="490"/>
      <c r="AF669" s="490"/>
      <c r="AG669" s="490"/>
    </row>
    <row r="670" spans="31:33" ht="11.25" hidden="1">
      <c r="AE670" s="490"/>
      <c r="AF670" s="490"/>
      <c r="AG670" s="490"/>
    </row>
    <row r="671" spans="31:33" ht="11.25" hidden="1">
      <c r="AE671" s="490"/>
      <c r="AF671" s="490"/>
      <c r="AG671" s="490"/>
    </row>
    <row r="672" spans="31:33" ht="11.25" hidden="1">
      <c r="AE672" s="490"/>
      <c r="AF672" s="490"/>
      <c r="AG672" s="490"/>
    </row>
    <row r="673" spans="31:33" ht="11.25" hidden="1">
      <c r="AE673" s="490"/>
      <c r="AF673" s="490"/>
      <c r="AG673" s="490"/>
    </row>
    <row r="674" spans="31:33" ht="11.25" hidden="1">
      <c r="AE674" s="490"/>
      <c r="AF674" s="490"/>
      <c r="AG674" s="490"/>
    </row>
    <row r="675" spans="31:33" ht="11.25" hidden="1">
      <c r="AE675" s="490"/>
      <c r="AF675" s="490"/>
      <c r="AG675" s="490"/>
    </row>
    <row r="676" spans="31:33" ht="11.25" hidden="1">
      <c r="AE676" s="490"/>
      <c r="AF676" s="490"/>
      <c r="AG676" s="490"/>
    </row>
    <row r="677" spans="31:33" ht="11.25" hidden="1">
      <c r="AE677" s="490"/>
      <c r="AF677" s="490"/>
      <c r="AG677" s="490"/>
    </row>
    <row r="678" spans="31:33" ht="11.25" hidden="1">
      <c r="AE678" s="490"/>
      <c r="AF678" s="490"/>
      <c r="AG678" s="490"/>
    </row>
    <row r="679" spans="31:33" ht="11.25" hidden="1">
      <c r="AE679" s="490"/>
      <c r="AF679" s="490"/>
      <c r="AG679" s="490"/>
    </row>
    <row r="680" spans="31:33" ht="11.25" hidden="1">
      <c r="AE680" s="490"/>
      <c r="AF680" s="490"/>
      <c r="AG680" s="490"/>
    </row>
    <row r="681" spans="31:33" ht="11.25" hidden="1">
      <c r="AE681" s="490"/>
      <c r="AF681" s="490"/>
      <c r="AG681" s="490"/>
    </row>
    <row r="682" spans="31:33" ht="11.25" hidden="1">
      <c r="AE682" s="490"/>
      <c r="AF682" s="490"/>
      <c r="AG682" s="490"/>
    </row>
    <row r="683" spans="31:33" ht="11.25" hidden="1">
      <c r="AE683" s="490"/>
      <c r="AF683" s="490"/>
      <c r="AG683" s="490"/>
    </row>
    <row r="684" spans="31:33" ht="11.25" hidden="1">
      <c r="AE684" s="490"/>
      <c r="AF684" s="490"/>
      <c r="AG684" s="490"/>
    </row>
    <row r="685" spans="31:33" ht="11.25" hidden="1">
      <c r="AE685" s="490"/>
      <c r="AF685" s="490"/>
      <c r="AG685" s="490"/>
    </row>
    <row r="686" spans="31:33" ht="11.25" hidden="1">
      <c r="AE686" s="490"/>
      <c r="AF686" s="490"/>
      <c r="AG686" s="490"/>
    </row>
    <row r="687" spans="31:33" ht="11.25" hidden="1">
      <c r="AE687" s="490"/>
      <c r="AF687" s="490"/>
      <c r="AG687" s="490"/>
    </row>
    <row r="688" spans="31:33" ht="11.25" hidden="1">
      <c r="AE688" s="490"/>
      <c r="AF688" s="490"/>
      <c r="AG688" s="490"/>
    </row>
    <row r="689" spans="31:33" ht="11.25" hidden="1">
      <c r="AE689" s="490"/>
      <c r="AF689" s="490"/>
      <c r="AG689" s="490"/>
    </row>
    <row r="690" spans="31:33" ht="11.25" hidden="1">
      <c r="AE690" s="490"/>
      <c r="AF690" s="490"/>
      <c r="AG690" s="490"/>
    </row>
    <row r="691" spans="31:33" ht="11.25" hidden="1">
      <c r="AE691" s="490"/>
      <c r="AF691" s="490"/>
      <c r="AG691" s="490"/>
    </row>
    <row r="692" spans="31:33" ht="11.25" hidden="1">
      <c r="AE692" s="490"/>
      <c r="AF692" s="490"/>
      <c r="AG692" s="490"/>
    </row>
    <row r="693" spans="31:33" ht="11.25" hidden="1">
      <c r="AE693" s="490"/>
      <c r="AF693" s="490"/>
      <c r="AG693" s="490"/>
    </row>
    <row r="694" spans="31:33" ht="11.25" hidden="1">
      <c r="AE694" s="490"/>
      <c r="AF694" s="490"/>
      <c r="AG694" s="490"/>
    </row>
    <row r="695" spans="31:33" ht="11.25" hidden="1">
      <c r="AE695" s="490"/>
      <c r="AF695" s="490"/>
      <c r="AG695" s="490"/>
    </row>
    <row r="696" spans="31:33" ht="11.25" hidden="1">
      <c r="AE696" s="490"/>
      <c r="AF696" s="490"/>
      <c r="AG696" s="490"/>
    </row>
    <row r="697" spans="31:33" ht="11.25" hidden="1">
      <c r="AE697" s="490"/>
      <c r="AF697" s="490"/>
      <c r="AG697" s="490"/>
    </row>
    <row r="698" spans="31:33" ht="11.25" hidden="1">
      <c r="AE698" s="490"/>
      <c r="AF698" s="490"/>
      <c r="AG698" s="490"/>
    </row>
    <row r="699" spans="31:33" ht="11.25" hidden="1">
      <c r="AE699" s="490"/>
      <c r="AF699" s="490"/>
      <c r="AG699" s="490"/>
    </row>
    <row r="700" spans="31:33" ht="11.25" hidden="1">
      <c r="AE700" s="490"/>
      <c r="AF700" s="490"/>
      <c r="AG700" s="490"/>
    </row>
    <row r="701" spans="31:33" ht="11.25" hidden="1">
      <c r="AE701" s="490"/>
      <c r="AF701" s="490"/>
      <c r="AG701" s="490"/>
    </row>
    <row r="702" spans="31:33" ht="11.25" hidden="1">
      <c r="AE702" s="490"/>
      <c r="AF702" s="490"/>
      <c r="AG702" s="490"/>
    </row>
    <row r="703" spans="31:33" ht="11.25" hidden="1">
      <c r="AE703" s="490"/>
      <c r="AF703" s="490"/>
      <c r="AG703" s="490"/>
    </row>
    <row r="704" spans="31:33" ht="11.25" hidden="1">
      <c r="AE704" s="490"/>
      <c r="AF704" s="490"/>
      <c r="AG704" s="490"/>
    </row>
    <row r="705" spans="31:33" ht="11.25" hidden="1">
      <c r="AE705" s="490"/>
      <c r="AF705" s="490"/>
      <c r="AG705" s="490"/>
    </row>
    <row r="706" spans="31:33" ht="11.25" hidden="1">
      <c r="AE706" s="490"/>
      <c r="AF706" s="490"/>
      <c r="AG706" s="490"/>
    </row>
    <row r="707" spans="31:33" ht="11.25" hidden="1">
      <c r="AE707" s="490"/>
      <c r="AF707" s="490"/>
      <c r="AG707" s="490"/>
    </row>
    <row r="708" spans="31:33" ht="11.25" hidden="1">
      <c r="AE708" s="490"/>
      <c r="AF708" s="490"/>
      <c r="AG708" s="490"/>
    </row>
    <row r="709" spans="31:33" ht="11.25" hidden="1">
      <c r="AE709" s="490"/>
      <c r="AF709" s="490"/>
      <c r="AG709" s="490"/>
    </row>
    <row r="710" spans="31:33" ht="11.25" hidden="1">
      <c r="AE710" s="490"/>
      <c r="AF710" s="490"/>
      <c r="AG710" s="490"/>
    </row>
    <row r="711" spans="31:33" ht="11.25" hidden="1">
      <c r="AE711" s="490"/>
      <c r="AF711" s="490"/>
      <c r="AG711" s="490"/>
    </row>
    <row r="712" spans="31:33" ht="11.25" hidden="1">
      <c r="AE712" s="490"/>
      <c r="AF712" s="490"/>
      <c r="AG712" s="490"/>
    </row>
    <row r="713" spans="31:33" ht="11.25" hidden="1">
      <c r="AE713" s="490"/>
      <c r="AF713" s="490"/>
      <c r="AG713" s="490"/>
    </row>
    <row r="714" spans="31:33" ht="11.25" hidden="1">
      <c r="AE714" s="490"/>
      <c r="AF714" s="490"/>
      <c r="AG714" s="490"/>
    </row>
    <row r="715" spans="31:33" ht="11.25" hidden="1">
      <c r="AE715" s="490"/>
      <c r="AF715" s="490"/>
      <c r="AG715" s="490"/>
    </row>
    <row r="716" spans="31:33" ht="11.25" hidden="1">
      <c r="AE716" s="490"/>
      <c r="AF716" s="490"/>
      <c r="AG716" s="490"/>
    </row>
    <row r="717" spans="31:33" ht="11.25" hidden="1">
      <c r="AE717" s="490"/>
      <c r="AF717" s="490"/>
      <c r="AG717" s="490"/>
    </row>
    <row r="718" spans="31:33" ht="11.25" hidden="1">
      <c r="AE718" s="490"/>
      <c r="AF718" s="490"/>
      <c r="AG718" s="490"/>
    </row>
    <row r="719" spans="31:33" ht="11.25" hidden="1">
      <c r="AE719" s="490"/>
      <c r="AF719" s="490"/>
      <c r="AG719" s="490"/>
    </row>
    <row r="720" spans="31:33" ht="11.25" hidden="1">
      <c r="AE720" s="490"/>
      <c r="AF720" s="490"/>
      <c r="AG720" s="490"/>
    </row>
    <row r="721" spans="31:33" ht="11.25" hidden="1">
      <c r="AE721" s="490"/>
      <c r="AF721" s="490"/>
      <c r="AG721" s="490"/>
    </row>
    <row r="722" spans="31:33" ht="11.25" hidden="1">
      <c r="AE722" s="490"/>
      <c r="AF722" s="490"/>
      <c r="AG722" s="490"/>
    </row>
    <row r="723" spans="31:33" ht="11.25" hidden="1">
      <c r="AE723" s="490"/>
      <c r="AF723" s="490"/>
      <c r="AG723" s="490"/>
    </row>
    <row r="724" spans="31:33" ht="11.25" hidden="1">
      <c r="AE724" s="490"/>
      <c r="AF724" s="490"/>
      <c r="AG724" s="490"/>
    </row>
    <row r="725" spans="31:33" ht="11.25" hidden="1">
      <c r="AE725" s="490"/>
      <c r="AF725" s="490"/>
      <c r="AG725" s="490"/>
    </row>
    <row r="726" spans="31:33" ht="11.25" hidden="1">
      <c r="AE726" s="490"/>
      <c r="AF726" s="490"/>
      <c r="AG726" s="490"/>
    </row>
    <row r="727" spans="31:33" ht="11.25" hidden="1">
      <c r="AE727" s="490"/>
      <c r="AF727" s="490"/>
      <c r="AG727" s="490"/>
    </row>
    <row r="728" spans="31:33" ht="11.25" hidden="1">
      <c r="AE728" s="490"/>
      <c r="AF728" s="490"/>
      <c r="AG728" s="490"/>
    </row>
    <row r="729" spans="31:33" ht="11.25" hidden="1">
      <c r="AE729" s="490"/>
      <c r="AF729" s="490"/>
      <c r="AG729" s="490"/>
    </row>
    <row r="730" spans="31:33" ht="11.25" hidden="1">
      <c r="AE730" s="490"/>
      <c r="AF730" s="490"/>
      <c r="AG730" s="490"/>
    </row>
    <row r="731" spans="31:33" ht="11.25" hidden="1">
      <c r="AE731" s="490"/>
      <c r="AF731" s="490"/>
      <c r="AG731" s="490"/>
    </row>
    <row r="732" spans="31:33" ht="11.25" hidden="1">
      <c r="AE732" s="490"/>
      <c r="AF732" s="490"/>
      <c r="AG732" s="490"/>
    </row>
    <row r="733" spans="31:33" ht="11.25" hidden="1">
      <c r="AE733" s="490"/>
      <c r="AF733" s="490"/>
      <c r="AG733" s="490"/>
    </row>
    <row r="734" spans="31:33" ht="11.25" hidden="1">
      <c r="AE734" s="490"/>
      <c r="AF734" s="490"/>
      <c r="AG734" s="490"/>
    </row>
    <row r="735" spans="31:33" ht="11.25" hidden="1">
      <c r="AE735" s="490"/>
      <c r="AF735" s="490"/>
      <c r="AG735" s="490"/>
    </row>
    <row r="736" spans="31:33" ht="11.25" hidden="1">
      <c r="AE736" s="490"/>
      <c r="AF736" s="490"/>
      <c r="AG736" s="490"/>
    </row>
    <row r="737" spans="31:33" ht="11.25" hidden="1">
      <c r="AE737" s="490"/>
      <c r="AF737" s="490"/>
      <c r="AG737" s="490"/>
    </row>
    <row r="738" spans="31:33" ht="11.25" hidden="1">
      <c r="AE738" s="490"/>
      <c r="AF738" s="490"/>
      <c r="AG738" s="490"/>
    </row>
    <row r="739" spans="31:33" ht="11.25" hidden="1">
      <c r="AE739" s="490"/>
      <c r="AF739" s="490"/>
      <c r="AG739" s="490"/>
    </row>
    <row r="740" spans="31:33" ht="11.25" hidden="1">
      <c r="AE740" s="490"/>
      <c r="AF740" s="490"/>
      <c r="AG740" s="490"/>
    </row>
    <row r="741" spans="31:33" ht="11.25" hidden="1">
      <c r="AE741" s="490"/>
      <c r="AF741" s="490"/>
      <c r="AG741" s="490"/>
    </row>
    <row r="742" spans="31:33" ht="11.25" hidden="1">
      <c r="AE742" s="490"/>
      <c r="AF742" s="490"/>
      <c r="AG742" s="490"/>
    </row>
    <row r="743" spans="31:33" ht="11.25" hidden="1">
      <c r="AE743" s="490"/>
      <c r="AF743" s="490"/>
      <c r="AG743" s="490"/>
    </row>
    <row r="744" spans="31:33" ht="11.25" hidden="1">
      <c r="AE744" s="490"/>
      <c r="AF744" s="490"/>
      <c r="AG744" s="490"/>
    </row>
    <row r="745" spans="31:33" ht="11.25" hidden="1">
      <c r="AE745" s="490"/>
      <c r="AF745" s="490"/>
      <c r="AG745" s="490"/>
    </row>
    <row r="746" spans="31:33" ht="11.25" hidden="1">
      <c r="AE746" s="490"/>
      <c r="AF746" s="490"/>
      <c r="AG746" s="490"/>
    </row>
    <row r="747" spans="31:33" ht="11.25" hidden="1">
      <c r="AE747" s="490"/>
      <c r="AF747" s="490"/>
      <c r="AG747" s="490"/>
    </row>
    <row r="748" spans="31:33" ht="11.25" hidden="1">
      <c r="AE748" s="490"/>
      <c r="AF748" s="490"/>
      <c r="AG748" s="490"/>
    </row>
    <row r="749" spans="31:33" ht="11.25" hidden="1">
      <c r="AE749" s="490"/>
      <c r="AF749" s="490"/>
      <c r="AG749" s="490"/>
    </row>
    <row r="750" spans="31:33" ht="11.25" hidden="1">
      <c r="AE750" s="490"/>
      <c r="AF750" s="490"/>
      <c r="AG750" s="490"/>
    </row>
    <row r="751" spans="31:33" ht="11.25" hidden="1">
      <c r="AE751" s="490"/>
      <c r="AF751" s="490"/>
      <c r="AG751" s="490"/>
    </row>
    <row r="752" spans="31:33" ht="11.25" hidden="1">
      <c r="AE752" s="490"/>
      <c r="AF752" s="490"/>
      <c r="AG752" s="490"/>
    </row>
    <row r="753" spans="31:33" ht="11.25" hidden="1">
      <c r="AE753" s="490"/>
      <c r="AF753" s="490"/>
      <c r="AG753" s="490"/>
    </row>
    <row r="754" spans="31:33" ht="11.25" hidden="1">
      <c r="AE754" s="490"/>
      <c r="AF754" s="490"/>
      <c r="AG754" s="490"/>
    </row>
    <row r="755" spans="31:33" ht="11.25" hidden="1">
      <c r="AE755" s="490"/>
      <c r="AF755" s="490"/>
      <c r="AG755" s="490"/>
    </row>
    <row r="756" spans="31:33" ht="11.25" hidden="1">
      <c r="AE756" s="490"/>
      <c r="AF756" s="490"/>
      <c r="AG756" s="490"/>
    </row>
    <row r="757" spans="31:33" ht="11.25" hidden="1">
      <c r="AE757" s="490"/>
      <c r="AF757" s="490"/>
      <c r="AG757" s="490"/>
    </row>
    <row r="758" spans="31:33" ht="11.25" hidden="1">
      <c r="AE758" s="490"/>
      <c r="AF758" s="490"/>
      <c r="AG758" s="490"/>
    </row>
    <row r="759" spans="31:33" ht="11.25" hidden="1">
      <c r="AE759" s="490"/>
      <c r="AF759" s="490"/>
      <c r="AG759" s="490"/>
    </row>
    <row r="760" spans="31:33" ht="11.25" hidden="1">
      <c r="AE760" s="490"/>
      <c r="AF760" s="490"/>
      <c r="AG760" s="490"/>
    </row>
    <row r="761" spans="31:33" ht="11.25" hidden="1">
      <c r="AE761" s="490"/>
      <c r="AF761" s="490"/>
      <c r="AG761" s="490"/>
    </row>
    <row r="762" spans="31:33" ht="11.25" hidden="1">
      <c r="AE762" s="490"/>
      <c r="AF762" s="490"/>
      <c r="AG762" s="490"/>
    </row>
    <row r="763" spans="31:33" ht="11.25" hidden="1">
      <c r="AE763" s="490"/>
      <c r="AF763" s="490"/>
      <c r="AG763" s="490"/>
    </row>
    <row r="764" spans="31:33" ht="11.25" hidden="1">
      <c r="AE764" s="490"/>
      <c r="AF764" s="490"/>
      <c r="AG764" s="490"/>
    </row>
    <row r="765" spans="31:33" ht="11.25" hidden="1">
      <c r="AE765" s="490"/>
      <c r="AF765" s="490"/>
      <c r="AG765" s="490"/>
    </row>
    <row r="766" spans="31:33" ht="11.25" hidden="1">
      <c r="AE766" s="490"/>
      <c r="AF766" s="490"/>
      <c r="AG766" s="490"/>
    </row>
    <row r="767" spans="31:33" ht="11.25" hidden="1">
      <c r="AE767" s="490"/>
      <c r="AF767" s="490"/>
      <c r="AG767" s="490"/>
    </row>
    <row r="768" spans="31:33" ht="11.25" hidden="1">
      <c r="AE768" s="490"/>
      <c r="AF768" s="490"/>
      <c r="AG768" s="490"/>
    </row>
    <row r="769" spans="31:33" ht="11.25" hidden="1">
      <c r="AE769" s="490"/>
      <c r="AF769" s="490"/>
      <c r="AG769" s="490"/>
    </row>
    <row r="770" spans="31:33" ht="11.25" hidden="1">
      <c r="AE770" s="490"/>
      <c r="AF770" s="490"/>
      <c r="AG770" s="490"/>
    </row>
    <row r="771" spans="31:33" ht="11.25" hidden="1">
      <c r="AE771" s="490"/>
      <c r="AF771" s="490"/>
      <c r="AG771" s="490"/>
    </row>
    <row r="772" spans="31:33" ht="11.25" hidden="1">
      <c r="AE772" s="490"/>
      <c r="AF772" s="490"/>
      <c r="AG772" s="490"/>
    </row>
    <row r="773" spans="31:33" ht="11.25" hidden="1">
      <c r="AE773" s="490"/>
      <c r="AF773" s="490"/>
      <c r="AG773" s="490"/>
    </row>
    <row r="774" spans="31:33" ht="11.25" hidden="1">
      <c r="AE774" s="490"/>
      <c r="AF774" s="490"/>
      <c r="AG774" s="490"/>
    </row>
    <row r="775" spans="31:33" ht="11.25" hidden="1">
      <c r="AE775" s="490"/>
      <c r="AF775" s="490"/>
      <c r="AG775" s="490"/>
    </row>
    <row r="776" spans="31:33" ht="11.25" hidden="1">
      <c r="AE776" s="490"/>
      <c r="AF776" s="490"/>
      <c r="AG776" s="490"/>
    </row>
    <row r="777" spans="31:33" ht="11.25" hidden="1">
      <c r="AE777" s="490"/>
      <c r="AF777" s="490"/>
      <c r="AG777" s="490"/>
    </row>
    <row r="778" spans="31:33" ht="11.25" hidden="1">
      <c r="AE778" s="490"/>
      <c r="AF778" s="490"/>
      <c r="AG778" s="490"/>
    </row>
    <row r="779" spans="31:33" ht="11.25" hidden="1">
      <c r="AE779" s="490"/>
      <c r="AF779" s="490"/>
      <c r="AG779" s="490"/>
    </row>
    <row r="780" spans="31:33" ht="11.25" hidden="1">
      <c r="AE780" s="490"/>
      <c r="AF780" s="490"/>
      <c r="AG780" s="490"/>
    </row>
    <row r="781" spans="31:33" ht="11.25" hidden="1">
      <c r="AE781" s="490"/>
      <c r="AF781" s="490"/>
      <c r="AG781" s="490"/>
    </row>
    <row r="782" spans="31:33" ht="11.25" hidden="1">
      <c r="AE782" s="490"/>
      <c r="AF782" s="490"/>
      <c r="AG782" s="490"/>
    </row>
    <row r="783" spans="31:33" ht="11.25" hidden="1">
      <c r="AE783" s="490"/>
      <c r="AF783" s="490"/>
      <c r="AG783" s="490"/>
    </row>
    <row r="784" spans="31:33" ht="11.25" hidden="1">
      <c r="AE784" s="490"/>
      <c r="AF784" s="490"/>
      <c r="AG784" s="490"/>
    </row>
    <row r="785" spans="31:33" ht="11.25" hidden="1">
      <c r="AE785" s="490"/>
      <c r="AF785" s="490"/>
      <c r="AG785" s="490"/>
    </row>
    <row r="786" spans="31:33" ht="11.25" hidden="1">
      <c r="AE786" s="490"/>
      <c r="AF786" s="490"/>
      <c r="AG786" s="490"/>
    </row>
    <row r="787" spans="31:33" ht="11.25" hidden="1">
      <c r="AE787" s="490"/>
      <c r="AF787" s="490"/>
      <c r="AG787" s="490"/>
    </row>
    <row r="788" spans="31:33" ht="11.25" hidden="1">
      <c r="AE788" s="490"/>
      <c r="AF788" s="490"/>
      <c r="AG788" s="490"/>
    </row>
    <row r="789" spans="31:33" ht="11.25" hidden="1">
      <c r="AE789" s="490"/>
      <c r="AF789" s="490"/>
      <c r="AG789" s="490"/>
    </row>
    <row r="790" spans="31:33" ht="11.25" hidden="1">
      <c r="AE790" s="490"/>
      <c r="AF790" s="490"/>
      <c r="AG790" s="490"/>
    </row>
    <row r="791" spans="31:33" ht="11.25" hidden="1">
      <c r="AE791" s="490"/>
      <c r="AF791" s="490"/>
      <c r="AG791" s="490"/>
    </row>
    <row r="792" spans="31:33" ht="11.25" hidden="1">
      <c r="AE792" s="490"/>
      <c r="AF792" s="490"/>
      <c r="AG792" s="490"/>
    </row>
    <row r="793" spans="31:33" ht="11.25" hidden="1">
      <c r="AE793" s="490"/>
      <c r="AF793" s="490"/>
      <c r="AG793" s="490"/>
    </row>
    <row r="794" spans="31:33" ht="11.25" hidden="1">
      <c r="AE794" s="490"/>
      <c r="AF794" s="490"/>
      <c r="AG794" s="490"/>
    </row>
    <row r="795" spans="31:33" ht="11.25" hidden="1">
      <c r="AE795" s="490"/>
      <c r="AF795" s="490"/>
      <c r="AG795" s="490"/>
    </row>
    <row r="796" spans="31:33" ht="11.25" hidden="1">
      <c r="AE796" s="490"/>
      <c r="AF796" s="490"/>
      <c r="AG796" s="490"/>
    </row>
    <row r="797" spans="31:33" ht="11.25" hidden="1">
      <c r="AE797" s="490"/>
      <c r="AF797" s="490"/>
      <c r="AG797" s="490"/>
    </row>
    <row r="798" spans="31:33" ht="11.25" hidden="1">
      <c r="AE798" s="490"/>
      <c r="AF798" s="490"/>
      <c r="AG798" s="490"/>
    </row>
    <row r="799" spans="31:33" ht="11.25" hidden="1">
      <c r="AE799" s="490"/>
      <c r="AF799" s="490"/>
      <c r="AG799" s="490"/>
    </row>
    <row r="800" spans="31:33" ht="11.25" hidden="1">
      <c r="AE800" s="490"/>
      <c r="AF800" s="490"/>
      <c r="AG800" s="490"/>
    </row>
    <row r="801" spans="31:33" ht="11.25" hidden="1">
      <c r="AE801" s="490"/>
      <c r="AF801" s="490"/>
      <c r="AG801" s="490"/>
    </row>
    <row r="802" spans="31:33" ht="11.25" hidden="1">
      <c r="AE802" s="490"/>
      <c r="AF802" s="490"/>
      <c r="AG802" s="490"/>
    </row>
    <row r="803" spans="31:33" ht="11.25" hidden="1">
      <c r="AE803" s="490"/>
      <c r="AF803" s="490"/>
      <c r="AG803" s="490"/>
    </row>
    <row r="804" spans="31:33" ht="11.25" hidden="1">
      <c r="AE804" s="490"/>
      <c r="AF804" s="490"/>
      <c r="AG804" s="490"/>
    </row>
    <row r="805" spans="31:33" ht="11.25" hidden="1">
      <c r="AE805" s="490"/>
      <c r="AF805" s="490"/>
      <c r="AG805" s="490"/>
    </row>
    <row r="806" spans="31:33" ht="11.25" hidden="1">
      <c r="AE806" s="490"/>
      <c r="AF806" s="490"/>
      <c r="AG806" s="490"/>
    </row>
    <row r="807" spans="31:33" ht="11.25" hidden="1">
      <c r="AE807" s="490"/>
      <c r="AF807" s="490"/>
      <c r="AG807" s="490"/>
    </row>
    <row r="808" spans="31:33" ht="11.25" hidden="1">
      <c r="AE808" s="490"/>
      <c r="AF808" s="490"/>
      <c r="AG808" s="490"/>
    </row>
    <row r="809" spans="31:33" ht="11.25" hidden="1">
      <c r="AE809" s="490"/>
      <c r="AF809" s="490"/>
      <c r="AG809" s="490"/>
    </row>
    <row r="810" spans="31:33" ht="11.25" hidden="1">
      <c r="AE810" s="490"/>
      <c r="AF810" s="490"/>
      <c r="AG810" s="490"/>
    </row>
    <row r="811" spans="31:33" ht="11.25" hidden="1">
      <c r="AE811" s="490"/>
      <c r="AF811" s="490"/>
      <c r="AG811" s="490"/>
    </row>
    <row r="812" spans="31:33" ht="11.25" hidden="1">
      <c r="AE812" s="490"/>
      <c r="AF812" s="490"/>
      <c r="AG812" s="490"/>
    </row>
    <row r="813" spans="31:33" ht="11.25" hidden="1">
      <c r="AE813" s="490"/>
      <c r="AF813" s="490"/>
      <c r="AG813" s="490"/>
    </row>
    <row r="814" spans="31:33" ht="11.25" hidden="1">
      <c r="AE814" s="490"/>
      <c r="AF814" s="490"/>
      <c r="AG814" s="490"/>
    </row>
    <row r="815" spans="31:33" ht="11.25" hidden="1">
      <c r="AE815" s="490"/>
      <c r="AF815" s="490"/>
      <c r="AG815" s="490"/>
    </row>
    <row r="816" spans="31:33" ht="11.25" hidden="1">
      <c r="AE816" s="490"/>
      <c r="AF816" s="490"/>
      <c r="AG816" s="490"/>
    </row>
    <row r="817" spans="31:33" ht="11.25" hidden="1">
      <c r="AE817" s="490"/>
      <c r="AF817" s="490"/>
      <c r="AG817" s="490"/>
    </row>
    <row r="818" spans="31:33" ht="11.25" hidden="1">
      <c r="AE818" s="490"/>
      <c r="AF818" s="490"/>
      <c r="AG818" s="490"/>
    </row>
    <row r="819" spans="31:33" ht="11.25" hidden="1">
      <c r="AE819" s="490"/>
      <c r="AF819" s="490"/>
      <c r="AG819" s="490"/>
    </row>
    <row r="820" spans="31:33" ht="11.25" hidden="1">
      <c r="AE820" s="490"/>
      <c r="AF820" s="490"/>
      <c r="AG820" s="490"/>
    </row>
    <row r="821" spans="31:33" ht="11.25" hidden="1">
      <c r="AE821" s="490"/>
      <c r="AF821" s="490"/>
      <c r="AG821" s="490"/>
    </row>
    <row r="822" spans="31:33" ht="11.25" hidden="1">
      <c r="AE822" s="490"/>
      <c r="AF822" s="490"/>
      <c r="AG822" s="490"/>
    </row>
    <row r="823" spans="31:33" ht="11.25" hidden="1">
      <c r="AE823" s="490"/>
      <c r="AF823" s="490"/>
      <c r="AG823" s="490"/>
    </row>
    <row r="824" spans="31:33" ht="11.25" hidden="1">
      <c r="AE824" s="490"/>
      <c r="AF824" s="490"/>
      <c r="AG824" s="490"/>
    </row>
    <row r="825" spans="31:33" ht="11.25" hidden="1">
      <c r="AE825" s="490"/>
      <c r="AF825" s="490"/>
      <c r="AG825" s="490"/>
    </row>
    <row r="826" spans="31:33" ht="11.25" hidden="1">
      <c r="AE826" s="490"/>
      <c r="AF826" s="490"/>
      <c r="AG826" s="490"/>
    </row>
    <row r="827" spans="31:33" ht="11.25" hidden="1">
      <c r="AE827" s="490"/>
      <c r="AF827" s="490"/>
      <c r="AG827" s="490"/>
    </row>
    <row r="828" spans="31:33" ht="11.25" hidden="1">
      <c r="AE828" s="490"/>
      <c r="AF828" s="490"/>
      <c r="AG828" s="490"/>
    </row>
    <row r="829" spans="31:33" ht="11.25" hidden="1">
      <c r="AE829" s="490"/>
      <c r="AF829" s="490"/>
      <c r="AG829" s="490"/>
    </row>
    <row r="830" spans="31:33" ht="11.25" hidden="1">
      <c r="AE830" s="490"/>
      <c r="AF830" s="490"/>
      <c r="AG830" s="490"/>
    </row>
    <row r="831" spans="31:33" ht="11.25" hidden="1">
      <c r="AE831" s="490"/>
      <c r="AF831" s="490"/>
      <c r="AG831" s="490"/>
    </row>
    <row r="832" spans="31:33" ht="11.25" hidden="1">
      <c r="AE832" s="490"/>
      <c r="AF832" s="490"/>
      <c r="AG832" s="490"/>
    </row>
    <row r="833" spans="31:33" ht="11.25" hidden="1">
      <c r="AE833" s="490"/>
      <c r="AF833" s="490"/>
      <c r="AG833" s="490"/>
    </row>
    <row r="834" spans="31:33" ht="11.25" hidden="1">
      <c r="AE834" s="490"/>
      <c r="AF834" s="490"/>
      <c r="AG834" s="490"/>
    </row>
    <row r="835" spans="31:33" ht="11.25" hidden="1">
      <c r="AE835" s="490"/>
      <c r="AF835" s="490"/>
      <c r="AG835" s="490"/>
    </row>
    <row r="836" spans="31:33" ht="11.25" hidden="1">
      <c r="AE836" s="490"/>
      <c r="AF836" s="490"/>
      <c r="AG836" s="490"/>
    </row>
    <row r="837" spans="31:33" ht="11.25" hidden="1">
      <c r="AE837" s="490"/>
      <c r="AF837" s="490"/>
      <c r="AG837" s="490"/>
    </row>
    <row r="838" spans="31:33" ht="11.25" hidden="1">
      <c r="AE838" s="490"/>
      <c r="AF838" s="490"/>
      <c r="AG838" s="490"/>
    </row>
    <row r="839" spans="31:33" ht="11.25" hidden="1">
      <c r="AE839" s="490"/>
      <c r="AF839" s="490"/>
      <c r="AG839" s="490"/>
    </row>
    <row r="840" spans="31:33" ht="11.25" hidden="1">
      <c r="AE840" s="490"/>
      <c r="AF840" s="490"/>
      <c r="AG840" s="490"/>
    </row>
    <row r="841" spans="31:33" ht="11.25" hidden="1">
      <c r="AE841" s="490"/>
      <c r="AF841" s="490"/>
      <c r="AG841" s="490"/>
    </row>
    <row r="842" spans="31:33" ht="11.25" hidden="1">
      <c r="AE842" s="490"/>
      <c r="AF842" s="490"/>
      <c r="AG842" s="490"/>
    </row>
    <row r="843" spans="31:33" ht="11.25" hidden="1">
      <c r="AE843" s="490"/>
      <c r="AF843" s="490"/>
      <c r="AG843" s="490"/>
    </row>
    <row r="844" spans="31:33" ht="11.25" hidden="1">
      <c r="AE844" s="490"/>
      <c r="AF844" s="490"/>
      <c r="AG844" s="490"/>
    </row>
    <row r="845" spans="31:33" ht="11.25" hidden="1">
      <c r="AE845" s="490"/>
      <c r="AF845" s="490"/>
      <c r="AG845" s="490"/>
    </row>
    <row r="846" spans="31:33" ht="11.25" hidden="1">
      <c r="AE846" s="490"/>
      <c r="AF846" s="490"/>
      <c r="AG846" s="490"/>
    </row>
    <row r="847" spans="31:33" ht="11.25" hidden="1">
      <c r="AE847" s="490"/>
      <c r="AF847" s="490"/>
      <c r="AG847" s="490"/>
    </row>
    <row r="848" spans="31:33" ht="11.25" hidden="1">
      <c r="AE848" s="490"/>
      <c r="AF848" s="490"/>
      <c r="AG848" s="490"/>
    </row>
    <row r="849" spans="31:33" ht="11.25" hidden="1">
      <c r="AE849" s="490"/>
      <c r="AF849" s="490"/>
      <c r="AG849" s="490"/>
    </row>
    <row r="850" spans="31:33" ht="11.25" hidden="1">
      <c r="AE850" s="490"/>
      <c r="AF850" s="490"/>
      <c r="AG850" s="490"/>
    </row>
    <row r="851" spans="31:33" ht="11.25" hidden="1">
      <c r="AE851" s="490"/>
      <c r="AF851" s="490"/>
      <c r="AG851" s="490"/>
    </row>
    <row r="852" spans="31:33" ht="11.25" hidden="1">
      <c r="AE852" s="490"/>
      <c r="AF852" s="490"/>
      <c r="AG852" s="490"/>
    </row>
    <row r="853" spans="31:33" ht="11.25" hidden="1">
      <c r="AE853" s="490"/>
      <c r="AF853" s="490"/>
      <c r="AG853" s="490"/>
    </row>
    <row r="854" spans="31:33" ht="11.25" hidden="1">
      <c r="AE854" s="490"/>
      <c r="AF854" s="490"/>
      <c r="AG854" s="490"/>
    </row>
    <row r="855" spans="31:33" ht="11.25" hidden="1">
      <c r="AE855" s="490"/>
      <c r="AF855" s="490"/>
      <c r="AG855" s="490"/>
    </row>
    <row r="856" spans="31:33" ht="11.25" hidden="1">
      <c r="AE856" s="490"/>
      <c r="AF856" s="490"/>
      <c r="AG856" s="490"/>
    </row>
    <row r="857" spans="31:33" ht="11.25" hidden="1">
      <c r="AE857" s="490"/>
      <c r="AF857" s="490"/>
      <c r="AG857" s="490"/>
    </row>
    <row r="858" spans="31:33" ht="11.25" hidden="1">
      <c r="AE858" s="490"/>
      <c r="AF858" s="490"/>
      <c r="AG858" s="490"/>
    </row>
    <row r="859" spans="31:33" ht="11.25" hidden="1">
      <c r="AE859" s="490"/>
      <c r="AF859" s="490"/>
      <c r="AG859" s="490"/>
    </row>
    <row r="860" spans="31:33" ht="11.25" hidden="1">
      <c r="AE860" s="490"/>
      <c r="AF860" s="490"/>
      <c r="AG860" s="490"/>
    </row>
    <row r="861" spans="31:33" ht="11.25" hidden="1">
      <c r="AE861" s="490"/>
      <c r="AF861" s="490"/>
      <c r="AG861" s="490"/>
    </row>
    <row r="862" spans="31:33" ht="11.25" hidden="1">
      <c r="AE862" s="490"/>
      <c r="AF862" s="490"/>
      <c r="AG862" s="490"/>
    </row>
    <row r="863" spans="31:33" ht="11.25" hidden="1">
      <c r="AE863" s="490"/>
      <c r="AF863" s="490"/>
      <c r="AG863" s="490"/>
    </row>
    <row r="864" spans="31:33" ht="11.25" hidden="1">
      <c r="AE864" s="490"/>
      <c r="AF864" s="490"/>
      <c r="AG864" s="490"/>
    </row>
    <row r="865" spans="31:33" ht="11.25" hidden="1">
      <c r="AE865" s="490"/>
      <c r="AF865" s="490"/>
      <c r="AG865" s="490"/>
    </row>
    <row r="866" spans="31:33" ht="11.25" hidden="1">
      <c r="AE866" s="490"/>
      <c r="AF866" s="490"/>
      <c r="AG866" s="490"/>
    </row>
    <row r="867" spans="31:33" ht="11.25" hidden="1">
      <c r="AE867" s="490"/>
      <c r="AF867" s="490"/>
      <c r="AG867" s="490"/>
    </row>
    <row r="868" spans="31:33" ht="11.25" hidden="1">
      <c r="AE868" s="490"/>
      <c r="AF868" s="490"/>
      <c r="AG868" s="490"/>
    </row>
    <row r="869" spans="31:33" ht="11.25" hidden="1">
      <c r="AE869" s="490"/>
      <c r="AF869" s="490"/>
      <c r="AG869" s="490"/>
    </row>
    <row r="870" spans="31:33" ht="11.25" hidden="1">
      <c r="AE870" s="490"/>
      <c r="AF870" s="490"/>
      <c r="AG870" s="490"/>
    </row>
    <row r="871" spans="31:33" ht="11.25" hidden="1">
      <c r="AE871" s="490"/>
      <c r="AF871" s="490"/>
      <c r="AG871" s="490"/>
    </row>
    <row r="872" spans="31:33" ht="11.25" hidden="1">
      <c r="AE872" s="490"/>
      <c r="AF872" s="490"/>
      <c r="AG872" s="490"/>
    </row>
    <row r="873" spans="31:33" ht="11.25" hidden="1">
      <c r="AE873" s="490"/>
      <c r="AF873" s="490"/>
      <c r="AG873" s="490"/>
    </row>
    <row r="874" spans="31:33" ht="11.25" hidden="1">
      <c r="AE874" s="490"/>
      <c r="AF874" s="490"/>
      <c r="AG874" s="490"/>
    </row>
    <row r="875" spans="31:33" ht="11.25" hidden="1">
      <c r="AE875" s="490"/>
      <c r="AF875" s="490"/>
      <c r="AG875" s="490"/>
    </row>
    <row r="876" spans="31:33" ht="11.25" hidden="1">
      <c r="AE876" s="490"/>
      <c r="AF876" s="490"/>
      <c r="AG876" s="490"/>
    </row>
    <row r="877" spans="31:33" ht="11.25" hidden="1">
      <c r="AE877" s="490"/>
      <c r="AF877" s="490"/>
      <c r="AG877" s="490"/>
    </row>
    <row r="878" spans="31:33" ht="11.25" hidden="1">
      <c r="AE878" s="490"/>
      <c r="AF878" s="490"/>
      <c r="AG878" s="490"/>
    </row>
    <row r="879" spans="31:33" ht="11.25" hidden="1">
      <c r="AE879" s="490"/>
      <c r="AF879" s="490"/>
      <c r="AG879" s="490"/>
    </row>
    <row r="880" spans="31:33" ht="11.25" hidden="1">
      <c r="AE880" s="490"/>
      <c r="AF880" s="490"/>
      <c r="AG880" s="490"/>
    </row>
    <row r="881" spans="31:33" ht="11.25" hidden="1">
      <c r="AE881" s="490"/>
      <c r="AF881" s="490"/>
      <c r="AG881" s="490"/>
    </row>
    <row r="882" spans="31:33" ht="11.25" hidden="1">
      <c r="AE882" s="490"/>
      <c r="AF882" s="490"/>
      <c r="AG882" s="490"/>
    </row>
    <row r="883" spans="31:33" ht="11.25" hidden="1">
      <c r="AE883" s="490"/>
      <c r="AF883" s="490"/>
      <c r="AG883" s="490"/>
    </row>
    <row r="884" spans="31:33" ht="11.25" hidden="1">
      <c r="AE884" s="490"/>
      <c r="AF884" s="490"/>
      <c r="AG884" s="490"/>
    </row>
    <row r="885" spans="31:33" ht="11.25" hidden="1">
      <c r="AE885" s="490"/>
      <c r="AF885" s="490"/>
      <c r="AG885" s="490"/>
    </row>
    <row r="886" spans="31:33" ht="11.25" hidden="1">
      <c r="AE886" s="490"/>
      <c r="AF886" s="490"/>
      <c r="AG886" s="490"/>
    </row>
    <row r="887" spans="31:33" ht="11.25" hidden="1">
      <c r="AE887" s="490"/>
      <c r="AF887" s="490"/>
      <c r="AG887" s="490"/>
    </row>
    <row r="888" spans="31:33" ht="11.25" hidden="1">
      <c r="AE888" s="490"/>
      <c r="AF888" s="490"/>
      <c r="AG888" s="490"/>
    </row>
    <row r="889" spans="31:33" ht="11.25" hidden="1">
      <c r="AE889" s="490"/>
      <c r="AF889" s="490"/>
      <c r="AG889" s="490"/>
    </row>
    <row r="890" spans="31:33" ht="11.25" hidden="1">
      <c r="AE890" s="490"/>
      <c r="AF890" s="490"/>
      <c r="AG890" s="490"/>
    </row>
    <row r="891" spans="31:33" ht="11.25" hidden="1">
      <c r="AE891" s="490"/>
      <c r="AF891" s="490"/>
      <c r="AG891" s="490"/>
    </row>
    <row r="892" spans="31:33" ht="11.25" hidden="1">
      <c r="AE892" s="490"/>
      <c r="AF892" s="490"/>
      <c r="AG892" s="490"/>
    </row>
    <row r="893" spans="31:33" ht="11.25" hidden="1">
      <c r="AE893" s="490"/>
      <c r="AF893" s="490"/>
      <c r="AG893" s="490"/>
    </row>
    <row r="894" spans="31:33" ht="11.25" hidden="1">
      <c r="AE894" s="490"/>
      <c r="AF894" s="490"/>
      <c r="AG894" s="490"/>
    </row>
    <row r="895" spans="31:33" ht="11.25" hidden="1">
      <c r="AE895" s="490"/>
      <c r="AF895" s="490"/>
      <c r="AG895" s="490"/>
    </row>
    <row r="896" spans="31:33" ht="11.25" hidden="1">
      <c r="AE896" s="490"/>
      <c r="AF896" s="490"/>
      <c r="AG896" s="490"/>
    </row>
    <row r="897" spans="31:33" ht="11.25" hidden="1">
      <c r="AE897" s="490"/>
      <c r="AF897" s="490"/>
      <c r="AG897" s="490"/>
    </row>
    <row r="898" spans="31:33" ht="11.25" hidden="1">
      <c r="AE898" s="490"/>
      <c r="AF898" s="490"/>
      <c r="AG898" s="490"/>
    </row>
    <row r="899" spans="31:33" ht="11.25" hidden="1">
      <c r="AE899" s="490"/>
      <c r="AF899" s="490"/>
      <c r="AG899" s="490"/>
    </row>
    <row r="900" spans="31:33" ht="11.25" hidden="1">
      <c r="AE900" s="490"/>
      <c r="AF900" s="490"/>
      <c r="AG900" s="490"/>
    </row>
    <row r="901" spans="31:33" ht="11.25" hidden="1">
      <c r="AE901" s="490"/>
      <c r="AF901" s="490"/>
      <c r="AG901" s="490"/>
    </row>
    <row r="902" spans="31:33" ht="11.25" hidden="1">
      <c r="AE902" s="490"/>
      <c r="AF902" s="490"/>
      <c r="AG902" s="490"/>
    </row>
    <row r="903" spans="31:33" ht="11.25" hidden="1">
      <c r="AE903" s="490"/>
      <c r="AF903" s="490"/>
      <c r="AG903" s="490"/>
    </row>
    <row r="904" spans="31:33" ht="11.25" hidden="1">
      <c r="AE904" s="490"/>
      <c r="AF904" s="490"/>
      <c r="AG904" s="490"/>
    </row>
    <row r="905" spans="31:33" ht="11.25" hidden="1">
      <c r="AE905" s="490"/>
      <c r="AF905" s="490"/>
      <c r="AG905" s="490"/>
    </row>
    <row r="906" spans="31:33" ht="11.25" hidden="1">
      <c r="AE906" s="490"/>
      <c r="AF906" s="490"/>
      <c r="AG906" s="490"/>
    </row>
    <row r="907" spans="31:33" ht="11.25" hidden="1">
      <c r="AE907" s="490"/>
      <c r="AF907" s="490"/>
      <c r="AG907" s="490"/>
    </row>
    <row r="908" spans="31:33" ht="11.25" hidden="1">
      <c r="AE908" s="490"/>
      <c r="AF908" s="490"/>
      <c r="AG908" s="490"/>
    </row>
    <row r="909" spans="31:33" ht="11.25" hidden="1">
      <c r="AE909" s="490"/>
      <c r="AF909" s="490"/>
      <c r="AG909" s="490"/>
    </row>
    <row r="910" spans="31:33" ht="11.25" hidden="1">
      <c r="AE910" s="490"/>
      <c r="AF910" s="490"/>
      <c r="AG910" s="490"/>
    </row>
    <row r="911" spans="31:33" ht="11.25" hidden="1">
      <c r="AE911" s="490"/>
      <c r="AF911" s="490"/>
      <c r="AG911" s="490"/>
    </row>
    <row r="912" spans="31:33" ht="11.25" hidden="1">
      <c r="AE912" s="490"/>
      <c r="AF912" s="490"/>
      <c r="AG912" s="490"/>
    </row>
    <row r="913" spans="31:33" ht="11.25" hidden="1">
      <c r="AE913" s="490"/>
      <c r="AF913" s="490"/>
      <c r="AG913" s="490"/>
    </row>
    <row r="914" spans="31:33" ht="11.25" hidden="1">
      <c r="AE914" s="490"/>
      <c r="AF914" s="490"/>
      <c r="AG914" s="490"/>
    </row>
    <row r="915" spans="31:33" ht="11.25" hidden="1">
      <c r="AE915" s="490"/>
      <c r="AF915" s="490"/>
      <c r="AG915" s="490"/>
    </row>
    <row r="916" spans="31:33" ht="11.25" hidden="1">
      <c r="AE916" s="490"/>
      <c r="AF916" s="490"/>
      <c r="AG916" s="490"/>
    </row>
    <row r="917" spans="31:33" ht="11.25" hidden="1">
      <c r="AE917" s="490"/>
      <c r="AF917" s="490"/>
      <c r="AG917" s="490"/>
    </row>
    <row r="918" spans="31:33" ht="11.25" hidden="1">
      <c r="AE918" s="490"/>
      <c r="AF918" s="490"/>
      <c r="AG918" s="490"/>
    </row>
    <row r="919" spans="31:33" ht="11.25" hidden="1">
      <c r="AE919" s="490"/>
      <c r="AF919" s="490"/>
      <c r="AG919" s="490"/>
    </row>
    <row r="920" spans="31:33" ht="11.25" hidden="1">
      <c r="AE920" s="490"/>
      <c r="AF920" s="490"/>
      <c r="AG920" s="490"/>
    </row>
    <row r="921" spans="31:33" ht="11.25" hidden="1">
      <c r="AE921" s="490"/>
      <c r="AF921" s="490"/>
      <c r="AG921" s="490"/>
    </row>
    <row r="922" spans="31:33" ht="11.25" hidden="1">
      <c r="AE922" s="490"/>
      <c r="AF922" s="490"/>
      <c r="AG922" s="490"/>
    </row>
    <row r="923" spans="31:33" ht="11.25" hidden="1">
      <c r="AE923" s="490"/>
      <c r="AF923" s="490"/>
      <c r="AG923" s="490"/>
    </row>
    <row r="924" spans="31:33" ht="11.25" hidden="1">
      <c r="AE924" s="490"/>
      <c r="AF924" s="490"/>
      <c r="AG924" s="490"/>
    </row>
    <row r="925" spans="31:33" ht="11.25" hidden="1">
      <c r="AE925" s="490"/>
      <c r="AF925" s="490"/>
      <c r="AG925" s="490"/>
    </row>
    <row r="926" spans="31:33" ht="11.25" hidden="1">
      <c r="AE926" s="490"/>
      <c r="AF926" s="490"/>
      <c r="AG926" s="490"/>
    </row>
    <row r="927" spans="31:33" ht="11.25" hidden="1">
      <c r="AE927" s="490"/>
      <c r="AF927" s="490"/>
      <c r="AG927" s="490"/>
    </row>
    <row r="928" spans="31:33" ht="11.25" hidden="1">
      <c r="AE928" s="490"/>
      <c r="AF928" s="490"/>
      <c r="AG928" s="490"/>
    </row>
    <row r="929" spans="31:33" ht="11.25" hidden="1">
      <c r="AE929" s="490"/>
      <c r="AF929" s="490"/>
      <c r="AG929" s="490"/>
    </row>
    <row r="930" spans="31:33" ht="11.25" hidden="1">
      <c r="AE930" s="490"/>
      <c r="AF930" s="490"/>
      <c r="AG930" s="490"/>
    </row>
    <row r="931" spans="31:33" ht="11.25" hidden="1">
      <c r="AE931" s="490"/>
      <c r="AF931" s="490"/>
      <c r="AG931" s="490"/>
    </row>
    <row r="932" spans="31:33" ht="11.25" hidden="1">
      <c r="AE932" s="490"/>
      <c r="AF932" s="490"/>
      <c r="AG932" s="490"/>
    </row>
    <row r="933" spans="31:33" ht="11.25" hidden="1">
      <c r="AE933" s="490"/>
      <c r="AF933" s="490"/>
      <c r="AG933" s="490"/>
    </row>
    <row r="934" spans="31:33" ht="11.25" hidden="1">
      <c r="AE934" s="490"/>
      <c r="AF934" s="490"/>
      <c r="AG934" s="490"/>
    </row>
    <row r="935" spans="31:33" ht="11.25" hidden="1">
      <c r="AE935" s="490"/>
      <c r="AF935" s="490"/>
      <c r="AG935" s="490"/>
    </row>
    <row r="936" spans="31:33" ht="11.25" hidden="1">
      <c r="AE936" s="490"/>
      <c r="AF936" s="490"/>
      <c r="AG936" s="490"/>
    </row>
    <row r="937" spans="31:33" ht="11.25" hidden="1">
      <c r="AE937" s="490"/>
      <c r="AF937" s="490"/>
      <c r="AG937" s="490"/>
    </row>
    <row r="938" spans="31:33" ht="11.25" hidden="1">
      <c r="AE938" s="490"/>
      <c r="AF938" s="490"/>
      <c r="AG938" s="490"/>
    </row>
    <row r="939" spans="31:33" ht="11.25" hidden="1">
      <c r="AE939" s="490"/>
      <c r="AF939" s="490"/>
      <c r="AG939" s="490"/>
    </row>
    <row r="940" spans="31:33" ht="11.25" hidden="1">
      <c r="AE940" s="490"/>
      <c r="AF940" s="490"/>
      <c r="AG940" s="490"/>
    </row>
    <row r="941" spans="31:33" ht="11.25" hidden="1">
      <c r="AE941" s="490"/>
      <c r="AF941" s="490"/>
      <c r="AG941" s="490"/>
    </row>
    <row r="942" spans="31:33" ht="11.25" hidden="1">
      <c r="AE942" s="490"/>
      <c r="AF942" s="490"/>
      <c r="AG942" s="490"/>
    </row>
    <row r="943" spans="31:33" ht="11.25" hidden="1">
      <c r="AE943" s="490"/>
      <c r="AF943" s="490"/>
      <c r="AG943" s="490"/>
    </row>
    <row r="944" spans="31:33" ht="11.25" hidden="1">
      <c r="AE944" s="490"/>
      <c r="AF944" s="490"/>
      <c r="AG944" s="490"/>
    </row>
    <row r="945" spans="31:33" ht="11.25" hidden="1">
      <c r="AE945" s="490"/>
      <c r="AF945" s="490"/>
      <c r="AG945" s="490"/>
    </row>
    <row r="946" spans="31:33" ht="11.25" hidden="1">
      <c r="AE946" s="490"/>
      <c r="AF946" s="490"/>
      <c r="AG946" s="490"/>
    </row>
    <row r="947" spans="31:33" ht="11.25" hidden="1">
      <c r="AE947" s="490"/>
      <c r="AF947" s="490"/>
      <c r="AG947" s="490"/>
    </row>
    <row r="948" spans="31:33" ht="11.25" hidden="1">
      <c r="AE948" s="490"/>
      <c r="AF948" s="490"/>
      <c r="AG948" s="490"/>
    </row>
    <row r="949" spans="31:33" ht="11.25" hidden="1">
      <c r="AE949" s="490"/>
      <c r="AF949" s="490"/>
      <c r="AG949" s="490"/>
    </row>
    <row r="950" spans="31:33" ht="11.25" hidden="1">
      <c r="AE950" s="490"/>
      <c r="AF950" s="490"/>
      <c r="AG950" s="490"/>
    </row>
    <row r="951" spans="31:33" ht="11.25" hidden="1">
      <c r="AE951" s="490"/>
      <c r="AF951" s="490"/>
      <c r="AG951" s="490"/>
    </row>
    <row r="952" spans="31:33" ht="11.25" hidden="1">
      <c r="AE952" s="490"/>
      <c r="AF952" s="490"/>
      <c r="AG952" s="490"/>
    </row>
    <row r="953" spans="31:33" ht="11.25" hidden="1">
      <c r="AE953" s="490"/>
      <c r="AF953" s="490"/>
      <c r="AG953" s="490"/>
    </row>
    <row r="954" spans="31:33" ht="11.25" hidden="1">
      <c r="AE954" s="490"/>
      <c r="AF954" s="490"/>
      <c r="AG954" s="490"/>
    </row>
    <row r="955" spans="31:33" ht="11.25" hidden="1">
      <c r="AE955" s="490"/>
      <c r="AF955" s="490"/>
      <c r="AG955" s="490"/>
    </row>
    <row r="956" spans="31:33" ht="11.25" hidden="1">
      <c r="AE956" s="490"/>
      <c r="AF956" s="490"/>
      <c r="AG956" s="490"/>
    </row>
    <row r="957" spans="31:33" ht="11.25" hidden="1">
      <c r="AE957" s="490"/>
      <c r="AF957" s="490"/>
      <c r="AG957" s="490"/>
    </row>
    <row r="958" spans="31:33" ht="11.25" hidden="1">
      <c r="AE958" s="490"/>
      <c r="AF958" s="490"/>
      <c r="AG958" s="490"/>
    </row>
    <row r="959" spans="31:33" ht="11.25" hidden="1">
      <c r="AE959" s="490"/>
      <c r="AF959" s="490"/>
      <c r="AG959" s="490"/>
    </row>
    <row r="960" spans="31:33" ht="11.25" hidden="1">
      <c r="AE960" s="490"/>
      <c r="AF960" s="490"/>
      <c r="AG960" s="490"/>
    </row>
    <row r="961" spans="31:33" ht="11.25" hidden="1">
      <c r="AE961" s="490"/>
      <c r="AF961" s="490"/>
      <c r="AG961" s="490"/>
    </row>
    <row r="962" spans="31:33" ht="11.25" hidden="1">
      <c r="AE962" s="490"/>
      <c r="AF962" s="490"/>
      <c r="AG962" s="490"/>
    </row>
    <row r="963" spans="31:33" ht="11.25" hidden="1">
      <c r="AE963" s="490"/>
      <c r="AF963" s="490"/>
      <c r="AG963" s="490"/>
    </row>
    <row r="964" spans="31:33" ht="11.25" hidden="1">
      <c r="AE964" s="490"/>
      <c r="AF964" s="490"/>
      <c r="AG964" s="490"/>
    </row>
    <row r="965" spans="31:33" ht="11.25" hidden="1">
      <c r="AE965" s="490"/>
      <c r="AF965" s="490"/>
      <c r="AG965" s="490"/>
    </row>
    <row r="966" spans="31:33" ht="11.25" hidden="1">
      <c r="AE966" s="490"/>
      <c r="AF966" s="490"/>
      <c r="AG966" s="490"/>
    </row>
    <row r="967" spans="31:33" ht="11.25" hidden="1">
      <c r="AE967" s="490"/>
      <c r="AF967" s="490"/>
      <c r="AG967" s="490"/>
    </row>
    <row r="968" spans="31:33" ht="11.25" hidden="1">
      <c r="AE968" s="490"/>
      <c r="AF968" s="490"/>
      <c r="AG968" s="490"/>
    </row>
    <row r="969" spans="31:33" ht="11.25" hidden="1">
      <c r="AE969" s="490"/>
      <c r="AF969" s="490"/>
      <c r="AG969" s="490"/>
    </row>
    <row r="970" spans="31:33" ht="11.25" hidden="1">
      <c r="AE970" s="490"/>
      <c r="AF970" s="490"/>
      <c r="AG970" s="490"/>
    </row>
    <row r="971" spans="31:33" ht="11.25" hidden="1">
      <c r="AE971" s="490"/>
      <c r="AF971" s="490"/>
      <c r="AG971" s="490"/>
    </row>
    <row r="972" spans="31:33" ht="11.25" hidden="1">
      <c r="AE972" s="490"/>
      <c r="AF972" s="490"/>
      <c r="AG972" s="490"/>
    </row>
    <row r="973" spans="31:33" ht="11.25" hidden="1">
      <c r="AE973" s="490"/>
      <c r="AF973" s="490"/>
      <c r="AG973" s="490"/>
    </row>
    <row r="974" spans="31:33" ht="11.25" hidden="1">
      <c r="AE974" s="490"/>
      <c r="AF974" s="490"/>
      <c r="AG974" s="490"/>
    </row>
    <row r="975" spans="31:33" ht="11.25" hidden="1">
      <c r="AE975" s="490"/>
      <c r="AF975" s="490"/>
      <c r="AG975" s="490"/>
    </row>
    <row r="976" spans="31:33" ht="11.25" hidden="1">
      <c r="AE976" s="490"/>
      <c r="AF976" s="490"/>
      <c r="AG976" s="490"/>
    </row>
    <row r="977" spans="31:33" ht="11.25" hidden="1">
      <c r="AE977" s="490"/>
      <c r="AF977" s="490"/>
      <c r="AG977" s="490"/>
    </row>
    <row r="978" spans="31:33" ht="11.25" hidden="1">
      <c r="AE978" s="490"/>
      <c r="AF978" s="490"/>
      <c r="AG978" s="490"/>
    </row>
    <row r="979" spans="31:33" ht="11.25" hidden="1">
      <c r="AE979" s="490"/>
      <c r="AF979" s="490"/>
      <c r="AG979" s="490"/>
    </row>
    <row r="980" spans="31:33" ht="11.25" hidden="1">
      <c r="AE980" s="490"/>
      <c r="AF980" s="490"/>
      <c r="AG980" s="490"/>
    </row>
    <row r="981" spans="31:33" ht="11.25" hidden="1">
      <c r="AE981" s="490"/>
      <c r="AF981" s="490"/>
      <c r="AG981" s="490"/>
    </row>
    <row r="982" spans="31:33" ht="11.25" hidden="1">
      <c r="AE982" s="490"/>
      <c r="AF982" s="490"/>
      <c r="AG982" s="490"/>
    </row>
    <row r="983" spans="31:33" ht="11.25" hidden="1">
      <c r="AE983" s="490"/>
      <c r="AF983" s="490"/>
      <c r="AG983" s="490"/>
    </row>
    <row r="984" spans="31:33" ht="11.25" hidden="1">
      <c r="AE984" s="490"/>
      <c r="AF984" s="490"/>
      <c r="AG984" s="490"/>
    </row>
    <row r="985" spans="31:33" ht="11.25" hidden="1">
      <c r="AE985" s="490"/>
      <c r="AF985" s="490"/>
      <c r="AG985" s="490"/>
    </row>
    <row r="986" spans="31:33" ht="11.25" hidden="1">
      <c r="AE986" s="490"/>
      <c r="AF986" s="490"/>
      <c r="AG986" s="490"/>
    </row>
    <row r="987" spans="31:33" ht="11.25" hidden="1">
      <c r="AE987" s="490"/>
      <c r="AF987" s="490"/>
      <c r="AG987" s="490"/>
    </row>
    <row r="988" spans="31:33" ht="11.25" hidden="1">
      <c r="AE988" s="490"/>
      <c r="AF988" s="490"/>
      <c r="AG988" s="490"/>
    </row>
    <row r="989" spans="31:33" ht="11.25" hidden="1">
      <c r="AE989" s="490"/>
      <c r="AF989" s="490"/>
      <c r="AG989" s="490"/>
    </row>
    <row r="990" spans="31:33" ht="11.25" hidden="1">
      <c r="AE990" s="490"/>
      <c r="AF990" s="490"/>
      <c r="AG990" s="490"/>
    </row>
    <row r="991" spans="31:33" ht="11.25" hidden="1">
      <c r="AE991" s="490"/>
      <c r="AF991" s="490"/>
      <c r="AG991" s="490"/>
    </row>
    <row r="992" spans="31:33" ht="11.25" hidden="1">
      <c r="AE992" s="490"/>
      <c r="AF992" s="490"/>
      <c r="AG992" s="490"/>
    </row>
    <row r="993" spans="31:33" ht="11.25" hidden="1">
      <c r="AE993" s="490"/>
      <c r="AF993" s="490"/>
      <c r="AG993" s="490"/>
    </row>
    <row r="994" spans="31:33" ht="11.25" hidden="1">
      <c r="AE994" s="490"/>
      <c r="AF994" s="490"/>
      <c r="AG994" s="490"/>
    </row>
    <row r="995" spans="31:33" ht="11.25" hidden="1">
      <c r="AE995" s="490"/>
      <c r="AF995" s="490"/>
      <c r="AG995" s="490"/>
    </row>
    <row r="996" spans="31:33" ht="11.25" hidden="1">
      <c r="AE996" s="490"/>
      <c r="AF996" s="490"/>
      <c r="AG996" s="490"/>
    </row>
    <row r="997" spans="31:33" ht="11.25" hidden="1">
      <c r="AE997" s="490"/>
      <c r="AF997" s="490"/>
      <c r="AG997" s="490"/>
    </row>
    <row r="998" spans="31:33" ht="11.25" hidden="1">
      <c r="AE998" s="490"/>
      <c r="AF998" s="490"/>
      <c r="AG998" s="490"/>
    </row>
    <row r="999" spans="31:33" ht="11.25" hidden="1">
      <c r="AE999" s="490"/>
      <c r="AF999" s="490"/>
      <c r="AG999" s="490"/>
    </row>
    <row r="1000" spans="31:33" ht="11.25" hidden="1">
      <c r="AE1000" s="490"/>
      <c r="AF1000" s="490"/>
      <c r="AG1000" s="490"/>
    </row>
    <row r="1001" spans="31:33" ht="11.25" hidden="1">
      <c r="AE1001" s="490"/>
      <c r="AF1001" s="490"/>
      <c r="AG1001" s="490"/>
    </row>
    <row r="1002" spans="31:33" ht="11.25" hidden="1">
      <c r="AE1002" s="490"/>
      <c r="AF1002" s="490"/>
      <c r="AG1002" s="490"/>
    </row>
    <row r="1003" spans="31:33" ht="11.25" hidden="1">
      <c r="AE1003" s="490"/>
      <c r="AF1003" s="490"/>
      <c r="AG1003" s="490"/>
    </row>
    <row r="1004" spans="31:33" ht="11.25" hidden="1">
      <c r="AE1004" s="490"/>
      <c r="AF1004" s="490"/>
      <c r="AG1004" s="490"/>
    </row>
    <row r="1005" spans="31:33" ht="11.25" hidden="1">
      <c r="AE1005" s="490"/>
      <c r="AF1005" s="490"/>
      <c r="AG1005" s="490"/>
    </row>
    <row r="1006" spans="31:33" ht="11.25" hidden="1">
      <c r="AE1006" s="490"/>
      <c r="AF1006" s="490"/>
      <c r="AG1006" s="490"/>
    </row>
    <row r="1007" spans="31:33" ht="11.25" hidden="1">
      <c r="AE1007" s="490"/>
      <c r="AF1007" s="490"/>
      <c r="AG1007" s="490"/>
    </row>
    <row r="1008" spans="31:33" ht="11.25" hidden="1">
      <c r="AE1008" s="490"/>
      <c r="AF1008" s="490"/>
      <c r="AG1008" s="490"/>
    </row>
    <row r="1009" spans="31:33" ht="11.25" hidden="1">
      <c r="AE1009" s="490"/>
      <c r="AF1009" s="490"/>
      <c r="AG1009" s="490"/>
    </row>
    <row r="1010" spans="31:33" ht="11.25" hidden="1">
      <c r="AE1010" s="490"/>
      <c r="AF1010" s="490"/>
      <c r="AG1010" s="490"/>
    </row>
    <row r="1011" spans="31:33" ht="11.25" hidden="1">
      <c r="AE1011" s="490"/>
      <c r="AF1011" s="490"/>
      <c r="AG1011" s="490"/>
    </row>
    <row r="1012" spans="31:33" ht="11.25" hidden="1">
      <c r="AE1012" s="490"/>
      <c r="AF1012" s="490"/>
      <c r="AG1012" s="490"/>
    </row>
    <row r="1013" spans="31:33" ht="11.25" hidden="1">
      <c r="AE1013" s="490"/>
      <c r="AF1013" s="490"/>
      <c r="AG1013" s="490"/>
    </row>
    <row r="1014" spans="31:33" ht="11.25" hidden="1">
      <c r="AE1014" s="490"/>
      <c r="AF1014" s="490"/>
      <c r="AG1014" s="490"/>
    </row>
    <row r="1015" spans="31:33" ht="11.25" hidden="1">
      <c r="AE1015" s="490"/>
      <c r="AF1015" s="490"/>
      <c r="AG1015" s="490"/>
    </row>
    <row r="1016" spans="31:33" ht="11.25" hidden="1">
      <c r="AE1016" s="490"/>
      <c r="AF1016" s="490"/>
      <c r="AG1016" s="490"/>
    </row>
    <row r="1017" spans="31:33" ht="11.25" hidden="1">
      <c r="AE1017" s="490"/>
      <c r="AF1017" s="490"/>
      <c r="AG1017" s="490"/>
    </row>
    <row r="1018" spans="31:33" ht="11.25" hidden="1">
      <c r="AE1018" s="490"/>
      <c r="AF1018" s="490"/>
      <c r="AG1018" s="490"/>
    </row>
    <row r="1019" spans="31:33" ht="11.25" hidden="1">
      <c r="AE1019" s="490"/>
      <c r="AF1019" s="490"/>
      <c r="AG1019" s="490"/>
    </row>
    <row r="1020" spans="31:33" ht="11.25" hidden="1">
      <c r="AE1020" s="490"/>
      <c r="AF1020" s="490"/>
      <c r="AG1020" s="490"/>
    </row>
    <row r="1021" spans="31:33" ht="11.25" hidden="1">
      <c r="AE1021" s="490"/>
      <c r="AF1021" s="490"/>
      <c r="AG1021" s="490"/>
    </row>
    <row r="1022" spans="31:33" ht="11.25" hidden="1">
      <c r="AE1022" s="490"/>
      <c r="AF1022" s="490"/>
      <c r="AG1022" s="490"/>
    </row>
    <row r="1023" spans="31:33" ht="11.25" hidden="1">
      <c r="AE1023" s="490"/>
      <c r="AF1023" s="490"/>
      <c r="AG1023" s="490"/>
    </row>
    <row r="1024" spans="31:33" ht="11.25" hidden="1">
      <c r="AE1024" s="490"/>
      <c r="AF1024" s="490"/>
      <c r="AG1024" s="490"/>
    </row>
    <row r="1025" spans="31:33" ht="11.25" hidden="1">
      <c r="AE1025" s="490"/>
      <c r="AF1025" s="490"/>
      <c r="AG1025" s="490"/>
    </row>
    <row r="1026" spans="31:33" ht="11.25" hidden="1">
      <c r="AE1026" s="490"/>
      <c r="AF1026" s="490"/>
      <c r="AG1026" s="490"/>
    </row>
    <row r="1027" spans="31:33" ht="11.25" hidden="1">
      <c r="AE1027" s="490"/>
      <c r="AF1027" s="490"/>
      <c r="AG1027" s="490"/>
    </row>
    <row r="1028" spans="31:33" ht="11.25" hidden="1">
      <c r="AE1028" s="490"/>
      <c r="AF1028" s="490"/>
      <c r="AG1028" s="490"/>
    </row>
    <row r="1029" spans="31:33" ht="11.25" hidden="1">
      <c r="AE1029" s="490"/>
      <c r="AF1029" s="490"/>
      <c r="AG1029" s="490"/>
    </row>
    <row r="1030" spans="31:33" ht="11.25" hidden="1">
      <c r="AE1030" s="490"/>
      <c r="AF1030" s="490"/>
      <c r="AG1030" s="490"/>
    </row>
    <row r="1031" spans="31:33" ht="11.25" hidden="1">
      <c r="AE1031" s="490"/>
      <c r="AF1031" s="490"/>
      <c r="AG1031" s="490"/>
    </row>
    <row r="1032" spans="31:33" ht="11.25" hidden="1">
      <c r="AE1032" s="490"/>
      <c r="AF1032" s="490"/>
      <c r="AG1032" s="490"/>
    </row>
    <row r="1033" spans="31:33" ht="11.25" hidden="1">
      <c r="AE1033" s="490"/>
      <c r="AF1033" s="490"/>
      <c r="AG1033" s="490"/>
    </row>
    <row r="1034" spans="31:33" ht="11.25" hidden="1">
      <c r="AE1034" s="490"/>
      <c r="AF1034" s="490"/>
      <c r="AG1034" s="490"/>
    </row>
    <row r="1035" spans="31:33" ht="11.25" hidden="1">
      <c r="AE1035" s="490"/>
      <c r="AF1035" s="490"/>
      <c r="AG1035" s="490"/>
    </row>
    <row r="1036" spans="31:33" ht="11.25" hidden="1">
      <c r="AE1036" s="490"/>
      <c r="AF1036" s="490"/>
      <c r="AG1036" s="490"/>
    </row>
    <row r="1037" spans="31:33" ht="11.25" hidden="1">
      <c r="AE1037" s="490"/>
      <c r="AF1037" s="490"/>
      <c r="AG1037" s="490"/>
    </row>
    <row r="1038" spans="31:33" ht="11.25" hidden="1">
      <c r="AE1038" s="490"/>
      <c r="AF1038" s="490"/>
      <c r="AG1038" s="490"/>
    </row>
    <row r="1039" spans="31:33" ht="11.25" hidden="1">
      <c r="AE1039" s="490"/>
      <c r="AF1039" s="490"/>
      <c r="AG1039" s="490"/>
    </row>
    <row r="1040" spans="31:33" ht="11.25" hidden="1">
      <c r="AE1040" s="490"/>
      <c r="AF1040" s="490"/>
      <c r="AG1040" s="490"/>
    </row>
    <row r="1041" spans="31:33" ht="11.25" hidden="1">
      <c r="AE1041" s="490"/>
      <c r="AF1041" s="490"/>
      <c r="AG1041" s="490"/>
    </row>
    <row r="1042" spans="31:33" ht="11.25" hidden="1">
      <c r="AE1042" s="490"/>
      <c r="AF1042" s="490"/>
      <c r="AG1042" s="490"/>
    </row>
    <row r="1043" spans="31:33" ht="11.25" hidden="1">
      <c r="AE1043" s="490"/>
      <c r="AF1043" s="490"/>
      <c r="AG1043" s="490"/>
    </row>
    <row r="1044" spans="31:33" ht="11.25" hidden="1">
      <c r="AE1044" s="490"/>
      <c r="AF1044" s="490"/>
      <c r="AG1044" s="490"/>
    </row>
    <row r="1045" spans="31:33" ht="11.25" hidden="1">
      <c r="AE1045" s="490"/>
      <c r="AF1045" s="490"/>
      <c r="AG1045" s="490"/>
    </row>
    <row r="1046" spans="31:33" ht="11.25" hidden="1">
      <c r="AE1046" s="490"/>
      <c r="AF1046" s="490"/>
      <c r="AG1046" s="490"/>
    </row>
    <row r="1047" spans="31:33" ht="11.25" hidden="1">
      <c r="AE1047" s="490"/>
      <c r="AF1047" s="490"/>
      <c r="AG1047" s="490"/>
    </row>
    <row r="1048" spans="31:33" ht="11.25" hidden="1">
      <c r="AE1048" s="490"/>
      <c r="AF1048" s="490"/>
      <c r="AG1048" s="490"/>
    </row>
    <row r="1049" spans="31:33" ht="11.25" hidden="1">
      <c r="AE1049" s="490"/>
      <c r="AF1049" s="490"/>
      <c r="AG1049" s="490"/>
    </row>
    <row r="1050" spans="31:33" ht="11.25" hidden="1">
      <c r="AE1050" s="490"/>
      <c r="AF1050" s="490"/>
      <c r="AG1050" s="490"/>
    </row>
    <row r="1051" spans="31:33" ht="11.25" hidden="1">
      <c r="AE1051" s="490"/>
      <c r="AF1051" s="490"/>
      <c r="AG1051" s="490"/>
    </row>
    <row r="1052" spans="31:33" ht="11.25" hidden="1">
      <c r="AE1052" s="490"/>
      <c r="AF1052" s="490"/>
      <c r="AG1052" s="490"/>
    </row>
    <row r="1053" spans="31:33" ht="11.25" hidden="1">
      <c r="AE1053" s="490"/>
      <c r="AF1053" s="490"/>
      <c r="AG1053" s="490"/>
    </row>
    <row r="1054" spans="31:33" ht="11.25" hidden="1">
      <c r="AE1054" s="490"/>
      <c r="AF1054" s="490"/>
      <c r="AG1054" s="490"/>
    </row>
    <row r="1055" spans="31:33" ht="11.25" hidden="1">
      <c r="AE1055" s="490"/>
      <c r="AF1055" s="490"/>
      <c r="AG1055" s="490"/>
    </row>
    <row r="1056" spans="31:33" ht="11.25" hidden="1">
      <c r="AE1056" s="490"/>
      <c r="AF1056" s="490"/>
      <c r="AG1056" s="490"/>
    </row>
    <row r="1057" spans="31:33" ht="11.25" hidden="1">
      <c r="AE1057" s="490"/>
      <c r="AF1057" s="490"/>
      <c r="AG1057" s="490"/>
    </row>
    <row r="1058" spans="31:33" ht="11.25" hidden="1">
      <c r="AE1058" s="490"/>
      <c r="AF1058" s="490"/>
      <c r="AG1058" s="490"/>
    </row>
    <row r="1059" spans="31:33" ht="11.25" hidden="1">
      <c r="AE1059" s="490"/>
      <c r="AF1059" s="490"/>
      <c r="AG1059" s="490"/>
    </row>
    <row r="1060" spans="31:33" ht="11.25" hidden="1">
      <c r="AE1060" s="490"/>
      <c r="AF1060" s="490"/>
      <c r="AG1060" s="490"/>
    </row>
    <row r="1061" spans="31:33" ht="11.25" hidden="1">
      <c r="AE1061" s="490"/>
      <c r="AF1061" s="490"/>
      <c r="AG1061" s="490"/>
    </row>
    <row r="1062" spans="31:33" ht="11.25" hidden="1">
      <c r="AE1062" s="490"/>
      <c r="AF1062" s="490"/>
      <c r="AG1062" s="490"/>
    </row>
    <row r="1063" spans="31:33" ht="11.25" hidden="1">
      <c r="AE1063" s="490"/>
      <c r="AF1063" s="490"/>
      <c r="AG1063" s="490"/>
    </row>
    <row r="1064" spans="31:33" ht="11.25" hidden="1">
      <c r="AE1064" s="490"/>
      <c r="AF1064" s="490"/>
      <c r="AG1064" s="490"/>
    </row>
    <row r="1065" spans="31:33" ht="11.25" hidden="1">
      <c r="AE1065" s="490"/>
      <c r="AF1065" s="490"/>
      <c r="AG1065" s="490"/>
    </row>
    <row r="1066" spans="31:33" ht="11.25" hidden="1">
      <c r="AE1066" s="490"/>
      <c r="AF1066" s="490"/>
      <c r="AG1066" s="490"/>
    </row>
    <row r="1067" spans="31:33" ht="11.25" hidden="1">
      <c r="AE1067" s="490"/>
      <c r="AF1067" s="490"/>
      <c r="AG1067" s="490"/>
    </row>
    <row r="1068" spans="31:33" ht="11.25" hidden="1">
      <c r="AE1068" s="490"/>
      <c r="AF1068" s="490"/>
      <c r="AG1068" s="490"/>
    </row>
    <row r="1069" spans="31:33" ht="11.25" hidden="1">
      <c r="AE1069" s="490"/>
      <c r="AF1069" s="490"/>
      <c r="AG1069" s="490"/>
    </row>
    <row r="1070" spans="31:33" ht="11.25" hidden="1">
      <c r="AE1070" s="490"/>
      <c r="AF1070" s="490"/>
      <c r="AG1070" s="490"/>
    </row>
    <row r="1071" spans="31:33" ht="11.25" hidden="1">
      <c r="AE1071" s="490"/>
      <c r="AF1071" s="490"/>
      <c r="AG1071" s="490"/>
    </row>
    <row r="1072" spans="31:33" ht="11.25" hidden="1">
      <c r="AE1072" s="490"/>
      <c r="AF1072" s="490"/>
      <c r="AG1072" s="490"/>
    </row>
    <row r="1073" spans="31:33" ht="11.25" hidden="1">
      <c r="AE1073" s="490"/>
      <c r="AF1073" s="490"/>
      <c r="AG1073" s="490"/>
    </row>
    <row r="1074" spans="31:33" ht="11.25" hidden="1">
      <c r="AE1074" s="490"/>
      <c r="AF1074" s="490"/>
      <c r="AG1074" s="490"/>
    </row>
    <row r="1075" spans="31:33" ht="11.25" hidden="1">
      <c r="AE1075" s="490"/>
      <c r="AF1075" s="490"/>
      <c r="AG1075" s="490"/>
    </row>
    <row r="1076" spans="31:33" ht="11.25" hidden="1">
      <c r="AE1076" s="490"/>
      <c r="AF1076" s="490"/>
      <c r="AG1076" s="490"/>
    </row>
    <row r="1077" spans="31:33" ht="11.25" hidden="1">
      <c r="AE1077" s="490"/>
      <c r="AF1077" s="490"/>
      <c r="AG1077" s="490"/>
    </row>
    <row r="1078" spans="31:33" ht="11.25" hidden="1">
      <c r="AE1078" s="490"/>
      <c r="AF1078" s="490"/>
      <c r="AG1078" s="490"/>
    </row>
    <row r="1079" spans="31:33" ht="11.25" hidden="1">
      <c r="AE1079" s="490"/>
      <c r="AF1079" s="490"/>
      <c r="AG1079" s="490"/>
    </row>
    <row r="1080" spans="31:33" ht="11.25" hidden="1">
      <c r="AE1080" s="490"/>
      <c r="AF1080" s="490"/>
      <c r="AG1080" s="490"/>
    </row>
    <row r="1081" spans="31:33" ht="11.25" hidden="1">
      <c r="AE1081" s="490"/>
      <c r="AF1081" s="490"/>
      <c r="AG1081" s="490"/>
    </row>
    <row r="1082" spans="31:33" ht="11.25" hidden="1">
      <c r="AE1082" s="490"/>
      <c r="AF1082" s="490"/>
      <c r="AG1082" s="490"/>
    </row>
    <row r="1083" spans="31:33" ht="11.25" hidden="1">
      <c r="AE1083" s="490"/>
      <c r="AF1083" s="490"/>
      <c r="AG1083" s="490"/>
    </row>
    <row r="1084" spans="31:33" ht="11.25" hidden="1">
      <c r="AE1084" s="490"/>
      <c r="AF1084" s="490"/>
      <c r="AG1084" s="490"/>
    </row>
    <row r="1085" spans="31:33" ht="11.25" hidden="1">
      <c r="AE1085" s="490"/>
      <c r="AF1085" s="490"/>
      <c r="AG1085" s="490"/>
    </row>
    <row r="1086" spans="31:33" ht="11.25" hidden="1">
      <c r="AE1086" s="490"/>
      <c r="AF1086" s="490"/>
      <c r="AG1086" s="490"/>
    </row>
    <row r="1087" spans="31:33" ht="11.25" hidden="1">
      <c r="AE1087" s="490"/>
      <c r="AF1087" s="490"/>
      <c r="AG1087" s="490"/>
    </row>
    <row r="1088" spans="31:33" ht="11.25" hidden="1">
      <c r="AE1088" s="490"/>
      <c r="AF1088" s="490"/>
      <c r="AG1088" s="490"/>
    </row>
    <row r="1089" spans="31:33" ht="11.25" hidden="1">
      <c r="AE1089" s="490"/>
      <c r="AF1089" s="490"/>
      <c r="AG1089" s="490"/>
    </row>
    <row r="1090" spans="31:33" ht="11.25" hidden="1">
      <c r="AE1090" s="490"/>
      <c r="AF1090" s="490"/>
      <c r="AG1090" s="490"/>
    </row>
    <row r="1091" spans="31:33" ht="11.25" hidden="1">
      <c r="AE1091" s="490"/>
      <c r="AF1091" s="490"/>
      <c r="AG1091" s="490"/>
    </row>
    <row r="1092" spans="31:33" ht="11.25" hidden="1">
      <c r="AE1092" s="490"/>
      <c r="AF1092" s="490"/>
      <c r="AG1092" s="490"/>
    </row>
    <row r="1093" spans="31:33" ht="11.25" hidden="1">
      <c r="AE1093" s="490"/>
      <c r="AF1093" s="490"/>
      <c r="AG1093" s="490"/>
    </row>
    <row r="1094" spans="31:33" ht="11.25" hidden="1">
      <c r="AE1094" s="490"/>
      <c r="AF1094" s="490"/>
      <c r="AG1094" s="490"/>
    </row>
    <row r="1095" spans="31:33" ht="11.25" hidden="1">
      <c r="AE1095" s="490"/>
      <c r="AF1095" s="490"/>
      <c r="AG1095" s="490"/>
    </row>
    <row r="1096" spans="31:33" ht="11.25" hidden="1">
      <c r="AE1096" s="490"/>
      <c r="AF1096" s="490"/>
      <c r="AG1096" s="490"/>
    </row>
    <row r="1097" spans="31:33" ht="11.25" hidden="1">
      <c r="AE1097" s="490"/>
      <c r="AF1097" s="490"/>
      <c r="AG1097" s="490"/>
    </row>
    <row r="1098" spans="31:33" ht="11.25" hidden="1">
      <c r="AE1098" s="490"/>
      <c r="AF1098" s="490"/>
      <c r="AG1098" s="490"/>
    </row>
    <row r="1099" spans="31:33" ht="11.25" hidden="1">
      <c r="AE1099" s="490"/>
      <c r="AF1099" s="490"/>
      <c r="AG1099" s="490"/>
    </row>
    <row r="1100" spans="31:33" ht="11.25" hidden="1">
      <c r="AE1100" s="490"/>
      <c r="AF1100" s="490"/>
      <c r="AG1100" s="490"/>
    </row>
    <row r="1101" spans="31:33" ht="11.25" hidden="1">
      <c r="AE1101" s="490"/>
      <c r="AF1101" s="490"/>
      <c r="AG1101" s="490"/>
    </row>
    <row r="1102" spans="31:33" ht="11.25" hidden="1">
      <c r="AE1102" s="490"/>
      <c r="AF1102" s="490"/>
      <c r="AG1102" s="490"/>
    </row>
    <row r="1103" spans="31:33" ht="11.25" hidden="1">
      <c r="AE1103" s="490"/>
      <c r="AF1103" s="490"/>
      <c r="AG1103" s="490"/>
    </row>
    <row r="1104" spans="31:33" ht="11.25" hidden="1">
      <c r="AE1104" s="490"/>
      <c r="AF1104" s="490"/>
      <c r="AG1104" s="490"/>
    </row>
    <row r="1105" spans="31:33" ht="11.25" hidden="1">
      <c r="AE1105" s="490"/>
      <c r="AF1105" s="490"/>
      <c r="AG1105" s="490"/>
    </row>
    <row r="1106" spans="31:33" ht="11.25" hidden="1">
      <c r="AE1106" s="490"/>
      <c r="AF1106" s="490"/>
      <c r="AG1106" s="490"/>
    </row>
    <row r="1107" spans="31:33" ht="11.25" hidden="1">
      <c r="AE1107" s="490"/>
      <c r="AF1107" s="490"/>
      <c r="AG1107" s="490"/>
    </row>
    <row r="1108" spans="31:33" ht="11.25" hidden="1">
      <c r="AE1108" s="490"/>
      <c r="AF1108" s="490"/>
      <c r="AG1108" s="490"/>
    </row>
    <row r="1109" spans="31:33" ht="11.25" hidden="1">
      <c r="AE1109" s="490"/>
      <c r="AF1109" s="490"/>
      <c r="AG1109" s="490"/>
    </row>
    <row r="1110" spans="31:33" ht="11.25" hidden="1">
      <c r="AE1110" s="490"/>
      <c r="AF1110" s="490"/>
      <c r="AG1110" s="490"/>
    </row>
    <row r="1111" spans="31:33" ht="11.25" hidden="1">
      <c r="AE1111" s="490"/>
      <c r="AF1111" s="490"/>
      <c r="AG1111" s="490"/>
    </row>
    <row r="1112" spans="31:33" ht="11.25" hidden="1">
      <c r="AE1112" s="490"/>
      <c r="AF1112" s="490"/>
      <c r="AG1112" s="490"/>
    </row>
    <row r="1113" spans="31:33" ht="11.25" hidden="1">
      <c r="AE1113" s="490"/>
      <c r="AF1113" s="490"/>
      <c r="AG1113" s="490"/>
    </row>
    <row r="1114" spans="31:33" ht="11.25" hidden="1">
      <c r="AE1114" s="490"/>
      <c r="AF1114" s="490"/>
      <c r="AG1114" s="490"/>
    </row>
    <row r="1115" spans="31:33" ht="11.25" hidden="1">
      <c r="AE1115" s="490"/>
      <c r="AF1115" s="490"/>
      <c r="AG1115" s="490"/>
    </row>
    <row r="1116" spans="31:33" ht="11.25" hidden="1">
      <c r="AE1116" s="490"/>
      <c r="AF1116" s="490"/>
      <c r="AG1116" s="490"/>
    </row>
    <row r="1117" spans="31:33" ht="11.25" hidden="1">
      <c r="AE1117" s="490"/>
      <c r="AF1117" s="490"/>
      <c r="AG1117" s="490"/>
    </row>
    <row r="1118" spans="31:33" ht="11.25" hidden="1">
      <c r="AE1118" s="490"/>
      <c r="AF1118" s="490"/>
      <c r="AG1118" s="490"/>
    </row>
    <row r="1119" spans="31:33" ht="11.25" hidden="1">
      <c r="AE1119" s="490"/>
      <c r="AF1119" s="490"/>
      <c r="AG1119" s="490"/>
    </row>
    <row r="1120" spans="31:33" ht="11.25" hidden="1">
      <c r="AE1120" s="490"/>
      <c r="AF1120" s="490"/>
      <c r="AG1120" s="490"/>
    </row>
    <row r="1121" spans="31:33" ht="11.25" hidden="1">
      <c r="AE1121" s="490"/>
      <c r="AF1121" s="490"/>
      <c r="AG1121" s="490"/>
    </row>
    <row r="1122" spans="31:33" ht="11.25" hidden="1">
      <c r="AE1122" s="490"/>
      <c r="AF1122" s="490"/>
      <c r="AG1122" s="490"/>
    </row>
    <row r="1123" spans="31:33" ht="11.25" hidden="1">
      <c r="AE1123" s="490"/>
      <c r="AF1123" s="490"/>
      <c r="AG1123" s="490"/>
    </row>
    <row r="1124" spans="31:33" ht="11.25" hidden="1">
      <c r="AE1124" s="490"/>
      <c r="AF1124" s="490"/>
      <c r="AG1124" s="490"/>
    </row>
    <row r="1125" spans="31:33" ht="11.25" hidden="1">
      <c r="AE1125" s="490"/>
      <c r="AF1125" s="490"/>
      <c r="AG1125" s="490"/>
    </row>
    <row r="1126" spans="31:33" ht="11.25" hidden="1">
      <c r="AE1126" s="490"/>
      <c r="AF1126" s="490"/>
      <c r="AG1126" s="490"/>
    </row>
    <row r="1127" spans="31:33" ht="11.25" hidden="1">
      <c r="AE1127" s="490"/>
      <c r="AF1127" s="490"/>
      <c r="AG1127" s="490"/>
    </row>
    <row r="1128" spans="31:33" ht="11.25" hidden="1">
      <c r="AE1128" s="490"/>
      <c r="AF1128" s="490"/>
      <c r="AG1128" s="490"/>
    </row>
    <row r="1129" spans="31:33" ht="11.25" hidden="1">
      <c r="AE1129" s="490"/>
      <c r="AF1129" s="490"/>
      <c r="AG1129" s="490"/>
    </row>
    <row r="1130" spans="31:33" ht="11.25" hidden="1">
      <c r="AE1130" s="490"/>
      <c r="AF1130" s="490"/>
      <c r="AG1130" s="490"/>
    </row>
    <row r="1131" spans="31:33" ht="11.25" hidden="1">
      <c r="AE1131" s="490"/>
      <c r="AF1131" s="490"/>
      <c r="AG1131" s="490"/>
    </row>
    <row r="1132" spans="31:33" ht="11.25" hidden="1">
      <c r="AE1132" s="490"/>
      <c r="AF1132" s="490"/>
      <c r="AG1132" s="490"/>
    </row>
    <row r="1133" spans="31:33" ht="11.25" hidden="1">
      <c r="AE1133" s="490"/>
      <c r="AF1133" s="490"/>
      <c r="AG1133" s="490"/>
    </row>
    <row r="1134" spans="31:33" ht="11.25" hidden="1">
      <c r="AE1134" s="490"/>
      <c r="AF1134" s="490"/>
      <c r="AG1134" s="490"/>
    </row>
    <row r="1135" spans="31:33" ht="11.25" hidden="1">
      <c r="AE1135" s="490"/>
      <c r="AF1135" s="490"/>
      <c r="AG1135" s="490"/>
    </row>
    <row r="1136" spans="31:33" ht="11.25" hidden="1">
      <c r="AE1136" s="490"/>
      <c r="AF1136" s="490"/>
      <c r="AG1136" s="490"/>
    </row>
    <row r="1137" spans="31:33" ht="11.25" hidden="1">
      <c r="AE1137" s="490"/>
      <c r="AF1137" s="490"/>
      <c r="AG1137" s="490"/>
    </row>
    <row r="1138" spans="31:33" ht="11.25" hidden="1">
      <c r="AE1138" s="490"/>
      <c r="AF1138" s="490"/>
      <c r="AG1138" s="490"/>
    </row>
    <row r="1139" spans="31:33" ht="11.25" hidden="1">
      <c r="AE1139" s="490"/>
      <c r="AF1139" s="490"/>
      <c r="AG1139" s="490"/>
    </row>
    <row r="1140" spans="31:33" ht="11.25" hidden="1">
      <c r="AE1140" s="490"/>
      <c r="AF1140" s="490"/>
      <c r="AG1140" s="490"/>
    </row>
    <row r="1141" spans="31:33" ht="11.25" hidden="1">
      <c r="AE1141" s="490"/>
      <c r="AF1141" s="490"/>
      <c r="AG1141" s="490"/>
    </row>
    <row r="1142" spans="31:33" ht="11.25" hidden="1">
      <c r="AE1142" s="490"/>
      <c r="AF1142" s="490"/>
      <c r="AG1142" s="490"/>
    </row>
    <row r="1143" spans="31:33" ht="11.25" hidden="1">
      <c r="AE1143" s="490"/>
      <c r="AF1143" s="490"/>
      <c r="AG1143" s="490"/>
    </row>
    <row r="1144" spans="31:33" ht="11.25" hidden="1">
      <c r="AE1144" s="490"/>
      <c r="AF1144" s="490"/>
      <c r="AG1144" s="490"/>
    </row>
    <row r="1145" spans="31:33" ht="11.25" hidden="1">
      <c r="AE1145" s="490"/>
      <c r="AF1145" s="490"/>
      <c r="AG1145" s="490"/>
    </row>
    <row r="1146" spans="31:33" ht="11.25" hidden="1">
      <c r="AE1146" s="490"/>
      <c r="AF1146" s="490"/>
      <c r="AG1146" s="490"/>
    </row>
    <row r="1147" spans="31:33" ht="11.25" hidden="1">
      <c r="AE1147" s="490"/>
      <c r="AF1147" s="490"/>
      <c r="AG1147" s="490"/>
    </row>
    <row r="1148" spans="31:33" ht="11.25" hidden="1">
      <c r="AE1148" s="490"/>
      <c r="AF1148" s="490"/>
      <c r="AG1148" s="490"/>
    </row>
    <row r="1149" spans="31:33" ht="11.25" hidden="1">
      <c r="AE1149" s="490"/>
      <c r="AF1149" s="490"/>
      <c r="AG1149" s="490"/>
    </row>
    <row r="1150" spans="31:33" ht="11.25" hidden="1">
      <c r="AE1150" s="490"/>
      <c r="AF1150" s="490"/>
      <c r="AG1150" s="490"/>
    </row>
    <row r="1151" spans="31:33" ht="11.25" hidden="1">
      <c r="AE1151" s="490"/>
      <c r="AF1151" s="490"/>
      <c r="AG1151" s="490"/>
    </row>
    <row r="1152" spans="31:33" ht="11.25" hidden="1">
      <c r="AE1152" s="490"/>
      <c r="AF1152" s="490"/>
      <c r="AG1152" s="490"/>
    </row>
    <row r="1153" spans="31:33" ht="11.25" hidden="1">
      <c r="AE1153" s="490"/>
      <c r="AF1153" s="490"/>
      <c r="AG1153" s="490"/>
    </row>
    <row r="1154" spans="31:33" ht="11.25" hidden="1">
      <c r="AE1154" s="490"/>
      <c r="AF1154" s="490"/>
      <c r="AG1154" s="490"/>
    </row>
    <row r="1155" spans="31:33" ht="11.25" hidden="1">
      <c r="AE1155" s="490"/>
      <c r="AF1155" s="490"/>
      <c r="AG1155" s="490"/>
    </row>
    <row r="1156" spans="31:33" ht="11.25" hidden="1">
      <c r="AE1156" s="490"/>
      <c r="AF1156" s="490"/>
      <c r="AG1156" s="490"/>
    </row>
    <row r="1157" spans="31:33" ht="11.25" hidden="1">
      <c r="AE1157" s="490"/>
      <c r="AF1157" s="490"/>
      <c r="AG1157" s="490"/>
    </row>
    <row r="1158" spans="31:33" ht="11.25" hidden="1">
      <c r="AE1158" s="490"/>
      <c r="AF1158" s="490"/>
      <c r="AG1158" s="490"/>
    </row>
    <row r="1159" spans="31:33" ht="11.25" hidden="1">
      <c r="AE1159" s="490"/>
      <c r="AF1159" s="490"/>
      <c r="AG1159" s="490"/>
    </row>
    <row r="1160" spans="31:33" ht="11.25" hidden="1">
      <c r="AE1160" s="490"/>
      <c r="AF1160" s="490"/>
      <c r="AG1160" s="490"/>
    </row>
    <row r="1161" spans="31:33" ht="11.25" hidden="1">
      <c r="AE1161" s="490"/>
      <c r="AF1161" s="490"/>
      <c r="AG1161" s="490"/>
    </row>
    <row r="1162" spans="31:33" ht="11.25" hidden="1">
      <c r="AE1162" s="490"/>
      <c r="AF1162" s="490"/>
      <c r="AG1162" s="490"/>
    </row>
    <row r="1163" spans="31:33" ht="11.25" hidden="1">
      <c r="AE1163" s="490"/>
      <c r="AF1163" s="490"/>
      <c r="AG1163" s="490"/>
    </row>
    <row r="1164" spans="31:33" ht="11.25" hidden="1">
      <c r="AE1164" s="490"/>
      <c r="AF1164" s="490"/>
      <c r="AG1164" s="490"/>
    </row>
    <row r="1165" spans="31:33" ht="11.25" hidden="1">
      <c r="AE1165" s="490"/>
      <c r="AF1165" s="490"/>
      <c r="AG1165" s="490"/>
    </row>
    <row r="1166" spans="31:33" ht="11.25" hidden="1">
      <c r="AE1166" s="490"/>
      <c r="AF1166" s="490"/>
      <c r="AG1166" s="490"/>
    </row>
    <row r="1167" spans="31:33" ht="11.25" hidden="1">
      <c r="AE1167" s="490"/>
      <c r="AF1167" s="490"/>
      <c r="AG1167" s="490"/>
    </row>
    <row r="1168" spans="31:33" ht="11.25" hidden="1">
      <c r="AE1168" s="490"/>
      <c r="AF1168" s="490"/>
      <c r="AG1168" s="490"/>
    </row>
    <row r="1169" spans="31:33" ht="11.25" hidden="1">
      <c r="AE1169" s="490"/>
      <c r="AF1169" s="490"/>
      <c r="AG1169" s="490"/>
    </row>
    <row r="1170" spans="31:33" ht="11.25" hidden="1">
      <c r="AE1170" s="490"/>
      <c r="AF1170" s="490"/>
      <c r="AG1170" s="490"/>
    </row>
    <row r="1171" spans="31:33" ht="11.25" hidden="1">
      <c r="AE1171" s="490"/>
      <c r="AF1171" s="490"/>
      <c r="AG1171" s="490"/>
    </row>
    <row r="1172" spans="31:33" ht="11.25" hidden="1">
      <c r="AE1172" s="490"/>
      <c r="AF1172" s="490"/>
      <c r="AG1172" s="490"/>
    </row>
    <row r="1173" spans="31:33" ht="11.25" hidden="1">
      <c r="AE1173" s="490"/>
      <c r="AF1173" s="490"/>
      <c r="AG1173" s="490"/>
    </row>
    <row r="1174" spans="31:33" ht="11.25" hidden="1">
      <c r="AE1174" s="490"/>
      <c r="AF1174" s="490"/>
      <c r="AG1174" s="490"/>
    </row>
    <row r="1175" spans="31:33" ht="11.25" hidden="1">
      <c r="AE1175" s="490"/>
      <c r="AF1175" s="490"/>
      <c r="AG1175" s="490"/>
    </row>
    <row r="1176" spans="31:33" ht="11.25" hidden="1">
      <c r="AE1176" s="490"/>
      <c r="AF1176" s="490"/>
      <c r="AG1176" s="490"/>
    </row>
    <row r="1177" spans="31:33" ht="11.25" hidden="1">
      <c r="AE1177" s="490"/>
      <c r="AF1177" s="490"/>
      <c r="AG1177" s="490"/>
    </row>
    <row r="1178" spans="31:33" ht="11.25" hidden="1">
      <c r="AE1178" s="490"/>
      <c r="AF1178" s="490"/>
      <c r="AG1178" s="490"/>
    </row>
    <row r="1179" spans="31:33" ht="11.25" hidden="1">
      <c r="AE1179" s="490"/>
      <c r="AF1179" s="490"/>
      <c r="AG1179" s="490"/>
    </row>
    <row r="1180" spans="31:33" ht="11.25" hidden="1">
      <c r="AE1180" s="490"/>
      <c r="AF1180" s="490"/>
      <c r="AG1180" s="490"/>
    </row>
    <row r="1181" spans="31:33" ht="11.25" hidden="1">
      <c r="AE1181" s="490"/>
      <c r="AF1181" s="490"/>
      <c r="AG1181" s="490"/>
    </row>
    <row r="1182" spans="31:33" ht="11.25" hidden="1">
      <c r="AE1182" s="490"/>
      <c r="AF1182" s="490"/>
      <c r="AG1182" s="490"/>
    </row>
    <row r="1183" spans="31:33" ht="11.25" hidden="1">
      <c r="AE1183" s="490"/>
      <c r="AF1183" s="490"/>
      <c r="AG1183" s="490"/>
    </row>
    <row r="1184" spans="31:33" ht="11.25" hidden="1">
      <c r="AE1184" s="490"/>
      <c r="AF1184" s="490"/>
      <c r="AG1184" s="490"/>
    </row>
    <row r="1185" spans="31:33" ht="11.25" hidden="1">
      <c r="AE1185" s="490"/>
      <c r="AF1185" s="490"/>
      <c r="AG1185" s="490"/>
    </row>
    <row r="1186" spans="31:33" ht="11.25" hidden="1">
      <c r="AE1186" s="490"/>
      <c r="AF1186" s="490"/>
      <c r="AG1186" s="490"/>
    </row>
    <row r="1187" spans="31:33" ht="11.25" hidden="1">
      <c r="AE1187" s="490"/>
      <c r="AF1187" s="490"/>
      <c r="AG1187" s="490"/>
    </row>
    <row r="1188" spans="31:33" ht="11.25" hidden="1">
      <c r="AE1188" s="490"/>
      <c r="AF1188" s="490"/>
      <c r="AG1188" s="490"/>
    </row>
    <row r="1189" spans="31:33" ht="11.25" hidden="1">
      <c r="AE1189" s="490"/>
      <c r="AF1189" s="490"/>
      <c r="AG1189" s="490"/>
    </row>
    <row r="1190" spans="31:33" ht="11.25" hidden="1">
      <c r="AE1190" s="490"/>
      <c r="AF1190" s="490"/>
      <c r="AG1190" s="490"/>
    </row>
    <row r="1191" spans="31:33" ht="11.25" hidden="1">
      <c r="AE1191" s="490"/>
      <c r="AF1191" s="490"/>
      <c r="AG1191" s="490"/>
    </row>
    <row r="1192" spans="31:33" ht="11.25" hidden="1">
      <c r="AE1192" s="490"/>
      <c r="AF1192" s="490"/>
      <c r="AG1192" s="490"/>
    </row>
    <row r="1193" spans="31:33" ht="11.25" hidden="1">
      <c r="AE1193" s="490"/>
      <c r="AF1193" s="490"/>
      <c r="AG1193" s="490"/>
    </row>
    <row r="1194" spans="31:33" ht="11.25" hidden="1">
      <c r="AE1194" s="490"/>
      <c r="AF1194" s="490"/>
      <c r="AG1194" s="490"/>
    </row>
    <row r="1195" spans="31:33" ht="11.25" hidden="1">
      <c r="AE1195" s="490"/>
      <c r="AF1195" s="490"/>
      <c r="AG1195" s="490"/>
    </row>
    <row r="1196" spans="31:33" ht="11.25" hidden="1">
      <c r="AE1196" s="490"/>
      <c r="AF1196" s="490"/>
      <c r="AG1196" s="490"/>
    </row>
    <row r="1197" spans="31:33" ht="11.25" hidden="1">
      <c r="AE1197" s="490"/>
      <c r="AF1197" s="490"/>
      <c r="AG1197" s="490"/>
    </row>
    <row r="1198" spans="31:33" ht="11.25" hidden="1">
      <c r="AE1198" s="490"/>
      <c r="AF1198" s="490"/>
      <c r="AG1198" s="490"/>
    </row>
    <row r="1199" spans="31:33" ht="11.25" hidden="1">
      <c r="AE1199" s="490"/>
      <c r="AF1199" s="490"/>
      <c r="AG1199" s="490"/>
    </row>
    <row r="1200" spans="31:33" ht="11.25" hidden="1">
      <c r="AE1200" s="490"/>
      <c r="AF1200" s="490"/>
      <c r="AG1200" s="490"/>
    </row>
    <row r="1201" spans="31:33" ht="11.25" hidden="1">
      <c r="AE1201" s="490"/>
      <c r="AF1201" s="490"/>
      <c r="AG1201" s="490"/>
    </row>
    <row r="1202" spans="31:33" ht="11.25" hidden="1">
      <c r="AE1202" s="490"/>
      <c r="AF1202" s="490"/>
      <c r="AG1202" s="490"/>
    </row>
    <row r="1203" spans="31:33" ht="11.25" hidden="1">
      <c r="AE1203" s="490"/>
      <c r="AF1203" s="490"/>
      <c r="AG1203" s="490"/>
    </row>
    <row r="1204" spans="31:33" ht="11.25" hidden="1">
      <c r="AE1204" s="490"/>
      <c r="AF1204" s="490"/>
      <c r="AG1204" s="490"/>
    </row>
    <row r="1205" spans="31:33" ht="11.25" hidden="1">
      <c r="AE1205" s="490"/>
      <c r="AF1205" s="490"/>
      <c r="AG1205" s="490"/>
    </row>
    <row r="1206" spans="31:33" ht="11.25" hidden="1">
      <c r="AE1206" s="490"/>
      <c r="AF1206" s="490"/>
      <c r="AG1206" s="490"/>
    </row>
    <row r="1207" spans="31:33" ht="11.25" hidden="1">
      <c r="AE1207" s="490"/>
      <c r="AF1207" s="490"/>
      <c r="AG1207" s="490"/>
    </row>
    <row r="1208" spans="31:33" ht="11.25" hidden="1">
      <c r="AE1208" s="490"/>
      <c r="AF1208" s="490"/>
      <c r="AG1208" s="490"/>
    </row>
    <row r="1209" spans="31:33" ht="11.25" hidden="1">
      <c r="AE1209" s="490"/>
      <c r="AF1209" s="490"/>
      <c r="AG1209" s="490"/>
    </row>
    <row r="1210" spans="31:33" ht="11.25" hidden="1">
      <c r="AE1210" s="490"/>
      <c r="AF1210" s="490"/>
      <c r="AG1210" s="490"/>
    </row>
    <row r="1211" spans="31:33" ht="11.25" hidden="1">
      <c r="AE1211" s="490"/>
      <c r="AF1211" s="490"/>
      <c r="AG1211" s="490"/>
    </row>
    <row r="1212" spans="31:33" ht="11.25" hidden="1">
      <c r="AE1212" s="490"/>
      <c r="AF1212" s="490"/>
      <c r="AG1212" s="490"/>
    </row>
    <row r="1213" spans="31:33" ht="11.25" hidden="1">
      <c r="AE1213" s="490"/>
      <c r="AF1213" s="490"/>
      <c r="AG1213" s="490"/>
    </row>
    <row r="1214" spans="31:33" ht="11.25" hidden="1">
      <c r="AE1214" s="490"/>
      <c r="AF1214" s="490"/>
      <c r="AG1214" s="490"/>
    </row>
    <row r="1215" spans="31:33" ht="11.25" hidden="1">
      <c r="AE1215" s="490"/>
      <c r="AF1215" s="490"/>
      <c r="AG1215" s="490"/>
    </row>
    <row r="1216" spans="31:33" ht="11.25" hidden="1">
      <c r="AE1216" s="490"/>
      <c r="AF1216" s="490"/>
      <c r="AG1216" s="490"/>
    </row>
    <row r="1217" spans="31:33" ht="11.25" hidden="1">
      <c r="AE1217" s="490"/>
      <c r="AF1217" s="490"/>
      <c r="AG1217" s="490"/>
    </row>
    <row r="1218" spans="31:33" ht="11.25" hidden="1">
      <c r="AE1218" s="490"/>
      <c r="AF1218" s="490"/>
      <c r="AG1218" s="490"/>
    </row>
    <row r="1219" spans="31:33" ht="11.25" hidden="1">
      <c r="AE1219" s="490"/>
      <c r="AF1219" s="490"/>
      <c r="AG1219" s="490"/>
    </row>
    <row r="1220" spans="31:33" ht="11.25" hidden="1">
      <c r="AE1220" s="490"/>
      <c r="AF1220" s="490"/>
      <c r="AG1220" s="490"/>
    </row>
    <row r="1221" spans="31:33" ht="11.25" hidden="1">
      <c r="AE1221" s="490"/>
      <c r="AF1221" s="490"/>
      <c r="AG1221" s="490"/>
    </row>
    <row r="1222" spans="31:33" ht="11.25" hidden="1">
      <c r="AE1222" s="490"/>
      <c r="AF1222" s="490"/>
      <c r="AG1222" s="490"/>
    </row>
    <row r="1223" spans="31:33" ht="11.25" hidden="1">
      <c r="AE1223" s="490"/>
      <c r="AF1223" s="490"/>
      <c r="AG1223" s="490"/>
    </row>
    <row r="1224" spans="31:33" ht="11.25" hidden="1">
      <c r="AE1224" s="490"/>
      <c r="AF1224" s="490"/>
      <c r="AG1224" s="490"/>
    </row>
    <row r="1225" spans="31:33" ht="11.25" hidden="1">
      <c r="AE1225" s="490"/>
      <c r="AF1225" s="490"/>
      <c r="AG1225" s="490"/>
    </row>
    <row r="1226" spans="31:33" ht="11.25" hidden="1">
      <c r="AE1226" s="490"/>
      <c r="AF1226" s="490"/>
      <c r="AG1226" s="490"/>
    </row>
    <row r="1227" spans="31:33" ht="11.25" hidden="1">
      <c r="AE1227" s="490"/>
      <c r="AF1227" s="490"/>
      <c r="AG1227" s="490"/>
    </row>
    <row r="1228" spans="31:33" ht="11.25" hidden="1">
      <c r="AE1228" s="490"/>
      <c r="AF1228" s="490"/>
      <c r="AG1228" s="490"/>
    </row>
    <row r="1229" spans="31:33" ht="11.25" hidden="1">
      <c r="AE1229" s="490"/>
      <c r="AF1229" s="490"/>
      <c r="AG1229" s="490"/>
    </row>
    <row r="1230" spans="31:33" ht="11.25" hidden="1">
      <c r="AE1230" s="490"/>
      <c r="AF1230" s="490"/>
      <c r="AG1230" s="490"/>
    </row>
    <row r="1231" spans="31:33" ht="11.25" hidden="1">
      <c r="AE1231" s="490"/>
      <c r="AF1231" s="490"/>
      <c r="AG1231" s="490"/>
    </row>
    <row r="1232" spans="31:33" ht="11.25" hidden="1">
      <c r="AE1232" s="490"/>
      <c r="AF1232" s="490"/>
      <c r="AG1232" s="490"/>
    </row>
    <row r="1233" spans="31:33" ht="11.25" hidden="1">
      <c r="AE1233" s="490"/>
      <c r="AF1233" s="490"/>
      <c r="AG1233" s="490"/>
    </row>
    <row r="1234" spans="31:33" ht="11.25" hidden="1">
      <c r="AE1234" s="490"/>
      <c r="AF1234" s="490"/>
      <c r="AG1234" s="490"/>
    </row>
    <row r="1235" spans="31:33" ht="11.25" hidden="1">
      <c r="AE1235" s="490"/>
      <c r="AF1235" s="490"/>
      <c r="AG1235" s="490"/>
    </row>
    <row r="1236" spans="31:33" ht="11.25" hidden="1">
      <c r="AE1236" s="490"/>
      <c r="AF1236" s="490"/>
      <c r="AG1236" s="490"/>
    </row>
    <row r="1237" spans="31:33" ht="11.25" hidden="1">
      <c r="AE1237" s="490"/>
      <c r="AF1237" s="490"/>
      <c r="AG1237" s="490"/>
    </row>
    <row r="1238" spans="31:33" ht="11.25" hidden="1">
      <c r="AE1238" s="490"/>
      <c r="AF1238" s="490"/>
      <c r="AG1238" s="490"/>
    </row>
    <row r="1239" spans="31:33" ht="11.25" hidden="1">
      <c r="AE1239" s="490"/>
      <c r="AF1239" s="490"/>
      <c r="AG1239" s="490"/>
    </row>
    <row r="1240" spans="31:33" ht="11.25" hidden="1">
      <c r="AE1240" s="490"/>
      <c r="AF1240" s="490"/>
      <c r="AG1240" s="490"/>
    </row>
    <row r="1241" spans="31:33" ht="11.25" hidden="1">
      <c r="AE1241" s="490"/>
      <c r="AF1241" s="490"/>
      <c r="AG1241" s="490"/>
    </row>
    <row r="1242" spans="31:33" ht="11.25" hidden="1">
      <c r="AE1242" s="490"/>
      <c r="AF1242" s="490"/>
      <c r="AG1242" s="490"/>
    </row>
    <row r="1243" spans="31:33" ht="11.25" hidden="1">
      <c r="AE1243" s="490"/>
      <c r="AF1243" s="490"/>
      <c r="AG1243" s="490"/>
    </row>
    <row r="1244" spans="31:33" ht="11.25" hidden="1">
      <c r="AE1244" s="490"/>
      <c r="AF1244" s="490"/>
      <c r="AG1244" s="490"/>
    </row>
    <row r="1245" spans="31:33" ht="11.25" hidden="1">
      <c r="AE1245" s="490"/>
      <c r="AF1245" s="490"/>
      <c r="AG1245" s="490"/>
    </row>
    <row r="1246" spans="31:33" ht="11.25" hidden="1">
      <c r="AE1246" s="490"/>
      <c r="AF1246" s="490"/>
      <c r="AG1246" s="490"/>
    </row>
    <row r="1247" spans="31:33" ht="11.25" hidden="1">
      <c r="AE1247" s="490"/>
      <c r="AF1247" s="490"/>
      <c r="AG1247" s="490"/>
    </row>
    <row r="1248" spans="31:33" ht="11.25" hidden="1">
      <c r="AE1248" s="490"/>
      <c r="AF1248" s="490"/>
      <c r="AG1248" s="490"/>
    </row>
    <row r="1249" spans="31:33" ht="11.25" hidden="1">
      <c r="AE1249" s="490"/>
      <c r="AF1249" s="490"/>
      <c r="AG1249" s="490"/>
    </row>
    <row r="1250" spans="31:33" ht="11.25" hidden="1">
      <c r="AE1250" s="490"/>
      <c r="AF1250" s="490"/>
      <c r="AG1250" s="490"/>
    </row>
    <row r="1251" spans="31:33" ht="11.25" hidden="1">
      <c r="AE1251" s="490"/>
      <c r="AF1251" s="490"/>
      <c r="AG1251" s="490"/>
    </row>
    <row r="1252" spans="31:33" ht="11.25" hidden="1">
      <c r="AE1252" s="490"/>
      <c r="AF1252" s="490"/>
      <c r="AG1252" s="490"/>
    </row>
    <row r="1253" spans="31:33" ht="11.25" hidden="1">
      <c r="AE1253" s="490"/>
      <c r="AF1253" s="490"/>
      <c r="AG1253" s="490"/>
    </row>
    <row r="1254" spans="31:33" ht="11.25" hidden="1">
      <c r="AE1254" s="490"/>
      <c r="AF1254" s="490"/>
      <c r="AG1254" s="490"/>
    </row>
    <row r="1255" spans="31:33" ht="11.25" hidden="1">
      <c r="AE1255" s="490"/>
      <c r="AF1255" s="490"/>
      <c r="AG1255" s="490"/>
    </row>
    <row r="1256" spans="31:33" ht="11.25" hidden="1">
      <c r="AE1256" s="490"/>
      <c r="AF1256" s="490"/>
      <c r="AG1256" s="490"/>
    </row>
    <row r="1257" spans="31:33" ht="11.25" hidden="1">
      <c r="AE1257" s="490"/>
      <c r="AF1257" s="490"/>
      <c r="AG1257" s="490"/>
    </row>
    <row r="1258" spans="31:33" ht="11.25" hidden="1">
      <c r="AE1258" s="490"/>
      <c r="AF1258" s="490"/>
      <c r="AG1258" s="490"/>
    </row>
    <row r="1259" spans="31:33" ht="11.25" hidden="1">
      <c r="AE1259" s="490"/>
      <c r="AF1259" s="490"/>
      <c r="AG1259" s="490"/>
    </row>
    <row r="1260" spans="31:33" ht="11.25" hidden="1">
      <c r="AE1260" s="490"/>
      <c r="AF1260" s="490"/>
      <c r="AG1260" s="490"/>
    </row>
    <row r="1261" spans="31:33" ht="11.25" hidden="1">
      <c r="AE1261" s="490"/>
      <c r="AF1261" s="490"/>
      <c r="AG1261" s="490"/>
    </row>
    <row r="1262" spans="31:33" ht="11.25" hidden="1">
      <c r="AE1262" s="490"/>
      <c r="AF1262" s="490"/>
      <c r="AG1262" s="490"/>
    </row>
    <row r="1263" spans="31:33" ht="11.25" hidden="1">
      <c r="AE1263" s="490"/>
      <c r="AF1263" s="490"/>
      <c r="AG1263" s="490"/>
    </row>
    <row r="1264" spans="31:33" ht="11.25" hidden="1">
      <c r="AE1264" s="490"/>
      <c r="AF1264" s="490"/>
      <c r="AG1264" s="490"/>
    </row>
    <row r="1265" spans="31:33" ht="11.25" hidden="1">
      <c r="AE1265" s="490"/>
      <c r="AF1265" s="490"/>
      <c r="AG1265" s="490"/>
    </row>
    <row r="1266" spans="31:33" ht="11.25" hidden="1">
      <c r="AE1266" s="490"/>
      <c r="AF1266" s="490"/>
      <c r="AG1266" s="490"/>
    </row>
    <row r="1267" spans="31:33" ht="11.25" hidden="1">
      <c r="AE1267" s="490"/>
      <c r="AF1267" s="490"/>
      <c r="AG1267" s="490"/>
    </row>
    <row r="1268" spans="31:33" ht="11.25" hidden="1">
      <c r="AE1268" s="490"/>
      <c r="AF1268" s="490"/>
      <c r="AG1268" s="490"/>
    </row>
    <row r="1269" spans="31:33" ht="11.25" hidden="1">
      <c r="AE1269" s="490"/>
      <c r="AF1269" s="490"/>
      <c r="AG1269" s="490"/>
    </row>
    <row r="1270" spans="31:33" ht="11.25" hidden="1">
      <c r="AE1270" s="490"/>
      <c r="AF1270" s="490"/>
      <c r="AG1270" s="490"/>
    </row>
    <row r="1271" spans="31:33" ht="11.25" hidden="1">
      <c r="AE1271" s="490"/>
      <c r="AF1271" s="490"/>
      <c r="AG1271" s="490"/>
    </row>
    <row r="1272" spans="31:33" ht="11.25" hidden="1">
      <c r="AE1272" s="490"/>
      <c r="AF1272" s="490"/>
      <c r="AG1272" s="490"/>
    </row>
    <row r="1273" spans="31:33" ht="11.25" hidden="1">
      <c r="AE1273" s="490"/>
      <c r="AF1273" s="490"/>
      <c r="AG1273" s="490"/>
    </row>
    <row r="1274" spans="31:33" ht="11.25" hidden="1">
      <c r="AE1274" s="490"/>
      <c r="AF1274" s="490"/>
      <c r="AG1274" s="490"/>
    </row>
    <row r="1275" spans="31:33" ht="11.25" hidden="1">
      <c r="AE1275" s="490"/>
      <c r="AF1275" s="490"/>
      <c r="AG1275" s="490"/>
    </row>
    <row r="1276" spans="31:33" ht="11.25" hidden="1">
      <c r="AE1276" s="490"/>
      <c r="AF1276" s="490"/>
      <c r="AG1276" s="490"/>
    </row>
    <row r="1277" spans="31:33" ht="11.25" hidden="1">
      <c r="AE1277" s="490"/>
      <c r="AF1277" s="490"/>
      <c r="AG1277" s="490"/>
    </row>
    <row r="1278" spans="31:33" ht="11.25" hidden="1">
      <c r="AE1278" s="490"/>
      <c r="AF1278" s="490"/>
      <c r="AG1278" s="490"/>
    </row>
    <row r="1279" spans="31:33" ht="11.25" hidden="1">
      <c r="AE1279" s="490"/>
      <c r="AF1279" s="490"/>
      <c r="AG1279" s="490"/>
    </row>
    <row r="1280" spans="31:33" ht="11.25" hidden="1">
      <c r="AE1280" s="490"/>
      <c r="AF1280" s="490"/>
      <c r="AG1280" s="490"/>
    </row>
    <row r="1281" spans="31:33" ht="11.25" hidden="1">
      <c r="AE1281" s="490"/>
      <c r="AF1281" s="490"/>
      <c r="AG1281" s="490"/>
    </row>
    <row r="1282" spans="31:33" ht="11.25" hidden="1">
      <c r="AE1282" s="490"/>
      <c r="AF1282" s="490"/>
      <c r="AG1282" s="490"/>
    </row>
    <row r="1283" spans="31:33" ht="11.25" hidden="1">
      <c r="AE1283" s="490"/>
      <c r="AF1283" s="490"/>
      <c r="AG1283" s="490"/>
    </row>
    <row r="1284" spans="31:33" ht="11.25" hidden="1">
      <c r="AE1284" s="490"/>
      <c r="AF1284" s="490"/>
      <c r="AG1284" s="490"/>
    </row>
    <row r="1285" spans="31:33" ht="11.25" hidden="1">
      <c r="AE1285" s="490"/>
      <c r="AF1285" s="490"/>
      <c r="AG1285" s="490"/>
    </row>
    <row r="1286" spans="31:33" ht="11.25" hidden="1">
      <c r="AE1286" s="490"/>
      <c r="AF1286" s="490"/>
      <c r="AG1286" s="490"/>
    </row>
    <row r="1287" spans="31:33" ht="11.25" hidden="1">
      <c r="AE1287" s="490"/>
      <c r="AF1287" s="490"/>
      <c r="AG1287" s="490"/>
    </row>
    <row r="1288" spans="31:33" ht="11.25" hidden="1">
      <c r="AE1288" s="490"/>
      <c r="AF1288" s="490"/>
      <c r="AG1288" s="490"/>
    </row>
    <row r="1289" spans="31:33" ht="11.25" hidden="1">
      <c r="AE1289" s="490"/>
      <c r="AF1289" s="490"/>
      <c r="AG1289" s="490"/>
    </row>
    <row r="1290" spans="31:33" ht="11.25" hidden="1">
      <c r="AE1290" s="490"/>
      <c r="AF1290" s="490"/>
      <c r="AG1290" s="490"/>
    </row>
    <row r="1291" spans="31:33" ht="11.25" hidden="1">
      <c r="AE1291" s="490"/>
      <c r="AF1291" s="490"/>
      <c r="AG1291" s="490"/>
    </row>
    <row r="1292" spans="31:33" ht="11.25" hidden="1">
      <c r="AE1292" s="490"/>
      <c r="AF1292" s="490"/>
      <c r="AG1292" s="490"/>
    </row>
    <row r="1293" spans="31:33" ht="11.25" hidden="1">
      <c r="AE1293" s="490"/>
      <c r="AF1293" s="490"/>
      <c r="AG1293" s="490"/>
    </row>
    <row r="1294" spans="31:33" ht="11.25" hidden="1">
      <c r="AE1294" s="490"/>
      <c r="AF1294" s="490"/>
      <c r="AG1294" s="490"/>
    </row>
    <row r="1295" spans="31:33" ht="11.25" hidden="1">
      <c r="AE1295" s="490"/>
      <c r="AF1295" s="490"/>
      <c r="AG1295" s="490"/>
    </row>
    <row r="1296" spans="31:33" ht="11.25" hidden="1">
      <c r="AE1296" s="490"/>
      <c r="AF1296" s="490"/>
      <c r="AG1296" s="490"/>
    </row>
    <row r="1297" spans="31:33" ht="11.25" hidden="1">
      <c r="AE1297" s="490"/>
      <c r="AF1297" s="490"/>
      <c r="AG1297" s="490"/>
    </row>
    <row r="1298" spans="31:33" ht="11.25" hidden="1">
      <c r="AE1298" s="490"/>
      <c r="AF1298" s="490"/>
      <c r="AG1298" s="490"/>
    </row>
    <row r="1299" spans="31:33" ht="11.25" hidden="1">
      <c r="AE1299" s="490"/>
      <c r="AF1299" s="490"/>
      <c r="AG1299" s="490"/>
    </row>
    <row r="1300" spans="31:33" ht="11.25" hidden="1">
      <c r="AE1300" s="490"/>
      <c r="AF1300" s="490"/>
      <c r="AG1300" s="490"/>
    </row>
    <row r="1301" spans="31:33" ht="11.25" hidden="1">
      <c r="AE1301" s="490"/>
      <c r="AF1301" s="490"/>
      <c r="AG1301" s="490"/>
    </row>
    <row r="1302" spans="31:33" ht="11.25" hidden="1">
      <c r="AE1302" s="490"/>
      <c r="AF1302" s="490"/>
      <c r="AG1302" s="490"/>
    </row>
    <row r="1303" spans="31:33" ht="11.25" hidden="1">
      <c r="AE1303" s="490"/>
      <c r="AF1303" s="490"/>
      <c r="AG1303" s="490"/>
    </row>
    <row r="1304" spans="31:33" ht="11.25" hidden="1">
      <c r="AE1304" s="490"/>
      <c r="AF1304" s="490"/>
      <c r="AG1304" s="490"/>
    </row>
    <row r="1305" spans="31:33" ht="11.25" hidden="1">
      <c r="AE1305" s="490"/>
      <c r="AF1305" s="490"/>
      <c r="AG1305" s="490"/>
    </row>
    <row r="1306" spans="31:33" ht="11.25" hidden="1">
      <c r="AE1306" s="490"/>
      <c r="AF1306" s="490"/>
      <c r="AG1306" s="490"/>
    </row>
    <row r="1307" spans="31:33" ht="11.25" hidden="1">
      <c r="AE1307" s="490"/>
      <c r="AF1307" s="490"/>
      <c r="AG1307" s="490"/>
    </row>
    <row r="1308" spans="31:33" ht="11.25" hidden="1">
      <c r="AE1308" s="490"/>
      <c r="AF1308" s="490"/>
      <c r="AG1308" s="490"/>
    </row>
    <row r="1309" spans="31:33" ht="11.25" hidden="1">
      <c r="AE1309" s="490"/>
      <c r="AF1309" s="490"/>
      <c r="AG1309" s="490"/>
    </row>
    <row r="1310" spans="31:33" ht="11.25" hidden="1">
      <c r="AE1310" s="490"/>
      <c r="AF1310" s="490"/>
      <c r="AG1310" s="490"/>
    </row>
    <row r="1311" spans="31:33" ht="11.25" hidden="1">
      <c r="AE1311" s="490"/>
      <c r="AF1311" s="490"/>
      <c r="AG1311" s="490"/>
    </row>
    <row r="1312" spans="31:33" ht="11.25" hidden="1">
      <c r="AE1312" s="490"/>
      <c r="AF1312" s="490"/>
      <c r="AG1312" s="490"/>
    </row>
    <row r="1313" spans="31:33" ht="11.25" hidden="1">
      <c r="AE1313" s="490"/>
      <c r="AF1313" s="490"/>
      <c r="AG1313" s="490"/>
    </row>
    <row r="1314" spans="31:33" ht="11.25" hidden="1">
      <c r="AE1314" s="490"/>
      <c r="AF1314" s="490"/>
      <c r="AG1314" s="490"/>
    </row>
    <row r="1315" spans="31:33" ht="11.25" hidden="1">
      <c r="AE1315" s="490"/>
      <c r="AF1315" s="490"/>
      <c r="AG1315" s="490"/>
    </row>
    <row r="1316" spans="31:33" ht="11.25" hidden="1">
      <c r="AE1316" s="490"/>
      <c r="AF1316" s="490"/>
      <c r="AG1316" s="490"/>
    </row>
    <row r="1317" spans="31:33" ht="11.25" hidden="1">
      <c r="AE1317" s="490"/>
      <c r="AF1317" s="490"/>
      <c r="AG1317" s="490"/>
    </row>
    <row r="1318" spans="31:33" ht="11.25" hidden="1">
      <c r="AE1318" s="490"/>
      <c r="AF1318" s="490"/>
      <c r="AG1318" s="490"/>
    </row>
    <row r="1319" spans="31:33" ht="11.25" hidden="1">
      <c r="AE1319" s="490"/>
      <c r="AF1319" s="490"/>
      <c r="AG1319" s="490"/>
    </row>
    <row r="1320" spans="31:33" ht="11.25" hidden="1">
      <c r="AE1320" s="490"/>
      <c r="AF1320" s="490"/>
      <c r="AG1320" s="490"/>
    </row>
    <row r="1321" spans="31:33" ht="11.25" hidden="1">
      <c r="AE1321" s="490"/>
      <c r="AF1321" s="490"/>
      <c r="AG1321" s="490"/>
    </row>
    <row r="1322" spans="31:33" ht="11.25" hidden="1">
      <c r="AE1322" s="490"/>
      <c r="AF1322" s="490"/>
      <c r="AG1322" s="490"/>
    </row>
    <row r="1323" spans="31:33" ht="11.25" hidden="1">
      <c r="AE1323" s="490"/>
      <c r="AF1323" s="490"/>
      <c r="AG1323" s="490"/>
    </row>
    <row r="1324" spans="31:33" ht="11.25" hidden="1">
      <c r="AE1324" s="490"/>
      <c r="AF1324" s="490"/>
      <c r="AG1324" s="490"/>
    </row>
    <row r="1325" spans="31:33" ht="11.25" hidden="1">
      <c r="AE1325" s="490"/>
      <c r="AF1325" s="490"/>
      <c r="AG1325" s="490"/>
    </row>
    <row r="1326" spans="31:33" ht="11.25" hidden="1">
      <c r="AE1326" s="490"/>
      <c r="AF1326" s="490"/>
      <c r="AG1326" s="490"/>
    </row>
    <row r="1327" spans="31:33" ht="11.25" hidden="1">
      <c r="AE1327" s="490"/>
      <c r="AF1327" s="490"/>
      <c r="AG1327" s="490"/>
    </row>
    <row r="1328" spans="31:33" ht="11.25" hidden="1">
      <c r="AE1328" s="490"/>
      <c r="AF1328" s="490"/>
      <c r="AG1328" s="490"/>
    </row>
    <row r="1329" spans="31:33" ht="11.25" hidden="1">
      <c r="AE1329" s="490"/>
      <c r="AF1329" s="490"/>
      <c r="AG1329" s="490"/>
    </row>
    <row r="1330" spans="31:33" ht="11.25" hidden="1">
      <c r="AE1330" s="490"/>
      <c r="AF1330" s="490"/>
      <c r="AG1330" s="490"/>
    </row>
    <row r="1331" spans="31:33" ht="11.25" hidden="1">
      <c r="AE1331" s="490"/>
      <c r="AF1331" s="490"/>
      <c r="AG1331" s="490"/>
    </row>
    <row r="1332" spans="31:33" ht="11.25" hidden="1">
      <c r="AE1332" s="490"/>
      <c r="AF1332" s="490"/>
      <c r="AG1332" s="490"/>
    </row>
    <row r="1333" spans="31:33" ht="11.25" hidden="1">
      <c r="AE1333" s="490"/>
      <c r="AF1333" s="490"/>
      <c r="AG1333" s="490"/>
    </row>
    <row r="1334" spans="31:33" ht="11.25" hidden="1">
      <c r="AE1334" s="490"/>
      <c r="AF1334" s="490"/>
      <c r="AG1334" s="490"/>
    </row>
    <row r="1335" spans="31:33" ht="11.25" hidden="1">
      <c r="AE1335" s="490"/>
      <c r="AF1335" s="490"/>
      <c r="AG1335" s="490"/>
    </row>
    <row r="1336" spans="31:33" ht="11.25" hidden="1">
      <c r="AE1336" s="490"/>
      <c r="AF1336" s="490"/>
      <c r="AG1336" s="490"/>
    </row>
    <row r="1337" spans="31:33" ht="11.25" hidden="1">
      <c r="AE1337" s="490"/>
      <c r="AF1337" s="490"/>
      <c r="AG1337" s="490"/>
    </row>
    <row r="1338" spans="31:33" ht="11.25" hidden="1">
      <c r="AE1338" s="490"/>
      <c r="AF1338" s="490"/>
      <c r="AG1338" s="490"/>
    </row>
    <row r="1339" spans="31:33" ht="11.25" hidden="1">
      <c r="AE1339" s="490"/>
      <c r="AF1339" s="490"/>
      <c r="AG1339" s="490"/>
    </row>
    <row r="1340" spans="31:33" ht="11.25" hidden="1">
      <c r="AE1340" s="490"/>
      <c r="AF1340" s="490"/>
      <c r="AG1340" s="490"/>
    </row>
    <row r="1341" spans="31:33" ht="11.25" hidden="1">
      <c r="AE1341" s="490"/>
      <c r="AF1341" s="490"/>
      <c r="AG1341" s="490"/>
    </row>
    <row r="1342" spans="31:33" ht="11.25" hidden="1">
      <c r="AE1342" s="490"/>
      <c r="AF1342" s="490"/>
      <c r="AG1342" s="490"/>
    </row>
    <row r="1343" spans="31:33" ht="11.25" hidden="1">
      <c r="AE1343" s="490"/>
      <c r="AF1343" s="490"/>
      <c r="AG1343" s="490"/>
    </row>
    <row r="1344" spans="31:33" ht="11.25" hidden="1">
      <c r="AE1344" s="490"/>
      <c r="AF1344" s="490"/>
      <c r="AG1344" s="490"/>
    </row>
    <row r="1345" spans="31:33" ht="11.25" hidden="1">
      <c r="AE1345" s="490"/>
      <c r="AF1345" s="490"/>
      <c r="AG1345" s="490"/>
    </row>
    <row r="1346" spans="31:33" ht="11.25" hidden="1">
      <c r="AE1346" s="490"/>
      <c r="AF1346" s="490"/>
      <c r="AG1346" s="490"/>
    </row>
    <row r="1347" spans="31:33" ht="11.25" hidden="1">
      <c r="AE1347" s="490"/>
      <c r="AF1347" s="490"/>
      <c r="AG1347" s="490"/>
    </row>
    <row r="1348" spans="31:33" ht="11.25" hidden="1">
      <c r="AE1348" s="490"/>
      <c r="AF1348" s="490"/>
      <c r="AG1348" s="490"/>
    </row>
    <row r="1349" spans="31:33" ht="11.25" hidden="1">
      <c r="AE1349" s="490"/>
      <c r="AF1349" s="490"/>
      <c r="AG1349" s="490"/>
    </row>
    <row r="1350" spans="31:33" ht="11.25" hidden="1">
      <c r="AE1350" s="490"/>
      <c r="AF1350" s="490"/>
      <c r="AG1350" s="490"/>
    </row>
    <row r="1351" spans="31:33" ht="11.25" hidden="1">
      <c r="AE1351" s="490"/>
      <c r="AF1351" s="490"/>
      <c r="AG1351" s="490"/>
    </row>
    <row r="1352" spans="31:33" ht="11.25" hidden="1">
      <c r="AE1352" s="490"/>
      <c r="AF1352" s="490"/>
      <c r="AG1352" s="490"/>
    </row>
    <row r="1353" spans="31:33" ht="11.25" hidden="1">
      <c r="AE1353" s="490"/>
      <c r="AF1353" s="490"/>
      <c r="AG1353" s="490"/>
    </row>
    <row r="1354" spans="31:33" ht="11.25" hidden="1">
      <c r="AE1354" s="490"/>
      <c r="AF1354" s="490"/>
      <c r="AG1354" s="490"/>
    </row>
    <row r="1355" spans="31:33" ht="11.25" hidden="1">
      <c r="AE1355" s="490"/>
      <c r="AF1355" s="490"/>
      <c r="AG1355" s="490"/>
    </row>
    <row r="1356" spans="31:33" ht="11.25" hidden="1">
      <c r="AE1356" s="490"/>
      <c r="AF1356" s="490"/>
      <c r="AG1356" s="490"/>
    </row>
    <row r="1357" spans="31:33" ht="11.25" hidden="1">
      <c r="AE1357" s="490"/>
      <c r="AF1357" s="490"/>
      <c r="AG1357" s="490"/>
    </row>
    <row r="1358" spans="31:33" ht="11.25" hidden="1">
      <c r="AE1358" s="490"/>
      <c r="AF1358" s="490"/>
      <c r="AG1358" s="490"/>
    </row>
    <row r="1359" spans="31:33" ht="11.25" hidden="1">
      <c r="AE1359" s="490"/>
      <c r="AF1359" s="490"/>
      <c r="AG1359" s="490"/>
    </row>
    <row r="1360" spans="31:33" ht="11.25" hidden="1">
      <c r="AE1360" s="490"/>
      <c r="AF1360" s="490"/>
      <c r="AG1360" s="490"/>
    </row>
    <row r="1361" spans="31:33" ht="11.25" hidden="1">
      <c r="AE1361" s="490"/>
      <c r="AF1361" s="490"/>
      <c r="AG1361" s="490"/>
    </row>
    <row r="1362" spans="31:33" ht="11.25" hidden="1">
      <c r="AE1362" s="490"/>
      <c r="AF1362" s="490"/>
      <c r="AG1362" s="490"/>
    </row>
    <row r="1363" spans="31:33" ht="11.25" hidden="1">
      <c r="AE1363" s="490"/>
      <c r="AF1363" s="490"/>
      <c r="AG1363" s="490"/>
    </row>
    <row r="1364" spans="31:33" ht="11.25" hidden="1">
      <c r="AE1364" s="490"/>
      <c r="AF1364" s="490"/>
      <c r="AG1364" s="490"/>
    </row>
    <row r="1365" spans="31:33" ht="11.25" hidden="1">
      <c r="AE1365" s="490"/>
      <c r="AF1365" s="490"/>
      <c r="AG1365" s="490"/>
    </row>
    <row r="1366" spans="31:33" ht="11.25" hidden="1">
      <c r="AE1366" s="490"/>
      <c r="AF1366" s="490"/>
      <c r="AG1366" s="490"/>
    </row>
    <row r="1367" spans="31:33" ht="11.25" hidden="1">
      <c r="AE1367" s="490"/>
      <c r="AF1367" s="490"/>
      <c r="AG1367" s="490"/>
    </row>
    <row r="1368" spans="31:33" ht="11.25" hidden="1">
      <c r="AE1368" s="490"/>
      <c r="AF1368" s="490"/>
      <c r="AG1368" s="490"/>
    </row>
    <row r="1369" spans="31:33" ht="11.25" hidden="1">
      <c r="AE1369" s="490"/>
      <c r="AF1369" s="490"/>
      <c r="AG1369" s="490"/>
    </row>
    <row r="1370" spans="31:33" ht="11.25" hidden="1">
      <c r="AE1370" s="490"/>
      <c r="AF1370" s="490"/>
      <c r="AG1370" s="490"/>
    </row>
    <row r="1371" spans="31:33" ht="11.25" hidden="1">
      <c r="AE1371" s="490"/>
      <c r="AF1371" s="490"/>
      <c r="AG1371" s="490"/>
    </row>
    <row r="1372" spans="31:33" ht="11.25" hidden="1">
      <c r="AE1372" s="490"/>
      <c r="AF1372" s="490"/>
      <c r="AG1372" s="490"/>
    </row>
    <row r="1373" spans="31:33" ht="11.25" hidden="1">
      <c r="AE1373" s="490"/>
      <c r="AF1373" s="490"/>
      <c r="AG1373" s="490"/>
    </row>
    <row r="1374" spans="31:33" ht="11.25" hidden="1">
      <c r="AE1374" s="490"/>
      <c r="AF1374" s="490"/>
      <c r="AG1374" s="490"/>
    </row>
    <row r="1375" spans="31:33" ht="11.25" hidden="1">
      <c r="AE1375" s="490"/>
      <c r="AF1375" s="490"/>
      <c r="AG1375" s="490"/>
    </row>
    <row r="1376" spans="31:33" ht="11.25" hidden="1">
      <c r="AE1376" s="490"/>
      <c r="AF1376" s="490"/>
      <c r="AG1376" s="490"/>
    </row>
    <row r="1377" spans="31:33" ht="11.25" hidden="1">
      <c r="AE1377" s="490"/>
      <c r="AF1377" s="490"/>
      <c r="AG1377" s="490"/>
    </row>
    <row r="1378" spans="31:33" ht="11.25" hidden="1">
      <c r="AE1378" s="490"/>
      <c r="AF1378" s="490"/>
      <c r="AG1378" s="490"/>
    </row>
    <row r="1379" spans="31:33" ht="11.25" hidden="1">
      <c r="AE1379" s="490"/>
      <c r="AF1379" s="490"/>
      <c r="AG1379" s="490"/>
    </row>
    <row r="1380" spans="31:33" ht="11.25" hidden="1">
      <c r="AE1380" s="490"/>
      <c r="AF1380" s="490"/>
      <c r="AG1380" s="490"/>
    </row>
    <row r="1381" spans="31:33" ht="11.25" hidden="1">
      <c r="AE1381" s="490"/>
      <c r="AF1381" s="490"/>
      <c r="AG1381" s="490"/>
    </row>
    <row r="1382" spans="31:33" ht="11.25" hidden="1">
      <c r="AE1382" s="490"/>
      <c r="AF1382" s="490"/>
      <c r="AG1382" s="490"/>
    </row>
    <row r="1383" spans="31:33" ht="11.25" hidden="1">
      <c r="AE1383" s="490"/>
      <c r="AF1383" s="490"/>
      <c r="AG1383" s="490"/>
    </row>
    <row r="1384" spans="31:33" ht="11.25" hidden="1">
      <c r="AE1384" s="490"/>
      <c r="AF1384" s="490"/>
      <c r="AG1384" s="490"/>
    </row>
    <row r="1385" spans="31:33" ht="11.25" hidden="1">
      <c r="AE1385" s="490"/>
      <c r="AF1385" s="490"/>
      <c r="AG1385" s="490"/>
    </row>
    <row r="1386" spans="31:33" ht="11.25" hidden="1">
      <c r="AE1386" s="490"/>
      <c r="AF1386" s="490"/>
      <c r="AG1386" s="490"/>
    </row>
    <row r="1387" spans="31:33" ht="11.25" hidden="1">
      <c r="AE1387" s="490"/>
      <c r="AF1387" s="490"/>
      <c r="AG1387" s="490"/>
    </row>
    <row r="1388" spans="31:33" ht="11.25" hidden="1">
      <c r="AE1388" s="490"/>
      <c r="AF1388" s="490"/>
      <c r="AG1388" s="490"/>
    </row>
    <row r="1389" spans="31:33" ht="11.25" hidden="1">
      <c r="AE1389" s="490"/>
      <c r="AF1389" s="490"/>
      <c r="AG1389" s="490"/>
    </row>
    <row r="1390" spans="31:33" ht="11.25" hidden="1">
      <c r="AE1390" s="490"/>
      <c r="AF1390" s="490"/>
      <c r="AG1390" s="490"/>
    </row>
    <row r="1391" spans="31:33" ht="11.25" hidden="1">
      <c r="AE1391" s="490"/>
      <c r="AF1391" s="490"/>
      <c r="AG1391" s="490"/>
    </row>
    <row r="1392" spans="31:33" ht="11.25" hidden="1">
      <c r="AE1392" s="490"/>
      <c r="AF1392" s="490"/>
      <c r="AG1392" s="490"/>
    </row>
    <row r="1393" spans="31:33" ht="11.25" hidden="1">
      <c r="AE1393" s="490"/>
      <c r="AF1393" s="490"/>
      <c r="AG1393" s="490"/>
    </row>
    <row r="1394" spans="31:33" ht="11.25" hidden="1">
      <c r="AE1394" s="490"/>
      <c r="AF1394" s="490"/>
      <c r="AG1394" s="490"/>
    </row>
    <row r="1395" spans="31:33" ht="11.25" hidden="1">
      <c r="AE1395" s="490"/>
      <c r="AF1395" s="490"/>
      <c r="AG1395" s="490"/>
    </row>
    <row r="1396" spans="31:33" ht="11.25" hidden="1">
      <c r="AE1396" s="490"/>
      <c r="AF1396" s="490"/>
      <c r="AG1396" s="490"/>
    </row>
    <row r="1397" spans="31:33" ht="11.25" hidden="1">
      <c r="AE1397" s="490"/>
      <c r="AF1397" s="490"/>
      <c r="AG1397" s="490"/>
    </row>
    <row r="1398" spans="31:33" ht="11.25" hidden="1">
      <c r="AE1398" s="490"/>
      <c r="AF1398" s="490"/>
      <c r="AG1398" s="490"/>
    </row>
    <row r="1399" spans="31:33" ht="11.25" hidden="1">
      <c r="AE1399" s="490"/>
      <c r="AF1399" s="490"/>
      <c r="AG1399" s="490"/>
    </row>
    <row r="1400" spans="31:33" ht="11.25" hidden="1">
      <c r="AE1400" s="490"/>
      <c r="AF1400" s="490"/>
      <c r="AG1400" s="490"/>
    </row>
    <row r="1401" spans="31:33" ht="11.25" hidden="1">
      <c r="AE1401" s="490"/>
      <c r="AF1401" s="490"/>
      <c r="AG1401" s="490"/>
    </row>
    <row r="1402" spans="31:33" ht="11.25" hidden="1">
      <c r="AE1402" s="490"/>
      <c r="AF1402" s="490"/>
      <c r="AG1402" s="490"/>
    </row>
    <row r="1403" spans="31:33" ht="11.25" hidden="1">
      <c r="AE1403" s="490"/>
      <c r="AF1403" s="490"/>
      <c r="AG1403" s="490"/>
    </row>
    <row r="1404" spans="31:33" ht="11.25" hidden="1">
      <c r="AE1404" s="490"/>
      <c r="AF1404" s="490"/>
      <c r="AG1404" s="490"/>
    </row>
    <row r="1405" spans="31:33" ht="11.25" hidden="1">
      <c r="AE1405" s="490"/>
      <c r="AF1405" s="490"/>
      <c r="AG1405" s="490"/>
    </row>
    <row r="1406" spans="31:33" ht="11.25" hidden="1">
      <c r="AE1406" s="490"/>
      <c r="AF1406" s="490"/>
      <c r="AG1406" s="490"/>
    </row>
    <row r="1407" spans="31:33" ht="11.25" hidden="1">
      <c r="AE1407" s="490"/>
      <c r="AF1407" s="490"/>
      <c r="AG1407" s="490"/>
    </row>
    <row r="1408" spans="31:33" ht="11.25" hidden="1">
      <c r="AE1408" s="490"/>
      <c r="AF1408" s="490"/>
      <c r="AG1408" s="490"/>
    </row>
    <row r="1409" spans="31:33" ht="11.25" hidden="1">
      <c r="AE1409" s="490"/>
      <c r="AF1409" s="490"/>
      <c r="AG1409" s="490"/>
    </row>
    <row r="1410" spans="31:33" ht="11.25" hidden="1">
      <c r="AE1410" s="490"/>
      <c r="AF1410" s="490"/>
      <c r="AG1410" s="490"/>
    </row>
    <row r="1411" spans="31:33" ht="11.25" hidden="1">
      <c r="AE1411" s="490"/>
      <c r="AF1411" s="490"/>
      <c r="AG1411" s="490"/>
    </row>
    <row r="1412" spans="31:33" ht="11.25" hidden="1">
      <c r="AE1412" s="490"/>
      <c r="AF1412" s="490"/>
      <c r="AG1412" s="490"/>
    </row>
    <row r="1413" spans="31:33" ht="11.25" hidden="1">
      <c r="AE1413" s="490"/>
      <c r="AF1413" s="490"/>
      <c r="AG1413" s="490"/>
    </row>
    <row r="1414" spans="31:33" ht="11.25" hidden="1">
      <c r="AE1414" s="490"/>
      <c r="AF1414" s="490"/>
      <c r="AG1414" s="490"/>
    </row>
    <row r="1415" spans="31:33" ht="11.25" hidden="1">
      <c r="AE1415" s="490"/>
      <c r="AF1415" s="490"/>
      <c r="AG1415" s="490"/>
    </row>
    <row r="1416" spans="31:33" ht="11.25" hidden="1">
      <c r="AE1416" s="490"/>
      <c r="AF1416" s="490"/>
      <c r="AG1416" s="490"/>
    </row>
    <row r="1417" spans="31:33" ht="11.25" hidden="1">
      <c r="AE1417" s="490"/>
      <c r="AF1417" s="490"/>
      <c r="AG1417" s="490"/>
    </row>
    <row r="1418" spans="31:33" ht="11.25" hidden="1">
      <c r="AE1418" s="490"/>
      <c r="AF1418" s="490"/>
      <c r="AG1418" s="490"/>
    </row>
    <row r="1419" spans="31:33" ht="11.25" hidden="1">
      <c r="AE1419" s="490"/>
      <c r="AF1419" s="490"/>
      <c r="AG1419" s="490"/>
    </row>
    <row r="1420" spans="31:33" ht="11.25" hidden="1">
      <c r="AE1420" s="490"/>
      <c r="AF1420" s="490"/>
      <c r="AG1420" s="490"/>
    </row>
    <row r="1421" spans="31:33" ht="11.25" hidden="1">
      <c r="AE1421" s="490"/>
      <c r="AF1421" s="490"/>
      <c r="AG1421" s="490"/>
    </row>
    <row r="1422" spans="31:33" ht="11.25" hidden="1">
      <c r="AE1422" s="490"/>
      <c r="AF1422" s="490"/>
      <c r="AG1422" s="490"/>
    </row>
    <row r="1423" spans="31:33" ht="11.25" hidden="1">
      <c r="AE1423" s="490"/>
      <c r="AF1423" s="490"/>
      <c r="AG1423" s="490"/>
    </row>
    <row r="1424" spans="31:33" ht="11.25" hidden="1">
      <c r="AE1424" s="490"/>
      <c r="AF1424" s="490"/>
      <c r="AG1424" s="490"/>
    </row>
    <row r="1425" spans="31:33" ht="11.25" hidden="1">
      <c r="AE1425" s="490"/>
      <c r="AF1425" s="490"/>
      <c r="AG1425" s="490"/>
    </row>
    <row r="1426" spans="31:33" ht="11.25" hidden="1">
      <c r="AE1426" s="490"/>
      <c r="AF1426" s="490"/>
      <c r="AG1426" s="490"/>
    </row>
    <row r="1427" spans="31:33" ht="11.25" hidden="1">
      <c r="AE1427" s="490"/>
      <c r="AF1427" s="490"/>
      <c r="AG1427" s="490"/>
    </row>
    <row r="1428" spans="31:33" ht="11.25" hidden="1">
      <c r="AE1428" s="490"/>
      <c r="AF1428" s="490"/>
      <c r="AG1428" s="490"/>
    </row>
    <row r="1429" spans="31:33" ht="11.25" hidden="1">
      <c r="AE1429" s="490"/>
      <c r="AF1429" s="490"/>
      <c r="AG1429" s="490"/>
    </row>
    <row r="1430" spans="31:33" ht="11.25" hidden="1">
      <c r="AE1430" s="490"/>
      <c r="AF1430" s="490"/>
      <c r="AG1430" s="490"/>
    </row>
    <row r="1431" spans="31:33" ht="11.25" hidden="1">
      <c r="AE1431" s="490"/>
      <c r="AF1431" s="490"/>
      <c r="AG1431" s="490"/>
    </row>
    <row r="1432" spans="31:33" ht="11.25" hidden="1">
      <c r="AE1432" s="490"/>
      <c r="AF1432" s="490"/>
      <c r="AG1432" s="490"/>
    </row>
    <row r="1433" spans="31:33" ht="11.25" hidden="1">
      <c r="AE1433" s="490"/>
      <c r="AF1433" s="490"/>
      <c r="AG1433" s="490"/>
    </row>
    <row r="1434" spans="31:33" ht="11.25" hidden="1">
      <c r="AE1434" s="490"/>
      <c r="AF1434" s="490"/>
      <c r="AG1434" s="490"/>
    </row>
    <row r="1435" spans="31:33" ht="11.25" hidden="1">
      <c r="AE1435" s="490"/>
      <c r="AF1435" s="490"/>
      <c r="AG1435" s="490"/>
    </row>
    <row r="1436" spans="31:33" ht="11.25" hidden="1">
      <c r="AE1436" s="490"/>
      <c r="AF1436" s="490"/>
      <c r="AG1436" s="490"/>
    </row>
    <row r="1437" spans="31:33" ht="11.25" hidden="1">
      <c r="AE1437" s="490"/>
      <c r="AF1437" s="490"/>
      <c r="AG1437" s="490"/>
    </row>
    <row r="1438" spans="31:33" ht="11.25" hidden="1">
      <c r="AE1438" s="490"/>
      <c r="AF1438" s="490"/>
      <c r="AG1438" s="490"/>
    </row>
    <row r="1439" spans="31:33" ht="11.25" hidden="1">
      <c r="AE1439" s="490"/>
      <c r="AF1439" s="490"/>
      <c r="AG1439" s="490"/>
    </row>
    <row r="1440" spans="31:33" ht="11.25" hidden="1">
      <c r="AE1440" s="490"/>
      <c r="AF1440" s="490"/>
      <c r="AG1440" s="490"/>
    </row>
    <row r="1441" spans="31:33" ht="11.25" hidden="1">
      <c r="AE1441" s="490"/>
      <c r="AF1441" s="490"/>
      <c r="AG1441" s="490"/>
    </row>
    <row r="1442" spans="31:33" ht="11.25" hidden="1">
      <c r="AE1442" s="490"/>
      <c r="AF1442" s="490"/>
      <c r="AG1442" s="490"/>
    </row>
    <row r="1443" spans="31:33" ht="11.25" hidden="1">
      <c r="AE1443" s="490"/>
      <c r="AF1443" s="490"/>
      <c r="AG1443" s="490"/>
    </row>
    <row r="1444" spans="31:33" ht="11.25" hidden="1">
      <c r="AE1444" s="490"/>
      <c r="AF1444" s="490"/>
      <c r="AG1444" s="490"/>
    </row>
    <row r="1445" spans="31:33" ht="11.25" hidden="1">
      <c r="AE1445" s="490"/>
      <c r="AF1445" s="490"/>
      <c r="AG1445" s="490"/>
    </row>
    <row r="1446" spans="31:33" ht="11.25" hidden="1">
      <c r="AE1446" s="490"/>
      <c r="AF1446" s="490"/>
      <c r="AG1446" s="490"/>
    </row>
    <row r="1447" spans="31:33" ht="11.25" hidden="1">
      <c r="AE1447" s="490"/>
      <c r="AF1447" s="490"/>
      <c r="AG1447" s="490"/>
    </row>
    <row r="1448" spans="31:33" ht="11.25" hidden="1">
      <c r="AE1448" s="490"/>
      <c r="AF1448" s="490"/>
      <c r="AG1448" s="490"/>
    </row>
    <row r="1449" spans="31:33" ht="11.25" hidden="1">
      <c r="AE1449" s="490"/>
      <c r="AF1449" s="490"/>
      <c r="AG1449" s="490"/>
    </row>
    <row r="1450" spans="31:33" ht="11.25" hidden="1">
      <c r="AE1450" s="490"/>
      <c r="AF1450" s="490"/>
      <c r="AG1450" s="490"/>
    </row>
    <row r="1451" spans="31:33" ht="11.25" hidden="1">
      <c r="AE1451" s="490"/>
      <c r="AF1451" s="490"/>
      <c r="AG1451" s="490"/>
    </row>
    <row r="1452" spans="31:33" ht="11.25" hidden="1">
      <c r="AE1452" s="490"/>
      <c r="AF1452" s="490"/>
      <c r="AG1452" s="490"/>
    </row>
    <row r="1453" spans="31:33" ht="11.25" hidden="1">
      <c r="AE1453" s="490"/>
      <c r="AF1453" s="490"/>
      <c r="AG1453" s="490"/>
    </row>
    <row r="1454" spans="31:33" ht="11.25" hidden="1">
      <c r="AE1454" s="490"/>
      <c r="AF1454" s="490"/>
      <c r="AG1454" s="490"/>
    </row>
    <row r="1455" spans="31:33" ht="11.25" hidden="1">
      <c r="AE1455" s="490"/>
      <c r="AF1455" s="490"/>
      <c r="AG1455" s="490"/>
    </row>
    <row r="1456" spans="31:33" ht="11.25" hidden="1">
      <c r="AE1456" s="490"/>
      <c r="AF1456" s="490"/>
      <c r="AG1456" s="490"/>
    </row>
    <row r="1457" spans="31:33" ht="11.25" hidden="1">
      <c r="AE1457" s="490"/>
      <c r="AF1457" s="490"/>
      <c r="AG1457" s="490"/>
    </row>
    <row r="1458" spans="31:33" ht="11.25" hidden="1">
      <c r="AE1458" s="490"/>
      <c r="AF1458" s="490"/>
      <c r="AG1458" s="490"/>
    </row>
    <row r="1459" spans="31:33" ht="11.25" hidden="1">
      <c r="AE1459" s="490"/>
      <c r="AF1459" s="490"/>
      <c r="AG1459" s="490"/>
    </row>
    <row r="1460" spans="31:33" ht="11.25" hidden="1">
      <c r="AE1460" s="490"/>
      <c r="AF1460" s="490"/>
      <c r="AG1460" s="490"/>
    </row>
    <row r="1461" spans="31:33" ht="11.25" hidden="1">
      <c r="AE1461" s="490"/>
      <c r="AF1461" s="490"/>
      <c r="AG1461" s="490"/>
    </row>
    <row r="1462" spans="31:33" ht="11.25" hidden="1">
      <c r="AE1462" s="490"/>
      <c r="AF1462" s="490"/>
      <c r="AG1462" s="490"/>
    </row>
    <row r="1463" spans="31:33" ht="11.25" hidden="1">
      <c r="AE1463" s="490"/>
      <c r="AF1463" s="490"/>
      <c r="AG1463" s="490"/>
    </row>
    <row r="1464" spans="31:33" ht="11.25" hidden="1">
      <c r="AE1464" s="490"/>
      <c r="AF1464" s="490"/>
      <c r="AG1464" s="490"/>
    </row>
    <row r="1465" spans="31:33" ht="11.25" hidden="1">
      <c r="AE1465" s="490"/>
      <c r="AF1465" s="490"/>
      <c r="AG1465" s="490"/>
    </row>
    <row r="1466" spans="31:33" ht="11.25" hidden="1">
      <c r="AE1466" s="490"/>
      <c r="AF1466" s="490"/>
      <c r="AG1466" s="490"/>
    </row>
    <row r="1467" spans="31:33" ht="11.25" hidden="1">
      <c r="AE1467" s="490"/>
      <c r="AF1467" s="490"/>
      <c r="AG1467" s="490"/>
    </row>
    <row r="1468" spans="31:33" ht="11.25" hidden="1">
      <c r="AE1468" s="490"/>
      <c r="AF1468" s="490"/>
      <c r="AG1468" s="490"/>
    </row>
    <row r="1469" spans="31:33" ht="11.25" hidden="1">
      <c r="AE1469" s="490"/>
      <c r="AF1469" s="490"/>
      <c r="AG1469" s="490"/>
    </row>
    <row r="1470" spans="31:33" ht="11.25" hidden="1">
      <c r="AE1470" s="490"/>
      <c r="AF1470" s="490"/>
      <c r="AG1470" s="490"/>
    </row>
    <row r="1471" spans="31:33" ht="11.25" hidden="1">
      <c r="AE1471" s="490"/>
      <c r="AF1471" s="490"/>
      <c r="AG1471" s="490"/>
    </row>
    <row r="1472" spans="31:33" ht="11.25" hidden="1">
      <c r="AE1472" s="490"/>
      <c r="AF1472" s="490"/>
      <c r="AG1472" s="490"/>
    </row>
    <row r="1473" spans="31:33" ht="11.25" hidden="1">
      <c r="AE1473" s="490"/>
      <c r="AF1473" s="490"/>
      <c r="AG1473" s="490"/>
    </row>
    <row r="1474" spans="31:33" ht="11.25" hidden="1">
      <c r="AE1474" s="490"/>
      <c r="AF1474" s="490"/>
      <c r="AG1474" s="490"/>
    </row>
    <row r="1475" spans="31:33" ht="11.25" hidden="1">
      <c r="AE1475" s="490"/>
      <c r="AF1475" s="490"/>
      <c r="AG1475" s="490"/>
    </row>
    <row r="1476" spans="31:33" ht="11.25" hidden="1">
      <c r="AE1476" s="490"/>
      <c r="AF1476" s="490"/>
      <c r="AG1476" s="490"/>
    </row>
    <row r="1477" spans="31:33" ht="11.25" hidden="1">
      <c r="AE1477" s="490"/>
      <c r="AF1477" s="490"/>
      <c r="AG1477" s="490"/>
    </row>
    <row r="1478" spans="31:33" ht="11.25" hidden="1">
      <c r="AE1478" s="490"/>
      <c r="AF1478" s="490"/>
      <c r="AG1478" s="490"/>
    </row>
    <row r="1479" spans="31:33" ht="11.25" hidden="1">
      <c r="AE1479" s="490"/>
      <c r="AF1479" s="490"/>
      <c r="AG1479" s="490"/>
    </row>
    <row r="1480" spans="31:33" ht="11.25" hidden="1">
      <c r="AE1480" s="490"/>
      <c r="AF1480" s="490"/>
      <c r="AG1480" s="490"/>
    </row>
    <row r="1481" spans="31:33" ht="11.25" hidden="1">
      <c r="AE1481" s="490"/>
      <c r="AF1481" s="490"/>
      <c r="AG1481" s="490"/>
    </row>
    <row r="1482" spans="31:33" ht="11.25" hidden="1">
      <c r="AE1482" s="490"/>
      <c r="AF1482" s="490"/>
      <c r="AG1482" s="490"/>
    </row>
    <row r="1483" spans="31:33" ht="11.25" hidden="1">
      <c r="AE1483" s="490"/>
      <c r="AF1483" s="490"/>
      <c r="AG1483" s="490"/>
    </row>
    <row r="1484" spans="31:33" ht="11.25" hidden="1">
      <c r="AE1484" s="490"/>
      <c r="AF1484" s="490"/>
      <c r="AG1484" s="490"/>
    </row>
    <row r="1485" spans="31:33" ht="11.25" hidden="1">
      <c r="AE1485" s="490"/>
      <c r="AF1485" s="490"/>
      <c r="AG1485" s="490"/>
    </row>
    <row r="1486" spans="31:33" ht="11.25" hidden="1">
      <c r="AE1486" s="490"/>
      <c r="AF1486" s="490"/>
      <c r="AG1486" s="490"/>
    </row>
    <row r="1487" spans="31:33" ht="11.25" hidden="1">
      <c r="AE1487" s="490"/>
      <c r="AF1487" s="490"/>
      <c r="AG1487" s="490"/>
    </row>
    <row r="1488" spans="31:33" ht="11.25" hidden="1">
      <c r="AE1488" s="490"/>
      <c r="AF1488" s="490"/>
      <c r="AG1488" s="490"/>
    </row>
    <row r="1489" spans="31:33" ht="11.25" hidden="1">
      <c r="AE1489" s="490"/>
      <c r="AF1489" s="490"/>
      <c r="AG1489" s="490"/>
    </row>
    <row r="1490" spans="31:33" ht="11.25" hidden="1">
      <c r="AE1490" s="490"/>
      <c r="AF1490" s="490"/>
      <c r="AG1490" s="490"/>
    </row>
    <row r="1491" spans="31:33" ht="11.25" hidden="1">
      <c r="AE1491" s="490"/>
      <c r="AF1491" s="490"/>
      <c r="AG1491" s="490"/>
    </row>
    <row r="1492" spans="31:33" ht="11.25" hidden="1">
      <c r="AE1492" s="490"/>
      <c r="AF1492" s="490"/>
      <c r="AG1492" s="490"/>
    </row>
    <row r="1493" spans="31:33" ht="11.25" hidden="1">
      <c r="AE1493" s="490"/>
      <c r="AF1493" s="490"/>
      <c r="AG1493" s="490"/>
    </row>
    <row r="1494" spans="31:33" ht="11.25" hidden="1">
      <c r="AE1494" s="490"/>
      <c r="AF1494" s="490"/>
      <c r="AG1494" s="490"/>
    </row>
    <row r="1495" spans="31:33" ht="11.25" hidden="1">
      <c r="AE1495" s="490"/>
      <c r="AF1495" s="490"/>
      <c r="AG1495" s="490"/>
    </row>
    <row r="1496" spans="31:33" ht="11.25" hidden="1">
      <c r="AE1496" s="490"/>
      <c r="AF1496" s="490"/>
      <c r="AG1496" s="490"/>
    </row>
    <row r="1497" spans="31:33" ht="11.25" hidden="1">
      <c r="AE1497" s="490"/>
      <c r="AF1497" s="490"/>
      <c r="AG1497" s="490"/>
    </row>
    <row r="1498" spans="31:33" ht="11.25" hidden="1">
      <c r="AE1498" s="490"/>
      <c r="AF1498" s="490"/>
      <c r="AG1498" s="490"/>
    </row>
    <row r="1499" spans="31:33" ht="11.25" hidden="1">
      <c r="AE1499" s="490"/>
      <c r="AF1499" s="490"/>
      <c r="AG1499" s="490"/>
    </row>
    <row r="1500" spans="31:33" ht="11.25" hidden="1">
      <c r="AE1500" s="490"/>
      <c r="AF1500" s="490"/>
      <c r="AG1500" s="490"/>
    </row>
    <row r="1501" spans="31:33" ht="11.25" hidden="1">
      <c r="AE1501" s="490"/>
      <c r="AF1501" s="490"/>
      <c r="AG1501" s="490"/>
    </row>
    <row r="1502" spans="31:33" ht="11.25" hidden="1">
      <c r="AE1502" s="490"/>
      <c r="AF1502" s="490"/>
      <c r="AG1502" s="490"/>
    </row>
    <row r="1503" spans="31:33" ht="11.25" hidden="1">
      <c r="AE1503" s="490"/>
      <c r="AF1503" s="490"/>
      <c r="AG1503" s="490"/>
    </row>
    <row r="1504" spans="31:33" ht="11.25" hidden="1">
      <c r="AE1504" s="490"/>
      <c r="AF1504" s="490"/>
      <c r="AG1504" s="490"/>
    </row>
    <row r="1505" spans="31:33" ht="11.25" hidden="1">
      <c r="AE1505" s="490"/>
      <c r="AF1505" s="490"/>
      <c r="AG1505" s="490"/>
    </row>
    <row r="1506" spans="31:33" ht="11.25" hidden="1">
      <c r="AE1506" s="490"/>
      <c r="AF1506" s="490"/>
      <c r="AG1506" s="490"/>
    </row>
    <row r="1507" spans="31:33" ht="11.25" hidden="1">
      <c r="AE1507" s="490"/>
      <c r="AF1507" s="490"/>
      <c r="AG1507" s="490"/>
    </row>
    <row r="1508" spans="31:33" ht="11.25" hidden="1">
      <c r="AE1508" s="490"/>
      <c r="AF1508" s="490"/>
      <c r="AG1508" s="490"/>
    </row>
    <row r="1509" spans="31:33" ht="11.25" hidden="1">
      <c r="AE1509" s="490"/>
      <c r="AF1509" s="490"/>
      <c r="AG1509" s="490"/>
    </row>
    <row r="1510" spans="31:33" ht="11.25" hidden="1">
      <c r="AE1510" s="490"/>
      <c r="AF1510" s="490"/>
      <c r="AG1510" s="490"/>
    </row>
    <row r="1511" spans="31:33" ht="11.25" hidden="1">
      <c r="AE1511" s="490"/>
      <c r="AF1511" s="490"/>
      <c r="AG1511" s="490"/>
    </row>
    <row r="1512" spans="31:33" ht="11.25" hidden="1">
      <c r="AE1512" s="490"/>
      <c r="AF1512" s="490"/>
      <c r="AG1512" s="490"/>
    </row>
    <row r="1513" spans="31:33" ht="11.25" hidden="1">
      <c r="AE1513" s="490"/>
      <c r="AF1513" s="490"/>
      <c r="AG1513" s="490"/>
    </row>
    <row r="1514" spans="31:33" ht="11.25" hidden="1">
      <c r="AE1514" s="490"/>
      <c r="AF1514" s="490"/>
      <c r="AG1514" s="490"/>
    </row>
    <row r="1515" spans="31:33" ht="11.25" hidden="1">
      <c r="AE1515" s="490"/>
      <c r="AF1515" s="490"/>
      <c r="AG1515" s="490"/>
    </row>
    <row r="1516" spans="31:33" ht="11.25" hidden="1">
      <c r="AE1516" s="490"/>
      <c r="AF1516" s="490"/>
      <c r="AG1516" s="490"/>
    </row>
    <row r="1517" spans="31:33" ht="11.25" hidden="1">
      <c r="AE1517" s="490"/>
      <c r="AF1517" s="490"/>
      <c r="AG1517" s="490"/>
    </row>
    <row r="1518" spans="31:33" ht="11.25" hidden="1">
      <c r="AE1518" s="490"/>
      <c r="AF1518" s="490"/>
      <c r="AG1518" s="490"/>
    </row>
    <row r="1519" spans="31:33" ht="11.25" hidden="1">
      <c r="AE1519" s="490"/>
      <c r="AF1519" s="490"/>
      <c r="AG1519" s="490"/>
    </row>
    <row r="1520" spans="31:33" ht="11.25" hidden="1">
      <c r="AE1520" s="490"/>
      <c r="AF1520" s="490"/>
      <c r="AG1520" s="490"/>
    </row>
    <row r="1521" spans="31:33" ht="11.25" hidden="1">
      <c r="AE1521" s="490"/>
      <c r="AF1521" s="490"/>
      <c r="AG1521" s="490"/>
    </row>
    <row r="1522" spans="31:33" ht="11.25" hidden="1">
      <c r="AE1522" s="490"/>
      <c r="AF1522" s="490"/>
      <c r="AG1522" s="490"/>
    </row>
    <row r="1523" spans="31:33" ht="11.25" hidden="1">
      <c r="AE1523" s="490"/>
      <c r="AF1523" s="490"/>
      <c r="AG1523" s="490"/>
    </row>
    <row r="1524" spans="31:33" ht="11.25" hidden="1">
      <c r="AE1524" s="490"/>
      <c r="AF1524" s="490"/>
      <c r="AG1524" s="490"/>
    </row>
    <row r="1525" spans="31:33" ht="11.25" hidden="1">
      <c r="AE1525" s="490"/>
      <c r="AF1525" s="490"/>
      <c r="AG1525" s="490"/>
    </row>
    <row r="1526" spans="31:33" ht="11.25" hidden="1">
      <c r="AE1526" s="490"/>
      <c r="AF1526" s="490"/>
      <c r="AG1526" s="490"/>
    </row>
    <row r="1527" spans="31:33" ht="11.25" hidden="1">
      <c r="AE1527" s="490"/>
      <c r="AF1527" s="490"/>
      <c r="AG1527" s="490"/>
    </row>
    <row r="1528" spans="31:33" ht="11.25" hidden="1">
      <c r="AE1528" s="490"/>
      <c r="AF1528" s="490"/>
      <c r="AG1528" s="490"/>
    </row>
    <row r="1529" spans="31:33" ht="11.25" hidden="1">
      <c r="AE1529" s="490"/>
      <c r="AF1529" s="490"/>
      <c r="AG1529" s="490"/>
    </row>
    <row r="1530" spans="31:33" ht="11.25" hidden="1">
      <c r="AE1530" s="490"/>
      <c r="AF1530" s="490"/>
      <c r="AG1530" s="490"/>
    </row>
    <row r="1531" spans="31:33" ht="11.25" hidden="1">
      <c r="AE1531" s="490"/>
      <c r="AF1531" s="490"/>
      <c r="AG1531" s="490"/>
    </row>
    <row r="1532" spans="31:33" ht="11.25" hidden="1">
      <c r="AE1532" s="490"/>
      <c r="AF1532" s="490"/>
      <c r="AG1532" s="490"/>
    </row>
    <row r="1533" spans="31:33" ht="11.25" hidden="1">
      <c r="AE1533" s="490"/>
      <c r="AF1533" s="490"/>
      <c r="AG1533" s="490"/>
    </row>
    <row r="1534" spans="31:33" ht="11.25" hidden="1">
      <c r="AE1534" s="490"/>
      <c r="AF1534" s="490"/>
      <c r="AG1534" s="490"/>
    </row>
    <row r="1535" spans="31:33" ht="11.25" hidden="1">
      <c r="AE1535" s="490"/>
      <c r="AF1535" s="490"/>
      <c r="AG1535" s="490"/>
    </row>
    <row r="1536" spans="31:33" ht="11.25" hidden="1">
      <c r="AE1536" s="490"/>
      <c r="AF1536" s="490"/>
      <c r="AG1536" s="490"/>
    </row>
    <row r="1537" spans="31:33" ht="11.25" hidden="1">
      <c r="AE1537" s="490"/>
      <c r="AF1537" s="490"/>
      <c r="AG1537" s="490"/>
    </row>
    <row r="1538" spans="31:33" ht="11.25" hidden="1">
      <c r="AE1538" s="490"/>
      <c r="AF1538" s="490"/>
      <c r="AG1538" s="490"/>
    </row>
    <row r="1539" spans="31:33" ht="11.25" hidden="1">
      <c r="AE1539" s="490"/>
      <c r="AF1539" s="490"/>
      <c r="AG1539" s="490"/>
    </row>
    <row r="1540" spans="31:33" ht="11.25" hidden="1">
      <c r="AE1540" s="490"/>
      <c r="AF1540" s="490"/>
      <c r="AG1540" s="490"/>
    </row>
    <row r="1541" spans="31:33" ht="11.25" hidden="1">
      <c r="AE1541" s="490"/>
      <c r="AF1541" s="490"/>
      <c r="AG1541" s="490"/>
    </row>
    <row r="1542" spans="31:33" ht="11.25" hidden="1">
      <c r="AE1542" s="490"/>
      <c r="AF1542" s="490"/>
      <c r="AG1542" s="490"/>
    </row>
    <row r="1543" spans="31:33" ht="11.25" hidden="1">
      <c r="AE1543" s="490"/>
      <c r="AF1543" s="490"/>
      <c r="AG1543" s="490"/>
    </row>
    <row r="1544" spans="31:33" ht="11.25" hidden="1">
      <c r="AE1544" s="490"/>
      <c r="AF1544" s="490"/>
      <c r="AG1544" s="490"/>
    </row>
    <row r="1545" spans="31:33" ht="11.25" hidden="1">
      <c r="AE1545" s="490"/>
      <c r="AF1545" s="490"/>
      <c r="AG1545" s="490"/>
    </row>
    <row r="1546" spans="31:33" ht="11.25" hidden="1">
      <c r="AE1546" s="490"/>
      <c r="AF1546" s="490"/>
      <c r="AG1546" s="490"/>
    </row>
    <row r="1547" spans="31:33" ht="11.25" hidden="1">
      <c r="AE1547" s="490"/>
      <c r="AF1547" s="490"/>
      <c r="AG1547" s="490"/>
    </row>
    <row r="1548" spans="31:33" ht="11.25" hidden="1">
      <c r="AE1548" s="490"/>
      <c r="AF1548" s="490"/>
      <c r="AG1548" s="490"/>
    </row>
    <row r="1549" spans="31:33" ht="11.25" hidden="1">
      <c r="AE1549" s="490"/>
      <c r="AF1549" s="490"/>
      <c r="AG1549" s="490"/>
    </row>
    <row r="1550" spans="31:33" ht="11.25" hidden="1">
      <c r="AE1550" s="490"/>
      <c r="AF1550" s="490"/>
      <c r="AG1550" s="490"/>
    </row>
    <row r="1551" spans="31:33" ht="11.25" hidden="1">
      <c r="AE1551" s="490"/>
      <c r="AF1551" s="490"/>
      <c r="AG1551" s="490"/>
    </row>
    <row r="1552" spans="31:33" ht="11.25" hidden="1">
      <c r="AE1552" s="490"/>
      <c r="AF1552" s="490"/>
      <c r="AG1552" s="490"/>
    </row>
    <row r="1553" spans="31:33" ht="11.25" hidden="1">
      <c r="AE1553" s="490"/>
      <c r="AF1553" s="490"/>
      <c r="AG1553" s="490"/>
    </row>
    <row r="1554" spans="31:33" ht="11.25" hidden="1">
      <c r="AE1554" s="490"/>
      <c r="AF1554" s="490"/>
      <c r="AG1554" s="490"/>
    </row>
    <row r="1555" spans="31:33" ht="11.25" hidden="1">
      <c r="AE1555" s="490"/>
      <c r="AF1555" s="490"/>
      <c r="AG1555" s="490"/>
    </row>
    <row r="1556" spans="31:33" ht="11.25" hidden="1">
      <c r="AE1556" s="490"/>
      <c r="AF1556" s="490"/>
      <c r="AG1556" s="490"/>
    </row>
    <row r="1557" spans="31:33" ht="11.25" hidden="1">
      <c r="AE1557" s="490"/>
      <c r="AF1557" s="490"/>
      <c r="AG1557" s="490"/>
    </row>
    <row r="1558" spans="31:33" ht="11.25" hidden="1">
      <c r="AE1558" s="490"/>
      <c r="AF1558" s="490"/>
      <c r="AG1558" s="490"/>
    </row>
    <row r="1559" spans="31:33" ht="11.25" hidden="1">
      <c r="AE1559" s="490"/>
      <c r="AF1559" s="490"/>
      <c r="AG1559" s="490"/>
    </row>
    <row r="1560" spans="31:33" ht="11.25" hidden="1">
      <c r="AE1560" s="490"/>
      <c r="AF1560" s="490"/>
      <c r="AG1560" s="490"/>
    </row>
    <row r="1561" spans="31:33" ht="11.25" hidden="1">
      <c r="AE1561" s="490"/>
      <c r="AF1561" s="490"/>
      <c r="AG1561" s="490"/>
    </row>
    <row r="1562" spans="31:33" ht="11.25" hidden="1">
      <c r="AE1562" s="490"/>
      <c r="AF1562" s="490"/>
      <c r="AG1562" s="490"/>
    </row>
    <row r="1563" spans="31:33" ht="11.25" hidden="1">
      <c r="AE1563" s="490"/>
      <c r="AF1563" s="490"/>
      <c r="AG1563" s="490"/>
    </row>
    <row r="1564" spans="31:33" ht="11.25" hidden="1">
      <c r="AE1564" s="490"/>
      <c r="AF1564" s="490"/>
      <c r="AG1564" s="490"/>
    </row>
    <row r="1565" spans="31:33" ht="11.25" hidden="1">
      <c r="AE1565" s="490"/>
      <c r="AF1565" s="490"/>
      <c r="AG1565" s="490"/>
    </row>
    <row r="1566" spans="31:33" ht="11.25" hidden="1">
      <c r="AE1566" s="490"/>
      <c r="AF1566" s="490"/>
      <c r="AG1566" s="490"/>
    </row>
    <row r="1567" spans="31:33" ht="11.25" hidden="1">
      <c r="AE1567" s="490"/>
      <c r="AF1567" s="490"/>
      <c r="AG1567" s="490"/>
    </row>
    <row r="1568" spans="31:33" ht="11.25" hidden="1">
      <c r="AE1568" s="490"/>
      <c r="AF1568" s="490"/>
      <c r="AG1568" s="490"/>
    </row>
    <row r="1569" spans="31:33" ht="11.25" hidden="1">
      <c r="AE1569" s="490"/>
      <c r="AF1569" s="490"/>
      <c r="AG1569" s="490"/>
    </row>
    <row r="1570" spans="31:33" ht="11.25" hidden="1">
      <c r="AE1570" s="490"/>
      <c r="AF1570" s="490"/>
      <c r="AG1570" s="490"/>
    </row>
    <row r="1571" spans="31:33" ht="11.25" hidden="1">
      <c r="AE1571" s="490"/>
      <c r="AF1571" s="490"/>
      <c r="AG1571" s="490"/>
    </row>
    <row r="1572" spans="31:33" ht="11.25" hidden="1">
      <c r="AE1572" s="490"/>
      <c r="AF1572" s="490"/>
      <c r="AG1572" s="490"/>
    </row>
    <row r="1573" spans="31:33" ht="11.25" hidden="1">
      <c r="AE1573" s="490"/>
      <c r="AF1573" s="490"/>
      <c r="AG1573" s="490"/>
    </row>
    <row r="1574" spans="31:33" ht="11.25" hidden="1">
      <c r="AE1574" s="490"/>
      <c r="AF1574" s="490"/>
      <c r="AG1574" s="490"/>
    </row>
    <row r="1575" spans="31:33" ht="11.25" hidden="1">
      <c r="AE1575" s="490"/>
      <c r="AF1575" s="490"/>
      <c r="AG1575" s="490"/>
    </row>
    <row r="1576" spans="31:33" ht="11.25" hidden="1">
      <c r="AE1576" s="490"/>
      <c r="AF1576" s="490"/>
      <c r="AG1576" s="490"/>
    </row>
    <row r="1577" spans="31:33" ht="11.25" hidden="1">
      <c r="AE1577" s="490"/>
      <c r="AF1577" s="490"/>
      <c r="AG1577" s="490"/>
    </row>
    <row r="1578" spans="31:33" ht="11.25" hidden="1">
      <c r="AE1578" s="490"/>
      <c r="AF1578" s="490"/>
      <c r="AG1578" s="490"/>
    </row>
    <row r="1579" spans="31:33" ht="11.25" hidden="1">
      <c r="AE1579" s="490"/>
      <c r="AF1579" s="490"/>
      <c r="AG1579" s="490"/>
    </row>
    <row r="1580" spans="31:33" ht="11.25" hidden="1">
      <c r="AE1580" s="490"/>
      <c r="AF1580" s="490"/>
      <c r="AG1580" s="490"/>
    </row>
    <row r="1581" spans="31:33" ht="11.25" hidden="1">
      <c r="AE1581" s="490"/>
      <c r="AF1581" s="490"/>
      <c r="AG1581" s="490"/>
    </row>
    <row r="1582" spans="31:33" ht="11.25" hidden="1">
      <c r="AE1582" s="490"/>
      <c r="AF1582" s="490"/>
      <c r="AG1582" s="490"/>
    </row>
    <row r="1583" spans="31:33" ht="11.25" hidden="1">
      <c r="AE1583" s="490"/>
      <c r="AF1583" s="490"/>
      <c r="AG1583" s="490"/>
    </row>
    <row r="1584" spans="31:33" ht="11.25" hidden="1">
      <c r="AE1584" s="490"/>
      <c r="AF1584" s="490"/>
      <c r="AG1584" s="490"/>
    </row>
    <row r="1585" spans="31:33" ht="11.25" hidden="1">
      <c r="AE1585" s="490"/>
      <c r="AF1585" s="490"/>
      <c r="AG1585" s="490"/>
    </row>
    <row r="1586" spans="31:33" ht="11.25" hidden="1">
      <c r="AE1586" s="490"/>
      <c r="AF1586" s="490"/>
      <c r="AG1586" s="490"/>
    </row>
    <row r="1587" spans="31:33" ht="11.25" hidden="1">
      <c r="AE1587" s="490"/>
      <c r="AF1587" s="490"/>
      <c r="AG1587" s="490"/>
    </row>
    <row r="1588" spans="31:33" ht="11.25" hidden="1">
      <c r="AE1588" s="490"/>
      <c r="AF1588" s="490"/>
      <c r="AG1588" s="490"/>
    </row>
    <row r="1589" spans="31:33" ht="11.25" hidden="1">
      <c r="AE1589" s="490"/>
      <c r="AF1589" s="490"/>
      <c r="AG1589" s="490"/>
    </row>
    <row r="1590" spans="31:33" ht="11.25" hidden="1">
      <c r="AE1590" s="490"/>
      <c r="AF1590" s="490"/>
      <c r="AG1590" s="490"/>
    </row>
    <row r="1591" spans="31:33" ht="11.25" hidden="1">
      <c r="AE1591" s="490"/>
      <c r="AF1591" s="490"/>
      <c r="AG1591" s="490"/>
    </row>
    <row r="1592" spans="31:33" ht="11.25" hidden="1">
      <c r="AE1592" s="490"/>
      <c r="AF1592" s="490"/>
      <c r="AG1592" s="490"/>
    </row>
    <row r="1593" spans="31:33" ht="11.25" hidden="1">
      <c r="AE1593" s="490"/>
      <c r="AF1593" s="490"/>
      <c r="AG1593" s="490"/>
    </row>
    <row r="1594" spans="31:33" ht="11.25" hidden="1">
      <c r="AE1594" s="490"/>
      <c r="AF1594" s="490"/>
      <c r="AG1594" s="490"/>
    </row>
    <row r="1595" spans="31:33" ht="11.25" hidden="1">
      <c r="AE1595" s="490"/>
      <c r="AF1595" s="490"/>
      <c r="AG1595" s="490"/>
    </row>
    <row r="1596" spans="31:33" ht="11.25" hidden="1">
      <c r="AE1596" s="490"/>
      <c r="AF1596" s="490"/>
      <c r="AG1596" s="490"/>
    </row>
    <row r="1597" spans="31:33" ht="11.25" hidden="1">
      <c r="AE1597" s="490"/>
      <c r="AF1597" s="490"/>
      <c r="AG1597" s="490"/>
    </row>
    <row r="1598" spans="31:33" ht="11.25" hidden="1">
      <c r="AE1598" s="490"/>
      <c r="AF1598" s="490"/>
      <c r="AG1598" s="490"/>
    </row>
    <row r="1599" spans="31:33" ht="11.25" hidden="1">
      <c r="AE1599" s="490"/>
      <c r="AF1599" s="490"/>
      <c r="AG1599" s="490"/>
    </row>
    <row r="1600" spans="31:33" ht="11.25" hidden="1">
      <c r="AE1600" s="490"/>
      <c r="AF1600" s="490"/>
      <c r="AG1600" s="490"/>
    </row>
    <row r="1601" spans="31:33" ht="11.25" hidden="1">
      <c r="AE1601" s="490"/>
      <c r="AF1601" s="490"/>
      <c r="AG1601" s="490"/>
    </row>
    <row r="1602" spans="31:33" ht="11.25" hidden="1">
      <c r="AE1602" s="490"/>
      <c r="AF1602" s="490"/>
      <c r="AG1602" s="490"/>
    </row>
    <row r="1603" spans="31:33" ht="11.25" hidden="1">
      <c r="AE1603" s="490"/>
      <c r="AF1603" s="490"/>
      <c r="AG1603" s="490"/>
    </row>
    <row r="1604" spans="31:33" ht="11.25" hidden="1">
      <c r="AE1604" s="490"/>
      <c r="AF1604" s="490"/>
      <c r="AG1604" s="490"/>
    </row>
    <row r="1605" spans="31:33" ht="11.25" hidden="1">
      <c r="AE1605" s="490"/>
      <c r="AF1605" s="490"/>
      <c r="AG1605" s="490"/>
    </row>
    <row r="1606" spans="31:33" ht="11.25" hidden="1">
      <c r="AE1606" s="490"/>
      <c r="AF1606" s="490"/>
      <c r="AG1606" s="490"/>
    </row>
    <row r="1607" spans="31:33" ht="11.25" hidden="1">
      <c r="AE1607" s="490"/>
      <c r="AF1607" s="490"/>
      <c r="AG1607" s="490"/>
    </row>
    <row r="1608" spans="31:33" ht="11.25" hidden="1">
      <c r="AE1608" s="490"/>
      <c r="AF1608" s="490"/>
      <c r="AG1608" s="490"/>
    </row>
    <row r="1609" spans="31:33" ht="11.25" hidden="1">
      <c r="AE1609" s="490"/>
      <c r="AF1609" s="490"/>
      <c r="AG1609" s="490"/>
    </row>
    <row r="1610" spans="31:33" ht="11.25" hidden="1">
      <c r="AE1610" s="490"/>
      <c r="AF1610" s="490"/>
      <c r="AG1610" s="490"/>
    </row>
    <row r="1611" spans="31:33" ht="11.25" hidden="1">
      <c r="AE1611" s="490"/>
      <c r="AF1611" s="490"/>
      <c r="AG1611" s="490"/>
    </row>
    <row r="1612" spans="31:33" ht="11.25" hidden="1">
      <c r="AE1612" s="490"/>
      <c r="AF1612" s="490"/>
      <c r="AG1612" s="490"/>
    </row>
    <row r="1613" spans="31:33" ht="11.25" hidden="1">
      <c r="AE1613" s="490"/>
      <c r="AF1613" s="490"/>
      <c r="AG1613" s="490"/>
    </row>
    <row r="1614" spans="31:33" ht="11.25" hidden="1">
      <c r="AE1614" s="490"/>
      <c r="AF1614" s="490"/>
      <c r="AG1614" s="490"/>
    </row>
    <row r="1615" spans="31:33" ht="11.25" hidden="1">
      <c r="AE1615" s="490"/>
      <c r="AF1615" s="490"/>
      <c r="AG1615" s="490"/>
    </row>
    <row r="1616" ht="11.25"/>
    <row r="1617" ht="11.25"/>
    <row r="1618" ht="11.25"/>
    <row r="1619" ht="11.25"/>
    <row r="1620" ht="11.25"/>
    <row r="1621" ht="11.25"/>
  </sheetData>
  <sheetProtection password="E296" sheet="1" objects="1" scenarios="1"/>
  <mergeCells count="24">
    <mergeCell ref="O15:P15"/>
    <mergeCell ref="A25:P29"/>
    <mergeCell ref="O13:P13"/>
    <mergeCell ref="C19:H19"/>
    <mergeCell ref="O14:P14"/>
    <mergeCell ref="L19:P19"/>
    <mergeCell ref="L21:P21"/>
    <mergeCell ref="C21:H21"/>
    <mergeCell ref="L22:P22"/>
    <mergeCell ref="C22:H22"/>
    <mergeCell ref="O10:P10"/>
    <mergeCell ref="A14:F14"/>
    <mergeCell ref="O11:P11"/>
    <mergeCell ref="O12:P12"/>
    <mergeCell ref="A9:I12"/>
    <mergeCell ref="C18:H18"/>
    <mergeCell ref="L18:P18"/>
    <mergeCell ref="E20:H20"/>
    <mergeCell ref="N20:P20"/>
    <mergeCell ref="O43:P43"/>
    <mergeCell ref="C40:H40"/>
    <mergeCell ref="L40:P40"/>
    <mergeCell ref="C41:H41"/>
    <mergeCell ref="L41:P41"/>
  </mergeCells>
  <conditionalFormatting sqref="A14:F14">
    <cfRule type="expression" priority="1" dxfId="0" stopIfTrue="1">
      <formula>$A14&lt;&gt;""</formula>
    </cfRule>
  </conditionalFormatting>
  <conditionalFormatting sqref="B45:H45 M43:N43 J44:P45 Q45 M24:P24 F24:H24">
    <cfRule type="expression" priority="2" dxfId="1" stopIfTrue="1">
      <formula>$F$22=TRUE</formula>
    </cfRule>
  </conditionalFormatting>
  <conditionalFormatting sqref="A37 A34:A35 J37 J34:J35 M20:N20 L18:L22 F21:H22 H15 C18:E22 F18:H19">
    <cfRule type="expression" priority="3" dxfId="2" stopIfTrue="1">
      <formula>$A$1=TRUE</formula>
    </cfRule>
  </conditionalFormatting>
  <conditionalFormatting sqref="B34:H39 J38:J41 A38:A41 K34:P39">
    <cfRule type="expression" priority="4" dxfId="3" stopIfTrue="1">
      <formula>#REF!=TRUE</formula>
    </cfRule>
  </conditionalFormatting>
  <conditionalFormatting sqref="A36 J36">
    <cfRule type="expression" priority="5" dxfId="0" stopIfTrue="1">
      <formula>$H$77&gt;0</formula>
    </cfRule>
  </conditionalFormatting>
  <dataValidations count="5">
    <dataValidation type="whole" operator="greaterThanOrEqual" allowBlank="1" showInputMessage="1" showErrorMessage="1" errorTitle="Onjuiste invoer." error="U kunt hier alleen een positief geheel getal invullen. " sqref="O43">
      <formula1>0</formula1>
    </dataValidation>
    <dataValidation type="date" operator="greaterThanOrEqual" allowBlank="1" showInputMessage="1" showErrorMessage="1" errorTitle="Onjuiste invoer" error="U mag hier alleen een datum invullen die na 1 december 2008 ligt." sqref="C41:H41">
      <formula1>39783</formula1>
    </dataValidation>
    <dataValidation type="date" operator="greaterThanOrEqual" allowBlank="1" showInputMessage="1" showErrorMessage="1" errorTitle="Onjuiste invoer" error="U mag hier alleen een datum invoeren die na 1 december 2008 ligt." sqref="L41:P41">
      <formula1>39783</formula1>
    </dataValidation>
    <dataValidation type="list" allowBlank="1" showInputMessage="1" showErrorMessage="1" errorTitle="Onjuiste invoer" error="Deze zorgkantoornaam bestaat niet.&#10;" sqref="L18:P18">
      <formula1>$X$5:$X$36</formula1>
    </dataValidation>
    <dataValidation type="whole" allowBlank="1" showInputMessage="1" showErrorMessage="1" errorTitle="Onjuiste invoer:" error="Hier moet het NZa-nummer ingevuld worden." sqref="H15">
      <formula1>0</formula1>
      <formula2>99999</formula2>
    </dataValidation>
  </dataValidations>
  <printOptions horizontalCentered="1" verticalCentered="1"/>
  <pageMargins left="0.3937007874015748" right="0.3937007874015748" top="0.3937007874015748" bottom="0.3937007874015748" header="0.2755905511811024" footer="0.35433070866141736"/>
  <pageSetup horizontalDpi="600" verticalDpi="600" orientation="landscape" paperSize="9" scale="95" r:id="rId3"/>
  <drawing r:id="rId2"/>
  <legacyDrawing r:id="rId1"/>
</worksheet>
</file>

<file path=xl/worksheets/sheet2.xml><?xml version="1.0" encoding="utf-8"?>
<worksheet xmlns="http://schemas.openxmlformats.org/spreadsheetml/2006/main" xmlns:r="http://schemas.openxmlformats.org/officeDocument/2006/relationships">
  <sheetPr codeName="Blad10"/>
  <dimension ref="A1:O38"/>
  <sheetViews>
    <sheetView showGridLines="0" workbookViewId="0" topLeftCell="A1">
      <selection activeCell="A1" sqref="A1"/>
    </sheetView>
  </sheetViews>
  <sheetFormatPr defaultColWidth="9.140625" defaultRowHeight="12.75" zeroHeight="1"/>
  <cols>
    <col min="1" max="1" width="3.8515625" style="824" customWidth="1"/>
    <col min="2" max="2" width="3.140625" style="824" customWidth="1"/>
    <col min="3" max="3" width="6.140625" style="824" customWidth="1"/>
    <col min="4" max="4" width="133.57421875" style="824" customWidth="1"/>
    <col min="5" max="5" width="0.13671875" style="825" customWidth="1"/>
    <col min="6" max="6" width="5.421875" style="824" hidden="1" customWidth="1"/>
    <col min="7" max="8" width="10.8515625" style="824" hidden="1" customWidth="1"/>
    <col min="9" max="10" width="9.421875" style="824" hidden="1" customWidth="1"/>
    <col min="11" max="11" width="9.28125" style="824" hidden="1" customWidth="1"/>
    <col min="12" max="16384" width="0" style="824" hidden="1" customWidth="1"/>
  </cols>
  <sheetData>
    <row r="1" ht="11.25">
      <c r="A1" s="823" t="s">
        <v>1241</v>
      </c>
    </row>
    <row r="2" ht="11.25" customHeight="1"/>
    <row r="3" spans="1:5" ht="47.25" customHeight="1">
      <c r="A3" s="1037" t="s">
        <v>950</v>
      </c>
      <c r="B3" s="1038"/>
      <c r="C3" s="1038"/>
      <c r="D3" s="1039"/>
      <c r="E3" s="827"/>
    </row>
    <row r="4" spans="2:7" ht="11.25">
      <c r="B4" s="828"/>
      <c r="C4" s="828"/>
      <c r="D4" s="828"/>
      <c r="E4" s="829"/>
      <c r="F4" s="828"/>
      <c r="G4" s="828"/>
    </row>
    <row r="5" spans="1:7" ht="18" customHeight="1">
      <c r="A5" s="1031" t="str">
        <f>IF(F16=0,"Er zijn geen fouten","Er zijn fouten geconstateerd")</f>
        <v>Er zijn fouten geconstateerd</v>
      </c>
      <c r="B5" s="1032"/>
      <c r="C5" s="1032"/>
      <c r="D5" s="1033"/>
      <c r="E5" s="830"/>
      <c r="F5" s="828"/>
      <c r="G5" s="828"/>
    </row>
    <row r="6" spans="2:7" ht="11.25">
      <c r="B6" s="828"/>
      <c r="C6" s="828"/>
      <c r="D6" s="828"/>
      <c r="E6" s="829"/>
      <c r="F6" s="828"/>
      <c r="G6" s="828"/>
    </row>
    <row r="7" spans="1:7" ht="12.75">
      <c r="A7" s="1034" t="s">
        <v>1242</v>
      </c>
      <c r="B7" s="1035"/>
      <c r="C7" s="1035"/>
      <c r="D7" s="1036"/>
      <c r="E7" s="826"/>
      <c r="F7" s="828"/>
      <c r="G7" s="828"/>
    </row>
    <row r="8" spans="1:9" ht="24" customHeight="1">
      <c r="A8" s="853">
        <v>1</v>
      </c>
      <c r="B8" s="831" t="str">
        <f aca="true" t="shared" si="0" ref="B8:B14">IF(F8=0,"√"," ")</f>
        <v> </v>
      </c>
      <c r="C8" s="832" t="str">
        <f aca="true" t="shared" si="1" ref="C8:C14">IF(F8&gt;0,"fout"," ")</f>
        <v>fout</v>
      </c>
      <c r="D8" s="831" t="s">
        <v>956</v>
      </c>
      <c r="E8" s="833"/>
      <c r="F8" s="834">
        <f>IF(G8=1,1,0)</f>
        <v>1</v>
      </c>
      <c r="G8" s="834">
        <f>IF(Voorblad!H15=0,1,0)</f>
        <v>1</v>
      </c>
      <c r="H8" s="834"/>
      <c r="I8" s="834"/>
    </row>
    <row r="9" spans="1:14" ht="24" customHeight="1">
      <c r="A9" s="853">
        <f aca="true" t="shared" si="2" ref="A9:A14">A8+1</f>
        <v>2</v>
      </c>
      <c r="B9" s="831" t="str">
        <f t="shared" si="0"/>
        <v>√</v>
      </c>
      <c r="C9" s="832" t="str">
        <f t="shared" si="1"/>
        <v> </v>
      </c>
      <c r="D9" s="831" t="s">
        <v>1271</v>
      </c>
      <c r="E9" s="833"/>
      <c r="F9" s="834">
        <f>IF(G9=1,1,0)</f>
        <v>0</v>
      </c>
      <c r="G9" s="835">
        <f>IF(Voorblad!O14&gt;Voorblad!T24,1,0)</f>
        <v>0</v>
      </c>
      <c r="H9" s="836"/>
      <c r="I9" s="836"/>
      <c r="K9" s="837"/>
      <c r="N9" s="838"/>
    </row>
    <row r="10" spans="1:15" ht="24" customHeight="1">
      <c r="A10" s="853">
        <f t="shared" si="2"/>
        <v>3</v>
      </c>
      <c r="B10" s="839" t="str">
        <f t="shared" si="0"/>
        <v>√</v>
      </c>
      <c r="C10" s="840" t="str">
        <f t="shared" si="1"/>
        <v> </v>
      </c>
      <c r="D10" s="841" t="str">
        <f>CONCATENATE("Het totaal van regels ",Productie!A80," t/m ",Productie!A82," van het werkblad 'Productie' sluit niet aan bij het totaal op regel ",Productie!A79,)</f>
        <v>Het totaal van regels 310 t/m 312 van het werkblad 'Productie' sluit niet aan bij het totaal op regel 309</v>
      </c>
      <c r="E10" s="833"/>
      <c r="F10" s="842">
        <f>G10</f>
        <v>0</v>
      </c>
      <c r="G10" s="829">
        <f>IF(SUM(Productie!E80:E82)=Productie!E79,0,1)</f>
        <v>0</v>
      </c>
      <c r="H10" s="828"/>
      <c r="I10" s="828"/>
      <c r="J10" s="828"/>
      <c r="K10" s="828"/>
      <c r="L10" s="828"/>
      <c r="M10" s="828"/>
      <c r="N10" s="828"/>
      <c r="O10" s="828"/>
    </row>
    <row r="11" spans="1:15" ht="24" customHeight="1">
      <c r="A11" s="853">
        <f t="shared" si="2"/>
        <v>4</v>
      </c>
      <c r="B11" s="839" t="str">
        <f t="shared" si="0"/>
        <v>√</v>
      </c>
      <c r="C11" s="840" t="str">
        <f t="shared" si="1"/>
        <v> </v>
      </c>
      <c r="D11" s="841" t="str">
        <f>CONCATENATE("Het totaal van regels ",Productie!A151," t/m ",Productie!A152," van het werkblad 'Productie' sluit niet aan bij het totaal op regel ",Productie!A150,)</f>
        <v>Het totaal van regels 512 t/m 513 van het werkblad 'Productie' sluit niet aan bij het totaal op regel 511</v>
      </c>
      <c r="E11" s="833"/>
      <c r="F11" s="842">
        <f>G11</f>
        <v>0</v>
      </c>
      <c r="G11" s="829">
        <f>IF(SUM(Productie!E151:E152)=Productie!E150,0,1)</f>
        <v>0</v>
      </c>
      <c r="H11" s="828"/>
      <c r="I11" s="828"/>
      <c r="J11" s="828"/>
      <c r="K11" s="828"/>
      <c r="L11" s="828"/>
      <c r="M11" s="828"/>
      <c r="N11" s="828"/>
      <c r="O11" s="828"/>
    </row>
    <row r="12" spans="1:11" ht="24" customHeight="1">
      <c r="A12" s="853">
        <f t="shared" si="2"/>
        <v>5</v>
      </c>
      <c r="B12" s="839" t="str">
        <f t="shared" si="0"/>
        <v>√</v>
      </c>
      <c r="C12" s="840" t="str">
        <f t="shared" si="1"/>
        <v> </v>
      </c>
      <c r="D12" s="841" t="str">
        <f>CONCATENATE("Het totaal van regels ",Productie!A157," t/m ",Productie!A159," van het werkblad 'Productie' sluit niet aan bij het totaal op regel ",Productie!A160,)</f>
        <v>Het totaal van regels 516 t/m 518 van het werkblad 'Productie' sluit niet aan bij het totaal op regel 519</v>
      </c>
      <c r="E12" s="833"/>
      <c r="F12" s="842">
        <f>G12</f>
        <v>0</v>
      </c>
      <c r="G12" s="829">
        <f>IF(SUM(Productie!E157:E159)=Productie!E160,0,1)</f>
        <v>0</v>
      </c>
      <c r="I12" s="828"/>
      <c r="K12" s="836"/>
    </row>
    <row r="13" spans="1:11" ht="24" customHeight="1">
      <c r="A13" s="853">
        <f t="shared" si="2"/>
        <v>6</v>
      </c>
      <c r="B13" s="839" t="str">
        <f t="shared" si="0"/>
        <v>√</v>
      </c>
      <c r="C13" s="840" t="str">
        <f t="shared" si="1"/>
        <v> </v>
      </c>
      <c r="D13" s="841" t="str">
        <f>CONCATENATE("Het totaal van regels ",Productie!A213," t/m ",Productie!A215," van het werkblad 'Productie' sluit niet aan bij het totaal op regel ",Productie!A212,)</f>
        <v>Het totaal van regels 705 t/m 707 van het werkblad 'Productie' sluit niet aan bij het totaal op regel 704</v>
      </c>
      <c r="E13" s="833"/>
      <c r="F13" s="842">
        <f>G13</f>
        <v>0</v>
      </c>
      <c r="G13" s="829">
        <f>IF(SUM(Productie!E213:E215)=Productie!E212,0,1)</f>
        <v>0</v>
      </c>
      <c r="I13" s="828"/>
      <c r="K13" s="836"/>
    </row>
    <row r="14" spans="1:8" s="844" customFormat="1" ht="24" customHeight="1">
      <c r="A14" s="853">
        <f t="shared" si="2"/>
        <v>7</v>
      </c>
      <c r="B14" s="839" t="str">
        <f t="shared" si="0"/>
        <v>√</v>
      </c>
      <c r="C14" s="840" t="str">
        <f t="shared" si="1"/>
        <v> </v>
      </c>
      <c r="D14" s="841" t="str">
        <f>CONCATENATE("Het totaal van regels ",Productie!A220," t/m ",Productie!A222," van het werkblad 'Productie' sluit niet aan bij het totaal op regel ",Productie!A223,)</f>
        <v>Het totaal van regels 710 t/m 712 van het werkblad 'Productie' sluit niet aan bij het totaal op regel 713</v>
      </c>
      <c r="E14" s="833"/>
      <c r="F14" s="842">
        <f>G14</f>
        <v>0</v>
      </c>
      <c r="G14" s="829">
        <f>IF(SUM(Productie!E220:E222)=Productie!E223,0,1)</f>
        <v>0</v>
      </c>
      <c r="H14" s="843"/>
    </row>
    <row r="15" spans="1:8" s="844" customFormat="1" ht="15.75" customHeight="1">
      <c r="A15" s="845"/>
      <c r="B15" s="846"/>
      <c r="C15" s="847"/>
      <c r="D15" s="833"/>
      <c r="E15" s="833"/>
      <c r="F15" s="842"/>
      <c r="G15" s="829"/>
      <c r="H15" s="843"/>
    </row>
    <row r="16" spans="1:8" s="844" customFormat="1" ht="15" customHeight="1" thickBot="1">
      <c r="A16" s="845"/>
      <c r="B16" s="846"/>
      <c r="C16" s="847"/>
      <c r="D16" s="833"/>
      <c r="E16" s="833"/>
      <c r="F16" s="848">
        <f>SUM(F8:F14)</f>
        <v>1</v>
      </c>
      <c r="G16" s="829"/>
      <c r="H16" s="843"/>
    </row>
    <row r="17" spans="1:8" s="844" customFormat="1" ht="15" customHeight="1" thickTop="1">
      <c r="A17" s="845"/>
      <c r="B17" s="846"/>
      <c r="C17" s="847"/>
      <c r="D17" s="847"/>
      <c r="E17" s="833"/>
      <c r="G17" s="829"/>
      <c r="H17" s="843"/>
    </row>
    <row r="18" spans="3:5" ht="11.25" hidden="1">
      <c r="C18" s="849"/>
      <c r="D18" s="849"/>
      <c r="E18" s="850"/>
    </row>
    <row r="19" spans="3:5" ht="11.25" hidden="1">
      <c r="C19" s="849"/>
      <c r="D19" s="849"/>
      <c r="E19" s="850"/>
    </row>
    <row r="20" spans="3:5" ht="12.75" hidden="1">
      <c r="C20" s="849"/>
      <c r="D20" s="851"/>
      <c r="E20" s="851"/>
    </row>
    <row r="21" spans="3:5" ht="11.25" hidden="1">
      <c r="C21" s="849"/>
      <c r="D21" s="849"/>
      <c r="E21" s="850"/>
    </row>
    <row r="22" spans="3:5" ht="11.25" hidden="1">
      <c r="C22" s="849"/>
      <c r="D22" s="849"/>
      <c r="E22" s="850"/>
    </row>
    <row r="23" spans="3:5" ht="11.25" hidden="1">
      <c r="C23" s="849"/>
      <c r="D23" s="849"/>
      <c r="E23" s="850"/>
    </row>
    <row r="24" spans="3:5" ht="11.25" hidden="1">
      <c r="C24" s="849"/>
      <c r="D24" s="849"/>
      <c r="E24" s="850"/>
    </row>
    <row r="25" spans="3:5" ht="11.25" hidden="1">
      <c r="C25" s="849"/>
      <c r="D25" s="849"/>
      <c r="E25" s="850"/>
    </row>
    <row r="26" spans="3:5" ht="11.25" hidden="1">
      <c r="C26" s="849"/>
      <c r="D26" s="849"/>
      <c r="E26" s="850"/>
    </row>
    <row r="27" spans="3:5" ht="11.25" hidden="1">
      <c r="C27" s="849"/>
      <c r="D27" s="849"/>
      <c r="E27" s="850"/>
    </row>
    <row r="28" spans="3:5" ht="11.25" hidden="1">
      <c r="C28" s="849"/>
      <c r="D28" s="849"/>
      <c r="E28" s="850"/>
    </row>
    <row r="29" spans="2:5" ht="11.25" hidden="1">
      <c r="B29" s="823"/>
      <c r="C29" s="852"/>
      <c r="D29" s="849"/>
      <c r="E29" s="850"/>
    </row>
    <row r="30" spans="3:5" ht="11.25" hidden="1">
      <c r="C30" s="849"/>
      <c r="D30" s="849"/>
      <c r="E30" s="850"/>
    </row>
    <row r="31" spans="3:5" ht="11.25" hidden="1">
      <c r="C31" s="849"/>
      <c r="D31" s="849"/>
      <c r="E31" s="850"/>
    </row>
    <row r="32" spans="3:5" ht="11.25" hidden="1">
      <c r="C32" s="849"/>
      <c r="D32" s="849"/>
      <c r="E32" s="850"/>
    </row>
    <row r="33" spans="3:5" ht="11.25" hidden="1">
      <c r="C33" s="849"/>
      <c r="D33" s="849"/>
      <c r="E33" s="850"/>
    </row>
    <row r="34" spans="3:5" ht="11.25" hidden="1">
      <c r="C34" s="849"/>
      <c r="D34" s="849"/>
      <c r="E34" s="850"/>
    </row>
    <row r="35" spans="3:5" ht="11.25" hidden="1">
      <c r="C35" s="849"/>
      <c r="D35" s="849"/>
      <c r="E35" s="850"/>
    </row>
    <row r="36" spans="3:5" ht="11.25" hidden="1">
      <c r="C36" s="849"/>
      <c r="D36" s="849"/>
      <c r="E36" s="850"/>
    </row>
    <row r="37" spans="3:5" ht="11.25" hidden="1">
      <c r="C37" s="849"/>
      <c r="D37" s="849"/>
      <c r="E37" s="850"/>
    </row>
    <row r="38" spans="3:5" ht="11.25" hidden="1">
      <c r="C38" s="849"/>
      <c r="D38" s="849"/>
      <c r="E38" s="850"/>
    </row>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row r="56" ht="11.25"/>
    <row r="57" ht="11.25"/>
    <row r="58" ht="11.25"/>
    <row r="59" ht="11.25"/>
    <row r="60" ht="11.25"/>
    <row r="61" ht="11.25"/>
    <row r="62" ht="11.25"/>
    <row r="63" ht="11.25"/>
    <row r="64" ht="11.25"/>
    <row r="65" ht="11.25"/>
    <row r="66" ht="11.25"/>
    <row r="67" ht="11.25"/>
  </sheetData>
  <sheetProtection password="E296" sheet="1" objects="1" scenarios="1"/>
  <mergeCells count="3">
    <mergeCell ref="A5:D5"/>
    <mergeCell ref="A7:D7"/>
    <mergeCell ref="A3:D3"/>
  </mergeCells>
  <printOptions/>
  <pageMargins left="0.3937007874015748" right="0.3937007874015748" top="0.3937007874015748" bottom="0.3937007874015748" header="0.11811023622047245" footer="0.11811023622047245"/>
  <pageSetup firstPageNumber="2" useFirstPageNumber="1" horizontalDpi="600" verticalDpi="600" orientation="landscape" paperSize="9" scale="95" r:id="rId2"/>
  <headerFooter alignWithMargins="0">
    <oddHeader>&amp;R&amp;G</oddHeader>
  </headerFooter>
  <rowBreaks count="1" manualBreakCount="1">
    <brk id="15" max="3" man="1"/>
  </rowBreaks>
  <legacyDrawingHF r:id="rId1"/>
</worksheet>
</file>

<file path=xl/worksheets/sheet3.xml><?xml version="1.0" encoding="utf-8"?>
<worksheet xmlns="http://schemas.openxmlformats.org/spreadsheetml/2006/main" xmlns:r="http://schemas.openxmlformats.org/officeDocument/2006/relationships">
  <sheetPr codeName="Blad2">
    <tabColor indexed="14"/>
  </sheetPr>
  <dimension ref="A1:IV64"/>
  <sheetViews>
    <sheetView showGridLines="0" workbookViewId="0" topLeftCell="A1">
      <selection activeCell="A1" sqref="A1"/>
    </sheetView>
  </sheetViews>
  <sheetFormatPr defaultColWidth="9.140625" defaultRowHeight="12.75" zeroHeight="1"/>
  <cols>
    <col min="1" max="1" width="5.28125" style="740" customWidth="1"/>
    <col min="2" max="11" width="13.00390625" style="740" customWidth="1"/>
    <col min="12" max="12" width="11.421875" style="740" customWidth="1"/>
    <col min="13" max="13" width="0.13671875" style="14" customWidth="1"/>
    <col min="14" max="16384" width="9.140625" style="14" hidden="1" customWidth="1"/>
  </cols>
  <sheetData>
    <row r="1" spans="1:12" ht="15" customHeight="1">
      <c r="A1" s="38" t="s">
        <v>1070</v>
      </c>
      <c r="B1" s="39"/>
      <c r="C1" s="39"/>
      <c r="D1" s="39"/>
      <c r="E1" s="39"/>
      <c r="F1" s="40"/>
      <c r="G1" s="41"/>
      <c r="H1" s="39"/>
      <c r="I1" s="39"/>
      <c r="J1" s="42"/>
      <c r="K1" s="42"/>
      <c r="L1" s="39"/>
    </row>
    <row r="2" spans="1:12" ht="13.5" customHeight="1">
      <c r="A2" s="14"/>
      <c r="B2" s="15"/>
      <c r="C2" s="43"/>
      <c r="D2" s="15"/>
      <c r="E2" s="15"/>
      <c r="F2" s="15"/>
      <c r="G2" s="15"/>
      <c r="H2" s="15"/>
      <c r="I2" s="15"/>
      <c r="J2" s="15"/>
      <c r="K2" s="15"/>
      <c r="L2" s="15"/>
    </row>
    <row r="3" spans="1:12" ht="11.25" customHeight="1">
      <c r="A3" s="18" t="s">
        <v>450</v>
      </c>
      <c r="B3" s="3"/>
      <c r="C3" s="738"/>
      <c r="D3" s="3"/>
      <c r="E3" s="3"/>
      <c r="F3" s="3"/>
      <c r="G3" s="3"/>
      <c r="H3" s="3"/>
      <c r="I3" s="3"/>
      <c r="J3" s="3"/>
      <c r="K3" s="3"/>
      <c r="L3" s="3"/>
    </row>
    <row r="4" spans="1:12" s="748" customFormat="1" ht="27" customHeight="1">
      <c r="A4" s="1040" t="s">
        <v>508</v>
      </c>
      <c r="B4" s="1040"/>
      <c r="C4" s="1040"/>
      <c r="D4" s="1040"/>
      <c r="E4" s="1040"/>
      <c r="F4" s="1040"/>
      <c r="G4" s="1040"/>
      <c r="H4" s="1040"/>
      <c r="I4" s="1040"/>
      <c r="J4" s="1040"/>
      <c r="K4" s="1040"/>
      <c r="L4" s="1040"/>
    </row>
    <row r="5" spans="1:12" s="748" customFormat="1" ht="24.75" customHeight="1">
      <c r="A5" s="1045" t="s">
        <v>957</v>
      </c>
      <c r="B5" s="1054"/>
      <c r="C5" s="1054"/>
      <c r="D5" s="1054"/>
      <c r="E5" s="1054"/>
      <c r="F5" s="1054"/>
      <c r="G5" s="1054"/>
      <c r="H5" s="1054"/>
      <c r="I5" s="1054"/>
      <c r="J5" s="1054"/>
      <c r="K5" s="1054"/>
      <c r="L5" s="1054"/>
    </row>
    <row r="6" spans="1:12" s="748" customFormat="1" ht="27.75" customHeight="1">
      <c r="A6" s="1040" t="s">
        <v>1238</v>
      </c>
      <c r="B6" s="1040"/>
      <c r="C6" s="1040"/>
      <c r="D6" s="1040"/>
      <c r="E6" s="1040"/>
      <c r="F6" s="1040"/>
      <c r="G6" s="1040"/>
      <c r="H6" s="1040"/>
      <c r="I6" s="1040"/>
      <c r="J6" s="1040"/>
      <c r="K6" s="1040"/>
      <c r="L6" s="1040"/>
    </row>
    <row r="7" spans="1:12" s="748" customFormat="1" ht="51.75" customHeight="1">
      <c r="A7" s="1040" t="s">
        <v>958</v>
      </c>
      <c r="B7" s="1040"/>
      <c r="C7" s="1040"/>
      <c r="D7" s="1040"/>
      <c r="E7" s="1040"/>
      <c r="F7" s="1040"/>
      <c r="G7" s="1040"/>
      <c r="H7" s="1040"/>
      <c r="I7" s="1040"/>
      <c r="J7" s="1040"/>
      <c r="K7" s="1040"/>
      <c r="L7" s="1040"/>
    </row>
    <row r="8" spans="1:12" ht="13.5" customHeight="1">
      <c r="A8" s="18" t="s">
        <v>334</v>
      </c>
      <c r="B8" s="739"/>
      <c r="C8" s="739"/>
      <c r="D8" s="739"/>
      <c r="E8" s="739"/>
      <c r="F8" s="739"/>
      <c r="G8" s="739"/>
      <c r="H8" s="739"/>
      <c r="I8" s="739"/>
      <c r="J8" s="739"/>
      <c r="K8" s="739"/>
      <c r="L8" s="739"/>
    </row>
    <row r="9" spans="1:12" ht="14.25" customHeight="1">
      <c r="A9" s="1042" t="s">
        <v>959</v>
      </c>
      <c r="B9" s="1042"/>
      <c r="C9" s="1042"/>
      <c r="D9" s="1042"/>
      <c r="E9" s="1042"/>
      <c r="F9" s="1042"/>
      <c r="G9" s="1042"/>
      <c r="H9" s="1042"/>
      <c r="I9" s="1042"/>
      <c r="J9" s="1042"/>
      <c r="K9" s="1042"/>
      <c r="L9" s="1042"/>
    </row>
    <row r="10" spans="1:12" ht="13.5" customHeight="1">
      <c r="A10" s="1052" t="s">
        <v>335</v>
      </c>
      <c r="B10" s="1053"/>
      <c r="C10" s="1053"/>
      <c r="D10" s="1053"/>
      <c r="E10" s="1053"/>
      <c r="F10" s="1053"/>
      <c r="G10" s="1053"/>
      <c r="H10" s="1053"/>
      <c r="I10" s="1053"/>
      <c r="J10" s="1053"/>
      <c r="K10" s="1053"/>
      <c r="L10" s="1053"/>
    </row>
    <row r="11" spans="1:12" ht="7.5" customHeight="1">
      <c r="A11" s="14"/>
      <c r="B11" s="739"/>
      <c r="C11" s="739"/>
      <c r="D11" s="739"/>
      <c r="E11" s="739"/>
      <c r="F11" s="739"/>
      <c r="G11" s="739"/>
      <c r="H11" s="739"/>
      <c r="I11" s="739"/>
      <c r="J11" s="739"/>
      <c r="K11" s="739"/>
      <c r="L11" s="739"/>
    </row>
    <row r="12" spans="1:12" ht="12.75" customHeight="1">
      <c r="A12" s="951" t="s">
        <v>497</v>
      </c>
      <c r="B12" s="952"/>
      <c r="C12" s="952"/>
      <c r="D12" s="952"/>
      <c r="E12" s="952"/>
      <c r="F12" s="952"/>
      <c r="G12" s="952"/>
      <c r="H12" s="953"/>
      <c r="I12" s="953"/>
      <c r="J12" s="953"/>
      <c r="K12" s="953"/>
      <c r="L12" s="954"/>
    </row>
    <row r="13" spans="1:12" ht="12.75" customHeight="1">
      <c r="A13" s="955" t="s">
        <v>498</v>
      </c>
      <c r="B13" s="956"/>
      <c r="C13" s="956"/>
      <c r="D13" s="957"/>
      <c r="E13" s="957"/>
      <c r="F13" s="956"/>
      <c r="G13" s="957"/>
      <c r="H13" s="818"/>
      <c r="I13" s="1046" t="s">
        <v>499</v>
      </c>
      <c r="J13" s="1047"/>
      <c r="K13" s="1048" t="s">
        <v>500</v>
      </c>
      <c r="L13" s="1049"/>
    </row>
    <row r="14" spans="1:12" ht="12.75" customHeight="1">
      <c r="A14" s="958" t="s">
        <v>960</v>
      </c>
      <c r="B14" s="959"/>
      <c r="C14" s="959"/>
      <c r="D14" s="959"/>
      <c r="E14" s="959"/>
      <c r="F14" s="959"/>
      <c r="G14" s="960"/>
      <c r="H14" s="961"/>
      <c r="I14" s="1043" t="s">
        <v>891</v>
      </c>
      <c r="J14" s="1039"/>
      <c r="K14" s="1050"/>
      <c r="L14" s="1051"/>
    </row>
    <row r="15" spans="1:12" ht="12.75" customHeight="1">
      <c r="A15" s="812" t="s">
        <v>961</v>
      </c>
      <c r="B15" s="959"/>
      <c r="C15" s="959"/>
      <c r="D15" s="959"/>
      <c r="E15" s="959"/>
      <c r="F15" s="959"/>
      <c r="G15" s="960"/>
      <c r="H15" s="961"/>
      <c r="I15" s="1043" t="s">
        <v>891</v>
      </c>
      <c r="J15" s="1039"/>
      <c r="K15" s="1043" t="s">
        <v>891</v>
      </c>
      <c r="L15" s="1039"/>
    </row>
    <row r="16" spans="1:12" ht="6" customHeight="1">
      <c r="A16" s="14"/>
      <c r="B16" s="739"/>
      <c r="C16" s="739"/>
      <c r="D16" s="739"/>
      <c r="E16" s="739"/>
      <c r="F16" s="739"/>
      <c r="G16" s="739"/>
      <c r="H16" s="739"/>
      <c r="I16" s="739"/>
      <c r="J16" s="739"/>
      <c r="K16" s="739"/>
      <c r="L16" s="739"/>
    </row>
    <row r="17" spans="1:12" ht="27" customHeight="1">
      <c r="A17" s="1044" t="s">
        <v>962</v>
      </c>
      <c r="B17" s="1017"/>
      <c r="C17" s="1017"/>
      <c r="D17" s="1017"/>
      <c r="E17" s="1017"/>
      <c r="F17" s="1017"/>
      <c r="G17" s="1017"/>
      <c r="H17" s="1017"/>
      <c r="I17" s="1017"/>
      <c r="J17" s="1017"/>
      <c r="K17" s="1017"/>
      <c r="L17" s="1017"/>
    </row>
    <row r="18" spans="1:12" ht="6.75" customHeight="1">
      <c r="A18" s="14"/>
      <c r="B18" s="739"/>
      <c r="C18" s="739"/>
      <c r="D18" s="739"/>
      <c r="E18" s="739"/>
      <c r="F18" s="739"/>
      <c r="G18" s="739"/>
      <c r="H18" s="739"/>
      <c r="I18" s="739"/>
      <c r="J18" s="739"/>
      <c r="K18" s="739"/>
      <c r="L18" s="739"/>
    </row>
    <row r="19" spans="1:12" ht="11.25">
      <c r="A19" s="18" t="s">
        <v>501</v>
      </c>
      <c r="B19" s="3"/>
      <c r="C19" s="738"/>
      <c r="D19" s="3"/>
      <c r="E19" s="3"/>
      <c r="F19" s="3"/>
      <c r="G19" s="3"/>
      <c r="H19" s="3"/>
      <c r="I19" s="3"/>
      <c r="J19" s="3"/>
      <c r="K19" s="3"/>
      <c r="L19" s="3"/>
    </row>
    <row r="20" spans="1:7" ht="11.25">
      <c r="A20" s="18" t="s">
        <v>951</v>
      </c>
      <c r="B20" s="3"/>
      <c r="F20" s="741"/>
      <c r="G20" s="3"/>
    </row>
    <row r="21" spans="1:7" ht="6.75" customHeight="1">
      <c r="A21" s="630"/>
      <c r="B21" s="3"/>
      <c r="F21" s="741"/>
      <c r="G21" s="3"/>
    </row>
    <row r="22" spans="1:256" ht="27.75" customHeight="1">
      <c r="A22" s="1042" t="s">
        <v>977</v>
      </c>
      <c r="B22" s="1042"/>
      <c r="C22" s="1042"/>
      <c r="D22" s="1042"/>
      <c r="E22" s="1042"/>
      <c r="F22" s="1042"/>
      <c r="G22" s="1042"/>
      <c r="H22" s="1042"/>
      <c r="I22" s="1042"/>
      <c r="J22" s="1042"/>
      <c r="K22" s="1042"/>
      <c r="L22" s="1042"/>
      <c r="M22" s="1042"/>
      <c r="N22" s="1042"/>
      <c r="O22" s="1042"/>
      <c r="P22" s="1042"/>
      <c r="Q22" s="1042"/>
      <c r="R22" s="1042"/>
      <c r="S22" s="1042"/>
      <c r="T22" s="1042"/>
      <c r="U22" s="1042"/>
      <c r="V22" s="1042"/>
      <c r="W22" s="1042"/>
      <c r="X22" s="1042"/>
      <c r="Y22" s="1042"/>
      <c r="Z22" s="1042"/>
      <c r="AA22" s="1042"/>
      <c r="AB22" s="1042"/>
      <c r="AC22" s="1042"/>
      <c r="AD22" s="1042"/>
      <c r="AE22" s="1042"/>
      <c r="AF22" s="1042"/>
      <c r="AG22" s="1042"/>
      <c r="AH22" s="1042"/>
      <c r="AI22" s="1042"/>
      <c r="AJ22" s="1042"/>
      <c r="AK22" s="1042"/>
      <c r="AL22" s="1042"/>
      <c r="AM22" s="1042"/>
      <c r="AN22" s="1042"/>
      <c r="AO22" s="1042"/>
      <c r="AP22" s="1042"/>
      <c r="AQ22" s="1042"/>
      <c r="AR22" s="1042"/>
      <c r="AS22" s="1042"/>
      <c r="AT22" s="1042"/>
      <c r="AU22" s="1042"/>
      <c r="AV22" s="1042"/>
      <c r="AW22" s="1042"/>
      <c r="AX22" s="1042"/>
      <c r="AY22" s="1042"/>
      <c r="AZ22" s="1042"/>
      <c r="BA22" s="1042"/>
      <c r="BB22" s="1042"/>
      <c r="BC22" s="1042"/>
      <c r="BD22" s="1042"/>
      <c r="BE22" s="1042"/>
      <c r="BF22" s="1042"/>
      <c r="BG22" s="1042"/>
      <c r="BH22" s="1042"/>
      <c r="BI22" s="1042"/>
      <c r="BJ22" s="1042"/>
      <c r="BK22" s="1042"/>
      <c r="BL22" s="1042"/>
      <c r="BM22" s="1042"/>
      <c r="BN22" s="1042"/>
      <c r="BO22" s="1042"/>
      <c r="BP22" s="1042"/>
      <c r="BQ22" s="1042"/>
      <c r="BR22" s="1042"/>
      <c r="BS22" s="1042"/>
      <c r="BT22" s="1042"/>
      <c r="BU22" s="1042"/>
      <c r="BV22" s="1042"/>
      <c r="BW22" s="1042"/>
      <c r="BX22" s="1042"/>
      <c r="BY22" s="1042"/>
      <c r="BZ22" s="1042"/>
      <c r="CA22" s="1042"/>
      <c r="CB22" s="1042"/>
      <c r="CC22" s="1042"/>
      <c r="CD22" s="1042"/>
      <c r="CE22" s="1042"/>
      <c r="CF22" s="1042"/>
      <c r="CG22" s="1042"/>
      <c r="CH22" s="1042"/>
      <c r="CI22" s="1042"/>
      <c r="CJ22" s="1042"/>
      <c r="CK22" s="1042"/>
      <c r="CL22" s="1042"/>
      <c r="CM22" s="1042"/>
      <c r="CN22" s="1042"/>
      <c r="CO22" s="1042"/>
      <c r="CP22" s="1042"/>
      <c r="CQ22" s="1042"/>
      <c r="CR22" s="1042"/>
      <c r="CS22" s="1042"/>
      <c r="CT22" s="1042"/>
      <c r="CU22" s="1042"/>
      <c r="CV22" s="1042"/>
      <c r="CW22" s="1042"/>
      <c r="CX22" s="1042"/>
      <c r="CY22" s="1042"/>
      <c r="CZ22" s="1042"/>
      <c r="DA22" s="1042"/>
      <c r="DB22" s="1042"/>
      <c r="DC22" s="1042"/>
      <c r="DD22" s="1042"/>
      <c r="DE22" s="1042"/>
      <c r="DF22" s="1042"/>
      <c r="DG22" s="1042"/>
      <c r="DH22" s="1042"/>
      <c r="DI22" s="1042"/>
      <c r="DJ22" s="1042"/>
      <c r="DK22" s="1042"/>
      <c r="DL22" s="1042"/>
      <c r="DM22" s="1042"/>
      <c r="DN22" s="1042"/>
      <c r="DO22" s="1042"/>
      <c r="DP22" s="1042"/>
      <c r="DQ22" s="1042"/>
      <c r="DR22" s="1042"/>
      <c r="DS22" s="1042"/>
      <c r="DT22" s="1042"/>
      <c r="DU22" s="1042"/>
      <c r="DV22" s="1042"/>
      <c r="DW22" s="1042"/>
      <c r="DX22" s="1042"/>
      <c r="DY22" s="1042"/>
      <c r="DZ22" s="1042"/>
      <c r="EA22" s="1042"/>
      <c r="EB22" s="1042"/>
      <c r="EC22" s="1042"/>
      <c r="ED22" s="1042"/>
      <c r="EE22" s="1042"/>
      <c r="EF22" s="1042"/>
      <c r="EG22" s="1042"/>
      <c r="EH22" s="1042"/>
      <c r="EI22" s="1042"/>
      <c r="EJ22" s="1042"/>
      <c r="EK22" s="1042"/>
      <c r="EL22" s="1042"/>
      <c r="EM22" s="1042"/>
      <c r="EN22" s="1042"/>
      <c r="EO22" s="1042"/>
      <c r="EP22" s="1042"/>
      <c r="EQ22" s="1042"/>
      <c r="ER22" s="1042"/>
      <c r="ES22" s="1042"/>
      <c r="ET22" s="1042"/>
      <c r="EU22" s="1042"/>
      <c r="EV22" s="1042"/>
      <c r="EW22" s="1042"/>
      <c r="EX22" s="1042"/>
      <c r="EY22" s="1042"/>
      <c r="EZ22" s="1042"/>
      <c r="FA22" s="1042"/>
      <c r="FB22" s="1042"/>
      <c r="FC22" s="1042"/>
      <c r="FD22" s="1042"/>
      <c r="FE22" s="1042"/>
      <c r="FF22" s="1042"/>
      <c r="FG22" s="1042"/>
      <c r="FH22" s="1042"/>
      <c r="FI22" s="1042"/>
      <c r="FJ22" s="1042"/>
      <c r="FK22" s="1042"/>
      <c r="FL22" s="1042"/>
      <c r="FM22" s="1042"/>
      <c r="FN22" s="1042"/>
      <c r="FO22" s="1042"/>
      <c r="FP22" s="1042"/>
      <c r="FQ22" s="1042"/>
      <c r="FR22" s="1042"/>
      <c r="FS22" s="1042"/>
      <c r="FT22" s="1042"/>
      <c r="FU22" s="1042"/>
      <c r="FV22" s="1042"/>
      <c r="FW22" s="1042"/>
      <c r="FX22" s="1042"/>
      <c r="FY22" s="1042"/>
      <c r="FZ22" s="1042"/>
      <c r="GA22" s="1042"/>
      <c r="GB22" s="1042"/>
      <c r="GC22" s="1042"/>
      <c r="GD22" s="1042"/>
      <c r="GE22" s="1042"/>
      <c r="GF22" s="1042"/>
      <c r="GG22" s="1042"/>
      <c r="GH22" s="1042"/>
      <c r="GI22" s="1042"/>
      <c r="GJ22" s="1042"/>
      <c r="GK22" s="1042"/>
      <c r="GL22" s="1042"/>
      <c r="GM22" s="1042"/>
      <c r="GN22" s="1042"/>
      <c r="GO22" s="1042"/>
      <c r="GP22" s="1042"/>
      <c r="GQ22" s="1042"/>
      <c r="GR22" s="1042"/>
      <c r="GS22" s="1042"/>
      <c r="GT22" s="1042"/>
      <c r="GU22" s="1042"/>
      <c r="GV22" s="1042"/>
      <c r="GW22" s="1042"/>
      <c r="GX22" s="1042"/>
      <c r="GY22" s="1042"/>
      <c r="GZ22" s="1042"/>
      <c r="HA22" s="1042"/>
      <c r="HB22" s="1042"/>
      <c r="HC22" s="1042"/>
      <c r="HD22" s="1042"/>
      <c r="HE22" s="1042"/>
      <c r="HF22" s="1042"/>
      <c r="HG22" s="1042"/>
      <c r="HH22" s="1042"/>
      <c r="HI22" s="1042"/>
      <c r="HJ22" s="1042"/>
      <c r="HK22" s="1042"/>
      <c r="HL22" s="1042"/>
      <c r="HM22" s="1042"/>
      <c r="HN22" s="1042"/>
      <c r="HO22" s="1042"/>
      <c r="HP22" s="1042"/>
      <c r="HQ22" s="1042"/>
      <c r="HR22" s="1042"/>
      <c r="HS22" s="1042"/>
      <c r="HT22" s="1042"/>
      <c r="HU22" s="1042"/>
      <c r="HV22" s="1042"/>
      <c r="HW22" s="1042"/>
      <c r="HX22" s="1042"/>
      <c r="HY22" s="1042"/>
      <c r="HZ22" s="1042"/>
      <c r="IA22" s="1042"/>
      <c r="IB22" s="1042"/>
      <c r="IC22" s="1042"/>
      <c r="ID22" s="1042"/>
      <c r="IE22" s="1042"/>
      <c r="IF22" s="1042"/>
      <c r="IG22" s="1042"/>
      <c r="IH22" s="1042"/>
      <c r="II22" s="1042"/>
      <c r="IJ22" s="1042"/>
      <c r="IK22" s="1042"/>
      <c r="IL22" s="1042"/>
      <c r="IM22" s="1042"/>
      <c r="IN22" s="1042"/>
      <c r="IO22" s="1042"/>
      <c r="IP22" s="1042"/>
      <c r="IQ22" s="1042"/>
      <c r="IR22" s="1042"/>
      <c r="IS22" s="1042"/>
      <c r="IT22" s="1042"/>
      <c r="IU22" s="1042"/>
      <c r="IV22" s="1042"/>
    </row>
    <row r="23" spans="1:256" ht="15.75" customHeight="1">
      <c r="A23" s="1040" t="s">
        <v>822</v>
      </c>
      <c r="B23" s="1040"/>
      <c r="C23" s="1040"/>
      <c r="D23" s="1040"/>
      <c r="E23" s="1040"/>
      <c r="F23" s="1040"/>
      <c r="G23" s="1040"/>
      <c r="H23" s="1040"/>
      <c r="I23" s="1040"/>
      <c r="J23" s="1040"/>
      <c r="K23" s="1040"/>
      <c r="L23" s="1040"/>
      <c r="M23" s="1042"/>
      <c r="N23" s="1042"/>
      <c r="O23" s="1042"/>
      <c r="P23" s="1042"/>
      <c r="Q23" s="1042"/>
      <c r="R23" s="1042"/>
      <c r="S23" s="1042"/>
      <c r="T23" s="1042"/>
      <c r="U23" s="1042"/>
      <c r="V23" s="1042"/>
      <c r="W23" s="1042"/>
      <c r="X23" s="1042"/>
      <c r="Y23" s="1042"/>
      <c r="Z23" s="1042"/>
      <c r="AA23" s="1042"/>
      <c r="AB23" s="1042"/>
      <c r="AC23" s="1042"/>
      <c r="AD23" s="1042"/>
      <c r="AE23" s="1042"/>
      <c r="AF23" s="1042"/>
      <c r="AG23" s="1042"/>
      <c r="AH23" s="1042"/>
      <c r="AI23" s="1042"/>
      <c r="AJ23" s="1042"/>
      <c r="AK23" s="1042"/>
      <c r="AL23" s="1042"/>
      <c r="AM23" s="1042"/>
      <c r="AN23" s="1042"/>
      <c r="AO23" s="1042"/>
      <c r="AP23" s="1042"/>
      <c r="AQ23" s="1042"/>
      <c r="AR23" s="1042"/>
      <c r="AS23" s="1042"/>
      <c r="AT23" s="1042"/>
      <c r="AU23" s="1042"/>
      <c r="AV23" s="1042"/>
      <c r="AW23" s="1042"/>
      <c r="AX23" s="1042"/>
      <c r="AY23" s="1042"/>
      <c r="AZ23" s="1042"/>
      <c r="BA23" s="1042"/>
      <c r="BB23" s="1042"/>
      <c r="BC23" s="1042"/>
      <c r="BD23" s="1042"/>
      <c r="BE23" s="1042"/>
      <c r="BF23" s="1042"/>
      <c r="BG23" s="1042"/>
      <c r="BH23" s="1042"/>
      <c r="BI23" s="1042"/>
      <c r="BJ23" s="1042"/>
      <c r="BK23" s="1042"/>
      <c r="BL23" s="1042"/>
      <c r="BM23" s="1042"/>
      <c r="BN23" s="1042"/>
      <c r="BO23" s="1042"/>
      <c r="BP23" s="1042"/>
      <c r="BQ23" s="1042"/>
      <c r="BR23" s="1042"/>
      <c r="BS23" s="1042"/>
      <c r="BT23" s="1042"/>
      <c r="BU23" s="1042"/>
      <c r="BV23" s="1042"/>
      <c r="BW23" s="1042"/>
      <c r="BX23" s="1042"/>
      <c r="BY23" s="1042"/>
      <c r="BZ23" s="1042"/>
      <c r="CA23" s="1042"/>
      <c r="CB23" s="1042"/>
      <c r="CC23" s="1042"/>
      <c r="CD23" s="1042"/>
      <c r="CE23" s="1042"/>
      <c r="CF23" s="1042"/>
      <c r="CG23" s="1042"/>
      <c r="CH23" s="1042"/>
      <c r="CI23" s="1042"/>
      <c r="CJ23" s="1042"/>
      <c r="CK23" s="1042"/>
      <c r="CL23" s="1042"/>
      <c r="CM23" s="1042"/>
      <c r="CN23" s="1042"/>
      <c r="CO23" s="1042"/>
      <c r="CP23" s="1042"/>
      <c r="CQ23" s="1042"/>
      <c r="CR23" s="1042"/>
      <c r="CS23" s="1042"/>
      <c r="CT23" s="1042"/>
      <c r="CU23" s="1042"/>
      <c r="CV23" s="1042"/>
      <c r="CW23" s="1042"/>
      <c r="CX23" s="1042"/>
      <c r="CY23" s="1042"/>
      <c r="CZ23" s="1042"/>
      <c r="DA23" s="1042"/>
      <c r="DB23" s="1042"/>
      <c r="DC23" s="1042"/>
      <c r="DD23" s="1042"/>
      <c r="DE23" s="1042"/>
      <c r="DF23" s="1042"/>
      <c r="DG23" s="1042"/>
      <c r="DH23" s="1042"/>
      <c r="DI23" s="1042"/>
      <c r="DJ23" s="1042"/>
      <c r="DK23" s="1042"/>
      <c r="DL23" s="1042"/>
      <c r="DM23" s="1042"/>
      <c r="DN23" s="1042"/>
      <c r="DO23" s="1042"/>
      <c r="DP23" s="1042"/>
      <c r="DQ23" s="1042"/>
      <c r="DR23" s="1042"/>
      <c r="DS23" s="1042"/>
      <c r="DT23" s="1042"/>
      <c r="DU23" s="1042"/>
      <c r="DV23" s="1042"/>
      <c r="DW23" s="1042"/>
      <c r="DX23" s="1042"/>
      <c r="DY23" s="1042"/>
      <c r="DZ23" s="1042"/>
      <c r="EA23" s="1042"/>
      <c r="EB23" s="1042"/>
      <c r="EC23" s="1042"/>
      <c r="ED23" s="1042"/>
      <c r="EE23" s="1042"/>
      <c r="EF23" s="1042"/>
      <c r="EG23" s="1042"/>
      <c r="EH23" s="1042"/>
      <c r="EI23" s="1042"/>
      <c r="EJ23" s="1042"/>
      <c r="EK23" s="1042"/>
      <c r="EL23" s="1042"/>
      <c r="EM23" s="1042"/>
      <c r="EN23" s="1042"/>
      <c r="EO23" s="1042"/>
      <c r="EP23" s="1042"/>
      <c r="EQ23" s="1042"/>
      <c r="ER23" s="1042"/>
      <c r="ES23" s="1042"/>
      <c r="ET23" s="1042"/>
      <c r="EU23" s="1042"/>
      <c r="EV23" s="1042"/>
      <c r="EW23" s="1042"/>
      <c r="EX23" s="1042"/>
      <c r="EY23" s="1042"/>
      <c r="EZ23" s="1042"/>
      <c r="FA23" s="1042"/>
      <c r="FB23" s="1042"/>
      <c r="FC23" s="1042"/>
      <c r="FD23" s="1042"/>
      <c r="FE23" s="1042"/>
      <c r="FF23" s="1042"/>
      <c r="FG23" s="1042"/>
      <c r="FH23" s="1042"/>
      <c r="FI23" s="1042"/>
      <c r="FJ23" s="1042"/>
      <c r="FK23" s="1042"/>
      <c r="FL23" s="1042"/>
      <c r="FM23" s="1042"/>
      <c r="FN23" s="1042"/>
      <c r="FO23" s="1042"/>
      <c r="FP23" s="1042"/>
      <c r="FQ23" s="1042"/>
      <c r="FR23" s="1042"/>
      <c r="FS23" s="1042"/>
      <c r="FT23" s="1042"/>
      <c r="FU23" s="1042"/>
      <c r="FV23" s="1042"/>
      <c r="FW23" s="1042"/>
      <c r="FX23" s="1042"/>
      <c r="FY23" s="1042"/>
      <c r="FZ23" s="1042"/>
      <c r="GA23" s="1042"/>
      <c r="GB23" s="1042"/>
      <c r="GC23" s="1042"/>
      <c r="GD23" s="1042"/>
      <c r="GE23" s="1042"/>
      <c r="GF23" s="1042"/>
      <c r="GG23" s="1042"/>
      <c r="GH23" s="1042"/>
      <c r="GI23" s="1042"/>
      <c r="GJ23" s="1042"/>
      <c r="GK23" s="1042"/>
      <c r="GL23" s="1042"/>
      <c r="GM23" s="1042"/>
      <c r="GN23" s="1042"/>
      <c r="GO23" s="1042"/>
      <c r="GP23" s="1042"/>
      <c r="GQ23" s="1042"/>
      <c r="GR23" s="1042"/>
      <c r="GS23" s="1042"/>
      <c r="GT23" s="1042"/>
      <c r="GU23" s="1042"/>
      <c r="GV23" s="1042"/>
      <c r="GW23" s="1042"/>
      <c r="GX23" s="1042"/>
      <c r="GY23" s="1042"/>
      <c r="GZ23" s="1042"/>
      <c r="HA23" s="1042"/>
      <c r="HB23" s="1042"/>
      <c r="HC23" s="1042"/>
      <c r="HD23" s="1042"/>
      <c r="HE23" s="1042"/>
      <c r="HF23" s="1042"/>
      <c r="HG23" s="1042"/>
      <c r="HH23" s="1042"/>
      <c r="HI23" s="1042"/>
      <c r="HJ23" s="1042"/>
      <c r="HK23" s="1042"/>
      <c r="HL23" s="1042"/>
      <c r="HM23" s="1042"/>
      <c r="HN23" s="1042"/>
      <c r="HO23" s="1042"/>
      <c r="HP23" s="1042"/>
      <c r="HQ23" s="1042"/>
      <c r="HR23" s="1042"/>
      <c r="HS23" s="1042"/>
      <c r="HT23" s="1042"/>
      <c r="HU23" s="1042"/>
      <c r="HV23" s="1042"/>
      <c r="HW23" s="1042"/>
      <c r="HX23" s="1042"/>
      <c r="HY23" s="1042"/>
      <c r="HZ23" s="1042"/>
      <c r="IA23" s="1042"/>
      <c r="IB23" s="1042"/>
      <c r="IC23" s="1042"/>
      <c r="ID23" s="1042"/>
      <c r="IE23" s="1042"/>
      <c r="IF23" s="1042"/>
      <c r="IG23" s="1042"/>
      <c r="IH23" s="1042"/>
      <c r="II23" s="1042"/>
      <c r="IJ23" s="1042"/>
      <c r="IK23" s="1042"/>
      <c r="IL23" s="1042"/>
      <c r="IM23" s="1042"/>
      <c r="IN23" s="1042"/>
      <c r="IO23" s="1042"/>
      <c r="IP23" s="1042"/>
      <c r="IQ23" s="1042"/>
      <c r="IR23" s="1042"/>
      <c r="IS23" s="1042"/>
      <c r="IT23" s="1042"/>
      <c r="IU23" s="1042"/>
      <c r="IV23" s="1042"/>
    </row>
    <row r="24" spans="1:256" ht="24" customHeight="1">
      <c r="A24" s="1042" t="s">
        <v>963</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1042"/>
      <c r="AT24" s="1042"/>
      <c r="AU24" s="1042"/>
      <c r="AV24" s="1042"/>
      <c r="AW24" s="1042"/>
      <c r="AX24" s="1042"/>
      <c r="AY24" s="1042"/>
      <c r="AZ24" s="1042"/>
      <c r="BA24" s="1042"/>
      <c r="BB24" s="1042"/>
      <c r="BC24" s="1042"/>
      <c r="BD24" s="1042"/>
      <c r="BE24" s="1042"/>
      <c r="BF24" s="1042"/>
      <c r="BG24" s="1042"/>
      <c r="BH24" s="1042"/>
      <c r="BI24" s="1042"/>
      <c r="BJ24" s="1042"/>
      <c r="BK24" s="1042"/>
      <c r="BL24" s="1042"/>
      <c r="BM24" s="1042"/>
      <c r="BN24" s="1042"/>
      <c r="BO24" s="1042"/>
      <c r="BP24" s="1042"/>
      <c r="BQ24" s="1042"/>
      <c r="BR24" s="1042"/>
      <c r="BS24" s="1042"/>
      <c r="BT24" s="1042"/>
      <c r="BU24" s="1042"/>
      <c r="BV24" s="1042"/>
      <c r="BW24" s="1042"/>
      <c r="BX24" s="1042"/>
      <c r="BY24" s="1042"/>
      <c r="BZ24" s="1042"/>
      <c r="CA24" s="1042"/>
      <c r="CB24" s="1042"/>
      <c r="CC24" s="1042"/>
      <c r="CD24" s="1042"/>
      <c r="CE24" s="1042"/>
      <c r="CF24" s="1042"/>
      <c r="CG24" s="1042"/>
      <c r="CH24" s="1042"/>
      <c r="CI24" s="1042"/>
      <c r="CJ24" s="1042"/>
      <c r="CK24" s="1042"/>
      <c r="CL24" s="1042"/>
      <c r="CM24" s="1042"/>
      <c r="CN24" s="1042"/>
      <c r="CO24" s="1042"/>
      <c r="CP24" s="1042"/>
      <c r="CQ24" s="1042"/>
      <c r="CR24" s="1042"/>
      <c r="CS24" s="1042"/>
      <c r="CT24" s="1042"/>
      <c r="CU24" s="1042"/>
      <c r="CV24" s="1042"/>
      <c r="CW24" s="1042"/>
      <c r="CX24" s="1042"/>
      <c r="CY24" s="1042"/>
      <c r="CZ24" s="1042"/>
      <c r="DA24" s="1042"/>
      <c r="DB24" s="1042"/>
      <c r="DC24" s="1042"/>
      <c r="DD24" s="1042"/>
      <c r="DE24" s="1042"/>
      <c r="DF24" s="1042"/>
      <c r="DG24" s="1042"/>
      <c r="DH24" s="1042"/>
      <c r="DI24" s="1042"/>
      <c r="DJ24" s="1042"/>
      <c r="DK24" s="1042"/>
      <c r="DL24" s="1042"/>
      <c r="DM24" s="1042"/>
      <c r="DN24" s="1042"/>
      <c r="DO24" s="1042"/>
      <c r="DP24" s="1042"/>
      <c r="DQ24" s="1042"/>
      <c r="DR24" s="1042"/>
      <c r="DS24" s="1042"/>
      <c r="DT24" s="1042"/>
      <c r="DU24" s="1042"/>
      <c r="DV24" s="1042"/>
      <c r="DW24" s="1042"/>
      <c r="DX24" s="1042"/>
      <c r="DY24" s="1042"/>
      <c r="DZ24" s="1042"/>
      <c r="EA24" s="1042"/>
      <c r="EB24" s="1042"/>
      <c r="EC24" s="1042"/>
      <c r="ED24" s="1042"/>
      <c r="EE24" s="1042"/>
      <c r="EF24" s="1042"/>
      <c r="EG24" s="1042"/>
      <c r="EH24" s="1042"/>
      <c r="EI24" s="1042"/>
      <c r="EJ24" s="1042"/>
      <c r="EK24" s="1042"/>
      <c r="EL24" s="1042"/>
      <c r="EM24" s="1042"/>
      <c r="EN24" s="1042"/>
      <c r="EO24" s="1042"/>
      <c r="EP24" s="1042"/>
      <c r="EQ24" s="1042"/>
      <c r="ER24" s="1042"/>
      <c r="ES24" s="1042"/>
      <c r="ET24" s="1042"/>
      <c r="EU24" s="1042"/>
      <c r="EV24" s="1042"/>
      <c r="EW24" s="1042"/>
      <c r="EX24" s="1042"/>
      <c r="EY24" s="1042"/>
      <c r="EZ24" s="1042"/>
      <c r="FA24" s="1042"/>
      <c r="FB24" s="1042"/>
      <c r="FC24" s="1042"/>
      <c r="FD24" s="1042"/>
      <c r="FE24" s="1042"/>
      <c r="FF24" s="1042"/>
      <c r="FG24" s="1042"/>
      <c r="FH24" s="1042"/>
      <c r="FI24" s="1042"/>
      <c r="FJ24" s="1042"/>
      <c r="FK24" s="1042"/>
      <c r="FL24" s="1042"/>
      <c r="FM24" s="1042"/>
      <c r="FN24" s="1042"/>
      <c r="FO24" s="1042"/>
      <c r="FP24" s="1042"/>
      <c r="FQ24" s="1042"/>
      <c r="FR24" s="1042"/>
      <c r="FS24" s="1042"/>
      <c r="FT24" s="1042"/>
      <c r="FU24" s="1042"/>
      <c r="FV24" s="1042"/>
      <c r="FW24" s="1042"/>
      <c r="FX24" s="1042"/>
      <c r="FY24" s="1042"/>
      <c r="FZ24" s="1042"/>
      <c r="GA24" s="1042"/>
      <c r="GB24" s="1042"/>
      <c r="GC24" s="1042"/>
      <c r="GD24" s="1042"/>
      <c r="GE24" s="1042"/>
      <c r="GF24" s="1042"/>
      <c r="GG24" s="1042"/>
      <c r="GH24" s="1042"/>
      <c r="GI24" s="1042"/>
      <c r="GJ24" s="1042"/>
      <c r="GK24" s="1042"/>
      <c r="GL24" s="1042"/>
      <c r="GM24" s="1042"/>
      <c r="GN24" s="1042"/>
      <c r="GO24" s="1042"/>
      <c r="GP24" s="1042"/>
      <c r="GQ24" s="1042"/>
      <c r="GR24" s="1042"/>
      <c r="GS24" s="1042"/>
      <c r="GT24" s="1042"/>
      <c r="GU24" s="1042"/>
      <c r="GV24" s="1042"/>
      <c r="GW24" s="1042"/>
      <c r="GX24" s="1042"/>
      <c r="GY24" s="1042"/>
      <c r="GZ24" s="1042"/>
      <c r="HA24" s="1042"/>
      <c r="HB24" s="1042"/>
      <c r="HC24" s="1042"/>
      <c r="HD24" s="1042"/>
      <c r="HE24" s="1042"/>
      <c r="HF24" s="1042"/>
      <c r="HG24" s="1042"/>
      <c r="HH24" s="1042"/>
      <c r="HI24" s="1042"/>
      <c r="HJ24" s="1042"/>
      <c r="HK24" s="1042"/>
      <c r="HL24" s="1042"/>
      <c r="HM24" s="1042"/>
      <c r="HN24" s="1042"/>
      <c r="HO24" s="1042"/>
      <c r="HP24" s="1042"/>
      <c r="HQ24" s="1042"/>
      <c r="HR24" s="1042"/>
      <c r="HS24" s="1042"/>
      <c r="HT24" s="1042"/>
      <c r="HU24" s="1042"/>
      <c r="HV24" s="1042"/>
      <c r="HW24" s="1042"/>
      <c r="HX24" s="1042"/>
      <c r="HY24" s="1042"/>
      <c r="HZ24" s="1042"/>
      <c r="IA24" s="1042"/>
      <c r="IB24" s="1042"/>
      <c r="IC24" s="1042"/>
      <c r="ID24" s="1042"/>
      <c r="IE24" s="1042"/>
      <c r="IF24" s="1042"/>
      <c r="IG24" s="1042"/>
      <c r="IH24" s="1042"/>
      <c r="II24" s="1042"/>
      <c r="IJ24" s="1042"/>
      <c r="IK24" s="1042"/>
      <c r="IL24" s="1042"/>
      <c r="IM24" s="1042"/>
      <c r="IN24" s="1042"/>
      <c r="IO24" s="1042"/>
      <c r="IP24" s="1042"/>
      <c r="IQ24" s="1042"/>
      <c r="IR24" s="1042"/>
      <c r="IS24" s="1042"/>
      <c r="IT24" s="1042"/>
      <c r="IU24" s="1042"/>
      <c r="IV24" s="1042"/>
    </row>
    <row r="25" spans="1:12" ht="13.5" customHeight="1">
      <c r="A25" s="14" t="s">
        <v>978</v>
      </c>
      <c r="B25" s="747"/>
      <c r="C25" s="747"/>
      <c r="D25" s="747"/>
      <c r="E25" s="747"/>
      <c r="F25" s="747"/>
      <c r="G25" s="747"/>
      <c r="H25" s="747"/>
      <c r="I25" s="747"/>
      <c r="J25" s="747"/>
      <c r="K25" s="747"/>
      <c r="L25" s="747"/>
    </row>
    <row r="26" spans="1:12" ht="10.5" customHeight="1">
      <c r="A26" s="14"/>
      <c r="B26" s="747"/>
      <c r="C26" s="747"/>
      <c r="D26" s="747"/>
      <c r="E26" s="747"/>
      <c r="F26" s="747"/>
      <c r="G26" s="747"/>
      <c r="H26" s="747"/>
      <c r="I26" s="747"/>
      <c r="J26" s="747"/>
      <c r="K26" s="747"/>
      <c r="L26" s="747"/>
    </row>
    <row r="27" spans="1:12" ht="14.25" customHeight="1">
      <c r="A27" s="18" t="s">
        <v>979</v>
      </c>
      <c r="B27" s="742"/>
      <c r="C27" s="743"/>
      <c r="D27" s="744"/>
      <c r="E27" s="744"/>
      <c r="F27" s="3"/>
      <c r="G27" s="744"/>
      <c r="H27" s="744"/>
      <c r="I27" s="744"/>
      <c r="J27" s="744"/>
      <c r="K27" s="744"/>
      <c r="L27" s="3"/>
    </row>
    <row r="28" spans="1:12" ht="24" customHeight="1">
      <c r="A28" s="1042" t="s">
        <v>980</v>
      </c>
      <c r="B28" s="1042"/>
      <c r="C28" s="1042"/>
      <c r="D28" s="1042"/>
      <c r="E28" s="1042"/>
      <c r="F28" s="1042"/>
      <c r="G28" s="1042"/>
      <c r="H28" s="1042"/>
      <c r="I28" s="1042"/>
      <c r="J28" s="1042"/>
      <c r="K28" s="1042"/>
      <c r="L28" s="1042"/>
    </row>
    <row r="29" spans="1:12" ht="33.75" customHeight="1">
      <c r="A29" s="1042" t="s">
        <v>981</v>
      </c>
      <c r="B29" s="1042"/>
      <c r="C29" s="1042"/>
      <c r="D29" s="1042"/>
      <c r="E29" s="1042"/>
      <c r="F29" s="1042"/>
      <c r="G29" s="1042"/>
      <c r="H29" s="1042"/>
      <c r="I29" s="1042"/>
      <c r="J29" s="1042"/>
      <c r="K29" s="1042"/>
      <c r="L29" s="1042"/>
    </row>
    <row r="30" spans="1:12" ht="10.5" customHeight="1">
      <c r="A30" s="14"/>
      <c r="B30" s="742"/>
      <c r="C30" s="745"/>
      <c r="D30" s="745"/>
      <c r="E30" s="745"/>
      <c r="F30" s="745"/>
      <c r="G30" s="745"/>
      <c r="H30" s="745"/>
      <c r="I30" s="745"/>
      <c r="J30" s="745"/>
      <c r="K30" s="745"/>
      <c r="L30" s="745"/>
    </row>
    <row r="31" spans="1:12" ht="19.5" customHeight="1">
      <c r="A31" s="963" t="s">
        <v>982</v>
      </c>
      <c r="B31" s="964"/>
      <c r="C31" s="964"/>
      <c r="D31" s="964"/>
      <c r="E31" s="964"/>
      <c r="F31" s="964"/>
      <c r="G31" s="964"/>
      <c r="H31" s="964"/>
      <c r="I31" s="964"/>
      <c r="J31" s="964"/>
      <c r="K31" s="964"/>
      <c r="L31" s="964"/>
    </row>
    <row r="32" spans="1:12" ht="74.25" customHeight="1">
      <c r="A32" s="1045" t="s">
        <v>964</v>
      </c>
      <c r="B32" s="1045"/>
      <c r="C32" s="1045"/>
      <c r="D32" s="1045"/>
      <c r="E32" s="1045"/>
      <c r="F32" s="1045"/>
      <c r="G32" s="1045"/>
      <c r="H32" s="1045"/>
      <c r="I32" s="1045"/>
      <c r="J32" s="1045"/>
      <c r="K32" s="1045"/>
      <c r="L32" s="1045"/>
    </row>
    <row r="33" spans="1:12" ht="19.5" customHeight="1">
      <c r="A33" s="963" t="s">
        <v>333</v>
      </c>
      <c r="B33" s="964"/>
      <c r="C33" s="964"/>
      <c r="D33" s="964"/>
      <c r="E33" s="964"/>
      <c r="F33" s="964"/>
      <c r="G33" s="964"/>
      <c r="H33" s="964"/>
      <c r="I33" s="964"/>
      <c r="J33" s="964"/>
      <c r="K33" s="964"/>
      <c r="L33" s="964"/>
    </row>
    <row r="34" spans="1:12" ht="15" customHeight="1">
      <c r="A34" s="1041" t="s">
        <v>965</v>
      </c>
      <c r="B34" s="1041"/>
      <c r="C34" s="1041"/>
      <c r="D34" s="1041"/>
      <c r="E34" s="1041"/>
      <c r="F34" s="1041"/>
      <c r="G34" s="1041"/>
      <c r="H34" s="1041"/>
      <c r="I34" s="1041"/>
      <c r="J34" s="1041"/>
      <c r="K34" s="1041"/>
      <c r="L34" s="1041"/>
    </row>
    <row r="35" spans="1:12" ht="20.25" customHeight="1">
      <c r="A35" s="963" t="s">
        <v>896</v>
      </c>
      <c r="B35" s="964"/>
      <c r="C35" s="964"/>
      <c r="D35" s="964"/>
      <c r="E35" s="964"/>
      <c r="F35" s="964"/>
      <c r="G35" s="964"/>
      <c r="H35" s="964"/>
      <c r="I35" s="964"/>
      <c r="J35" s="964"/>
      <c r="K35" s="964"/>
      <c r="L35" s="964"/>
    </row>
    <row r="36" spans="1:12" ht="36" customHeight="1">
      <c r="A36" s="1040" t="s">
        <v>823</v>
      </c>
      <c r="B36" s="1040"/>
      <c r="C36" s="1040"/>
      <c r="D36" s="1040"/>
      <c r="E36" s="1040"/>
      <c r="F36" s="1040"/>
      <c r="G36" s="1040"/>
      <c r="H36" s="1040"/>
      <c r="I36" s="1040"/>
      <c r="J36" s="1040"/>
      <c r="K36" s="1040"/>
      <c r="L36" s="1040"/>
    </row>
    <row r="37" spans="1:12" ht="21" customHeight="1">
      <c r="A37" s="963" t="s">
        <v>824</v>
      </c>
      <c r="B37" s="964"/>
      <c r="C37" s="964"/>
      <c r="D37" s="964"/>
      <c r="E37" s="964"/>
      <c r="F37" s="964"/>
      <c r="G37" s="964"/>
      <c r="H37" s="964"/>
      <c r="I37" s="964"/>
      <c r="J37" s="964"/>
      <c r="K37" s="964"/>
      <c r="L37" s="964"/>
    </row>
    <row r="38" spans="1:12" ht="14.25" customHeight="1">
      <c r="A38" s="14" t="s">
        <v>1282</v>
      </c>
      <c r="B38" s="746"/>
      <c r="C38" s="746"/>
      <c r="D38" s="746"/>
      <c r="E38" s="746"/>
      <c r="F38" s="746"/>
      <c r="G38" s="746"/>
      <c r="H38" s="746"/>
      <c r="I38" s="746"/>
      <c r="J38" s="746"/>
      <c r="K38" s="746"/>
      <c r="L38" s="746"/>
    </row>
    <row r="39" spans="1:12" ht="12" customHeight="1">
      <c r="A39" s="750" t="s">
        <v>1283</v>
      </c>
      <c r="B39" s="745"/>
      <c r="C39" s="745"/>
      <c r="D39" s="745"/>
      <c r="E39" s="745"/>
      <c r="F39" s="745"/>
      <c r="G39" s="745"/>
      <c r="H39" s="745"/>
      <c r="I39" s="745"/>
      <c r="J39" s="745"/>
      <c r="K39" s="745"/>
      <c r="L39" s="745"/>
    </row>
    <row r="40" spans="1:12" s="949" customFormat="1" ht="33.75" customHeight="1">
      <c r="A40" s="1042" t="s">
        <v>966</v>
      </c>
      <c r="B40" s="1042"/>
      <c r="C40" s="1042"/>
      <c r="D40" s="1042"/>
      <c r="E40" s="1042"/>
      <c r="F40" s="1042"/>
      <c r="G40" s="1042"/>
      <c r="H40" s="1042"/>
      <c r="I40" s="1042"/>
      <c r="J40" s="1042"/>
      <c r="K40" s="1042"/>
      <c r="L40" s="1042"/>
    </row>
    <row r="41" ht="15" customHeight="1">
      <c r="A41" s="750" t="s">
        <v>1115</v>
      </c>
    </row>
    <row r="42" spans="1:12" ht="57" customHeight="1">
      <c r="A42" s="1042" t="s">
        <v>967</v>
      </c>
      <c r="B42" s="1042"/>
      <c r="C42" s="1042"/>
      <c r="D42" s="1042"/>
      <c r="E42" s="1042"/>
      <c r="F42" s="1042"/>
      <c r="G42" s="1042"/>
      <c r="H42" s="1042"/>
      <c r="I42" s="1042"/>
      <c r="J42" s="1042"/>
      <c r="K42" s="1042"/>
      <c r="L42" s="1042"/>
    </row>
    <row r="43" ht="14.25" customHeight="1">
      <c r="A43" s="750" t="s">
        <v>1116</v>
      </c>
    </row>
    <row r="44" spans="1:12" ht="25.5" customHeight="1">
      <c r="A44" s="1040" t="s">
        <v>1117</v>
      </c>
      <c r="B44" s="1040"/>
      <c r="C44" s="1040"/>
      <c r="D44" s="1040"/>
      <c r="E44" s="1040"/>
      <c r="F44" s="1040"/>
      <c r="G44" s="1040"/>
      <c r="H44" s="1040"/>
      <c r="I44" s="1040"/>
      <c r="J44" s="1040"/>
      <c r="K44" s="1040"/>
      <c r="L44" s="1040"/>
    </row>
    <row r="45" spans="1:12" ht="18" customHeight="1">
      <c r="A45" s="963" t="s">
        <v>1118</v>
      </c>
      <c r="B45" s="964"/>
      <c r="C45" s="964"/>
      <c r="D45" s="964"/>
      <c r="E45" s="964"/>
      <c r="F45" s="964"/>
      <c r="G45" s="964"/>
      <c r="H45" s="964"/>
      <c r="I45" s="964"/>
      <c r="J45" s="964"/>
      <c r="K45" s="964"/>
      <c r="L45" s="964"/>
    </row>
    <row r="46" spans="1:12" ht="15.75" customHeight="1">
      <c r="A46" s="962" t="s">
        <v>1119</v>
      </c>
      <c r="B46" s="950"/>
      <c r="C46" s="950"/>
      <c r="D46" s="950"/>
      <c r="E46" s="950"/>
      <c r="F46" s="950"/>
      <c r="G46" s="950"/>
      <c r="H46" s="950"/>
      <c r="I46" s="950"/>
      <c r="J46" s="950"/>
      <c r="K46" s="950"/>
      <c r="L46" s="950"/>
    </row>
    <row r="47" spans="1:12" ht="28.5" customHeight="1">
      <c r="A47" s="1057" t="str">
        <f>CONCATENATE("Indien vanaf 1 januari 2009 een capaciteitswijziging heeft plaatsgevonden (a.g.v. wijziging van de toelating), dan dient de waarde van deze capaciteitswijziging op regel ",Productie!A400," opgegeven te worden. De contracteerruimteberekening is dan exclusief capaciteitsmutatie 2009")</f>
        <v>Indien vanaf 1 januari 2009 een capaciteitswijziging heeft plaatsgevonden (a.g.v. wijziging van de toelating), dan dient de waarde van deze capaciteitswijziging op regel 1129 opgegeven te worden. De contracteerruimteberekening is dan exclusief capaciteitsmutatie 2009</v>
      </c>
      <c r="B47" s="1058"/>
      <c r="C47" s="1058"/>
      <c r="D47" s="1058"/>
      <c r="E47" s="1058"/>
      <c r="F47" s="1058"/>
      <c r="G47" s="1058"/>
      <c r="H47" s="1058"/>
      <c r="I47" s="1058"/>
      <c r="J47" s="1058"/>
      <c r="K47" s="1058"/>
      <c r="L47" s="1058"/>
    </row>
    <row r="48" spans="1:12" ht="28.5" customHeight="1">
      <c r="A48" s="1057" t="s">
        <v>502</v>
      </c>
      <c r="B48" s="1058"/>
      <c r="C48" s="1058"/>
      <c r="D48" s="1058"/>
      <c r="E48" s="1058"/>
      <c r="F48" s="1058"/>
      <c r="G48" s="1058"/>
      <c r="H48" s="1058"/>
      <c r="I48" s="1058"/>
      <c r="J48" s="1058"/>
      <c r="K48" s="1058"/>
      <c r="L48" s="1058"/>
    </row>
    <row r="49" spans="1:12" ht="19.5" customHeight="1">
      <c r="A49" s="963" t="s">
        <v>495</v>
      </c>
      <c r="B49" s="964"/>
      <c r="C49" s="964"/>
      <c r="D49" s="964"/>
      <c r="E49" s="964"/>
      <c r="F49" s="964"/>
      <c r="G49" s="964"/>
      <c r="H49" s="964"/>
      <c r="I49" s="964"/>
      <c r="J49" s="964"/>
      <c r="K49" s="964"/>
      <c r="L49" s="964"/>
    </row>
    <row r="50" spans="1:12" ht="13.5" customHeight="1">
      <c r="A50" s="1040" t="s">
        <v>494</v>
      </c>
      <c r="B50" s="1040"/>
      <c r="C50" s="1040"/>
      <c r="D50" s="1040"/>
      <c r="E50" s="1040"/>
      <c r="F50" s="1040"/>
      <c r="G50" s="1040"/>
      <c r="H50" s="1040"/>
      <c r="I50" s="1040"/>
      <c r="J50" s="1040"/>
      <c r="K50" s="1040"/>
      <c r="L50" s="1040"/>
    </row>
    <row r="51" s="1056" customFormat="1" ht="12.75" customHeight="1">
      <c r="A51" s="1055"/>
    </row>
    <row r="52" s="1056" customFormat="1" ht="12.75" customHeight="1">
      <c r="A52" s="1055"/>
    </row>
    <row r="53" s="1056" customFormat="1" ht="12.75" customHeight="1">
      <c r="A53" s="1055"/>
    </row>
    <row r="54" s="889" customFormat="1" ht="12.75" customHeight="1"/>
    <row r="55" s="889" customFormat="1" ht="12.75" customHeight="1"/>
    <row r="56" s="889" customFormat="1" ht="12.75" customHeight="1" hidden="1"/>
    <row r="57" ht="11.25" hidden="1">
      <c r="A57" s="106"/>
    </row>
    <row r="58" ht="11.25" hidden="1">
      <c r="A58" s="106"/>
    </row>
    <row r="59" ht="11.25" hidden="1"/>
    <row r="60" ht="11.25" hidden="1"/>
    <row r="61" ht="11.25" hidden="1"/>
    <row r="62" ht="11.25" hidden="1">
      <c r="A62" s="106"/>
    </row>
    <row r="63" ht="11.25" hidden="1">
      <c r="A63" s="106"/>
    </row>
    <row r="64" ht="11.25" hidden="1">
      <c r="A64" s="106"/>
    </row>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sheetData>
  <sheetProtection password="E296" sheet="1" objects="1" scenarios="1"/>
  <mergeCells count="93">
    <mergeCell ref="A42:L42"/>
    <mergeCell ref="A51:IV51"/>
    <mergeCell ref="A52:IV52"/>
    <mergeCell ref="A53:IV53"/>
    <mergeCell ref="A50:L50"/>
    <mergeCell ref="A47:L47"/>
    <mergeCell ref="A48:L48"/>
    <mergeCell ref="IS24:IV24"/>
    <mergeCell ref="A28:L28"/>
    <mergeCell ref="A29:L29"/>
    <mergeCell ref="A44:L44"/>
    <mergeCell ref="GW24:HH24"/>
    <mergeCell ref="HI24:HT24"/>
    <mergeCell ref="HU24:IF24"/>
    <mergeCell ref="IG24:IR24"/>
    <mergeCell ref="FA24:FL24"/>
    <mergeCell ref="FM24:FX24"/>
    <mergeCell ref="CG24:CR24"/>
    <mergeCell ref="CS24:DD24"/>
    <mergeCell ref="FY24:GJ24"/>
    <mergeCell ref="GK24:GV24"/>
    <mergeCell ref="DE24:DP24"/>
    <mergeCell ref="DQ24:EB24"/>
    <mergeCell ref="EC24:EN24"/>
    <mergeCell ref="EO24:EZ24"/>
    <mergeCell ref="HU23:IF23"/>
    <mergeCell ref="IG23:IR23"/>
    <mergeCell ref="IS23:IV23"/>
    <mergeCell ref="A24:L24"/>
    <mergeCell ref="M24:X24"/>
    <mergeCell ref="Y24:AJ24"/>
    <mergeCell ref="AK24:AV24"/>
    <mergeCell ref="AW24:BH24"/>
    <mergeCell ref="BI24:BT24"/>
    <mergeCell ref="BU24:CF24"/>
    <mergeCell ref="FY23:GJ23"/>
    <mergeCell ref="GK23:GV23"/>
    <mergeCell ref="GW23:HH23"/>
    <mergeCell ref="HI23:HT23"/>
    <mergeCell ref="EC23:EN23"/>
    <mergeCell ref="EO23:EZ23"/>
    <mergeCell ref="FA23:FL23"/>
    <mergeCell ref="FM23:FX23"/>
    <mergeCell ref="CG23:CR23"/>
    <mergeCell ref="CS23:DD23"/>
    <mergeCell ref="DE23:DP23"/>
    <mergeCell ref="DQ23:EB23"/>
    <mergeCell ref="HU22:IF22"/>
    <mergeCell ref="IG22:IR22"/>
    <mergeCell ref="IS22:IV22"/>
    <mergeCell ref="A23:L23"/>
    <mergeCell ref="M23:X23"/>
    <mergeCell ref="Y23:AJ23"/>
    <mergeCell ref="AK23:AV23"/>
    <mergeCell ref="AW23:BH23"/>
    <mergeCell ref="BI23:BT23"/>
    <mergeCell ref="BU23:CF23"/>
    <mergeCell ref="HI22:HT22"/>
    <mergeCell ref="DE22:DP22"/>
    <mergeCell ref="DQ22:EB22"/>
    <mergeCell ref="EC22:EN22"/>
    <mergeCell ref="EO22:EZ22"/>
    <mergeCell ref="FA22:FL22"/>
    <mergeCell ref="FM22:FX22"/>
    <mergeCell ref="FY22:GJ22"/>
    <mergeCell ref="GK22:GV22"/>
    <mergeCell ref="M22:X22"/>
    <mergeCell ref="Y22:AJ22"/>
    <mergeCell ref="AK22:AV22"/>
    <mergeCell ref="GW22:HH22"/>
    <mergeCell ref="CS22:DD22"/>
    <mergeCell ref="AW22:BH22"/>
    <mergeCell ref="BI22:BT22"/>
    <mergeCell ref="BU22:CF22"/>
    <mergeCell ref="CG22:CR22"/>
    <mergeCell ref="A9:L9"/>
    <mergeCell ref="A10:L10"/>
    <mergeCell ref="A6:L6"/>
    <mergeCell ref="A4:L4"/>
    <mergeCell ref="A7:L7"/>
    <mergeCell ref="A5:L5"/>
    <mergeCell ref="I13:J13"/>
    <mergeCell ref="K13:L13"/>
    <mergeCell ref="I14:J14"/>
    <mergeCell ref="K14:L14"/>
    <mergeCell ref="A36:L36"/>
    <mergeCell ref="A34:L34"/>
    <mergeCell ref="A40:L40"/>
    <mergeCell ref="I15:J15"/>
    <mergeCell ref="K15:L15"/>
    <mergeCell ref="A17:L17"/>
    <mergeCell ref="A32:L32"/>
    <mergeCell ref="A22:L22"/>
  </mergeCells>
  <hyperlinks>
    <hyperlink ref="A6" r:id="rId1" display="mailto:care@nza.nl"/>
    <hyperlink ref="A10" r:id="rId2" display="inbox@nza.nl"/>
  </hyperlinks>
  <printOptions horizontalCentered="1"/>
  <pageMargins left="0.3937007874015748" right="0.3937007874015748" top="0.3937007874015748" bottom="0.3937007874015748" header="0.11811023622047245" footer="0.11811023622047245"/>
  <pageSetup firstPageNumber="3" useFirstPageNumber="1" horizontalDpi="600" verticalDpi="600" orientation="landscape" paperSize="9" scale="95" r:id="rId5"/>
  <headerFooter alignWithMargins="0">
    <oddHeader>&amp;R&amp;G</oddHeader>
  </headerFooter>
  <rowBreaks count="1" manualBreakCount="1">
    <brk id="30" max="11" man="1"/>
  </rowBreaks>
  <drawing r:id="rId3"/>
  <legacyDrawingHF r:id="rId4"/>
</worksheet>
</file>

<file path=xl/worksheets/sheet4.xml><?xml version="1.0" encoding="utf-8"?>
<worksheet xmlns="http://schemas.openxmlformats.org/spreadsheetml/2006/main" xmlns:r="http://schemas.openxmlformats.org/officeDocument/2006/relationships">
  <sheetPr codeName="Blad3">
    <tabColor indexed="42"/>
  </sheetPr>
  <dimension ref="A1:IV442"/>
  <sheetViews>
    <sheetView showGridLines="0" showZeros="0" zoomScaleSheetLayoutView="100" workbookViewId="0" topLeftCell="A4">
      <pane ySplit="1" topLeftCell="BM5" activePane="bottomLeft" state="frozen"/>
      <selection pane="topLeft" activeCell="A4" sqref="A4"/>
      <selection pane="bottomLeft" activeCell="E26" sqref="E26"/>
    </sheetView>
  </sheetViews>
  <sheetFormatPr defaultColWidth="9.140625" defaultRowHeight="12.75" zeroHeight="1"/>
  <cols>
    <col min="1" max="1" width="7.28125" style="61" customWidth="1"/>
    <col min="2" max="2" width="43.00390625" style="61" customWidth="1"/>
    <col min="3" max="3" width="6.8515625" style="61" customWidth="1"/>
    <col min="4" max="4" width="6.28125" style="61" customWidth="1"/>
    <col min="5" max="8" width="16.421875" style="61" customWidth="1"/>
    <col min="9" max="9" width="16.57421875" style="61" customWidth="1"/>
    <col min="10" max="10" width="0.42578125" style="90" customWidth="1"/>
    <col min="11" max="12" width="9.00390625" style="61" hidden="1" customWidth="1"/>
    <col min="13" max="13" width="18.57421875" style="414" hidden="1" customWidth="1"/>
    <col min="14" max="14" width="10.7109375" style="61" hidden="1" customWidth="1"/>
    <col min="15" max="15" width="16.140625" style="61" hidden="1" customWidth="1"/>
    <col min="16" max="16384" width="10.7109375" style="61" hidden="1" customWidth="1"/>
  </cols>
  <sheetData>
    <row r="1" spans="1:238" ht="12.75" customHeight="1">
      <c r="A1" s="62" t="str">
        <f>A4</f>
        <v>Budget 2009 120-0</v>
      </c>
      <c r="B1" s="16"/>
      <c r="C1" s="12"/>
      <c r="D1" s="16"/>
      <c r="E1" s="16"/>
      <c r="F1" s="561"/>
      <c r="G1" s="16"/>
      <c r="H1" s="12"/>
      <c r="J1" s="12"/>
      <c r="K1" s="562"/>
      <c r="L1" s="563"/>
      <c r="M1" s="564"/>
      <c r="N1" s="565"/>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row>
    <row r="2" spans="1:238" ht="12.75" customHeight="1">
      <c r="A2" s="62"/>
      <c r="B2" s="16"/>
      <c r="C2" s="12"/>
      <c r="D2" s="32"/>
      <c r="E2" s="16"/>
      <c r="F2" s="561"/>
      <c r="G2" s="16"/>
      <c r="H2" s="12"/>
      <c r="K2" s="562"/>
      <c r="L2" s="563"/>
      <c r="M2" s="564"/>
      <c r="N2" s="565"/>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row>
    <row r="3" spans="1:238" ht="12.75" customHeight="1">
      <c r="A3" s="896">
        <f>Voorblad!H15</f>
        <v>0</v>
      </c>
      <c r="B3" s="16"/>
      <c r="C3" s="566"/>
      <c r="D3" s="567"/>
      <c r="E3" s="566"/>
      <c r="F3" s="568"/>
      <c r="G3" s="32"/>
      <c r="H3" s="566"/>
      <c r="K3" s="569"/>
      <c r="L3" s="570"/>
      <c r="M3" s="564"/>
      <c r="N3" s="565"/>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row>
    <row r="4" spans="1:238" ht="12.75" customHeight="1">
      <c r="A4" s="1062" t="str">
        <f>IF(ISERROR(VLOOKUP($A$3,NAW!$B$2:$E$278,4,FALSE)=TRUE),CONCATENATE("Budget 2009 ","120-",$A$3),CONCATENATE("Budget 2009 "," - ",VLOOKUP($A$3,NAW!$B$2:$E$278,4,FALSE)," (120-",$A$3,")"))</f>
        <v>Budget 2009 120-0</v>
      </c>
      <c r="B4" s="1063"/>
      <c r="C4" s="1063"/>
      <c r="D4" s="1063"/>
      <c r="E4" s="1063"/>
      <c r="F4" s="1063"/>
      <c r="G4" s="32"/>
      <c r="H4" s="203"/>
      <c r="J4" s="203"/>
      <c r="K4" s="562"/>
      <c r="L4" s="562"/>
      <c r="M4" s="564"/>
      <c r="N4" s="565"/>
      <c r="O4" s="32" t="s">
        <v>891</v>
      </c>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row>
    <row r="5" spans="1:238" ht="12.75" customHeight="1">
      <c r="A5" s="571"/>
      <c r="B5" s="15"/>
      <c r="C5" s="15"/>
      <c r="E5" s="15"/>
      <c r="F5" s="15"/>
      <c r="G5" s="16"/>
      <c r="H5" s="203"/>
      <c r="I5" s="59" t="s">
        <v>1427</v>
      </c>
      <c r="J5" s="203"/>
      <c r="K5" s="562"/>
      <c r="L5" s="562"/>
      <c r="M5" s="564"/>
      <c r="N5" s="565"/>
      <c r="O5" s="32" t="s">
        <v>569</v>
      </c>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row>
    <row r="6" spans="1:238" ht="12.75" customHeight="1">
      <c r="A6" s="421"/>
      <c r="B6" s="31" t="s">
        <v>1020</v>
      </c>
      <c r="C6" s="15"/>
      <c r="D6" s="15"/>
      <c r="E6" s="15"/>
      <c r="F6" s="15"/>
      <c r="G6" s="16"/>
      <c r="H6" s="203"/>
      <c r="I6" s="59" t="str">
        <f>"120 / "&amp;Voorblad!$H$15&amp;""</f>
        <v>120 / </v>
      </c>
      <c r="J6" s="203"/>
      <c r="K6" s="562"/>
      <c r="L6" s="562"/>
      <c r="M6" s="564"/>
      <c r="N6" s="565"/>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row>
    <row r="7" spans="1:238" ht="12.75" customHeight="1">
      <c r="A7" s="469"/>
      <c r="B7" s="572"/>
      <c r="C7" s="566"/>
      <c r="D7" s="573"/>
      <c r="E7" s="574"/>
      <c r="F7" s="575"/>
      <c r="G7" s="574"/>
      <c r="H7" s="566"/>
      <c r="I7" s="566"/>
      <c r="J7" s="566"/>
      <c r="K7" s="562"/>
      <c r="L7" s="562"/>
      <c r="M7" s="564"/>
      <c r="N7" s="565"/>
      <c r="O7" s="32"/>
      <c r="P7" s="16"/>
      <c r="Q7" s="32"/>
      <c r="R7" s="32"/>
      <c r="S7" s="32"/>
      <c r="T7" s="32"/>
      <c r="U7" s="32"/>
      <c r="V7" s="32"/>
      <c r="W7" s="32"/>
      <c r="X7" s="32"/>
      <c r="Y7" s="32"/>
      <c r="Z7" s="32"/>
      <c r="AA7" s="32"/>
      <c r="AB7" s="32"/>
      <c r="AC7" s="32"/>
      <c r="AD7" s="32"/>
      <c r="AE7" s="32"/>
      <c r="AF7" s="32"/>
      <c r="AG7" s="32"/>
      <c r="AH7" s="32"/>
      <c r="AI7" s="32"/>
      <c r="AJ7" s="32"/>
      <c r="AK7" s="32"/>
      <c r="AL7" s="32"/>
      <c r="AM7" s="12"/>
      <c r="AN7" s="1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row>
    <row r="8" spans="1:34" ht="12.75" customHeight="1">
      <c r="A8" s="72" t="s">
        <v>1078</v>
      </c>
      <c r="B8" s="73" t="s">
        <v>505</v>
      </c>
      <c r="C8" s="37"/>
      <c r="D8" s="37"/>
      <c r="E8" s="37"/>
      <c r="F8" s="37"/>
      <c r="G8" s="37"/>
      <c r="H8" s="1066">
        <f>H401</f>
        <v>0</v>
      </c>
      <c r="I8" s="1067"/>
      <c r="J8" s="576"/>
      <c r="K8" s="562" t="s">
        <v>474</v>
      </c>
      <c r="L8" s="562"/>
      <c r="AA8" s="74"/>
      <c r="AE8" s="75"/>
      <c r="AF8" s="76"/>
      <c r="AH8" s="77"/>
    </row>
    <row r="9" spans="1:34" ht="12.75" customHeight="1">
      <c r="A9" s="78"/>
      <c r="B9" s="78"/>
      <c r="C9" s="36"/>
      <c r="D9" s="36"/>
      <c r="E9" s="36"/>
      <c r="F9" s="36"/>
      <c r="G9" s="36"/>
      <c r="H9" s="87"/>
      <c r="I9" s="87"/>
      <c r="J9" s="525"/>
      <c r="K9" s="562"/>
      <c r="L9" s="562"/>
      <c r="AA9" s="74"/>
      <c r="AE9" s="75"/>
      <c r="AF9" s="75"/>
      <c r="AH9" s="77"/>
    </row>
    <row r="10" spans="1:34" ht="12.75" customHeight="1">
      <c r="A10" s="72" t="s">
        <v>695</v>
      </c>
      <c r="B10" s="79" t="s">
        <v>356</v>
      </c>
      <c r="C10" s="37"/>
      <c r="D10" s="37"/>
      <c r="E10" s="37"/>
      <c r="F10" s="37"/>
      <c r="G10" s="37"/>
      <c r="H10" s="1064" t="s">
        <v>1397</v>
      </c>
      <c r="I10" s="1065"/>
      <c r="J10" s="576"/>
      <c r="K10" s="562"/>
      <c r="L10" s="562"/>
      <c r="AA10" s="74"/>
      <c r="AE10" s="75"/>
      <c r="AF10" s="75"/>
      <c r="AH10" s="77"/>
    </row>
    <row r="11" spans="1:34" ht="12.75" customHeight="1">
      <c r="A11" s="78"/>
      <c r="B11" s="78"/>
      <c r="C11" s="36"/>
      <c r="D11" s="36"/>
      <c r="E11" s="36"/>
      <c r="F11" s="36"/>
      <c r="G11" s="36"/>
      <c r="H11" s="87"/>
      <c r="I11" s="87"/>
      <c r="J11" s="525"/>
      <c r="K11" s="562"/>
      <c r="L11" s="562"/>
      <c r="AA11" s="74"/>
      <c r="AE11" s="75"/>
      <c r="AF11" s="75"/>
      <c r="AH11" s="77"/>
    </row>
    <row r="12" spans="1:37" ht="12.75" customHeight="1">
      <c r="A12" s="72" t="s">
        <v>814</v>
      </c>
      <c r="B12" s="79" t="s">
        <v>1114</v>
      </c>
      <c r="C12" s="37"/>
      <c r="D12" s="37"/>
      <c r="E12" s="37"/>
      <c r="F12" s="37"/>
      <c r="G12" s="37"/>
      <c r="H12" s="1064" t="s">
        <v>1397</v>
      </c>
      <c r="I12" s="1065"/>
      <c r="J12" s="576"/>
      <c r="K12" s="562"/>
      <c r="L12" s="562"/>
      <c r="M12" s="577" t="s">
        <v>1090</v>
      </c>
      <c r="AA12" s="74"/>
      <c r="AE12" s="75"/>
      <c r="AF12" s="75"/>
      <c r="AG12" s="101"/>
      <c r="AH12" s="102"/>
      <c r="AI12" s="101"/>
      <c r="AJ12" s="101"/>
      <c r="AK12" s="101"/>
    </row>
    <row r="13" spans="1:37" ht="12.75" customHeight="1">
      <c r="A13" s="78"/>
      <c r="B13" s="78"/>
      <c r="C13" s="36"/>
      <c r="D13" s="36"/>
      <c r="E13" s="36"/>
      <c r="F13" s="36"/>
      <c r="G13" s="36"/>
      <c r="H13" s="437"/>
      <c r="I13" s="437"/>
      <c r="J13" s="578"/>
      <c r="K13" s="562"/>
      <c r="L13" s="562"/>
      <c r="AA13" s="74"/>
      <c r="AE13" s="75"/>
      <c r="AF13" s="75"/>
      <c r="AG13" s="101"/>
      <c r="AH13" s="102"/>
      <c r="AI13" s="102"/>
      <c r="AJ13" s="102"/>
      <c r="AK13" s="102"/>
    </row>
    <row r="14" spans="1:37" ht="12.75" customHeight="1">
      <c r="A14" s="72" t="s">
        <v>1498</v>
      </c>
      <c r="B14" s="79" t="s">
        <v>354</v>
      </c>
      <c r="C14" s="37"/>
      <c r="D14" s="37"/>
      <c r="E14" s="37"/>
      <c r="F14" s="37"/>
      <c r="G14" s="37"/>
      <c r="H14" s="1068"/>
      <c r="I14" s="1065"/>
      <c r="J14" s="576"/>
      <c r="K14" s="562" t="s">
        <v>457</v>
      </c>
      <c r="L14" s="562"/>
      <c r="M14" s="564">
        <f>H14</f>
        <v>0</v>
      </c>
      <c r="R14" s="512" t="s">
        <v>1167</v>
      </c>
      <c r="S14" s="512" t="s">
        <v>1168</v>
      </c>
      <c r="AA14" s="74"/>
      <c r="AE14" s="75"/>
      <c r="AF14" s="75"/>
      <c r="AG14" s="101"/>
      <c r="AH14" s="102"/>
      <c r="AI14" s="102"/>
      <c r="AJ14" s="102"/>
      <c r="AK14" s="102"/>
    </row>
    <row r="15" spans="1:37" ht="12.75" customHeight="1">
      <c r="A15" s="80"/>
      <c r="B15" s="32"/>
      <c r="C15" s="32"/>
      <c r="D15" s="32"/>
      <c r="E15" s="32"/>
      <c r="F15" s="32"/>
      <c r="G15" s="32"/>
      <c r="H15" s="438"/>
      <c r="I15" s="439"/>
      <c r="J15" s="578"/>
      <c r="K15" s="562"/>
      <c r="L15" s="562"/>
      <c r="O15" s="512"/>
      <c r="P15" s="513" t="s">
        <v>1169</v>
      </c>
      <c r="Q15" s="514">
        <f>Voorblad!H15</f>
        <v>0</v>
      </c>
      <c r="R15" s="515" t="str">
        <f>IF(ISERROR(VLOOKUP(Q15,Q17:Q31,1,FALSE)=TRUE),"nee","ja")</f>
        <v>nee</v>
      </c>
      <c r="S15" s="864">
        <f>IF(R15="ja",VLOOKUP(Q15,Q17:R31,2,FALSE),0)</f>
        <v>0</v>
      </c>
      <c r="AA15" s="74"/>
      <c r="AE15" s="75"/>
      <c r="AF15" s="75"/>
      <c r="AG15" s="101"/>
      <c r="AH15" s="102"/>
      <c r="AI15" s="102"/>
      <c r="AJ15" s="102"/>
      <c r="AK15" s="102"/>
    </row>
    <row r="16" spans="1:37" ht="12.75" customHeight="1">
      <c r="A16" s="72" t="s">
        <v>288</v>
      </c>
      <c r="B16" s="79" t="s">
        <v>355</v>
      </c>
      <c r="C16" s="37"/>
      <c r="D16" s="37"/>
      <c r="E16" s="37"/>
      <c r="F16" s="37"/>
      <c r="G16" s="37"/>
      <c r="H16" s="1066">
        <f>H8+H14</f>
        <v>0</v>
      </c>
      <c r="I16" s="1067"/>
      <c r="J16" s="576"/>
      <c r="K16" s="562"/>
      <c r="L16" s="562"/>
      <c r="O16" s="861" t="s">
        <v>1170</v>
      </c>
      <c r="P16" s="862"/>
      <c r="Q16" s="862"/>
      <c r="R16" s="863"/>
      <c r="AA16" s="74"/>
      <c r="AE16" s="75"/>
      <c r="AF16" s="75"/>
      <c r="AG16" s="101"/>
      <c r="AH16" s="102"/>
      <c r="AI16" s="102"/>
      <c r="AJ16" s="102"/>
      <c r="AK16" s="102"/>
    </row>
    <row r="17" spans="1:37" s="90" customFormat="1" ht="12.75" customHeight="1">
      <c r="A17" s="202"/>
      <c r="B17" s="58"/>
      <c r="C17" s="203"/>
      <c r="D17" s="203"/>
      <c r="E17" s="203"/>
      <c r="F17" s="203"/>
      <c r="G17" s="203"/>
      <c r="H17" s="204"/>
      <c r="I17" s="579"/>
      <c r="J17" s="578"/>
      <c r="K17" s="562"/>
      <c r="L17" s="562"/>
      <c r="M17" s="415"/>
      <c r="O17" s="61"/>
      <c r="P17" s="61"/>
      <c r="Q17" s="516">
        <v>1101</v>
      </c>
      <c r="R17" s="859">
        <v>500000</v>
      </c>
      <c r="S17" s="61"/>
      <c r="AA17" s="193"/>
      <c r="AE17" s="75"/>
      <c r="AF17" s="75"/>
      <c r="AG17" s="194"/>
      <c r="AH17" s="195"/>
      <c r="AI17" s="195"/>
      <c r="AJ17" s="195"/>
      <c r="AK17" s="195"/>
    </row>
    <row r="18" spans="1:37" ht="12.75" customHeight="1">
      <c r="A18" s="202"/>
      <c r="B18" s="34"/>
      <c r="C18" s="35"/>
      <c r="D18" s="35"/>
      <c r="E18" s="35"/>
      <c r="F18" s="35"/>
      <c r="G18" s="35"/>
      <c r="H18" s="220"/>
      <c r="I18" s="580"/>
      <c r="J18" s="578"/>
      <c r="K18" s="562"/>
      <c r="L18" s="562"/>
      <c r="Q18" s="516">
        <v>1909</v>
      </c>
      <c r="R18" s="859">
        <v>1000000</v>
      </c>
      <c r="AA18" s="74"/>
      <c r="AE18" s="75"/>
      <c r="AF18" s="75"/>
      <c r="AG18" s="101"/>
      <c r="AH18" s="102"/>
      <c r="AI18" s="102"/>
      <c r="AJ18" s="102"/>
      <c r="AK18" s="102"/>
    </row>
    <row r="19" spans="1:248" s="90" customFormat="1" ht="12.75" customHeight="1">
      <c r="A19" s="44" t="s">
        <v>725</v>
      </c>
      <c r="B19" s="61"/>
      <c r="C19" s="61"/>
      <c r="D19" s="61"/>
      <c r="E19" s="61"/>
      <c r="F19" s="61"/>
      <c r="G19" s="61"/>
      <c r="H19" s="61"/>
      <c r="K19" s="562"/>
      <c r="L19" s="562"/>
      <c r="M19" s="415"/>
      <c r="N19" s="192"/>
      <c r="O19" s="61"/>
      <c r="P19" s="61"/>
      <c r="Q19" s="516">
        <v>2004</v>
      </c>
      <c r="R19" s="859">
        <v>697812</v>
      </c>
      <c r="S19" s="61"/>
      <c r="AB19" s="193"/>
      <c r="AF19" s="75"/>
      <c r="AG19" s="75"/>
      <c r="AH19" s="194"/>
      <c r="AI19" s="195"/>
      <c r="AJ19" s="195"/>
      <c r="AK19" s="195"/>
      <c r="AL19" s="195"/>
      <c r="IG19" s="75"/>
      <c r="IH19" s="75"/>
      <c r="II19" s="75"/>
      <c r="IJ19" s="75"/>
      <c r="IK19" s="75"/>
      <c r="IL19" s="75"/>
      <c r="IM19" s="75"/>
      <c r="IN19" s="75"/>
    </row>
    <row r="20" spans="1:248" s="90" customFormat="1" ht="12.75" customHeight="1">
      <c r="A20" s="44"/>
      <c r="B20" s="61"/>
      <c r="C20" s="61"/>
      <c r="D20" s="61"/>
      <c r="E20" s="61"/>
      <c r="F20" s="61"/>
      <c r="G20" s="61"/>
      <c r="H20" s="61"/>
      <c r="K20" s="562"/>
      <c r="L20" s="562"/>
      <c r="M20" s="415"/>
      <c r="N20" s="192"/>
      <c r="O20" s="61"/>
      <c r="P20" s="61"/>
      <c r="Q20" s="516">
        <v>2304</v>
      </c>
      <c r="R20" s="860">
        <f>140627+600000</f>
        <v>740627</v>
      </c>
      <c r="S20" s="61"/>
      <c r="AB20" s="193"/>
      <c r="AF20" s="75"/>
      <c r="AG20" s="75"/>
      <c r="AH20" s="194"/>
      <c r="AI20" s="195"/>
      <c r="AJ20" s="195"/>
      <c r="AK20" s="195"/>
      <c r="AL20" s="195"/>
      <c r="IG20" s="75"/>
      <c r="IH20" s="75"/>
      <c r="II20" s="75"/>
      <c r="IJ20" s="75"/>
      <c r="IK20" s="75"/>
      <c r="IL20" s="75"/>
      <c r="IM20" s="75"/>
      <c r="IN20" s="75"/>
    </row>
    <row r="21" spans="1:248" s="90" customFormat="1" ht="12.75" customHeight="1">
      <c r="A21" s="196" t="s">
        <v>528</v>
      </c>
      <c r="B21" s="61"/>
      <c r="C21" s="61"/>
      <c r="D21" s="61"/>
      <c r="E21" s="61"/>
      <c r="F21" s="61"/>
      <c r="G21" s="61"/>
      <c r="H21" s="61"/>
      <c r="K21" s="562"/>
      <c r="L21" s="562"/>
      <c r="M21" s="415"/>
      <c r="N21" s="192"/>
      <c r="O21" s="61"/>
      <c r="P21" s="61"/>
      <c r="Q21" s="516"/>
      <c r="R21" s="517"/>
      <c r="S21" s="61"/>
      <c r="AB21" s="193"/>
      <c r="AF21" s="75"/>
      <c r="AG21" s="75"/>
      <c r="AH21" s="194"/>
      <c r="AI21" s="195"/>
      <c r="AJ21" s="195"/>
      <c r="AK21" s="195"/>
      <c r="AL21" s="195"/>
      <c r="IG21" s="75"/>
      <c r="IH21" s="75"/>
      <c r="II21" s="75"/>
      <c r="IJ21" s="75"/>
      <c r="IK21" s="75"/>
      <c r="IL21" s="75"/>
      <c r="IM21" s="75"/>
      <c r="IN21" s="75"/>
    </row>
    <row r="22" spans="1:248" s="90" customFormat="1" ht="12.75" customHeight="1">
      <c r="A22" s="196" t="s">
        <v>287</v>
      </c>
      <c r="B22" s="61"/>
      <c r="C22" s="61"/>
      <c r="D22" s="61"/>
      <c r="E22" s="61"/>
      <c r="F22" s="61"/>
      <c r="G22" s="61"/>
      <c r="H22" s="61"/>
      <c r="K22" s="562"/>
      <c r="L22" s="562"/>
      <c r="M22" s="415"/>
      <c r="N22" s="192"/>
      <c r="O22" s="61"/>
      <c r="P22" s="61"/>
      <c r="Q22" s="518"/>
      <c r="R22" s="517"/>
      <c r="S22" s="61"/>
      <c r="AB22" s="193"/>
      <c r="AF22" s="75"/>
      <c r="AG22" s="75"/>
      <c r="AH22" s="194"/>
      <c r="AI22" s="195"/>
      <c r="AJ22" s="195"/>
      <c r="AK22" s="195"/>
      <c r="AL22" s="195"/>
      <c r="IG22" s="75"/>
      <c r="IH22" s="75"/>
      <c r="II22" s="75"/>
      <c r="IJ22" s="75"/>
      <c r="IK22" s="75"/>
      <c r="IL22" s="75"/>
      <c r="IM22" s="75"/>
      <c r="IN22" s="75"/>
    </row>
    <row r="23" spans="1:248" s="90" customFormat="1" ht="12.75" customHeight="1">
      <c r="A23" s="196" t="s">
        <v>555</v>
      </c>
      <c r="B23" s="61"/>
      <c r="C23" s="61"/>
      <c r="D23" s="61"/>
      <c r="E23" s="61"/>
      <c r="F23" s="61"/>
      <c r="G23" s="61"/>
      <c r="H23" s="61"/>
      <c r="K23" s="562"/>
      <c r="L23" s="562"/>
      <c r="M23" s="415"/>
      <c r="N23" s="192"/>
      <c r="O23" s="61"/>
      <c r="P23" s="61"/>
      <c r="Q23" s="518"/>
      <c r="R23" s="519"/>
      <c r="S23" s="61"/>
      <c r="AB23" s="193"/>
      <c r="AF23" s="75"/>
      <c r="AG23" s="75"/>
      <c r="AH23" s="194"/>
      <c r="AI23" s="195"/>
      <c r="AJ23" s="195"/>
      <c r="AK23" s="195"/>
      <c r="AL23" s="195"/>
      <c r="IG23" s="75"/>
      <c r="IH23" s="75"/>
      <c r="II23" s="75"/>
      <c r="IJ23" s="75"/>
      <c r="IK23" s="75"/>
      <c r="IL23" s="75"/>
      <c r="IM23" s="75"/>
      <c r="IN23" s="75"/>
    </row>
    <row r="24" spans="1:248" s="90" customFormat="1" ht="12.75" customHeight="1">
      <c r="A24" s="44"/>
      <c r="B24" s="61"/>
      <c r="C24" s="61"/>
      <c r="D24" s="61"/>
      <c r="E24" s="61"/>
      <c r="F24" s="61"/>
      <c r="G24" s="61"/>
      <c r="H24" s="61"/>
      <c r="K24" s="562"/>
      <c r="L24" s="562"/>
      <c r="M24" s="415"/>
      <c r="N24" s="192"/>
      <c r="O24" s="61"/>
      <c r="P24" s="61"/>
      <c r="Q24" s="518"/>
      <c r="R24" s="517"/>
      <c r="S24" s="61"/>
      <c r="AB24" s="193"/>
      <c r="AF24" s="75"/>
      <c r="AG24" s="75"/>
      <c r="AH24" s="194"/>
      <c r="AI24" s="195"/>
      <c r="AJ24" s="195"/>
      <c r="AK24" s="195"/>
      <c r="AL24" s="195"/>
      <c r="IG24" s="75"/>
      <c r="IH24" s="75"/>
      <c r="II24" s="75"/>
      <c r="IJ24" s="75"/>
      <c r="IK24" s="75"/>
      <c r="IL24" s="75"/>
      <c r="IM24" s="75"/>
      <c r="IN24" s="75"/>
    </row>
    <row r="25" spans="1:248" s="90" customFormat="1" ht="12.75" customHeight="1">
      <c r="A25" s="60" t="s">
        <v>556</v>
      </c>
      <c r="B25" s="197" t="s">
        <v>558</v>
      </c>
      <c r="C25" s="198"/>
      <c r="D25" s="60" t="s">
        <v>557</v>
      </c>
      <c r="E25" s="60" t="s">
        <v>559</v>
      </c>
      <c r="K25" s="562"/>
      <c r="L25" s="562"/>
      <c r="M25" s="415"/>
      <c r="N25" s="192"/>
      <c r="O25" s="61"/>
      <c r="P25" s="61"/>
      <c r="Q25" s="518"/>
      <c r="R25" s="517"/>
      <c r="S25" s="61"/>
      <c r="AB25" s="193"/>
      <c r="AF25" s="75"/>
      <c r="AG25" s="75"/>
      <c r="AH25" s="194"/>
      <c r="AI25" s="195"/>
      <c r="AJ25" s="195"/>
      <c r="AK25" s="195"/>
      <c r="AL25" s="195"/>
      <c r="IG25" s="75"/>
      <c r="IH25" s="75"/>
      <c r="II25" s="75"/>
      <c r="IJ25" s="75"/>
      <c r="IK25" s="75"/>
      <c r="IL25" s="75"/>
      <c r="IM25" s="75"/>
      <c r="IN25" s="75"/>
    </row>
    <row r="26" spans="1:248" s="90" customFormat="1" ht="12.75" customHeight="1">
      <c r="A26" s="199">
        <f>101</f>
        <v>101</v>
      </c>
      <c r="B26" s="57" t="s">
        <v>892</v>
      </c>
      <c r="C26" s="200"/>
      <c r="D26" s="56">
        <v>4</v>
      </c>
      <c r="E26" s="201" t="s">
        <v>569</v>
      </c>
      <c r="K26" s="562"/>
      <c r="L26" s="562"/>
      <c r="M26" s="415"/>
      <c r="N26" s="192"/>
      <c r="O26" s="61"/>
      <c r="P26" s="61"/>
      <c r="Q26" s="518"/>
      <c r="R26" s="517"/>
      <c r="S26" s="61"/>
      <c r="AB26" s="193"/>
      <c r="AF26" s="75"/>
      <c r="AG26" s="75"/>
      <c r="AH26" s="194"/>
      <c r="AI26" s="195"/>
      <c r="AJ26" s="195"/>
      <c r="AK26" s="195"/>
      <c r="AL26" s="195"/>
      <c r="IG26" s="75"/>
      <c r="IH26" s="75"/>
      <c r="II26" s="75"/>
      <c r="IJ26" s="75"/>
      <c r="IK26" s="75"/>
      <c r="IL26" s="75"/>
      <c r="IM26" s="75"/>
      <c r="IN26" s="75"/>
    </row>
    <row r="27" spans="1:248" s="90" customFormat="1" ht="12.75" customHeight="1">
      <c r="A27" s="199">
        <f aca="true" t="shared" si="0" ref="A27:A32">1+A26</f>
        <v>102</v>
      </c>
      <c r="B27" s="57" t="s">
        <v>893</v>
      </c>
      <c r="C27" s="200"/>
      <c r="D27" s="56">
        <v>5</v>
      </c>
      <c r="E27" s="201" t="s">
        <v>569</v>
      </c>
      <c r="K27" s="562"/>
      <c r="L27" s="562"/>
      <c r="M27" s="415"/>
      <c r="N27" s="192"/>
      <c r="O27" s="61"/>
      <c r="P27" s="61"/>
      <c r="Q27" s="518"/>
      <c r="R27" s="517"/>
      <c r="S27" s="61"/>
      <c r="AB27" s="193"/>
      <c r="AF27" s="75"/>
      <c r="AG27" s="75"/>
      <c r="AH27" s="194"/>
      <c r="AI27" s="195"/>
      <c r="AJ27" s="195"/>
      <c r="AK27" s="195"/>
      <c r="AL27" s="195"/>
      <c r="IG27" s="75"/>
      <c r="IH27" s="75"/>
      <c r="II27" s="75"/>
      <c r="IJ27" s="75"/>
      <c r="IK27" s="75"/>
      <c r="IL27" s="75"/>
      <c r="IM27" s="75"/>
      <c r="IN27" s="75"/>
    </row>
    <row r="28" spans="1:248" s="90" customFormat="1" ht="12.75" customHeight="1">
      <c r="A28" s="199">
        <f t="shared" si="0"/>
        <v>103</v>
      </c>
      <c r="B28" s="57" t="s">
        <v>1266</v>
      </c>
      <c r="C28" s="200"/>
      <c r="D28" s="56">
        <v>6</v>
      </c>
      <c r="E28" s="201" t="s">
        <v>569</v>
      </c>
      <c r="K28" s="562"/>
      <c r="L28" s="562"/>
      <c r="M28" s="415"/>
      <c r="N28" s="192"/>
      <c r="O28" s="61"/>
      <c r="P28" s="61"/>
      <c r="Q28" s="518"/>
      <c r="R28" s="517"/>
      <c r="S28" s="61"/>
      <c r="AB28" s="193"/>
      <c r="AF28" s="75"/>
      <c r="AG28" s="75"/>
      <c r="AH28" s="194"/>
      <c r="AI28" s="195"/>
      <c r="AJ28" s="195"/>
      <c r="AK28" s="195"/>
      <c r="AL28" s="195"/>
      <c r="IG28" s="75"/>
      <c r="IH28" s="75"/>
      <c r="II28" s="75"/>
      <c r="IJ28" s="75"/>
      <c r="IK28" s="75"/>
      <c r="IL28" s="75"/>
      <c r="IM28" s="75"/>
      <c r="IN28" s="75"/>
    </row>
    <row r="29" spans="1:248" s="90" customFormat="1" ht="12.75" customHeight="1">
      <c r="A29" s="199">
        <f t="shared" si="0"/>
        <v>104</v>
      </c>
      <c r="B29" s="57" t="s">
        <v>561</v>
      </c>
      <c r="C29" s="200"/>
      <c r="D29" s="56">
        <v>7</v>
      </c>
      <c r="E29" s="201" t="s">
        <v>569</v>
      </c>
      <c r="K29" s="562"/>
      <c r="L29" s="562"/>
      <c r="M29" s="415"/>
      <c r="N29" s="192"/>
      <c r="O29" s="61"/>
      <c r="P29" s="61"/>
      <c r="Q29" s="518"/>
      <c r="R29" s="517"/>
      <c r="S29" s="61"/>
      <c r="AB29" s="193"/>
      <c r="AF29" s="75"/>
      <c r="AG29" s="75"/>
      <c r="AH29" s="194"/>
      <c r="AI29" s="195"/>
      <c r="AJ29" s="195"/>
      <c r="AK29" s="195"/>
      <c r="AL29" s="195"/>
      <c r="IG29" s="75"/>
      <c r="IH29" s="75"/>
      <c r="II29" s="75"/>
      <c r="IJ29" s="75"/>
      <c r="IK29" s="75"/>
      <c r="IL29" s="75"/>
      <c r="IM29" s="75"/>
      <c r="IN29" s="75"/>
    </row>
    <row r="30" spans="1:248" s="90" customFormat="1" ht="12.75" customHeight="1">
      <c r="A30" s="199">
        <f t="shared" si="0"/>
        <v>105</v>
      </c>
      <c r="B30" s="57" t="s">
        <v>562</v>
      </c>
      <c r="C30" s="200"/>
      <c r="D30" s="56">
        <v>8</v>
      </c>
      <c r="E30" s="201" t="s">
        <v>569</v>
      </c>
      <c r="K30" s="562"/>
      <c r="L30" s="562"/>
      <c r="M30" s="415"/>
      <c r="N30" s="192"/>
      <c r="O30" s="61"/>
      <c r="P30" s="61"/>
      <c r="Q30" s="518"/>
      <c r="R30" s="519"/>
      <c r="S30" s="61"/>
      <c r="AB30" s="193"/>
      <c r="AF30" s="75"/>
      <c r="AG30" s="75"/>
      <c r="AH30" s="194"/>
      <c r="AI30" s="195"/>
      <c r="AJ30" s="195"/>
      <c r="AK30" s="195"/>
      <c r="AL30" s="195"/>
      <c r="IG30" s="75"/>
      <c r="IH30" s="75"/>
      <c r="II30" s="75"/>
      <c r="IJ30" s="75"/>
      <c r="IK30" s="75"/>
      <c r="IL30" s="75"/>
      <c r="IM30" s="75"/>
      <c r="IN30" s="75"/>
    </row>
    <row r="31" spans="1:248" s="90" customFormat="1" ht="12.75" customHeight="1">
      <c r="A31" s="199">
        <f t="shared" si="0"/>
        <v>106</v>
      </c>
      <c r="B31" s="57" t="s">
        <v>563</v>
      </c>
      <c r="C31" s="200"/>
      <c r="D31" s="56">
        <v>9</v>
      </c>
      <c r="E31" s="201" t="s">
        <v>569</v>
      </c>
      <c r="K31" s="562"/>
      <c r="L31" s="562"/>
      <c r="M31" s="415"/>
      <c r="N31" s="192"/>
      <c r="O31" s="61"/>
      <c r="P31" s="61"/>
      <c r="Q31" s="520"/>
      <c r="R31" s="521"/>
      <c r="S31" s="61"/>
      <c r="AB31" s="193"/>
      <c r="AF31" s="75"/>
      <c r="AG31" s="75"/>
      <c r="AH31" s="194"/>
      <c r="AI31" s="195"/>
      <c r="AJ31" s="195"/>
      <c r="AK31" s="195"/>
      <c r="AL31" s="195"/>
      <c r="IG31" s="75"/>
      <c r="IH31" s="75"/>
      <c r="II31" s="75"/>
      <c r="IJ31" s="75"/>
      <c r="IK31" s="75"/>
      <c r="IL31" s="75"/>
      <c r="IM31" s="75"/>
      <c r="IN31" s="75"/>
    </row>
    <row r="32" spans="1:248" s="90" customFormat="1" ht="12.75" customHeight="1">
      <c r="A32" s="199">
        <f t="shared" si="0"/>
        <v>107</v>
      </c>
      <c r="B32" s="57" t="s">
        <v>564</v>
      </c>
      <c r="C32" s="200"/>
      <c r="D32" s="56">
        <v>11</v>
      </c>
      <c r="E32" s="201" t="s">
        <v>569</v>
      </c>
      <c r="K32" s="562"/>
      <c r="L32" s="562"/>
      <c r="M32" s="415"/>
      <c r="N32" s="192"/>
      <c r="AB32" s="193"/>
      <c r="AF32" s="75"/>
      <c r="AG32" s="75"/>
      <c r="AH32" s="194"/>
      <c r="AI32" s="195"/>
      <c r="AJ32" s="195"/>
      <c r="AK32" s="195"/>
      <c r="AL32" s="195"/>
      <c r="IG32" s="75"/>
      <c r="IH32" s="75"/>
      <c r="II32" s="75"/>
      <c r="IJ32" s="75"/>
      <c r="IK32" s="75"/>
      <c r="IL32" s="75"/>
      <c r="IM32" s="75"/>
      <c r="IN32" s="75"/>
    </row>
    <row r="33" spans="1:248" s="90" customFormat="1" ht="12.75" customHeight="1">
      <c r="A33" s="202"/>
      <c r="B33" s="58"/>
      <c r="C33" s="203"/>
      <c r="D33" s="203"/>
      <c r="E33" s="203"/>
      <c r="F33" s="203"/>
      <c r="G33" s="203"/>
      <c r="H33" s="204"/>
      <c r="I33" s="579"/>
      <c r="J33" s="578"/>
      <c r="K33" s="562"/>
      <c r="L33" s="562"/>
      <c r="M33" s="415"/>
      <c r="N33" s="192"/>
      <c r="AB33" s="193"/>
      <c r="AF33" s="75"/>
      <c r="AG33" s="75"/>
      <c r="AH33" s="194"/>
      <c r="AI33" s="195"/>
      <c r="AJ33" s="195"/>
      <c r="AK33" s="195"/>
      <c r="AL33" s="195"/>
      <c r="IG33" s="75"/>
      <c r="IH33" s="75"/>
      <c r="II33" s="75"/>
      <c r="IJ33" s="75"/>
      <c r="IK33" s="75"/>
      <c r="IL33" s="75"/>
      <c r="IM33" s="75"/>
      <c r="IN33" s="75"/>
    </row>
    <row r="34" spans="1:248" s="90" customFormat="1" ht="12.75" customHeight="1">
      <c r="A34" s="202"/>
      <c r="B34" s="58"/>
      <c r="C34" s="203"/>
      <c r="D34" s="203"/>
      <c r="E34" s="203"/>
      <c r="F34" s="203"/>
      <c r="G34" s="203"/>
      <c r="H34" s="204"/>
      <c r="I34" s="579"/>
      <c r="J34" s="578"/>
      <c r="K34" s="562"/>
      <c r="L34" s="562"/>
      <c r="M34" s="415"/>
      <c r="N34" s="192"/>
      <c r="AB34" s="193"/>
      <c r="AF34" s="75"/>
      <c r="AG34" s="75"/>
      <c r="AH34" s="194"/>
      <c r="AI34" s="195"/>
      <c r="AJ34" s="195"/>
      <c r="AK34" s="195"/>
      <c r="AL34" s="195"/>
      <c r="IG34" s="75"/>
      <c r="IH34" s="75"/>
      <c r="II34" s="75"/>
      <c r="IJ34" s="75"/>
      <c r="IK34" s="75"/>
      <c r="IL34" s="75"/>
      <c r="IM34" s="75"/>
      <c r="IN34" s="75"/>
    </row>
    <row r="35" spans="1:248" s="90" customFormat="1" ht="12.75" customHeight="1">
      <c r="A35" s="202"/>
      <c r="B35" s="58"/>
      <c r="C35" s="203"/>
      <c r="D35" s="203"/>
      <c r="E35" s="203"/>
      <c r="F35" s="203"/>
      <c r="G35" s="203"/>
      <c r="H35" s="204"/>
      <c r="I35" s="59" t="s">
        <v>1428</v>
      </c>
      <c r="J35" s="578"/>
      <c r="K35" s="562"/>
      <c r="L35" s="562"/>
      <c r="M35" s="415"/>
      <c r="N35" s="192"/>
      <c r="AB35" s="193"/>
      <c r="AF35" s="75"/>
      <c r="AG35" s="75"/>
      <c r="AH35" s="194"/>
      <c r="AI35" s="195"/>
      <c r="AJ35" s="195"/>
      <c r="AK35" s="195"/>
      <c r="AL35" s="195"/>
      <c r="IG35" s="75"/>
      <c r="IH35" s="75"/>
      <c r="II35" s="75"/>
      <c r="IJ35" s="75"/>
      <c r="IK35" s="75"/>
      <c r="IL35" s="75"/>
      <c r="IM35" s="75"/>
      <c r="IN35" s="75"/>
    </row>
    <row r="36" spans="1:248" s="90" customFormat="1" ht="12.75" customHeight="1">
      <c r="A36" s="442" t="s">
        <v>1071</v>
      </c>
      <c r="B36" s="31" t="s">
        <v>855</v>
      </c>
      <c r="C36" s="205" t="s">
        <v>566</v>
      </c>
      <c r="D36" s="200"/>
      <c r="E36" s="350"/>
      <c r="F36" s="56" t="str">
        <f>IF(AND(E30="JA",E31="JA"),"ja","nee")</f>
        <v>nee</v>
      </c>
      <c r="H36" s="32"/>
      <c r="I36" s="59" t="str">
        <f>$I$6</f>
        <v>120 / </v>
      </c>
      <c r="K36" s="562"/>
      <c r="L36" s="562"/>
      <c r="M36" s="415"/>
      <c r="N36" s="192"/>
      <c r="AB36" s="193"/>
      <c r="AF36" s="75"/>
      <c r="AG36" s="75"/>
      <c r="AH36" s="194"/>
      <c r="AI36" s="195"/>
      <c r="AJ36" s="195"/>
      <c r="AK36" s="195"/>
      <c r="AL36" s="195"/>
      <c r="IG36" s="75"/>
      <c r="IH36" s="75"/>
      <c r="II36" s="75"/>
      <c r="IJ36" s="75"/>
      <c r="IK36" s="75"/>
      <c r="IL36" s="75"/>
      <c r="IM36" s="75"/>
      <c r="IN36" s="75"/>
    </row>
    <row r="37" spans="1:248" s="90" customFormat="1" ht="12.75" customHeight="1">
      <c r="A37" s="196"/>
      <c r="B37" s="32"/>
      <c r="C37" s="32"/>
      <c r="D37" s="32"/>
      <c r="E37" s="32"/>
      <c r="F37" s="61"/>
      <c r="K37" s="562"/>
      <c r="L37" s="562"/>
      <c r="M37" s="415"/>
      <c r="N37" s="192"/>
      <c r="AB37" s="193"/>
      <c r="AF37" s="75"/>
      <c r="AG37" s="75"/>
      <c r="AH37" s="194"/>
      <c r="AI37" s="195"/>
      <c r="AJ37" s="195"/>
      <c r="AK37" s="195"/>
      <c r="AL37" s="195"/>
      <c r="IG37" s="75"/>
      <c r="IH37" s="75"/>
      <c r="II37" s="75"/>
      <c r="IJ37" s="75"/>
      <c r="IK37" s="75"/>
      <c r="IL37" s="75"/>
      <c r="IM37" s="75"/>
      <c r="IN37" s="75"/>
    </row>
    <row r="38" spans="5:248" s="90" customFormat="1" ht="12.75" customHeight="1">
      <c r="E38" s="32"/>
      <c r="F38" s="61"/>
      <c r="K38" s="562"/>
      <c r="L38" s="562"/>
      <c r="M38" s="415"/>
      <c r="N38" s="192"/>
      <c r="AB38" s="193"/>
      <c r="AF38" s="75"/>
      <c r="AG38" s="75"/>
      <c r="AH38" s="194"/>
      <c r="AI38" s="195"/>
      <c r="AJ38" s="195"/>
      <c r="AK38" s="195"/>
      <c r="AL38" s="195"/>
      <c r="IG38" s="75"/>
      <c r="IH38" s="75"/>
      <c r="II38" s="75"/>
      <c r="IJ38" s="75"/>
      <c r="IK38" s="75"/>
      <c r="IL38" s="75"/>
      <c r="IM38" s="75"/>
      <c r="IN38" s="75"/>
    </row>
    <row r="39" spans="2:248" s="90" customFormat="1" ht="12.75" customHeight="1">
      <c r="B39" s="417"/>
      <c r="C39" s="46"/>
      <c r="D39" s="46"/>
      <c r="E39" s="32"/>
      <c r="F39" s="61"/>
      <c r="I39" s="374"/>
      <c r="K39" s="562"/>
      <c r="L39" s="562"/>
      <c r="M39" s="415"/>
      <c r="N39" s="192"/>
      <c r="AB39" s="193"/>
      <c r="AF39" s="75"/>
      <c r="AG39" s="75"/>
      <c r="AH39" s="194"/>
      <c r="AI39" s="195"/>
      <c r="AJ39" s="195"/>
      <c r="AK39" s="195"/>
      <c r="AL39" s="195"/>
      <c r="IG39" s="75"/>
      <c r="IH39" s="75"/>
      <c r="II39" s="75"/>
      <c r="IJ39" s="75"/>
      <c r="IK39" s="75"/>
      <c r="IL39" s="75"/>
      <c r="IM39" s="75"/>
      <c r="IN39" s="75"/>
    </row>
    <row r="40" spans="1:248" s="90" customFormat="1" ht="12.75" customHeight="1">
      <c r="A40" s="202" t="s">
        <v>1443</v>
      </c>
      <c r="B40" s="31" t="s">
        <v>1444</v>
      </c>
      <c r="C40" s="203"/>
      <c r="D40" s="203"/>
      <c r="E40" s="203"/>
      <c r="F40" s="203"/>
      <c r="G40" s="423" t="s">
        <v>565</v>
      </c>
      <c r="J40" s="578"/>
      <c r="K40" s="562"/>
      <c r="L40" s="562"/>
      <c r="M40" s="415"/>
      <c r="N40" s="192"/>
      <c r="AB40" s="193"/>
      <c r="AF40" s="75"/>
      <c r="AG40" s="75"/>
      <c r="AH40" s="194"/>
      <c r="AI40" s="195"/>
      <c r="AJ40" s="195"/>
      <c r="AK40" s="195"/>
      <c r="AL40" s="195"/>
      <c r="IG40" s="75"/>
      <c r="IH40" s="75"/>
      <c r="II40" s="75"/>
      <c r="IJ40" s="75"/>
      <c r="IK40" s="75"/>
      <c r="IL40" s="75"/>
      <c r="IM40" s="75"/>
      <c r="IN40" s="75"/>
    </row>
    <row r="41" spans="1:248" s="90" customFormat="1" ht="12.75" customHeight="1">
      <c r="A41" s="202"/>
      <c r="B41" s="7"/>
      <c r="C41" s="203"/>
      <c r="D41" s="203"/>
      <c r="E41" s="203"/>
      <c r="F41" s="203"/>
      <c r="G41" s="424" t="s">
        <v>716</v>
      </c>
      <c r="J41" s="578"/>
      <c r="K41" s="562"/>
      <c r="L41" s="562"/>
      <c r="M41" s="415"/>
      <c r="N41" s="192"/>
      <c r="AB41" s="193"/>
      <c r="AF41" s="75"/>
      <c r="AG41" s="75"/>
      <c r="AH41" s="194"/>
      <c r="AI41" s="195"/>
      <c r="AJ41" s="195"/>
      <c r="AK41" s="195"/>
      <c r="AL41" s="195"/>
      <c r="IG41" s="75"/>
      <c r="IH41" s="75"/>
      <c r="II41" s="75"/>
      <c r="IJ41" s="75"/>
      <c r="IK41" s="75"/>
      <c r="IL41" s="75"/>
      <c r="IM41" s="75"/>
      <c r="IN41" s="75"/>
    </row>
    <row r="42" spans="1:248" s="90" customFormat="1" ht="12.75" customHeight="1">
      <c r="A42" s="202" t="s">
        <v>1441</v>
      </c>
      <c r="B42" s="7" t="s">
        <v>570</v>
      </c>
      <c r="C42" s="203"/>
      <c r="D42" s="203"/>
      <c r="E42" s="203"/>
      <c r="F42" s="203"/>
      <c r="G42" s="425">
        <v>2009</v>
      </c>
      <c r="J42" s="578"/>
      <c r="K42" s="562"/>
      <c r="L42" s="562"/>
      <c r="M42" s="415"/>
      <c r="N42" s="192"/>
      <c r="AB42" s="193"/>
      <c r="AF42" s="75"/>
      <c r="AG42" s="75"/>
      <c r="AH42" s="194"/>
      <c r="AI42" s="195"/>
      <c r="AJ42" s="195"/>
      <c r="AK42" s="195"/>
      <c r="AL42" s="195"/>
      <c r="IG42" s="75"/>
      <c r="IH42" s="75"/>
      <c r="II42" s="75"/>
      <c r="IJ42" s="75"/>
      <c r="IK42" s="75"/>
      <c r="IL42" s="75"/>
      <c r="IM42" s="75"/>
      <c r="IN42" s="75"/>
    </row>
    <row r="43" spans="1:248" s="90" customFormat="1" ht="12.75" customHeight="1">
      <c r="A43" s="199">
        <f>201</f>
        <v>201</v>
      </c>
      <c r="B43" s="223" t="s">
        <v>336</v>
      </c>
      <c r="C43" s="200"/>
      <c r="D43" s="200"/>
      <c r="E43" s="200"/>
      <c r="F43" s="206"/>
      <c r="G43" s="965"/>
      <c r="K43" s="562"/>
      <c r="L43" s="562"/>
      <c r="M43" s="582">
        <f>G45*A43</f>
        <v>0</v>
      </c>
      <c r="N43" s="192"/>
      <c r="AB43" s="193"/>
      <c r="AF43" s="75"/>
      <c r="AG43" s="75"/>
      <c r="AH43" s="194"/>
      <c r="AI43" s="195"/>
      <c r="AJ43" s="195"/>
      <c r="AK43" s="195"/>
      <c r="AL43" s="195"/>
      <c r="IG43" s="75"/>
      <c r="IH43" s="75"/>
      <c r="II43" s="75"/>
      <c r="IJ43" s="75"/>
      <c r="IK43" s="75"/>
      <c r="IL43" s="75"/>
      <c r="IM43" s="75"/>
      <c r="IN43" s="75"/>
    </row>
    <row r="44" spans="1:248" s="90" customFormat="1" ht="12.75" customHeight="1">
      <c r="A44" s="199">
        <f>A43+1</f>
        <v>202</v>
      </c>
      <c r="B44" s="223" t="s">
        <v>337</v>
      </c>
      <c r="C44" s="33"/>
      <c r="D44" s="33"/>
      <c r="E44" s="33"/>
      <c r="F44" s="870"/>
      <c r="G44" s="965"/>
      <c r="K44" s="562"/>
      <c r="L44" s="562"/>
      <c r="M44" s="594"/>
      <c r="N44" s="192"/>
      <c r="AB44" s="193"/>
      <c r="AF44" s="75"/>
      <c r="AG44" s="75"/>
      <c r="AH44" s="194"/>
      <c r="AI44" s="195"/>
      <c r="AJ44" s="195"/>
      <c r="AK44" s="195"/>
      <c r="AL44" s="195"/>
      <c r="IG44" s="75"/>
      <c r="IH44" s="75"/>
      <c r="II44" s="75"/>
      <c r="IJ44" s="75"/>
      <c r="IK44" s="75"/>
      <c r="IL44" s="75"/>
      <c r="IM44" s="75"/>
      <c r="IN44" s="75"/>
    </row>
    <row r="45" spans="1:248" s="90" customFormat="1" ht="12.75" customHeight="1">
      <c r="A45" s="199">
        <f>A44+1</f>
        <v>203</v>
      </c>
      <c r="B45" s="645" t="s">
        <v>947</v>
      </c>
      <c r="C45" s="611"/>
      <c r="D45" s="611"/>
      <c r="E45" s="17"/>
      <c r="F45" s="646"/>
      <c r="G45" s="4">
        <f>SUM(G43:G44)</f>
        <v>0</v>
      </c>
      <c r="K45" s="562"/>
      <c r="L45" s="562"/>
      <c r="M45" s="594"/>
      <c r="N45" s="192"/>
      <c r="AB45" s="193"/>
      <c r="AF45" s="75"/>
      <c r="AG45" s="75"/>
      <c r="AH45" s="194"/>
      <c r="AI45" s="195"/>
      <c r="AJ45" s="195"/>
      <c r="AK45" s="195"/>
      <c r="AL45" s="195"/>
      <c r="IG45" s="75"/>
      <c r="IH45" s="75"/>
      <c r="II45" s="75"/>
      <c r="IJ45" s="75"/>
      <c r="IK45" s="75"/>
      <c r="IL45" s="75"/>
      <c r="IM45" s="75"/>
      <c r="IN45" s="75"/>
    </row>
    <row r="46" spans="1:248" s="90" customFormat="1" ht="12.75" customHeight="1">
      <c r="A46" s="202"/>
      <c r="B46" s="58"/>
      <c r="C46" s="203"/>
      <c r="D46" s="203"/>
      <c r="E46" s="203"/>
      <c r="F46" s="203"/>
      <c r="G46" s="203"/>
      <c r="H46" s="204"/>
      <c r="I46" s="579"/>
      <c r="J46" s="578"/>
      <c r="K46" s="562"/>
      <c r="L46" s="562"/>
      <c r="M46" s="415"/>
      <c r="N46" s="192"/>
      <c r="AB46" s="193"/>
      <c r="AF46" s="75"/>
      <c r="AG46" s="75"/>
      <c r="AH46" s="194"/>
      <c r="AI46" s="195"/>
      <c r="AJ46" s="195"/>
      <c r="AK46" s="195"/>
      <c r="AL46" s="195"/>
      <c r="IG46" s="75"/>
      <c r="IH46" s="75"/>
      <c r="II46" s="75"/>
      <c r="IJ46" s="75"/>
      <c r="IK46" s="75"/>
      <c r="IL46" s="75"/>
      <c r="IM46" s="75"/>
      <c r="IN46" s="75"/>
    </row>
    <row r="47" spans="1:248" s="90" customFormat="1" ht="12.75" customHeight="1">
      <c r="A47" s="202"/>
      <c r="C47" s="203"/>
      <c r="D47" s="203"/>
      <c r="E47" s="583" t="s">
        <v>567</v>
      </c>
      <c r="F47" s="583" t="s">
        <v>469</v>
      </c>
      <c r="G47" s="584" t="s">
        <v>470</v>
      </c>
      <c r="I47" s="585" t="s">
        <v>671</v>
      </c>
      <c r="K47" s="562"/>
      <c r="L47" s="562"/>
      <c r="M47" s="415"/>
      <c r="N47" s="192"/>
      <c r="AB47" s="193"/>
      <c r="AF47" s="75"/>
      <c r="AG47" s="75"/>
      <c r="AH47" s="194"/>
      <c r="AI47" s="195"/>
      <c r="AJ47" s="195"/>
      <c r="AK47" s="195"/>
      <c r="AL47" s="195"/>
      <c r="IG47" s="75"/>
      <c r="IH47" s="75"/>
      <c r="II47" s="75"/>
      <c r="IJ47" s="75"/>
      <c r="IK47" s="75"/>
      <c r="IL47" s="75"/>
      <c r="IM47" s="75"/>
      <c r="IN47" s="75"/>
    </row>
    <row r="48" spans="1:248" ht="12.75" customHeight="1">
      <c r="A48" s="202" t="s">
        <v>1417</v>
      </c>
      <c r="B48" s="7" t="s">
        <v>571</v>
      </c>
      <c r="C48" s="35"/>
      <c r="D48" s="35"/>
      <c r="E48" s="586">
        <f>Voorblad!D6</f>
        <v>2009</v>
      </c>
      <c r="F48" s="587"/>
      <c r="G48" s="586"/>
      <c r="I48" s="588" t="s">
        <v>787</v>
      </c>
      <c r="K48" s="562"/>
      <c r="L48" s="562"/>
      <c r="N48" s="85"/>
      <c r="O48" s="90"/>
      <c r="AB48" s="74"/>
      <c r="AF48" s="75"/>
      <c r="AG48" s="75"/>
      <c r="AH48" s="101"/>
      <c r="AI48" s="102"/>
      <c r="AJ48" s="102"/>
      <c r="AK48" s="102"/>
      <c r="AL48" s="102"/>
      <c r="IG48" s="75"/>
      <c r="IH48" s="75"/>
      <c r="II48" s="75"/>
      <c r="IJ48" s="75"/>
      <c r="IK48" s="75"/>
      <c r="IL48" s="75"/>
      <c r="IM48" s="75"/>
      <c r="IN48" s="75"/>
    </row>
    <row r="49" spans="1:248" s="32" customFormat="1" ht="12.75" customHeight="1">
      <c r="A49" s="199">
        <f>A45+1</f>
        <v>204</v>
      </c>
      <c r="B49" s="224" t="s">
        <v>568</v>
      </c>
      <c r="C49" s="224"/>
      <c r="D49" s="224"/>
      <c r="E49" s="581">
        <f>IF(I49&gt;G45,G45,I49)</f>
        <v>0</v>
      </c>
      <c r="F49" s="589">
        <f>Uitvoerbestand!I50</f>
        <v>20983.440000000002</v>
      </c>
      <c r="G49" s="9">
        <f>ROUND(E49*F49,0)</f>
        <v>0</v>
      </c>
      <c r="I49" s="686">
        <f>CEILING(E60/(365*0.983),1)</f>
        <v>0</v>
      </c>
      <c r="J49" s="16"/>
      <c r="K49" s="562" t="s">
        <v>1032</v>
      </c>
      <c r="L49" s="562"/>
      <c r="M49" s="590">
        <f>G49*A49</f>
        <v>0</v>
      </c>
      <c r="N49" s="591"/>
      <c r="O49" s="90"/>
      <c r="P49" s="12"/>
      <c r="Q49" s="12"/>
      <c r="R49" s="12"/>
      <c r="S49" s="12"/>
      <c r="T49" s="12"/>
      <c r="U49" s="12"/>
      <c r="V49" s="12"/>
      <c r="IG49" s="12"/>
      <c r="IH49" s="12"/>
      <c r="II49" s="12"/>
      <c r="IJ49" s="12"/>
      <c r="IK49" s="12"/>
      <c r="IL49" s="12"/>
      <c r="IM49" s="12"/>
      <c r="IN49" s="12"/>
    </row>
    <row r="50" spans="1:248" s="32" customFormat="1" ht="12.75" customHeight="1">
      <c r="A50" s="199">
        <f>A49+1</f>
        <v>205</v>
      </c>
      <c r="B50" s="224" t="s">
        <v>1333</v>
      </c>
      <c r="C50" s="224"/>
      <c r="D50" s="592"/>
      <c r="E50" s="581">
        <f>IF(E49=G45,0,G45-E49)</f>
        <v>0</v>
      </c>
      <c r="F50" s="593"/>
      <c r="G50" s="855"/>
      <c r="J50" s="16"/>
      <c r="K50" s="562" t="s">
        <v>143</v>
      </c>
      <c r="L50" s="562"/>
      <c r="M50" s="594"/>
      <c r="N50" s="591"/>
      <c r="O50" s="90"/>
      <c r="P50" s="12"/>
      <c r="Q50" s="12"/>
      <c r="R50" s="12"/>
      <c r="S50" s="12"/>
      <c r="T50" s="12"/>
      <c r="U50" s="12"/>
      <c r="V50" s="12"/>
      <c r="IG50" s="12"/>
      <c r="IH50" s="12"/>
      <c r="II50" s="12"/>
      <c r="IJ50" s="12"/>
      <c r="IK50" s="12"/>
      <c r="IL50" s="12"/>
      <c r="IM50" s="12"/>
      <c r="IN50" s="12"/>
    </row>
    <row r="51" spans="1:248" s="32" customFormat="1" ht="12.75" customHeight="1">
      <c r="A51" s="199">
        <f>A50+1</f>
        <v>206</v>
      </c>
      <c r="B51" s="645" t="s">
        <v>947</v>
      </c>
      <c r="C51" s="611"/>
      <c r="D51" s="611"/>
      <c r="E51" s="4">
        <f>SUM(E49:E50)</f>
        <v>0</v>
      </c>
      <c r="F51" s="646"/>
      <c r="G51" s="876">
        <f>SUM(G49:G50)</f>
        <v>0</v>
      </c>
      <c r="K51" s="562"/>
      <c r="L51" s="562"/>
      <c r="M51" s="594"/>
      <c r="N51" s="591"/>
      <c r="O51" s="90"/>
      <c r="P51" s="12"/>
      <c r="Q51" s="12"/>
      <c r="R51" s="216"/>
      <c r="S51" s="75"/>
      <c r="T51" s="12"/>
      <c r="U51" s="12"/>
      <c r="V51" s="12"/>
      <c r="IG51" s="12"/>
      <c r="IH51" s="12"/>
      <c r="II51" s="12"/>
      <c r="IJ51" s="12"/>
      <c r="IK51" s="12"/>
      <c r="IL51" s="12"/>
      <c r="IM51" s="12"/>
      <c r="IN51" s="12"/>
    </row>
    <row r="52" spans="2:248" ht="12.75" customHeight="1">
      <c r="B52" s="35"/>
      <c r="C52" s="35"/>
      <c r="D52" s="35"/>
      <c r="E52" s="35"/>
      <c r="F52" s="35"/>
      <c r="G52" s="35"/>
      <c r="I52" s="1059"/>
      <c r="J52" s="1059"/>
      <c r="K52" s="562"/>
      <c r="L52" s="562"/>
      <c r="M52" s="416"/>
      <c r="N52" s="86"/>
      <c r="O52" s="90"/>
      <c r="P52" s="216"/>
      <c r="Q52" s="216"/>
      <c r="R52" s="216"/>
      <c r="S52" s="216"/>
      <c r="T52" s="216"/>
      <c r="U52" s="216"/>
      <c r="V52" s="75"/>
      <c r="AB52" s="74"/>
      <c r="AF52" s="75"/>
      <c r="AG52" s="75"/>
      <c r="AH52" s="101"/>
      <c r="AI52" s="103"/>
      <c r="AJ52" s="104"/>
      <c r="AK52" s="101"/>
      <c r="AL52" s="101"/>
      <c r="IG52" s="75"/>
      <c r="IH52" s="75"/>
      <c r="II52" s="75"/>
      <c r="IJ52" s="75"/>
      <c r="IK52" s="75"/>
      <c r="IL52" s="75"/>
      <c r="IM52" s="75"/>
      <c r="IN52" s="75"/>
    </row>
    <row r="53" spans="1:248" s="32" customFormat="1" ht="12.75" customHeight="1">
      <c r="A53" s="202" t="s">
        <v>1442</v>
      </c>
      <c r="B53" s="7" t="s">
        <v>1387</v>
      </c>
      <c r="C53" s="5"/>
      <c r="D53" s="7"/>
      <c r="E53" s="597"/>
      <c r="F53" s="598"/>
      <c r="I53" s="857" t="s">
        <v>911</v>
      </c>
      <c r="J53" s="856"/>
      <c r="K53" s="562"/>
      <c r="L53" s="562"/>
      <c r="M53" s="196"/>
      <c r="N53" s="15"/>
      <c r="O53" s="90"/>
      <c r="P53" s="217"/>
      <c r="Q53" s="217"/>
      <c r="R53" s="217"/>
      <c r="S53" s="214"/>
      <c r="T53" s="214"/>
      <c r="U53" s="215"/>
      <c r="V53" s="12"/>
      <c r="AO53" s="12"/>
      <c r="AP53" s="16"/>
      <c r="IG53" s="12"/>
      <c r="IH53" s="12"/>
      <c r="II53" s="12"/>
      <c r="IJ53" s="12"/>
      <c r="IK53" s="12"/>
      <c r="IL53" s="12"/>
      <c r="IM53" s="12"/>
      <c r="IN53" s="12"/>
    </row>
    <row r="54" spans="1:248" s="32" customFormat="1" ht="12.75" customHeight="1">
      <c r="A54" s="199">
        <f>A51+1</f>
        <v>207</v>
      </c>
      <c r="B54" s="224" t="s">
        <v>1029</v>
      </c>
      <c r="C54" s="224"/>
      <c r="D54" s="600" t="s">
        <v>1033</v>
      </c>
      <c r="E54" s="207"/>
      <c r="F54" s="601">
        <f>Uitvoerbestand!I5</f>
        <v>71.97</v>
      </c>
      <c r="G54" s="465">
        <f aca="true" t="shared" si="1" ref="G54:G59">ROUND(E54*F54,0)</f>
        <v>0</v>
      </c>
      <c r="I54" s="854">
        <f aca="true" t="shared" si="2" ref="I54:I59">IF(E54=0,0,E54/$E$60)</f>
        <v>0</v>
      </c>
      <c r="J54" s="603"/>
      <c r="K54" s="562" t="s">
        <v>1034</v>
      </c>
      <c r="L54" s="562"/>
      <c r="M54" s="604">
        <f aca="true" t="shared" si="3" ref="M54:M59">G54*A54</f>
        <v>0</v>
      </c>
      <c r="N54" s="605"/>
      <c r="O54" s="90"/>
      <c r="P54" s="12"/>
      <c r="Q54" s="12"/>
      <c r="R54" s="361"/>
      <c r="S54" s="12"/>
      <c r="T54" s="12"/>
      <c r="U54" s="12"/>
      <c r="V54" s="12"/>
      <c r="AO54" s="12"/>
      <c r="AP54" s="16"/>
      <c r="IG54" s="12"/>
      <c r="IH54" s="12"/>
      <c r="II54" s="12"/>
      <c r="IJ54" s="12"/>
      <c r="IK54" s="12"/>
      <c r="IL54" s="12"/>
      <c r="IM54" s="12"/>
      <c r="IN54" s="12"/>
    </row>
    <row r="55" spans="1:248" s="32" customFormat="1" ht="12.75" customHeight="1">
      <c r="A55" s="199">
        <f aca="true" t="shared" si="4" ref="A55:A60">A54+1</f>
        <v>208</v>
      </c>
      <c r="B55" s="224" t="s">
        <v>1467</v>
      </c>
      <c r="C55" s="224"/>
      <c r="D55" s="600" t="s">
        <v>639</v>
      </c>
      <c r="E55" s="207"/>
      <c r="F55" s="601">
        <f>Uitvoerbestand!I6</f>
        <v>87.43</v>
      </c>
      <c r="G55" s="465">
        <f t="shared" si="1"/>
        <v>0</v>
      </c>
      <c r="I55" s="854">
        <f t="shared" si="2"/>
        <v>0</v>
      </c>
      <c r="J55" s="606"/>
      <c r="K55" s="562" t="s">
        <v>1035</v>
      </c>
      <c r="L55" s="562"/>
      <c r="M55" s="607">
        <f t="shared" si="3"/>
        <v>0</v>
      </c>
      <c r="N55" s="605"/>
      <c r="O55" s="90"/>
      <c r="P55" s="12"/>
      <c r="Q55" s="12"/>
      <c r="R55" s="361"/>
      <c r="S55" s="12"/>
      <c r="T55" s="12"/>
      <c r="U55" s="12"/>
      <c r="V55" s="12"/>
      <c r="AO55" s="12"/>
      <c r="AP55" s="16"/>
      <c r="IG55" s="12"/>
      <c r="IH55" s="12"/>
      <c r="II55" s="12"/>
      <c r="IJ55" s="12"/>
      <c r="IK55" s="12"/>
      <c r="IL55" s="12"/>
      <c r="IM55" s="12"/>
      <c r="IN55" s="12"/>
    </row>
    <row r="56" spans="1:248" s="32" customFormat="1" ht="12.75" customHeight="1">
      <c r="A56" s="199">
        <f t="shared" si="4"/>
        <v>209</v>
      </c>
      <c r="B56" s="224" t="s">
        <v>1468</v>
      </c>
      <c r="C56" s="224"/>
      <c r="D56" s="600" t="s">
        <v>640</v>
      </c>
      <c r="E56" s="207"/>
      <c r="F56" s="601">
        <f>Uitvoerbestand!I7</f>
        <v>113.39</v>
      </c>
      <c r="G56" s="465">
        <f t="shared" si="1"/>
        <v>0</v>
      </c>
      <c r="I56" s="854">
        <f t="shared" si="2"/>
        <v>0</v>
      </c>
      <c r="J56" s="606"/>
      <c r="K56" s="562" t="s">
        <v>1036</v>
      </c>
      <c r="L56" s="562"/>
      <c r="M56" s="607">
        <f t="shared" si="3"/>
        <v>0</v>
      </c>
      <c r="N56" s="605"/>
      <c r="O56" s="565"/>
      <c r="P56" s="12"/>
      <c r="Q56" s="12"/>
      <c r="R56" s="361"/>
      <c r="S56" s="12"/>
      <c r="T56" s="12"/>
      <c r="U56" s="12"/>
      <c r="V56" s="12"/>
      <c r="AO56" s="12"/>
      <c r="AP56" s="16"/>
      <c r="IG56" s="12"/>
      <c r="IH56" s="12"/>
      <c r="II56" s="12"/>
      <c r="IJ56" s="12"/>
      <c r="IK56" s="12"/>
      <c r="IL56" s="12"/>
      <c r="IM56" s="12"/>
      <c r="IN56" s="12"/>
    </row>
    <row r="57" spans="1:248" s="32" customFormat="1" ht="12.75" customHeight="1">
      <c r="A57" s="199">
        <f t="shared" si="4"/>
        <v>210</v>
      </c>
      <c r="B57" s="224" t="s">
        <v>1085</v>
      </c>
      <c r="C57" s="224"/>
      <c r="D57" s="600" t="s">
        <v>641</v>
      </c>
      <c r="E57" s="207"/>
      <c r="F57" s="601">
        <f>Uitvoerbestand!I8</f>
        <v>122.82000000000001</v>
      </c>
      <c r="G57" s="465">
        <f t="shared" si="1"/>
        <v>0</v>
      </c>
      <c r="I57" s="854">
        <f t="shared" si="2"/>
        <v>0</v>
      </c>
      <c r="J57" s="602"/>
      <c r="K57" s="562" t="s">
        <v>1037</v>
      </c>
      <c r="L57" s="562"/>
      <c r="M57" s="607">
        <f t="shared" si="3"/>
        <v>0</v>
      </c>
      <c r="N57" s="605"/>
      <c r="O57" s="608"/>
      <c r="P57" s="33"/>
      <c r="Q57" s="16"/>
      <c r="R57" s="609"/>
      <c r="AN57" s="12"/>
      <c r="AO57" s="16"/>
      <c r="IG57" s="12"/>
      <c r="IH57" s="12"/>
      <c r="II57" s="12"/>
      <c r="IJ57" s="12"/>
      <c r="IK57" s="12"/>
      <c r="IL57" s="12"/>
      <c r="IM57" s="12"/>
      <c r="IN57" s="12"/>
    </row>
    <row r="58" spans="1:248" s="32" customFormat="1" ht="12.75" customHeight="1">
      <c r="A58" s="199">
        <f t="shared" si="4"/>
        <v>211</v>
      </c>
      <c r="B58" s="224" t="s">
        <v>1086</v>
      </c>
      <c r="C58" s="224"/>
      <c r="D58" s="600" t="s">
        <v>642</v>
      </c>
      <c r="E58" s="207"/>
      <c r="F58" s="601">
        <f>Uitvoerbestand!I9</f>
        <v>164.46</v>
      </c>
      <c r="G58" s="465">
        <f t="shared" si="1"/>
        <v>0</v>
      </c>
      <c r="I58" s="854">
        <f t="shared" si="2"/>
        <v>0</v>
      </c>
      <c r="J58" s="606"/>
      <c r="K58" s="562" t="s">
        <v>1038</v>
      </c>
      <c r="L58" s="562"/>
      <c r="M58" s="607">
        <f t="shared" si="3"/>
        <v>0</v>
      </c>
      <c r="N58" s="605"/>
      <c r="O58" s="608"/>
      <c r="P58" s="33"/>
      <c r="Q58" s="16"/>
      <c r="R58" s="609"/>
      <c r="AN58" s="12"/>
      <c r="AO58" s="16"/>
      <c r="IG58" s="12"/>
      <c r="IH58" s="12"/>
      <c r="II58" s="12"/>
      <c r="IJ58" s="12"/>
      <c r="IK58" s="12"/>
      <c r="IL58" s="12"/>
      <c r="IM58" s="12"/>
      <c r="IN58" s="12"/>
    </row>
    <row r="59" spans="1:248" s="32" customFormat="1" ht="12.75" customHeight="1">
      <c r="A59" s="199">
        <f t="shared" si="4"/>
        <v>212</v>
      </c>
      <c r="B59" s="378" t="s">
        <v>1087</v>
      </c>
      <c r="C59" s="378"/>
      <c r="D59" s="600" t="s">
        <v>643</v>
      </c>
      <c r="E59" s="207"/>
      <c r="F59" s="601">
        <f>Uitvoerbestand!I10</f>
        <v>222.28</v>
      </c>
      <c r="G59" s="465">
        <f t="shared" si="1"/>
        <v>0</v>
      </c>
      <c r="I59" s="854">
        <f t="shared" si="2"/>
        <v>0</v>
      </c>
      <c r="J59" s="606"/>
      <c r="K59" s="562" t="s">
        <v>1039</v>
      </c>
      <c r="L59" s="562"/>
      <c r="M59" s="610">
        <f t="shared" si="3"/>
        <v>0</v>
      </c>
      <c r="N59" s="605"/>
      <c r="O59" s="608"/>
      <c r="P59" s="33"/>
      <c r="Q59" s="16"/>
      <c r="R59" s="609"/>
      <c r="AN59" s="12"/>
      <c r="AO59" s="16"/>
      <c r="IG59" s="12"/>
      <c r="IH59" s="12"/>
      <c r="II59" s="12"/>
      <c r="IJ59" s="12"/>
      <c r="IK59" s="12"/>
      <c r="IL59" s="12"/>
      <c r="IM59" s="12"/>
      <c r="IN59" s="12"/>
    </row>
    <row r="60" spans="1:248" s="32" customFormat="1" ht="12.75" customHeight="1">
      <c r="A60" s="199">
        <f t="shared" si="4"/>
        <v>213</v>
      </c>
      <c r="B60" s="611" t="s">
        <v>468</v>
      </c>
      <c r="C60" s="611"/>
      <c r="D60" s="611"/>
      <c r="E60" s="4">
        <f>SUM(E54:E59)</f>
        <v>0</v>
      </c>
      <c r="F60" s="612"/>
      <c r="G60" s="876">
        <f>SUM(G54:G59)</f>
        <v>0</v>
      </c>
      <c r="I60" s="435">
        <f>SUM(I54:I59)</f>
        <v>0</v>
      </c>
      <c r="J60" s="603"/>
      <c r="K60" s="613"/>
      <c r="L60" s="562"/>
      <c r="M60" s="564"/>
      <c r="N60" s="605"/>
      <c r="O60" s="608"/>
      <c r="P60" s="33"/>
      <c r="Q60" s="16"/>
      <c r="R60" s="33"/>
      <c r="AN60" s="12"/>
      <c r="AO60" s="16"/>
      <c r="IG60" s="12"/>
      <c r="IH60" s="12"/>
      <c r="II60" s="12"/>
      <c r="IJ60" s="12"/>
      <c r="IK60" s="12"/>
      <c r="IL60" s="12"/>
      <c r="IM60" s="12"/>
      <c r="IN60" s="12"/>
    </row>
    <row r="61" spans="1:248" s="32" customFormat="1" ht="12.75" customHeight="1">
      <c r="A61" s="212"/>
      <c r="B61" s="88"/>
      <c r="C61" s="88"/>
      <c r="D61" s="88"/>
      <c r="E61" s="88"/>
      <c r="F61" s="88"/>
      <c r="G61" s="88"/>
      <c r="H61" s="88"/>
      <c r="I61" s="88"/>
      <c r="J61" s="88"/>
      <c r="K61" s="614"/>
      <c r="L61" s="615"/>
      <c r="M61" s="367"/>
      <c r="N61" s="605"/>
      <c r="O61" s="608"/>
      <c r="P61" s="33"/>
      <c r="Q61" s="16"/>
      <c r="AN61" s="12"/>
      <c r="AO61" s="16"/>
      <c r="IG61" s="12"/>
      <c r="IH61" s="12"/>
      <c r="II61" s="12"/>
      <c r="IJ61" s="12"/>
      <c r="IK61" s="12"/>
      <c r="IL61" s="12"/>
      <c r="IM61" s="12"/>
      <c r="IN61" s="12"/>
    </row>
    <row r="62" spans="1:248" s="32" customFormat="1" ht="12.75" customHeight="1">
      <c r="A62" s="212"/>
      <c r="B62" s="12"/>
      <c r="C62" s="88"/>
      <c r="D62" s="88"/>
      <c r="E62" s="88"/>
      <c r="F62" s="88"/>
      <c r="G62" s="88"/>
      <c r="H62" s="88"/>
      <c r="I62" s="59" t="s">
        <v>1429</v>
      </c>
      <c r="J62" s="88"/>
      <c r="K62" s="614"/>
      <c r="L62" s="615"/>
      <c r="M62" s="367"/>
      <c r="N62" s="605"/>
      <c r="O62" s="608"/>
      <c r="P62" s="33"/>
      <c r="Q62" s="16"/>
      <c r="AN62" s="12"/>
      <c r="AO62" s="16"/>
      <c r="IG62" s="12"/>
      <c r="IH62" s="12"/>
      <c r="II62" s="12"/>
      <c r="IJ62" s="12"/>
      <c r="IK62" s="12"/>
      <c r="IL62" s="12"/>
      <c r="IM62" s="12"/>
      <c r="IN62" s="12"/>
    </row>
    <row r="63" spans="1:248" s="90" customFormat="1" ht="12.75" customHeight="1">
      <c r="A63" s="202" t="s">
        <v>28</v>
      </c>
      <c r="B63" s="31" t="s">
        <v>1445</v>
      </c>
      <c r="C63" s="203"/>
      <c r="D63" s="203"/>
      <c r="E63" s="203"/>
      <c r="F63" s="203"/>
      <c r="G63" s="423" t="s">
        <v>565</v>
      </c>
      <c r="I63" s="59" t="str">
        <f>$I$6</f>
        <v>120 / </v>
      </c>
      <c r="K63" s="616"/>
      <c r="L63" s="616"/>
      <c r="M63" s="367"/>
      <c r="N63" s="192"/>
      <c r="O63" s="608"/>
      <c r="AB63" s="193"/>
      <c r="AF63" s="75"/>
      <c r="AG63" s="75"/>
      <c r="AH63" s="194"/>
      <c r="AI63" s="195"/>
      <c r="AJ63" s="195"/>
      <c r="AK63" s="195"/>
      <c r="AL63" s="195"/>
      <c r="IG63" s="75"/>
      <c r="IH63" s="75"/>
      <c r="II63" s="75"/>
      <c r="IJ63" s="75"/>
      <c r="IK63" s="75"/>
      <c r="IL63" s="75"/>
      <c r="IM63" s="75"/>
      <c r="IN63" s="75"/>
    </row>
    <row r="64" spans="1:248" s="90" customFormat="1" ht="12.75" customHeight="1">
      <c r="A64" s="202"/>
      <c r="B64" s="7"/>
      <c r="C64" s="203"/>
      <c r="D64" s="203"/>
      <c r="E64" s="203"/>
      <c r="F64" s="203"/>
      <c r="G64" s="424" t="s">
        <v>716</v>
      </c>
      <c r="K64" s="562"/>
      <c r="L64" s="562"/>
      <c r="M64" s="415"/>
      <c r="N64" s="192"/>
      <c r="O64" s="608"/>
      <c r="AB64" s="193"/>
      <c r="AF64" s="75"/>
      <c r="AG64" s="75"/>
      <c r="AH64" s="194"/>
      <c r="AI64" s="195"/>
      <c r="AJ64" s="195"/>
      <c r="AK64" s="195"/>
      <c r="AL64" s="195"/>
      <c r="IG64" s="75"/>
      <c r="IH64" s="75"/>
      <c r="II64" s="75"/>
      <c r="IJ64" s="75"/>
      <c r="IK64" s="75"/>
      <c r="IL64" s="75"/>
      <c r="IM64" s="75"/>
      <c r="IN64" s="75"/>
    </row>
    <row r="65" spans="1:248" s="90" customFormat="1" ht="12.75" customHeight="1">
      <c r="A65" s="202" t="s">
        <v>1446</v>
      </c>
      <c r="B65" s="7" t="s">
        <v>572</v>
      </c>
      <c r="C65" s="203"/>
      <c r="D65" s="203"/>
      <c r="E65" s="203"/>
      <c r="F65" s="203"/>
      <c r="G65" s="425">
        <v>2009</v>
      </c>
      <c r="J65" s="578"/>
      <c r="K65" s="562"/>
      <c r="L65" s="562"/>
      <c r="M65" s="582">
        <f>A66*G70</f>
        <v>0</v>
      </c>
      <c r="N65" s="192"/>
      <c r="O65" s="608"/>
      <c r="AB65" s="193"/>
      <c r="AF65" s="75"/>
      <c r="AG65" s="75"/>
      <c r="AH65" s="194"/>
      <c r="AI65" s="195"/>
      <c r="AJ65" s="195"/>
      <c r="AK65" s="195"/>
      <c r="AL65" s="195"/>
      <c r="IG65" s="75"/>
      <c r="IH65" s="75"/>
      <c r="II65" s="75"/>
      <c r="IJ65" s="75"/>
      <c r="IK65" s="75"/>
      <c r="IL65" s="75"/>
      <c r="IM65" s="75"/>
      <c r="IN65" s="75"/>
    </row>
    <row r="66" spans="1:248" s="90" customFormat="1" ht="12.75" customHeight="1">
      <c r="A66" s="199">
        <f>301</f>
        <v>301</v>
      </c>
      <c r="B66" s="57" t="s">
        <v>338</v>
      </c>
      <c r="C66" s="200"/>
      <c r="D66" s="200"/>
      <c r="E66" s="200"/>
      <c r="F66" s="206"/>
      <c r="G66" s="965"/>
      <c r="K66" s="562"/>
      <c r="L66" s="562"/>
      <c r="M66" s="564"/>
      <c r="N66" s="192"/>
      <c r="O66" s="608"/>
      <c r="AB66" s="193"/>
      <c r="AF66" s="75"/>
      <c r="AG66" s="75"/>
      <c r="AH66" s="194"/>
      <c r="AI66" s="195"/>
      <c r="AJ66" s="195"/>
      <c r="AK66" s="195"/>
      <c r="AL66" s="195"/>
      <c r="IG66" s="75"/>
      <c r="IH66" s="75"/>
      <c r="II66" s="75"/>
      <c r="IJ66" s="75"/>
      <c r="IK66" s="75"/>
      <c r="IL66" s="75"/>
      <c r="IM66" s="75"/>
      <c r="IN66" s="75"/>
    </row>
    <row r="67" spans="1:248" s="90" customFormat="1" ht="12.75" customHeight="1">
      <c r="A67" s="199">
        <f>A66+1</f>
        <v>302</v>
      </c>
      <c r="B67" s="57" t="s">
        <v>339</v>
      </c>
      <c r="C67" s="200"/>
      <c r="D67" s="200"/>
      <c r="E67" s="200"/>
      <c r="F67" s="206"/>
      <c r="G67" s="965"/>
      <c r="K67" s="562"/>
      <c r="L67" s="562"/>
      <c r="M67" s="564"/>
      <c r="N67" s="192"/>
      <c r="O67" s="608"/>
      <c r="AB67" s="193"/>
      <c r="AF67" s="75"/>
      <c r="AG67" s="75"/>
      <c r="AH67" s="194"/>
      <c r="AI67" s="195"/>
      <c r="AJ67" s="195"/>
      <c r="AK67" s="195"/>
      <c r="AL67" s="195"/>
      <c r="IG67" s="75"/>
      <c r="IH67" s="75"/>
      <c r="II67" s="75"/>
      <c r="IJ67" s="75"/>
      <c r="IK67" s="75"/>
      <c r="IL67" s="75"/>
      <c r="IM67" s="75"/>
      <c r="IN67" s="75"/>
    </row>
    <row r="68" spans="1:248" s="90" customFormat="1" ht="12.75" customHeight="1">
      <c r="A68" s="199">
        <f>A67+1</f>
        <v>303</v>
      </c>
      <c r="B68" s="57" t="s">
        <v>340</v>
      </c>
      <c r="C68" s="200"/>
      <c r="D68" s="200"/>
      <c r="E68" s="200"/>
      <c r="F68" s="206"/>
      <c r="G68" s="965"/>
      <c r="K68" s="562"/>
      <c r="L68" s="562"/>
      <c r="M68" s="564"/>
      <c r="N68" s="192"/>
      <c r="O68" s="608"/>
      <c r="AB68" s="193"/>
      <c r="AF68" s="75"/>
      <c r="AG68" s="75"/>
      <c r="AH68" s="194"/>
      <c r="AI68" s="195"/>
      <c r="AJ68" s="195"/>
      <c r="AK68" s="195"/>
      <c r="AL68" s="195"/>
      <c r="IG68" s="75"/>
      <c r="IH68" s="75"/>
      <c r="II68" s="75"/>
      <c r="IJ68" s="75"/>
      <c r="IK68" s="75"/>
      <c r="IL68" s="75"/>
      <c r="IM68" s="75"/>
      <c r="IN68" s="75"/>
    </row>
    <row r="69" spans="1:248" s="90" customFormat="1" ht="12.75" customHeight="1">
      <c r="A69" s="199">
        <f>A68+1</f>
        <v>304</v>
      </c>
      <c r="B69" s="224" t="s">
        <v>1334</v>
      </c>
      <c r="C69" s="200"/>
      <c r="D69" s="200"/>
      <c r="E69" s="200"/>
      <c r="F69" s="206"/>
      <c r="G69" s="965"/>
      <c r="K69" s="562"/>
      <c r="L69" s="562"/>
      <c r="M69" s="564"/>
      <c r="N69" s="192"/>
      <c r="O69" s="608"/>
      <c r="AB69" s="193"/>
      <c r="AF69" s="75"/>
      <c r="AG69" s="75"/>
      <c r="AH69" s="194"/>
      <c r="AI69" s="195"/>
      <c r="AJ69" s="195"/>
      <c r="AK69" s="195"/>
      <c r="AL69" s="195"/>
      <c r="IG69" s="75"/>
      <c r="IH69" s="75"/>
      <c r="II69" s="75"/>
      <c r="IJ69" s="75"/>
      <c r="IK69" s="75"/>
      <c r="IL69" s="75"/>
      <c r="IM69" s="75"/>
      <c r="IN69" s="75"/>
    </row>
    <row r="70" spans="1:248" s="90" customFormat="1" ht="12.75" customHeight="1">
      <c r="A70" s="199">
        <f>A69+1</f>
        <v>305</v>
      </c>
      <c r="B70" s="645" t="s">
        <v>948</v>
      </c>
      <c r="C70" s="611"/>
      <c r="D70" s="611"/>
      <c r="E70" s="17"/>
      <c r="F70" s="646"/>
      <c r="G70" s="4">
        <f>SUM(G66:G69)</f>
        <v>0</v>
      </c>
      <c r="K70" s="562"/>
      <c r="L70" s="562"/>
      <c r="M70" s="564"/>
      <c r="N70" s="192"/>
      <c r="O70" s="608"/>
      <c r="AB70" s="193"/>
      <c r="AF70" s="75"/>
      <c r="AG70" s="75"/>
      <c r="AH70" s="194"/>
      <c r="AI70" s="195"/>
      <c r="AJ70" s="195"/>
      <c r="AK70" s="195"/>
      <c r="AL70" s="195"/>
      <c r="IG70" s="75"/>
      <c r="IH70" s="75"/>
      <c r="II70" s="75"/>
      <c r="IJ70" s="75"/>
      <c r="IK70" s="75"/>
      <c r="IL70" s="75"/>
      <c r="IM70" s="75"/>
      <c r="IN70" s="75"/>
    </row>
    <row r="71" spans="11:248" s="90" customFormat="1" ht="12.75" customHeight="1">
      <c r="K71" s="562"/>
      <c r="L71" s="562"/>
      <c r="M71" s="564"/>
      <c r="N71" s="192"/>
      <c r="O71" s="608"/>
      <c r="AB71" s="193"/>
      <c r="AF71" s="75"/>
      <c r="AG71" s="75"/>
      <c r="AH71" s="194"/>
      <c r="AI71" s="195"/>
      <c r="AJ71" s="195"/>
      <c r="AK71" s="195"/>
      <c r="AL71" s="195"/>
      <c r="IG71" s="75"/>
      <c r="IH71" s="75"/>
      <c r="II71" s="75"/>
      <c r="IJ71" s="75"/>
      <c r="IK71" s="75"/>
      <c r="IL71" s="75"/>
      <c r="IM71" s="75"/>
      <c r="IN71" s="75"/>
    </row>
    <row r="72" spans="1:248" s="90" customFormat="1" ht="12.75" customHeight="1">
      <c r="A72" s="202" t="s">
        <v>1414</v>
      </c>
      <c r="B72" s="7" t="s">
        <v>1412</v>
      </c>
      <c r="K72" s="562"/>
      <c r="L72" s="562"/>
      <c r="M72" s="564"/>
      <c r="N72" s="192"/>
      <c r="O72" s="608"/>
      <c r="AB72" s="193"/>
      <c r="AF72" s="75"/>
      <c r="AG72" s="75"/>
      <c r="AH72" s="194"/>
      <c r="AI72" s="195"/>
      <c r="AJ72" s="195"/>
      <c r="AK72" s="195"/>
      <c r="AL72" s="195"/>
      <c r="IG72" s="75"/>
      <c r="IH72" s="75"/>
      <c r="II72" s="75"/>
      <c r="IJ72" s="75"/>
      <c r="IK72" s="75"/>
      <c r="IL72" s="75"/>
      <c r="IM72" s="75"/>
      <c r="IN72" s="75"/>
    </row>
    <row r="73" spans="1:248" s="90" customFormat="1" ht="12.75" customHeight="1">
      <c r="A73" s="199">
        <f>A70+1</f>
        <v>306</v>
      </c>
      <c r="B73" s="57" t="s">
        <v>341</v>
      </c>
      <c r="C73" s="200"/>
      <c r="D73" s="200"/>
      <c r="E73" s="200"/>
      <c r="F73" s="206"/>
      <c r="G73" s="965"/>
      <c r="K73" s="562"/>
      <c r="L73" s="562"/>
      <c r="M73" s="564"/>
      <c r="N73" s="192"/>
      <c r="O73" s="608"/>
      <c r="AB73" s="193"/>
      <c r="AF73" s="75"/>
      <c r="AG73" s="75"/>
      <c r="AH73" s="194"/>
      <c r="AI73" s="195"/>
      <c r="AJ73" s="195"/>
      <c r="AK73" s="195"/>
      <c r="AL73" s="195"/>
      <c r="IG73" s="75"/>
      <c r="IH73" s="75"/>
      <c r="II73" s="75"/>
      <c r="IJ73" s="75"/>
      <c r="IK73" s="75"/>
      <c r="IL73" s="75"/>
      <c r="IM73" s="75"/>
      <c r="IN73" s="75"/>
    </row>
    <row r="74" spans="1:248" s="90" customFormat="1" ht="12.75" customHeight="1">
      <c r="A74" s="199">
        <f>A73+1</f>
        <v>307</v>
      </c>
      <c r="B74" s="57" t="s">
        <v>342</v>
      </c>
      <c r="C74" s="200"/>
      <c r="D74" s="200"/>
      <c r="E74" s="200"/>
      <c r="F74" s="206"/>
      <c r="G74" s="965"/>
      <c r="K74" s="562"/>
      <c r="L74" s="562"/>
      <c r="M74" s="564"/>
      <c r="N74" s="192"/>
      <c r="O74" s="608"/>
      <c r="AB74" s="193"/>
      <c r="AF74" s="75"/>
      <c r="AG74" s="75"/>
      <c r="AH74" s="194"/>
      <c r="AI74" s="195"/>
      <c r="AJ74" s="195"/>
      <c r="AK74" s="195"/>
      <c r="AL74" s="195"/>
      <c r="IG74" s="75"/>
      <c r="IH74" s="75"/>
      <c r="II74" s="75"/>
      <c r="IJ74" s="75"/>
      <c r="IK74" s="75"/>
      <c r="IL74" s="75"/>
      <c r="IM74" s="75"/>
      <c r="IN74" s="75"/>
    </row>
    <row r="75" spans="1:248" s="90" customFormat="1" ht="12.75" customHeight="1">
      <c r="A75" s="199">
        <f>A74+1</f>
        <v>308</v>
      </c>
      <c r="B75" s="645" t="s">
        <v>949</v>
      </c>
      <c r="C75" s="611"/>
      <c r="D75" s="611"/>
      <c r="E75" s="611"/>
      <c r="F75" s="646"/>
      <c r="G75" s="4">
        <f>SUM(G73:G74)</f>
        <v>0</v>
      </c>
      <c r="K75" s="562"/>
      <c r="L75" s="562"/>
      <c r="M75" s="564"/>
      <c r="N75" s="192"/>
      <c r="O75" s="608"/>
      <c r="AB75" s="193"/>
      <c r="AF75" s="75"/>
      <c r="AG75" s="75"/>
      <c r="AH75" s="194"/>
      <c r="AI75" s="195"/>
      <c r="AJ75" s="195"/>
      <c r="AK75" s="195"/>
      <c r="AL75" s="195"/>
      <c r="IG75" s="75"/>
      <c r="IH75" s="75"/>
      <c r="II75" s="75"/>
      <c r="IJ75" s="75"/>
      <c r="IK75" s="75"/>
      <c r="IL75" s="75"/>
      <c r="IM75" s="75"/>
      <c r="IN75" s="75"/>
    </row>
    <row r="76" spans="1:248" s="90" customFormat="1" ht="12.75" customHeight="1">
      <c r="A76" s="202"/>
      <c r="B76" s="58"/>
      <c r="C76" s="203"/>
      <c r="D76" s="203"/>
      <c r="E76" s="203"/>
      <c r="F76" s="203"/>
      <c r="G76" s="203"/>
      <c r="H76" s="204"/>
      <c r="I76" s="579"/>
      <c r="J76" s="578"/>
      <c r="K76" s="562"/>
      <c r="L76" s="562"/>
      <c r="M76" s="415"/>
      <c r="N76" s="192"/>
      <c r="O76" s="608"/>
      <c r="AB76" s="193"/>
      <c r="AF76" s="75"/>
      <c r="AG76" s="75"/>
      <c r="AH76" s="194"/>
      <c r="AI76" s="195"/>
      <c r="AJ76" s="195"/>
      <c r="AK76" s="195"/>
      <c r="AL76" s="195"/>
      <c r="IG76" s="75"/>
      <c r="IH76" s="75"/>
      <c r="II76" s="75"/>
      <c r="IJ76" s="75"/>
      <c r="IK76" s="75"/>
      <c r="IL76" s="75"/>
      <c r="IM76" s="75"/>
      <c r="IN76" s="75"/>
    </row>
    <row r="77" spans="3:248" s="90" customFormat="1" ht="12.75" customHeight="1">
      <c r="C77" s="203"/>
      <c r="D77" s="203"/>
      <c r="E77" s="583" t="s">
        <v>567</v>
      </c>
      <c r="F77" s="583" t="s">
        <v>469</v>
      </c>
      <c r="G77" s="584" t="s">
        <v>470</v>
      </c>
      <c r="I77" s="585" t="s">
        <v>671</v>
      </c>
      <c r="J77" s="366"/>
      <c r="K77" s="562"/>
      <c r="L77" s="562"/>
      <c r="M77" s="415"/>
      <c r="N77" s="192"/>
      <c r="O77" s="608"/>
      <c r="AB77" s="193"/>
      <c r="AF77" s="75"/>
      <c r="AG77" s="75"/>
      <c r="AH77" s="194"/>
      <c r="AI77" s="195"/>
      <c r="AJ77" s="195"/>
      <c r="AK77" s="195"/>
      <c r="AL77" s="195"/>
      <c r="IG77" s="75"/>
      <c r="IH77" s="75"/>
      <c r="II77" s="75"/>
      <c r="IJ77" s="75"/>
      <c r="IK77" s="75"/>
      <c r="IL77" s="75"/>
      <c r="IM77" s="75"/>
      <c r="IN77" s="75"/>
    </row>
    <row r="78" spans="1:248" ht="12.75" customHeight="1">
      <c r="A78" s="202" t="s">
        <v>1447</v>
      </c>
      <c r="B78" s="7" t="s">
        <v>573</v>
      </c>
      <c r="C78" s="35"/>
      <c r="D78" s="35"/>
      <c r="E78" s="586">
        <f>E48</f>
        <v>2009</v>
      </c>
      <c r="F78" s="587"/>
      <c r="G78" s="586"/>
      <c r="I78" s="588" t="s">
        <v>787</v>
      </c>
      <c r="J78" s="366"/>
      <c r="K78" s="562"/>
      <c r="L78" s="562"/>
      <c r="N78" s="85"/>
      <c r="O78" s="608"/>
      <c r="AB78" s="74"/>
      <c r="AF78" s="75"/>
      <c r="AG78" s="75"/>
      <c r="AH78" s="101"/>
      <c r="AI78" s="102"/>
      <c r="AJ78" s="102"/>
      <c r="AK78" s="102"/>
      <c r="AL78" s="102"/>
      <c r="IG78" s="75"/>
      <c r="IH78" s="75"/>
      <c r="II78" s="75"/>
      <c r="IJ78" s="75"/>
      <c r="IK78" s="75"/>
      <c r="IL78" s="75"/>
      <c r="IM78" s="75"/>
      <c r="IN78" s="75"/>
    </row>
    <row r="79" spans="1:248" s="32" customFormat="1" ht="12.75" customHeight="1">
      <c r="A79" s="199">
        <f>A75+1</f>
        <v>309</v>
      </c>
      <c r="B79" s="224" t="s">
        <v>574</v>
      </c>
      <c r="C79" s="224"/>
      <c r="D79" s="224"/>
      <c r="E79" s="617">
        <f>IF(I79&gt;G70,G70,I79)</f>
        <v>0</v>
      </c>
      <c r="F79" s="618"/>
      <c r="G79" s="855">
        <f>ROUND(E79*F79,0)</f>
        <v>0</v>
      </c>
      <c r="I79" s="686">
        <f>CEILING(SUM(E92:E97)/(365*0.983),1)</f>
        <v>0</v>
      </c>
      <c r="J79" s="219"/>
      <c r="K79" s="562"/>
      <c r="L79" s="562"/>
      <c r="M79" s="594"/>
      <c r="N79" s="591"/>
      <c r="O79" s="608"/>
      <c r="P79" s="12"/>
      <c r="Q79" s="12"/>
      <c r="R79" s="12"/>
      <c r="S79" s="12"/>
      <c r="T79" s="12"/>
      <c r="U79" s="12"/>
      <c r="V79" s="12"/>
      <c r="IG79" s="12"/>
      <c r="IH79" s="12"/>
      <c r="II79" s="12"/>
      <c r="IJ79" s="12"/>
      <c r="IK79" s="12"/>
      <c r="IL79" s="12"/>
      <c r="IM79" s="12"/>
      <c r="IN79" s="12"/>
    </row>
    <row r="80" spans="1:248" s="32" customFormat="1" ht="12.75" customHeight="1">
      <c r="A80" s="199">
        <f>A79+1</f>
        <v>310</v>
      </c>
      <c r="B80" s="224" t="s">
        <v>535</v>
      </c>
      <c r="C80" s="224"/>
      <c r="D80" s="224"/>
      <c r="E80" s="207"/>
      <c r="F80" s="619">
        <f>Uitvoerbestand!I51</f>
        <v>55591.98</v>
      </c>
      <c r="G80" s="465">
        <f>ROUND(E80*F80,0)</f>
        <v>0</v>
      </c>
      <c r="I80" s="12"/>
      <c r="J80" s="213"/>
      <c r="K80" s="562" t="s">
        <v>539</v>
      </c>
      <c r="L80" s="562"/>
      <c r="M80" s="604">
        <f>G80*A80</f>
        <v>0</v>
      </c>
      <c r="N80" s="591"/>
      <c r="O80" s="608"/>
      <c r="P80" s="12"/>
      <c r="Q80" s="12"/>
      <c r="R80" s="12"/>
      <c r="S80" s="12"/>
      <c r="T80" s="12"/>
      <c r="U80" s="12"/>
      <c r="V80" s="12"/>
      <c r="IG80" s="12"/>
      <c r="IH80" s="12"/>
      <c r="II80" s="12"/>
      <c r="IJ80" s="12"/>
      <c r="IK80" s="12"/>
      <c r="IL80" s="12"/>
      <c r="IM80" s="12"/>
      <c r="IN80" s="12"/>
    </row>
    <row r="81" spans="1:248" s="32" customFormat="1" ht="12.75" customHeight="1">
      <c r="A81" s="199">
        <f>A80+1</f>
        <v>311</v>
      </c>
      <c r="B81" s="224" t="s">
        <v>661</v>
      </c>
      <c r="C81" s="224"/>
      <c r="D81" s="224"/>
      <c r="E81" s="207"/>
      <c r="F81" s="619">
        <f>Uitvoerbestand!I52</f>
        <v>29586.66</v>
      </c>
      <c r="G81" s="465">
        <f>ROUND(E81*F81,0)</f>
        <v>0</v>
      </c>
      <c r="I81" s="12"/>
      <c r="J81" s="213"/>
      <c r="K81" s="562" t="s">
        <v>540</v>
      </c>
      <c r="L81" s="562"/>
      <c r="M81" s="607">
        <f>G81*A81</f>
        <v>0</v>
      </c>
      <c r="N81" s="591"/>
      <c r="O81" s="608"/>
      <c r="P81" s="12"/>
      <c r="Q81" s="12"/>
      <c r="R81" s="12"/>
      <c r="S81" s="12"/>
      <c r="T81" s="12"/>
      <c r="U81" s="12"/>
      <c r="V81" s="12"/>
      <c r="IG81" s="12"/>
      <c r="IH81" s="12"/>
      <c r="II81" s="12"/>
      <c r="IJ81" s="12"/>
      <c r="IK81" s="12"/>
      <c r="IL81" s="12"/>
      <c r="IM81" s="12"/>
      <c r="IN81" s="12"/>
    </row>
    <row r="82" spans="1:248" s="32" customFormat="1" ht="12.75" customHeight="1">
      <c r="A82" s="199">
        <f>A81+1</f>
        <v>312</v>
      </c>
      <c r="B82" s="224" t="s">
        <v>1461</v>
      </c>
      <c r="C82" s="224"/>
      <c r="D82" s="224"/>
      <c r="E82" s="207"/>
      <c r="F82" s="619">
        <f>Uitvoerbestand!I53</f>
        <v>22573.24</v>
      </c>
      <c r="G82" s="465">
        <f>ROUND(E82*F82,0)</f>
        <v>0</v>
      </c>
      <c r="I82" s="12"/>
      <c r="J82" s="213"/>
      <c r="K82" s="562" t="s">
        <v>541</v>
      </c>
      <c r="L82" s="562"/>
      <c r="M82" s="607">
        <f>G82*A82</f>
        <v>0</v>
      </c>
      <c r="N82" s="591"/>
      <c r="O82" s="608"/>
      <c r="P82" s="12"/>
      <c r="Q82" s="12"/>
      <c r="R82" s="12"/>
      <c r="S82" s="12"/>
      <c r="T82" s="12"/>
      <c r="U82" s="12"/>
      <c r="V82" s="12"/>
      <c r="IG82" s="12"/>
      <c r="IH82" s="12"/>
      <c r="II82" s="12"/>
      <c r="IJ82" s="12"/>
      <c r="IK82" s="12"/>
      <c r="IL82" s="12"/>
      <c r="IM82" s="12"/>
      <c r="IN82" s="12"/>
    </row>
    <row r="83" spans="1:248" s="32" customFormat="1" ht="12.75" customHeight="1">
      <c r="A83" s="199">
        <f>A82+1</f>
        <v>313</v>
      </c>
      <c r="B83" s="224" t="s">
        <v>1334</v>
      </c>
      <c r="C83" s="224"/>
      <c r="D83" s="592"/>
      <c r="E83" s="581">
        <f>IF(E79=G70,0,G70-E79)</f>
        <v>0</v>
      </c>
      <c r="F83" s="593"/>
      <c r="G83" s="866"/>
      <c r="J83" s="12"/>
      <c r="K83" s="562" t="s">
        <v>144</v>
      </c>
      <c r="L83" s="562"/>
      <c r="M83" s="607"/>
      <c r="N83" s="591"/>
      <c r="O83" s="608"/>
      <c r="P83" s="12"/>
      <c r="Q83" s="12"/>
      <c r="R83" s="216"/>
      <c r="S83" s="75"/>
      <c r="T83" s="12"/>
      <c r="U83" s="12"/>
      <c r="V83" s="12"/>
      <c r="IG83" s="12"/>
      <c r="IH83" s="12"/>
      <c r="II83" s="12"/>
      <c r="IJ83" s="12"/>
      <c r="IK83" s="12"/>
      <c r="IL83" s="12"/>
      <c r="IM83" s="12"/>
      <c r="IN83" s="12"/>
    </row>
    <row r="84" spans="1:248" s="32" customFormat="1" ht="12.75" customHeight="1">
      <c r="A84" s="199">
        <f>A83+1</f>
        <v>314</v>
      </c>
      <c r="B84" s="645" t="str">
        <f>CONCATENATE("Totaal toegelaten bedden k/j regel ",A79," en regel ",A83)</f>
        <v>Totaal toegelaten bedden k/j regel 309 en regel 313</v>
      </c>
      <c r="C84" s="611"/>
      <c r="D84" s="611"/>
      <c r="E84" s="4">
        <f>E79+E83</f>
        <v>0</v>
      </c>
      <c r="F84" s="646"/>
      <c r="G84" s="876">
        <f>SUM(G79:G83)</f>
        <v>0</v>
      </c>
      <c r="I84" s="12"/>
      <c r="J84" s="213"/>
      <c r="K84" s="562"/>
      <c r="L84" s="562"/>
      <c r="M84" s="607"/>
      <c r="N84" s="591"/>
      <c r="O84" s="608"/>
      <c r="P84" s="12"/>
      <c r="Q84" s="12"/>
      <c r="R84" s="12"/>
      <c r="S84" s="12"/>
      <c r="T84" s="12"/>
      <c r="U84" s="12"/>
      <c r="V84" s="12"/>
      <c r="IG84" s="12"/>
      <c r="IH84" s="12"/>
      <c r="II84" s="12"/>
      <c r="IJ84" s="12"/>
      <c r="IK84" s="12"/>
      <c r="IL84" s="12"/>
      <c r="IM84" s="12"/>
      <c r="IN84" s="12"/>
    </row>
    <row r="85" spans="9:248" s="32" customFormat="1" ht="12.75" customHeight="1">
      <c r="I85" s="585" t="s">
        <v>671</v>
      </c>
      <c r="J85" s="213"/>
      <c r="K85" s="562"/>
      <c r="L85" s="562"/>
      <c r="M85" s="607"/>
      <c r="N85" s="591"/>
      <c r="O85" s="608"/>
      <c r="P85" s="12"/>
      <c r="Q85" s="12"/>
      <c r="R85" s="12"/>
      <c r="S85" s="12"/>
      <c r="T85" s="12"/>
      <c r="U85" s="12"/>
      <c r="V85" s="12"/>
      <c r="IG85" s="12"/>
      <c r="IH85" s="12"/>
      <c r="II85" s="12"/>
      <c r="IJ85" s="12"/>
      <c r="IK85" s="12"/>
      <c r="IL85" s="12"/>
      <c r="IM85" s="12"/>
      <c r="IN85" s="12"/>
    </row>
    <row r="86" spans="1:248" s="32" customFormat="1" ht="12.75" customHeight="1">
      <c r="A86" s="202" t="s">
        <v>1448</v>
      </c>
      <c r="B86" s="7" t="s">
        <v>1413</v>
      </c>
      <c r="C86" s="12"/>
      <c r="D86" s="12"/>
      <c r="E86" s="595"/>
      <c r="F86" s="595"/>
      <c r="G86" s="88"/>
      <c r="I86" s="588" t="s">
        <v>787</v>
      </c>
      <c r="J86" s="213"/>
      <c r="K86" s="562"/>
      <c r="L86" s="562"/>
      <c r="M86" s="607"/>
      <c r="N86" s="591"/>
      <c r="O86" s="608"/>
      <c r="P86" s="12"/>
      <c r="Q86" s="12"/>
      <c r="R86" s="12"/>
      <c r="S86" s="12"/>
      <c r="T86" s="12"/>
      <c r="U86" s="12"/>
      <c r="V86" s="12"/>
      <c r="IG86" s="12"/>
      <c r="IH86" s="12"/>
      <c r="II86" s="12"/>
      <c r="IJ86" s="12"/>
      <c r="IK86" s="12"/>
      <c r="IL86" s="12"/>
      <c r="IM86" s="12"/>
      <c r="IN86" s="12"/>
    </row>
    <row r="87" spans="1:248" s="32" customFormat="1" ht="12.75" customHeight="1">
      <c r="A87" s="199">
        <f>A84+1</f>
        <v>315</v>
      </c>
      <c r="B87" s="223" t="s">
        <v>664</v>
      </c>
      <c r="C87" s="224"/>
      <c r="D87" s="224"/>
      <c r="E87" s="581">
        <f>IF(I87&gt;G75,G75,I87)</f>
        <v>0</v>
      </c>
      <c r="F87" s="619">
        <f>Uitvoerbestand!I54</f>
        <v>13010.039999999999</v>
      </c>
      <c r="G87" s="465">
        <f>ROUND(E87*F87,0)</f>
        <v>0</v>
      </c>
      <c r="I87" s="686">
        <f>CEILING(E98/(200*0.983),1)</f>
        <v>0</v>
      </c>
      <c r="J87" s="213"/>
      <c r="K87" s="562" t="s">
        <v>665</v>
      </c>
      <c r="L87" s="562"/>
      <c r="M87" s="610">
        <f>G87*A87</f>
        <v>0</v>
      </c>
      <c r="N87" s="591"/>
      <c r="O87" s="608"/>
      <c r="P87" s="12"/>
      <c r="Q87" s="12"/>
      <c r="R87" s="12"/>
      <c r="S87" s="12"/>
      <c r="T87" s="12"/>
      <c r="U87" s="12"/>
      <c r="V87" s="12"/>
      <c r="IG87" s="12"/>
      <c r="IH87" s="12"/>
      <c r="II87" s="12"/>
      <c r="IJ87" s="12"/>
      <c r="IK87" s="12"/>
      <c r="IL87" s="12"/>
      <c r="IM87" s="12"/>
      <c r="IN87" s="12"/>
    </row>
    <row r="88" spans="1:248" s="32" customFormat="1" ht="12.75" customHeight="1">
      <c r="A88" s="199">
        <f>A87+1</f>
        <v>316</v>
      </c>
      <c r="B88" s="224" t="s">
        <v>914</v>
      </c>
      <c r="C88" s="224"/>
      <c r="D88" s="592"/>
      <c r="E88" s="581">
        <f>IF(E87=G75,0,G75-E87)</f>
        <v>0</v>
      </c>
      <c r="F88" s="595"/>
      <c r="G88" s="867"/>
      <c r="K88" s="562" t="s">
        <v>915</v>
      </c>
      <c r="L88" s="562"/>
      <c r="M88" s="594"/>
      <c r="N88" s="591"/>
      <c r="O88" s="608"/>
      <c r="P88" s="12"/>
      <c r="Q88" s="12"/>
      <c r="R88" s="216"/>
      <c r="S88" s="75"/>
      <c r="T88" s="12"/>
      <c r="U88" s="12"/>
      <c r="V88" s="12"/>
      <c r="IG88" s="12"/>
      <c r="IH88" s="12"/>
      <c r="II88" s="12"/>
      <c r="IJ88" s="12"/>
      <c r="IK88" s="12"/>
      <c r="IL88" s="12"/>
      <c r="IM88" s="12"/>
      <c r="IN88" s="12"/>
    </row>
    <row r="89" spans="1:248" s="32" customFormat="1" ht="12.75" customHeight="1">
      <c r="A89" s="199">
        <f>A88+1</f>
        <v>317</v>
      </c>
      <c r="B89" s="645" t="s">
        <v>949</v>
      </c>
      <c r="C89" s="611"/>
      <c r="D89" s="611"/>
      <c r="E89" s="4">
        <f>SUM(E87:E88)</f>
        <v>0</v>
      </c>
      <c r="F89" s="646"/>
      <c r="G89" s="876">
        <f>SUM(G87:G88)</f>
        <v>0</v>
      </c>
      <c r="K89" s="562"/>
      <c r="L89" s="562"/>
      <c r="M89" s="594"/>
      <c r="N89" s="591"/>
      <c r="O89" s="608"/>
      <c r="P89" s="12"/>
      <c r="Q89" s="12"/>
      <c r="R89" s="216"/>
      <c r="S89" s="75"/>
      <c r="T89" s="12"/>
      <c r="U89" s="12"/>
      <c r="V89" s="12"/>
      <c r="IG89" s="12"/>
      <c r="IH89" s="12"/>
      <c r="II89" s="12"/>
      <c r="IJ89" s="12"/>
      <c r="IK89" s="12"/>
      <c r="IL89" s="12"/>
      <c r="IM89" s="12"/>
      <c r="IN89" s="12"/>
    </row>
    <row r="90" spans="1:248" s="32" customFormat="1" ht="12.75" customHeight="1">
      <c r="A90" s="367"/>
      <c r="B90" s="89"/>
      <c r="C90" s="12"/>
      <c r="D90" s="12"/>
      <c r="E90" s="595"/>
      <c r="F90" s="595"/>
      <c r="G90" s="88"/>
      <c r="I90" s="1059"/>
      <c r="J90" s="1059"/>
      <c r="K90" s="562"/>
      <c r="L90" s="562"/>
      <c r="M90" s="594"/>
      <c r="N90" s="591"/>
      <c r="O90" s="608"/>
      <c r="P90" s="12"/>
      <c r="Q90" s="12"/>
      <c r="R90" s="216"/>
      <c r="S90" s="75"/>
      <c r="T90" s="12"/>
      <c r="U90" s="12"/>
      <c r="V90" s="12"/>
      <c r="IG90" s="12"/>
      <c r="IH90" s="12"/>
      <c r="II90" s="12"/>
      <c r="IJ90" s="12"/>
      <c r="IK90" s="12"/>
      <c r="IL90" s="12"/>
      <c r="IM90" s="12"/>
      <c r="IN90" s="12"/>
    </row>
    <row r="91" spans="1:238" ht="12.75" customHeight="1">
      <c r="A91" s="202" t="s">
        <v>1449</v>
      </c>
      <c r="B91" s="7" t="s">
        <v>1388</v>
      </c>
      <c r="C91" s="5"/>
      <c r="D91" s="7"/>
      <c r="E91" s="620"/>
      <c r="F91" s="621"/>
      <c r="G91" s="622"/>
      <c r="I91" s="857" t="s">
        <v>911</v>
      </c>
      <c r="J91" s="856"/>
      <c r="K91" s="623"/>
      <c r="L91" s="562"/>
      <c r="M91" s="564"/>
      <c r="N91" s="608"/>
      <c r="O91" s="608"/>
      <c r="P91" s="16"/>
      <c r="Q91" s="32"/>
      <c r="R91" s="32"/>
      <c r="S91" s="32"/>
      <c r="T91" s="32"/>
      <c r="U91" s="32"/>
      <c r="V91" s="32"/>
      <c r="W91" s="32"/>
      <c r="X91" s="32"/>
      <c r="Y91" s="32"/>
      <c r="Z91" s="32"/>
      <c r="AA91" s="32"/>
      <c r="AB91" s="32"/>
      <c r="AC91" s="32"/>
      <c r="AD91" s="32"/>
      <c r="AE91" s="32"/>
      <c r="AF91" s="32"/>
      <c r="AG91" s="32"/>
      <c r="AH91" s="32"/>
      <c r="AI91" s="32"/>
      <c r="AJ91" s="32"/>
      <c r="AK91" s="32"/>
      <c r="AL91" s="32"/>
      <c r="AM91" s="12"/>
      <c r="AN91" s="1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row>
    <row r="92" spans="1:238" ht="12.75" customHeight="1">
      <c r="A92" s="199">
        <f>A89+1</f>
        <v>318</v>
      </c>
      <c r="B92" s="224" t="s">
        <v>1088</v>
      </c>
      <c r="C92" s="224"/>
      <c r="D92" s="600" t="s">
        <v>644</v>
      </c>
      <c r="E92" s="207"/>
      <c r="F92" s="624">
        <f>Uitvoerbestand!I13</f>
        <v>145.02</v>
      </c>
      <c r="G92" s="465">
        <f aca="true" t="shared" si="5" ref="G92:G98">ROUND(E92*F92,0)</f>
        <v>0</v>
      </c>
      <c r="I92" s="854">
        <f aca="true" t="shared" si="6" ref="I92:I98">IF(E92=0,0,E92/$E$99)</f>
        <v>0</v>
      </c>
      <c r="J92" s="602"/>
      <c r="K92" s="562" t="s">
        <v>1045</v>
      </c>
      <c r="L92" s="562"/>
      <c r="M92" s="604">
        <f>G92*A92</f>
        <v>0</v>
      </c>
      <c r="N92" s="608"/>
      <c r="O92" s="608"/>
      <c r="P92" s="16"/>
      <c r="Q92" s="32"/>
      <c r="R92" s="32"/>
      <c r="S92" s="32"/>
      <c r="T92" s="32"/>
      <c r="U92" s="32"/>
      <c r="V92" s="32"/>
      <c r="W92" s="32"/>
      <c r="X92" s="32"/>
      <c r="Y92" s="32"/>
      <c r="Z92" s="32"/>
      <c r="AA92" s="32"/>
      <c r="AB92" s="32"/>
      <c r="AC92" s="32"/>
      <c r="AD92" s="32"/>
      <c r="AE92" s="32"/>
      <c r="AF92" s="32"/>
      <c r="AG92" s="32"/>
      <c r="AH92" s="32"/>
      <c r="AI92" s="32"/>
      <c r="AJ92" s="32"/>
      <c r="AK92" s="32"/>
      <c r="AL92" s="32"/>
      <c r="AM92" s="12"/>
      <c r="AN92" s="1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row>
    <row r="93" spans="1:238" ht="12.75" customHeight="1">
      <c r="A93" s="199">
        <f aca="true" t="shared" si="7" ref="A93:A99">A92+1</f>
        <v>319</v>
      </c>
      <c r="B93" s="224" t="s">
        <v>1089</v>
      </c>
      <c r="C93" s="224"/>
      <c r="D93" s="600" t="s">
        <v>645</v>
      </c>
      <c r="E93" s="207"/>
      <c r="F93" s="624">
        <f>Uitvoerbestand!I14</f>
        <v>198.74</v>
      </c>
      <c r="G93" s="465">
        <f t="shared" si="5"/>
        <v>0</v>
      </c>
      <c r="I93" s="854">
        <f t="shared" si="6"/>
        <v>0</v>
      </c>
      <c r="J93" s="602"/>
      <c r="K93" s="562" t="s">
        <v>1040</v>
      </c>
      <c r="L93" s="562"/>
      <c r="M93" s="607">
        <f aca="true" t="shared" si="8" ref="M93:M98">G93*A93</f>
        <v>0</v>
      </c>
      <c r="N93" s="608"/>
      <c r="O93" s="608"/>
      <c r="P93" s="16"/>
      <c r="Q93" s="32"/>
      <c r="R93" s="32"/>
      <c r="S93" s="32"/>
      <c r="T93" s="32"/>
      <c r="U93" s="32"/>
      <c r="V93" s="32"/>
      <c r="W93" s="32"/>
      <c r="X93" s="32"/>
      <c r="Y93" s="32"/>
      <c r="Z93" s="32"/>
      <c r="AA93" s="32"/>
      <c r="AB93" s="32"/>
      <c r="AC93" s="32"/>
      <c r="AD93" s="32"/>
      <c r="AE93" s="32"/>
      <c r="AF93" s="32"/>
      <c r="AG93" s="32"/>
      <c r="AH93" s="32"/>
      <c r="AI93" s="32"/>
      <c r="AJ93" s="32"/>
      <c r="AK93" s="32"/>
      <c r="AL93" s="32"/>
      <c r="AM93" s="12"/>
      <c r="AN93" s="1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row>
    <row r="94" spans="1:238" ht="12.75" customHeight="1">
      <c r="A94" s="199">
        <f t="shared" si="7"/>
        <v>320</v>
      </c>
      <c r="B94" s="224" t="s">
        <v>1398</v>
      </c>
      <c r="C94" s="224"/>
      <c r="D94" s="600" t="s">
        <v>646</v>
      </c>
      <c r="E94" s="207"/>
      <c r="F94" s="624">
        <f>Uitvoerbestand!I15</f>
        <v>179.29</v>
      </c>
      <c r="G94" s="465">
        <f t="shared" si="5"/>
        <v>0</v>
      </c>
      <c r="I94" s="854">
        <f t="shared" si="6"/>
        <v>0</v>
      </c>
      <c r="J94" s="602"/>
      <c r="K94" s="562" t="s">
        <v>1041</v>
      </c>
      <c r="L94" s="562"/>
      <c r="M94" s="607">
        <f t="shared" si="8"/>
        <v>0</v>
      </c>
      <c r="N94" s="608"/>
      <c r="O94" s="608"/>
      <c r="P94" s="16"/>
      <c r="Q94" s="32"/>
      <c r="R94" s="32"/>
      <c r="S94" s="32"/>
      <c r="T94" s="32"/>
      <c r="U94" s="32"/>
      <c r="V94" s="32"/>
      <c r="W94" s="32"/>
      <c r="X94" s="32"/>
      <c r="Y94" s="32"/>
      <c r="Z94" s="32"/>
      <c r="AA94" s="32"/>
      <c r="AB94" s="32"/>
      <c r="AC94" s="32"/>
      <c r="AD94" s="32"/>
      <c r="AE94" s="32"/>
      <c r="AF94" s="32"/>
      <c r="AG94" s="32"/>
      <c r="AH94" s="32"/>
      <c r="AI94" s="32"/>
      <c r="AJ94" s="32"/>
      <c r="AK94" s="32"/>
      <c r="AL94" s="32"/>
      <c r="AM94" s="12"/>
      <c r="AN94" s="1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row>
    <row r="95" spans="1:238" ht="12.75" customHeight="1">
      <c r="A95" s="199">
        <f t="shared" si="7"/>
        <v>321</v>
      </c>
      <c r="B95" s="224" t="s">
        <v>1399</v>
      </c>
      <c r="C95" s="224"/>
      <c r="D95" s="600" t="s">
        <v>647</v>
      </c>
      <c r="E95" s="207"/>
      <c r="F95" s="624">
        <f>Uitvoerbestand!I16</f>
        <v>232.99</v>
      </c>
      <c r="G95" s="465">
        <f t="shared" si="5"/>
        <v>0</v>
      </c>
      <c r="I95" s="854">
        <f t="shared" si="6"/>
        <v>0</v>
      </c>
      <c r="J95" s="602"/>
      <c r="K95" s="562" t="s">
        <v>1042</v>
      </c>
      <c r="L95" s="562"/>
      <c r="M95" s="607">
        <f t="shared" si="8"/>
        <v>0</v>
      </c>
      <c r="N95" s="608"/>
      <c r="O95" s="608"/>
      <c r="P95" s="16"/>
      <c r="Q95" s="32"/>
      <c r="R95" s="32"/>
      <c r="S95" s="32"/>
      <c r="T95" s="32"/>
      <c r="U95" s="32"/>
      <c r="V95" s="32"/>
      <c r="W95" s="32"/>
      <c r="X95" s="32"/>
      <c r="Y95" s="32"/>
      <c r="Z95" s="32"/>
      <c r="AA95" s="32"/>
      <c r="AB95" s="32"/>
      <c r="AC95" s="32"/>
      <c r="AD95" s="32"/>
      <c r="AE95" s="32"/>
      <c r="AF95" s="32"/>
      <c r="AG95" s="32"/>
      <c r="AH95" s="32"/>
      <c r="AI95" s="32"/>
      <c r="AJ95" s="32"/>
      <c r="AK95" s="32"/>
      <c r="AL95" s="32"/>
      <c r="AM95" s="12"/>
      <c r="AN95" s="1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row>
    <row r="96" spans="1:238" ht="12.75" customHeight="1">
      <c r="A96" s="199">
        <f t="shared" si="7"/>
        <v>322</v>
      </c>
      <c r="B96" s="224" t="s">
        <v>1262</v>
      </c>
      <c r="C96" s="224"/>
      <c r="D96" s="600" t="s">
        <v>648</v>
      </c>
      <c r="E96" s="207"/>
      <c r="F96" s="624">
        <f>Uitvoerbestand!I17</f>
        <v>236.1</v>
      </c>
      <c r="G96" s="465">
        <f t="shared" si="5"/>
        <v>0</v>
      </c>
      <c r="I96" s="854">
        <f t="shared" si="6"/>
        <v>0</v>
      </c>
      <c r="J96" s="602"/>
      <c r="K96" s="562" t="s">
        <v>1043</v>
      </c>
      <c r="L96" s="562"/>
      <c r="M96" s="607">
        <f t="shared" si="8"/>
        <v>0</v>
      </c>
      <c r="N96" s="608"/>
      <c r="O96" s="608"/>
      <c r="P96" s="16"/>
      <c r="Q96" s="32"/>
      <c r="R96" s="32"/>
      <c r="S96" s="32"/>
      <c r="T96" s="32"/>
      <c r="U96" s="32"/>
      <c r="V96" s="32"/>
      <c r="W96" s="32"/>
      <c r="X96" s="32"/>
      <c r="Y96" s="32"/>
      <c r="Z96" s="32"/>
      <c r="AA96" s="32"/>
      <c r="AB96" s="32"/>
      <c r="AC96" s="32"/>
      <c r="AD96" s="32"/>
      <c r="AE96" s="32"/>
      <c r="AF96" s="32"/>
      <c r="AG96" s="32"/>
      <c r="AH96" s="32"/>
      <c r="AI96" s="32"/>
      <c r="AJ96" s="32"/>
      <c r="AK96" s="32"/>
      <c r="AL96" s="32"/>
      <c r="AM96" s="12"/>
      <c r="AN96" s="1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row>
    <row r="97" spans="1:238" ht="12.75" customHeight="1">
      <c r="A97" s="199">
        <f t="shared" si="7"/>
        <v>323</v>
      </c>
      <c r="B97" s="378" t="s">
        <v>690</v>
      </c>
      <c r="C97" s="378"/>
      <c r="D97" s="600" t="s">
        <v>649</v>
      </c>
      <c r="E97" s="207"/>
      <c r="F97" s="624">
        <f>Uitvoerbestand!I18</f>
        <v>300.85999999999996</v>
      </c>
      <c r="G97" s="465">
        <f t="shared" si="5"/>
        <v>0</v>
      </c>
      <c r="I97" s="854">
        <f t="shared" si="6"/>
        <v>0</v>
      </c>
      <c r="J97" s="602"/>
      <c r="K97" s="562" t="s">
        <v>1044</v>
      </c>
      <c r="L97" s="562"/>
      <c r="M97" s="607">
        <f t="shared" si="8"/>
        <v>0</v>
      </c>
      <c r="N97" s="608"/>
      <c r="O97" s="33"/>
      <c r="P97" s="16"/>
      <c r="Q97" s="32"/>
      <c r="R97" s="32"/>
      <c r="S97" s="32"/>
      <c r="T97" s="32"/>
      <c r="U97" s="32"/>
      <c r="V97" s="32"/>
      <c r="W97" s="32"/>
      <c r="X97" s="32"/>
      <c r="Y97" s="32"/>
      <c r="Z97" s="32"/>
      <c r="AA97" s="32"/>
      <c r="AB97" s="32"/>
      <c r="AC97" s="32"/>
      <c r="AD97" s="32"/>
      <c r="AE97" s="32"/>
      <c r="AF97" s="32"/>
      <c r="AG97" s="32"/>
      <c r="AH97" s="32"/>
      <c r="AI97" s="32"/>
      <c r="AJ97" s="32"/>
      <c r="AK97" s="32"/>
      <c r="AL97" s="32"/>
      <c r="AM97" s="12"/>
      <c r="AN97" s="1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row>
    <row r="98" spans="1:238" ht="12.75" customHeight="1">
      <c r="A98" s="199">
        <f t="shared" si="7"/>
        <v>324</v>
      </c>
      <c r="B98" s="378" t="s">
        <v>1480</v>
      </c>
      <c r="C98" s="378"/>
      <c r="D98" s="600" t="s">
        <v>1478</v>
      </c>
      <c r="E98" s="207"/>
      <c r="F98" s="624">
        <f>Uitvoerbestand!I19</f>
        <v>215.61</v>
      </c>
      <c r="G98" s="465">
        <f t="shared" si="5"/>
        <v>0</v>
      </c>
      <c r="I98" s="854">
        <f t="shared" si="6"/>
        <v>0</v>
      </c>
      <c r="J98" s="602"/>
      <c r="K98" s="562" t="s">
        <v>1479</v>
      </c>
      <c r="L98" s="562"/>
      <c r="M98" s="610">
        <f t="shared" si="8"/>
        <v>0</v>
      </c>
      <c r="N98" s="608"/>
      <c r="O98" s="33"/>
      <c r="P98" s="16"/>
      <c r="Q98" s="32"/>
      <c r="R98" s="32"/>
      <c r="S98" s="32"/>
      <c r="T98" s="32"/>
      <c r="U98" s="32"/>
      <c r="V98" s="32"/>
      <c r="W98" s="32"/>
      <c r="X98" s="32"/>
      <c r="Y98" s="32"/>
      <c r="Z98" s="32"/>
      <c r="AA98" s="32"/>
      <c r="AB98" s="32"/>
      <c r="AC98" s="32"/>
      <c r="AD98" s="32"/>
      <c r="AE98" s="32"/>
      <c r="AF98" s="32"/>
      <c r="AG98" s="32"/>
      <c r="AH98" s="32"/>
      <c r="AI98" s="32"/>
      <c r="AJ98" s="32"/>
      <c r="AK98" s="32"/>
      <c r="AL98" s="32"/>
      <c r="AM98" s="12"/>
      <c r="AN98" s="1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row>
    <row r="99" spans="1:238" ht="12.75" customHeight="1">
      <c r="A99" s="199">
        <f t="shared" si="7"/>
        <v>325</v>
      </c>
      <c r="B99" s="611" t="s">
        <v>468</v>
      </c>
      <c r="C99" s="611"/>
      <c r="D99" s="611"/>
      <c r="E99" s="4">
        <f>SUM(E92:E98)</f>
        <v>0</v>
      </c>
      <c r="F99" s="626"/>
      <c r="G99" s="876">
        <f>SUM(G92:G98)</f>
        <v>0</v>
      </c>
      <c r="I99" s="435">
        <f>SUM(I92:I98)</f>
        <v>0</v>
      </c>
      <c r="J99" s="105"/>
      <c r="K99" s="613"/>
      <c r="L99" s="562"/>
      <c r="M99" s="564"/>
      <c r="N99" s="608"/>
      <c r="O99" s="33"/>
      <c r="P99" s="16"/>
      <c r="Q99" s="32"/>
      <c r="R99" s="32"/>
      <c r="S99" s="32"/>
      <c r="T99" s="32"/>
      <c r="U99" s="32"/>
      <c r="V99" s="32"/>
      <c r="W99" s="32"/>
      <c r="X99" s="32"/>
      <c r="Y99" s="32"/>
      <c r="Z99" s="32"/>
      <c r="AA99" s="32"/>
      <c r="AB99" s="32"/>
      <c r="AC99" s="32"/>
      <c r="AD99" s="32"/>
      <c r="AE99" s="32"/>
      <c r="AF99" s="32"/>
      <c r="AG99" s="32"/>
      <c r="AH99" s="32"/>
      <c r="AI99" s="32"/>
      <c r="AJ99" s="32"/>
      <c r="AK99" s="32"/>
      <c r="AL99" s="32"/>
      <c r="AM99" s="12"/>
      <c r="AN99" s="1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row>
    <row r="100" spans="1:238" s="90" customFormat="1" ht="12.75" customHeight="1">
      <c r="A100" s="367"/>
      <c r="B100" s="5"/>
      <c r="C100" s="5"/>
      <c r="D100" s="5"/>
      <c r="E100" s="11"/>
      <c r="F100" s="627"/>
      <c r="G100" s="8"/>
      <c r="H100" s="628"/>
      <c r="I100" s="105"/>
      <c r="J100" s="105"/>
      <c r="K100" s="613"/>
      <c r="L100" s="562"/>
      <c r="M100" s="629"/>
      <c r="N100" s="630"/>
      <c r="O100" s="12"/>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2"/>
      <c r="AN100" s="12"/>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row>
    <row r="101" spans="1:238" s="90" customFormat="1" ht="12.75" customHeight="1">
      <c r="A101" s="367"/>
      <c r="B101" s="5"/>
      <c r="C101" s="5"/>
      <c r="D101" s="5"/>
      <c r="E101" s="11"/>
      <c r="F101" s="627"/>
      <c r="G101" s="8"/>
      <c r="H101" s="628"/>
      <c r="I101" s="59" t="s">
        <v>1430</v>
      </c>
      <c r="J101" s="105"/>
      <c r="K101" s="613"/>
      <c r="L101" s="562"/>
      <c r="M101" s="629"/>
      <c r="N101" s="608"/>
      <c r="O101" s="608"/>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2"/>
      <c r="AN101" s="12"/>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row>
    <row r="102" spans="1:248" s="90" customFormat="1" ht="12.75" customHeight="1">
      <c r="A102" s="202" t="s">
        <v>29</v>
      </c>
      <c r="B102" s="7" t="s">
        <v>575</v>
      </c>
      <c r="C102" s="203"/>
      <c r="D102" s="203"/>
      <c r="E102" s="203"/>
      <c r="F102" s="203"/>
      <c r="G102" s="423" t="s">
        <v>565</v>
      </c>
      <c r="I102" s="59" t="str">
        <f>$I$6</f>
        <v>120 / </v>
      </c>
      <c r="K102" s="562"/>
      <c r="L102" s="562"/>
      <c r="M102" s="415"/>
      <c r="N102" s="608"/>
      <c r="O102" s="608"/>
      <c r="AB102" s="193"/>
      <c r="AF102" s="75"/>
      <c r="AG102" s="75"/>
      <c r="AH102" s="194"/>
      <c r="AI102" s="195"/>
      <c r="AJ102" s="195"/>
      <c r="AK102" s="195"/>
      <c r="AL102" s="195"/>
      <c r="IG102" s="75"/>
      <c r="IH102" s="75"/>
      <c r="II102" s="75"/>
      <c r="IJ102" s="75"/>
      <c r="IK102" s="75"/>
      <c r="IL102" s="75"/>
      <c r="IM102" s="75"/>
      <c r="IN102" s="75"/>
    </row>
    <row r="103" spans="1:248" s="90" customFormat="1" ht="12.75" customHeight="1">
      <c r="A103" s="202"/>
      <c r="B103" s="7"/>
      <c r="C103" s="203"/>
      <c r="D103" s="203"/>
      <c r="E103" s="203"/>
      <c r="F103" s="203"/>
      <c r="G103" s="424" t="s">
        <v>716</v>
      </c>
      <c r="K103" s="562"/>
      <c r="L103" s="562"/>
      <c r="M103" s="415"/>
      <c r="N103" s="608"/>
      <c r="O103" s="608"/>
      <c r="AB103" s="193"/>
      <c r="AF103" s="75"/>
      <c r="AG103" s="75"/>
      <c r="AH103" s="194"/>
      <c r="AI103" s="195"/>
      <c r="AJ103" s="195"/>
      <c r="AK103" s="195"/>
      <c r="AL103" s="195"/>
      <c r="IG103" s="75"/>
      <c r="IH103" s="75"/>
      <c r="II103" s="75"/>
      <c r="IJ103" s="75"/>
      <c r="IK103" s="75"/>
      <c r="IL103" s="75"/>
      <c r="IM103" s="75"/>
      <c r="IN103" s="75"/>
    </row>
    <row r="104" spans="1:248" s="90" customFormat="1" ht="12.75" customHeight="1">
      <c r="A104" s="202" t="s">
        <v>1450</v>
      </c>
      <c r="B104" s="7" t="s">
        <v>1462</v>
      </c>
      <c r="C104" s="203"/>
      <c r="D104" s="203"/>
      <c r="E104" s="203"/>
      <c r="F104" s="203"/>
      <c r="G104" s="425">
        <v>2009</v>
      </c>
      <c r="J104" s="578"/>
      <c r="K104" s="562"/>
      <c r="L104" s="562"/>
      <c r="M104" s="582">
        <f>G108*A105</f>
        <v>0</v>
      </c>
      <c r="N104" s="608"/>
      <c r="O104" s="608"/>
      <c r="AB104" s="193"/>
      <c r="AF104" s="75"/>
      <c r="AG104" s="75"/>
      <c r="AH104" s="194"/>
      <c r="AI104" s="195"/>
      <c r="AJ104" s="195"/>
      <c r="AK104" s="195"/>
      <c r="AL104" s="195"/>
      <c r="IG104" s="75"/>
      <c r="IH104" s="75"/>
      <c r="II104" s="75"/>
      <c r="IJ104" s="75"/>
      <c r="IK104" s="75"/>
      <c r="IL104" s="75"/>
      <c r="IM104" s="75"/>
      <c r="IN104" s="75"/>
    </row>
    <row r="105" spans="1:248" s="90" customFormat="1" ht="12.75" customHeight="1">
      <c r="A105" s="199">
        <f>401</f>
        <v>401</v>
      </c>
      <c r="B105" s="57" t="s">
        <v>343</v>
      </c>
      <c r="C105" s="200"/>
      <c r="D105" s="200"/>
      <c r="E105" s="200"/>
      <c r="F105" s="206"/>
      <c r="G105" s="965"/>
      <c r="K105" s="562"/>
      <c r="L105" s="562"/>
      <c r="M105" s="564"/>
      <c r="N105" s="608"/>
      <c r="O105" s="608"/>
      <c r="AB105" s="193"/>
      <c r="AF105" s="75"/>
      <c r="AG105" s="75"/>
      <c r="AH105" s="194"/>
      <c r="AI105" s="195"/>
      <c r="AJ105" s="195"/>
      <c r="AK105" s="195"/>
      <c r="AL105" s="195"/>
      <c r="IG105" s="75"/>
      <c r="IH105" s="75"/>
      <c r="II105" s="75"/>
      <c r="IJ105" s="75"/>
      <c r="IK105" s="75"/>
      <c r="IL105" s="75"/>
      <c r="IM105" s="75"/>
      <c r="IN105" s="75"/>
    </row>
    <row r="106" spans="1:248" s="90" customFormat="1" ht="12.75" customHeight="1">
      <c r="A106" s="199">
        <f>A105+1</f>
        <v>402</v>
      </c>
      <c r="B106" s="57" t="s">
        <v>344</v>
      </c>
      <c r="C106" s="200"/>
      <c r="D106" s="200"/>
      <c r="E106" s="200"/>
      <c r="F106" s="206"/>
      <c r="G106" s="965"/>
      <c r="K106" s="562"/>
      <c r="L106" s="562"/>
      <c r="M106" s="564"/>
      <c r="N106" s="608"/>
      <c r="O106" s="608"/>
      <c r="AB106" s="193"/>
      <c r="AF106" s="75"/>
      <c r="AG106" s="75"/>
      <c r="AH106" s="194"/>
      <c r="AI106" s="195"/>
      <c r="AJ106" s="195"/>
      <c r="AK106" s="195"/>
      <c r="AL106" s="195"/>
      <c r="IG106" s="75"/>
      <c r="IH106" s="75"/>
      <c r="II106" s="75"/>
      <c r="IJ106" s="75"/>
      <c r="IK106" s="75"/>
      <c r="IL106" s="75"/>
      <c r="IM106" s="75"/>
      <c r="IN106" s="75"/>
    </row>
    <row r="107" spans="1:248" s="90" customFormat="1" ht="12.75" customHeight="1">
      <c r="A107" s="199">
        <f>A106+1</f>
        <v>403</v>
      </c>
      <c r="B107" s="57" t="s">
        <v>345</v>
      </c>
      <c r="C107" s="200"/>
      <c r="D107" s="200"/>
      <c r="E107" s="200"/>
      <c r="F107" s="206"/>
      <c r="G107" s="965"/>
      <c r="K107" s="562"/>
      <c r="L107" s="562"/>
      <c r="M107" s="564"/>
      <c r="N107" s="608"/>
      <c r="O107" s="608"/>
      <c r="AB107" s="193"/>
      <c r="AF107" s="75"/>
      <c r="AG107" s="75"/>
      <c r="AH107" s="194"/>
      <c r="AI107" s="195"/>
      <c r="AJ107" s="195"/>
      <c r="AK107" s="195"/>
      <c r="AL107" s="195"/>
      <c r="IG107" s="75"/>
      <c r="IH107" s="75"/>
      <c r="II107" s="75"/>
      <c r="IJ107" s="75"/>
      <c r="IK107" s="75"/>
      <c r="IL107" s="75"/>
      <c r="IM107" s="75"/>
      <c r="IN107" s="75"/>
    </row>
    <row r="108" spans="1:248" s="90" customFormat="1" ht="12.75" customHeight="1">
      <c r="A108" s="199">
        <f>A107+1</f>
        <v>404</v>
      </c>
      <c r="B108" s="645" t="s">
        <v>1415</v>
      </c>
      <c r="C108" s="611"/>
      <c r="D108" s="611"/>
      <c r="E108" s="17"/>
      <c r="F108" s="646"/>
      <c r="G108" s="4">
        <f>SUM(G105:G107)</f>
        <v>0</v>
      </c>
      <c r="K108" s="562"/>
      <c r="L108" s="562"/>
      <c r="M108" s="564"/>
      <c r="N108" s="608"/>
      <c r="O108" s="608"/>
      <c r="AB108" s="193"/>
      <c r="AF108" s="75"/>
      <c r="AG108" s="75"/>
      <c r="AH108" s="194"/>
      <c r="AI108" s="195"/>
      <c r="AJ108" s="195"/>
      <c r="AK108" s="195"/>
      <c r="AL108" s="195"/>
      <c r="IG108" s="75"/>
      <c r="IH108" s="75"/>
      <c r="II108" s="75"/>
      <c r="IJ108" s="75"/>
      <c r="IK108" s="75"/>
      <c r="IL108" s="75"/>
      <c r="IM108" s="75"/>
      <c r="IN108" s="75"/>
    </row>
    <row r="109" spans="1:248" s="90" customFormat="1" ht="12.75" customHeight="1">
      <c r="A109" s="202"/>
      <c r="B109" s="58"/>
      <c r="C109" s="203"/>
      <c r="D109" s="203"/>
      <c r="E109" s="203"/>
      <c r="F109" s="203"/>
      <c r="G109" s="203"/>
      <c r="H109" s="204"/>
      <c r="I109" s="579"/>
      <c r="J109" s="578"/>
      <c r="K109" s="562"/>
      <c r="L109" s="562"/>
      <c r="M109" s="415"/>
      <c r="N109" s="608"/>
      <c r="O109" s="608"/>
      <c r="AB109" s="193"/>
      <c r="AF109" s="75"/>
      <c r="AG109" s="75"/>
      <c r="AH109" s="194"/>
      <c r="AI109" s="195"/>
      <c r="AJ109" s="195"/>
      <c r="AK109" s="195"/>
      <c r="AL109" s="195"/>
      <c r="IG109" s="75"/>
      <c r="IH109" s="75"/>
      <c r="II109" s="75"/>
      <c r="IJ109" s="75"/>
      <c r="IK109" s="75"/>
      <c r="IL109" s="75"/>
      <c r="IM109" s="75"/>
      <c r="IN109" s="75"/>
    </row>
    <row r="110" spans="3:248" s="90" customFormat="1" ht="12.75" customHeight="1">
      <c r="C110" s="203"/>
      <c r="D110" s="203"/>
      <c r="E110" s="583" t="s">
        <v>567</v>
      </c>
      <c r="F110" s="583" t="s">
        <v>469</v>
      </c>
      <c r="G110" s="584" t="s">
        <v>470</v>
      </c>
      <c r="I110" s="585" t="s">
        <v>671</v>
      </c>
      <c r="J110" s="366"/>
      <c r="K110" s="562"/>
      <c r="L110" s="562"/>
      <c r="M110" s="415"/>
      <c r="N110" s="608"/>
      <c r="O110" s="608"/>
      <c r="AB110" s="193"/>
      <c r="AF110" s="75"/>
      <c r="AG110" s="75"/>
      <c r="AH110" s="194"/>
      <c r="AI110" s="195"/>
      <c r="AJ110" s="195"/>
      <c r="AK110" s="195"/>
      <c r="AL110" s="195"/>
      <c r="IG110" s="75"/>
      <c r="IH110" s="75"/>
      <c r="II110" s="75"/>
      <c r="IJ110" s="75"/>
      <c r="IK110" s="75"/>
      <c r="IL110" s="75"/>
      <c r="IM110" s="75"/>
      <c r="IN110" s="75"/>
    </row>
    <row r="111" spans="1:248" ht="12.75" customHeight="1">
      <c r="A111" s="202" t="s">
        <v>1418</v>
      </c>
      <c r="B111" s="7" t="s">
        <v>577</v>
      </c>
      <c r="C111" s="35"/>
      <c r="D111" s="35"/>
      <c r="E111" s="586">
        <f>E48</f>
        <v>2009</v>
      </c>
      <c r="F111" s="587"/>
      <c r="G111" s="586"/>
      <c r="I111" s="588" t="s">
        <v>787</v>
      </c>
      <c r="J111" s="366"/>
      <c r="K111" s="562"/>
      <c r="L111" s="562"/>
      <c r="N111" s="608"/>
      <c r="O111" s="608"/>
      <c r="AB111" s="74"/>
      <c r="AF111" s="75"/>
      <c r="AG111" s="75"/>
      <c r="AH111" s="101"/>
      <c r="AI111" s="102"/>
      <c r="AJ111" s="102"/>
      <c r="AK111" s="102"/>
      <c r="AL111" s="102"/>
      <c r="IG111" s="75"/>
      <c r="IH111" s="75"/>
      <c r="II111" s="75"/>
      <c r="IJ111" s="75"/>
      <c r="IK111" s="75"/>
      <c r="IL111" s="75"/>
      <c r="IM111" s="75"/>
      <c r="IN111" s="75"/>
    </row>
    <row r="112" spans="1:248" s="32" customFormat="1" ht="12.75" customHeight="1">
      <c r="A112" s="199">
        <f>A108+1</f>
        <v>405</v>
      </c>
      <c r="B112" s="224" t="s">
        <v>576</v>
      </c>
      <c r="C112" s="224"/>
      <c r="D112" s="224"/>
      <c r="E112" s="617">
        <f>IF(I112&gt;G105+G107,G105+G107,I112)</f>
        <v>0</v>
      </c>
      <c r="F112" s="631">
        <f>Uitvoerbestand!I55</f>
        <v>19502.68</v>
      </c>
      <c r="G112" s="465">
        <f>ROUND(E112*F112,0)</f>
        <v>0</v>
      </c>
      <c r="I112" s="686">
        <f>CEILING((SUM(E118:E120)+SUM(E122:E126))/(365*0.97),1)</f>
        <v>0</v>
      </c>
      <c r="J112" s="12"/>
      <c r="K112" s="562" t="s">
        <v>547</v>
      </c>
      <c r="L112" s="562"/>
      <c r="M112" s="604">
        <f>G112*A112</f>
        <v>0</v>
      </c>
      <c r="N112" s="608"/>
      <c r="O112" s="608"/>
      <c r="P112" s="12"/>
      <c r="Q112" s="12"/>
      <c r="R112" s="12"/>
      <c r="S112" s="12"/>
      <c r="T112" s="12"/>
      <c r="U112" s="12"/>
      <c r="V112" s="12"/>
      <c r="IG112" s="12"/>
      <c r="IH112" s="12"/>
      <c r="II112" s="12"/>
      <c r="IJ112" s="12"/>
      <c r="IK112" s="12"/>
      <c r="IL112" s="12"/>
      <c r="IM112" s="12"/>
      <c r="IN112" s="12"/>
    </row>
    <row r="113" spans="1:248" s="32" customFormat="1" ht="12.75" customHeight="1">
      <c r="A113" s="199">
        <f>A112+1</f>
        <v>406</v>
      </c>
      <c r="B113" s="223" t="s">
        <v>1263</v>
      </c>
      <c r="C113" s="224"/>
      <c r="D113" s="224"/>
      <c r="E113" s="617">
        <f>IF(I112+I113&gt;G108,G108-E112,I113)</f>
        <v>0</v>
      </c>
      <c r="F113" s="631">
        <f>Uitvoerbestand!I56</f>
        <v>18570.85</v>
      </c>
      <c r="G113" s="465">
        <f>ROUND(E113*F113,0)</f>
        <v>0</v>
      </c>
      <c r="I113" s="686">
        <f>CEILING(E121/(365*0.97),1)</f>
        <v>0</v>
      </c>
      <c r="J113" s="12"/>
      <c r="K113" s="562" t="s">
        <v>546</v>
      </c>
      <c r="L113" s="562"/>
      <c r="M113" s="610">
        <f>(G113)*A113</f>
        <v>0</v>
      </c>
      <c r="N113" s="608"/>
      <c r="O113" s="608"/>
      <c r="P113" s="12"/>
      <c r="Q113" s="12"/>
      <c r="R113" s="12"/>
      <c r="S113" s="12"/>
      <c r="T113" s="12"/>
      <c r="U113" s="12"/>
      <c r="V113" s="12"/>
      <c r="IG113" s="12"/>
      <c r="IH113" s="12"/>
      <c r="II113" s="12"/>
      <c r="IJ113" s="12"/>
      <c r="IK113" s="12"/>
      <c r="IL113" s="12"/>
      <c r="IM113" s="12"/>
      <c r="IN113" s="12"/>
    </row>
    <row r="114" spans="1:248" s="32" customFormat="1" ht="12.75" customHeight="1">
      <c r="A114" s="199">
        <f>A113+1</f>
        <v>407</v>
      </c>
      <c r="B114" s="224" t="s">
        <v>899</v>
      </c>
      <c r="C114" s="224"/>
      <c r="D114" s="592"/>
      <c r="E114" s="581">
        <f>IF(E112+E113=G108,0,G108-E112-E113)</f>
        <v>0</v>
      </c>
      <c r="F114" s="593"/>
      <c r="G114" s="855"/>
      <c r="I114" s="12"/>
      <c r="J114" s="12"/>
      <c r="K114" s="562" t="s">
        <v>145</v>
      </c>
      <c r="L114" s="562"/>
      <c r="M114" s="196"/>
      <c r="N114" s="608"/>
      <c r="O114" s="608"/>
      <c r="P114" s="12"/>
      <c r="Q114" s="12"/>
      <c r="R114" s="216"/>
      <c r="S114" s="75"/>
      <c r="T114" s="12"/>
      <c r="U114" s="12"/>
      <c r="V114" s="12"/>
      <c r="IG114" s="12"/>
      <c r="IH114" s="12"/>
      <c r="II114" s="12"/>
      <c r="IJ114" s="12"/>
      <c r="IK114" s="12"/>
      <c r="IL114" s="12"/>
      <c r="IM114" s="12"/>
      <c r="IN114" s="12"/>
    </row>
    <row r="115" spans="1:248" s="32" customFormat="1" ht="12.75" customHeight="1">
      <c r="A115" s="199">
        <f>A114+1</f>
        <v>408</v>
      </c>
      <c r="B115" s="645" t="s">
        <v>1415</v>
      </c>
      <c r="C115" s="611"/>
      <c r="D115" s="611"/>
      <c r="E115" s="4">
        <f>SUM(E112:E114)</f>
        <v>0</v>
      </c>
      <c r="F115" s="646"/>
      <c r="G115" s="876">
        <f>SUM(G112:G114)</f>
        <v>0</v>
      </c>
      <c r="I115" s="12"/>
      <c r="J115" s="12"/>
      <c r="K115" s="562"/>
      <c r="L115" s="562"/>
      <c r="M115" s="196"/>
      <c r="N115" s="608"/>
      <c r="O115" s="608"/>
      <c r="P115" s="12"/>
      <c r="Q115" s="12"/>
      <c r="R115" s="216"/>
      <c r="S115" s="75"/>
      <c r="T115" s="12"/>
      <c r="U115" s="12"/>
      <c r="V115" s="12"/>
      <c r="IG115" s="12"/>
      <c r="IH115" s="12"/>
      <c r="II115" s="12"/>
      <c r="IJ115" s="12"/>
      <c r="IK115" s="12"/>
      <c r="IL115" s="12"/>
      <c r="IM115" s="12"/>
      <c r="IN115" s="12"/>
    </row>
    <row r="116" spans="1:248" s="32" customFormat="1" ht="12.75" customHeight="1">
      <c r="A116" s="367"/>
      <c r="B116" s="12"/>
      <c r="C116" s="12"/>
      <c r="D116" s="12"/>
      <c r="E116" s="470"/>
      <c r="F116" s="595"/>
      <c r="G116" s="88"/>
      <c r="K116" s="562"/>
      <c r="L116" s="562"/>
      <c r="M116" s="196"/>
      <c r="N116" s="608"/>
      <c r="O116" s="608"/>
      <c r="P116" s="12"/>
      <c r="Q116" s="12"/>
      <c r="R116" s="216"/>
      <c r="S116" s="75"/>
      <c r="T116" s="12"/>
      <c r="U116" s="12"/>
      <c r="V116" s="12"/>
      <c r="IG116" s="12"/>
      <c r="IH116" s="12"/>
      <c r="II116" s="12"/>
      <c r="IJ116" s="12"/>
      <c r="IK116" s="12"/>
      <c r="IL116" s="12"/>
      <c r="IM116" s="12"/>
      <c r="IN116" s="12"/>
    </row>
    <row r="117" spans="1:238" ht="12.75" customHeight="1">
      <c r="A117" s="202" t="s">
        <v>1451</v>
      </c>
      <c r="B117" s="7" t="s">
        <v>1389</v>
      </c>
      <c r="C117" s="5"/>
      <c r="D117" s="7"/>
      <c r="E117" s="7"/>
      <c r="F117" s="632"/>
      <c r="G117" s="15"/>
      <c r="I117" s="857" t="s">
        <v>911</v>
      </c>
      <c r="J117" s="88"/>
      <c r="K117" s="623"/>
      <c r="L117" s="562"/>
      <c r="M117" s="564"/>
      <c r="N117" s="608"/>
      <c r="O117" s="608"/>
      <c r="P117" s="16"/>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12"/>
      <c r="AN117" s="1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row>
    <row r="118" spans="1:238" ht="12.75" customHeight="1">
      <c r="A118" s="199">
        <f>A115+1</f>
        <v>409</v>
      </c>
      <c r="B118" s="224" t="s">
        <v>595</v>
      </c>
      <c r="C118" s="224"/>
      <c r="D118" s="600" t="s">
        <v>635</v>
      </c>
      <c r="E118" s="207"/>
      <c r="F118" s="624">
        <f>Uitvoerbestand!I22</f>
        <v>88.42</v>
      </c>
      <c r="G118" s="465">
        <f aca="true" t="shared" si="9" ref="G118:G126">ROUND(E118*F118,0)</f>
        <v>0</v>
      </c>
      <c r="I118" s="854">
        <f aca="true" t="shared" si="10" ref="I118:I126">IF(E118=0,0,E118/$E$127)</f>
        <v>0</v>
      </c>
      <c r="J118" s="602"/>
      <c r="K118" s="562" t="s">
        <v>1046</v>
      </c>
      <c r="L118" s="562"/>
      <c r="M118" s="604">
        <f>G118*A118</f>
        <v>0</v>
      </c>
      <c r="N118" s="608"/>
      <c r="O118" s="608"/>
      <c r="P118" s="16"/>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12"/>
      <c r="AN118" s="1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row>
    <row r="119" spans="1:238" ht="12.75" customHeight="1">
      <c r="A119" s="199">
        <f aca="true" t="shared" si="11" ref="A119:A127">A118+1</f>
        <v>410</v>
      </c>
      <c r="B119" s="224" t="s">
        <v>689</v>
      </c>
      <c r="C119" s="224"/>
      <c r="D119" s="600" t="s">
        <v>636</v>
      </c>
      <c r="E119" s="207"/>
      <c r="F119" s="624">
        <f>Uitvoerbestand!I23</f>
        <v>121.12</v>
      </c>
      <c r="G119" s="465">
        <f t="shared" si="9"/>
        <v>0</v>
      </c>
      <c r="I119" s="854">
        <f t="shared" si="10"/>
        <v>0</v>
      </c>
      <c r="J119" s="602"/>
      <c r="K119" s="562" t="s">
        <v>1047</v>
      </c>
      <c r="L119" s="562"/>
      <c r="M119" s="607">
        <f aca="true" t="shared" si="12" ref="M119:M126">G119*A119</f>
        <v>0</v>
      </c>
      <c r="N119" s="608"/>
      <c r="O119" s="608"/>
      <c r="P119" s="16"/>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12"/>
      <c r="AN119" s="1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row>
    <row r="120" spans="1:238" ht="12.75" customHeight="1">
      <c r="A120" s="199">
        <f t="shared" si="11"/>
        <v>411</v>
      </c>
      <c r="B120" s="224" t="s">
        <v>688</v>
      </c>
      <c r="C120" s="224"/>
      <c r="D120" s="600" t="s">
        <v>637</v>
      </c>
      <c r="E120" s="207"/>
      <c r="F120" s="624">
        <f>Uitvoerbestand!I24</f>
        <v>187.26</v>
      </c>
      <c r="G120" s="465">
        <f t="shared" si="9"/>
        <v>0</v>
      </c>
      <c r="I120" s="854">
        <f t="shared" si="10"/>
        <v>0</v>
      </c>
      <c r="J120" s="602"/>
      <c r="K120" s="562" t="s">
        <v>1048</v>
      </c>
      <c r="L120" s="562"/>
      <c r="M120" s="607">
        <f t="shared" si="12"/>
        <v>0</v>
      </c>
      <c r="N120" s="608"/>
      <c r="O120" s="608"/>
      <c r="P120" s="16"/>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12"/>
      <c r="AN120" s="1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row>
    <row r="121" spans="1:238" ht="12.75" customHeight="1">
      <c r="A121" s="199">
        <f t="shared" si="11"/>
        <v>412</v>
      </c>
      <c r="B121" s="224" t="s">
        <v>1263</v>
      </c>
      <c r="C121" s="224"/>
      <c r="D121" s="600" t="s">
        <v>638</v>
      </c>
      <c r="E121" s="207"/>
      <c r="F121" s="624">
        <f>Uitvoerbestand!I25</f>
        <v>41.29</v>
      </c>
      <c r="G121" s="465">
        <f t="shared" si="9"/>
        <v>0</v>
      </c>
      <c r="I121" s="854">
        <f t="shared" si="10"/>
        <v>0</v>
      </c>
      <c r="J121" s="602"/>
      <c r="K121" s="562" t="s">
        <v>1049</v>
      </c>
      <c r="L121" s="562"/>
      <c r="M121" s="607">
        <f t="shared" si="12"/>
        <v>0</v>
      </c>
      <c r="N121" s="608"/>
      <c r="O121" s="608"/>
      <c r="P121" s="16"/>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12"/>
      <c r="AN121" s="1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row>
    <row r="122" spans="1:238" ht="12.75" customHeight="1">
      <c r="A122" s="199">
        <f t="shared" si="11"/>
        <v>413</v>
      </c>
      <c r="B122" s="224" t="s">
        <v>813</v>
      </c>
      <c r="C122" s="224"/>
      <c r="D122" s="600" t="s">
        <v>650</v>
      </c>
      <c r="E122" s="207"/>
      <c r="F122" s="624">
        <f>Uitvoerbestand!I26</f>
        <v>45.74</v>
      </c>
      <c r="G122" s="465">
        <f t="shared" si="9"/>
        <v>0</v>
      </c>
      <c r="I122" s="854">
        <f t="shared" si="10"/>
        <v>0</v>
      </c>
      <c r="J122" s="602"/>
      <c r="K122" s="562" t="s">
        <v>1050</v>
      </c>
      <c r="L122" s="562"/>
      <c r="M122" s="607">
        <f t="shared" si="12"/>
        <v>0</v>
      </c>
      <c r="N122" s="608"/>
      <c r="O122" s="608"/>
      <c r="P122" s="16"/>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12"/>
      <c r="AN122" s="1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row>
    <row r="123" spans="1:238" ht="12.75" customHeight="1">
      <c r="A123" s="199">
        <f t="shared" si="11"/>
        <v>414</v>
      </c>
      <c r="B123" s="224" t="s">
        <v>689</v>
      </c>
      <c r="C123" s="224"/>
      <c r="D123" s="600" t="s">
        <v>651</v>
      </c>
      <c r="E123" s="207"/>
      <c r="F123" s="624">
        <f>Uitvoerbestand!I27</f>
        <v>102.52</v>
      </c>
      <c r="G123" s="465">
        <f t="shared" si="9"/>
        <v>0</v>
      </c>
      <c r="I123" s="854">
        <f t="shared" si="10"/>
        <v>0</v>
      </c>
      <c r="J123" s="602"/>
      <c r="K123" s="562" t="s">
        <v>1051</v>
      </c>
      <c r="L123" s="562"/>
      <c r="M123" s="607">
        <f t="shared" si="12"/>
        <v>0</v>
      </c>
      <c r="N123" s="608"/>
      <c r="O123" s="608"/>
      <c r="P123" s="16"/>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12"/>
      <c r="AN123" s="1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row>
    <row r="124" spans="1:238" ht="12.75" customHeight="1">
      <c r="A124" s="199">
        <f t="shared" si="11"/>
        <v>415</v>
      </c>
      <c r="B124" s="224" t="s">
        <v>691</v>
      </c>
      <c r="C124" s="224"/>
      <c r="D124" s="600" t="s">
        <v>652</v>
      </c>
      <c r="E124" s="207"/>
      <c r="F124" s="624">
        <f>Uitvoerbestand!I28</f>
        <v>66.39999999999999</v>
      </c>
      <c r="G124" s="465">
        <f t="shared" si="9"/>
        <v>0</v>
      </c>
      <c r="I124" s="854">
        <f t="shared" si="10"/>
        <v>0</v>
      </c>
      <c r="J124" s="602"/>
      <c r="K124" s="562" t="s">
        <v>1052</v>
      </c>
      <c r="L124" s="562"/>
      <c r="M124" s="607">
        <f t="shared" si="12"/>
        <v>0</v>
      </c>
      <c r="N124" s="608"/>
      <c r="O124" s="608"/>
      <c r="P124" s="16"/>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12"/>
      <c r="AN124" s="1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row>
    <row r="125" spans="1:238" ht="12.75" customHeight="1">
      <c r="A125" s="199">
        <f t="shared" si="11"/>
        <v>416</v>
      </c>
      <c r="B125" s="224" t="s">
        <v>689</v>
      </c>
      <c r="C125" s="224"/>
      <c r="D125" s="600" t="s">
        <v>653</v>
      </c>
      <c r="E125" s="207"/>
      <c r="F125" s="624">
        <f>Uitvoerbestand!I29</f>
        <v>112.21000000000001</v>
      </c>
      <c r="G125" s="465">
        <f t="shared" si="9"/>
        <v>0</v>
      </c>
      <c r="I125" s="854">
        <f t="shared" si="10"/>
        <v>0</v>
      </c>
      <c r="J125" s="602"/>
      <c r="K125" s="562" t="s">
        <v>1021</v>
      </c>
      <c r="L125" s="562"/>
      <c r="M125" s="607">
        <f t="shared" si="12"/>
        <v>0</v>
      </c>
      <c r="N125" s="608"/>
      <c r="O125" s="33"/>
      <c r="P125" s="16"/>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12"/>
      <c r="AN125" s="1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row>
    <row r="126" spans="1:238" ht="12.75" customHeight="1">
      <c r="A126" s="199">
        <f t="shared" si="11"/>
        <v>417</v>
      </c>
      <c r="B126" s="378" t="s">
        <v>692</v>
      </c>
      <c r="C126" s="378"/>
      <c r="D126" s="600" t="s">
        <v>654</v>
      </c>
      <c r="E126" s="207"/>
      <c r="F126" s="624">
        <f>Uitvoerbestand!I30</f>
        <v>157.52</v>
      </c>
      <c r="G126" s="465">
        <f t="shared" si="9"/>
        <v>0</v>
      </c>
      <c r="I126" s="854">
        <f t="shared" si="10"/>
        <v>0</v>
      </c>
      <c r="J126" s="602"/>
      <c r="K126" s="562" t="s">
        <v>1022</v>
      </c>
      <c r="L126" s="562"/>
      <c r="M126" s="610">
        <f t="shared" si="12"/>
        <v>0</v>
      </c>
      <c r="N126" s="608"/>
      <c r="O126" s="33"/>
      <c r="P126" s="16"/>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12"/>
      <c r="AN126" s="1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row>
    <row r="127" spans="1:238" ht="12.75" customHeight="1">
      <c r="A127" s="199">
        <f t="shared" si="11"/>
        <v>418</v>
      </c>
      <c r="B127" s="611" t="s">
        <v>468</v>
      </c>
      <c r="C127" s="611"/>
      <c r="D127" s="611"/>
      <c r="E127" s="4">
        <f>SUM(E118:E126)</f>
        <v>0</v>
      </c>
      <c r="F127" s="633"/>
      <c r="G127" s="876">
        <f>SUM(G118:G126)</f>
        <v>0</v>
      </c>
      <c r="I127" s="435">
        <f>SUM(I118:I126)</f>
        <v>0</v>
      </c>
      <c r="J127" s="105"/>
      <c r="K127" s="613"/>
      <c r="L127" s="562"/>
      <c r="M127" s="564"/>
      <c r="N127" s="608"/>
      <c r="O127" s="33"/>
      <c r="P127" s="16"/>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12"/>
      <c r="AN127" s="1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row>
    <row r="128" spans="1:238" s="90" customFormat="1" ht="12.75" customHeight="1">
      <c r="A128" s="367"/>
      <c r="B128" s="5"/>
      <c r="C128" s="5"/>
      <c r="D128" s="5"/>
      <c r="E128" s="11"/>
      <c r="F128" s="627"/>
      <c r="G128" s="8"/>
      <c r="H128" s="628"/>
      <c r="I128" s="222"/>
      <c r="J128" s="105"/>
      <c r="K128" s="613"/>
      <c r="L128" s="562"/>
      <c r="M128" s="629"/>
      <c r="N128" s="630"/>
      <c r="O128" s="33"/>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2"/>
      <c r="AN128" s="12"/>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row>
    <row r="129" spans="1:248" s="32" customFormat="1" ht="12.75" customHeight="1">
      <c r="A129" s="367"/>
      <c r="B129" s="12"/>
      <c r="C129" s="88"/>
      <c r="D129" s="88"/>
      <c r="E129" s="88"/>
      <c r="F129" s="88"/>
      <c r="G129" s="88"/>
      <c r="H129" s="88"/>
      <c r="I129" s="59" t="s">
        <v>1431</v>
      </c>
      <c r="J129" s="88"/>
      <c r="K129" s="614"/>
      <c r="L129" s="615"/>
      <c r="M129" s="367"/>
      <c r="N129" s="605"/>
      <c r="O129" s="33"/>
      <c r="P129" s="33"/>
      <c r="Q129" s="16"/>
      <c r="AN129" s="12"/>
      <c r="AO129" s="16"/>
      <c r="IG129" s="12"/>
      <c r="IH129" s="12"/>
      <c r="II129" s="12"/>
      <c r="IJ129" s="12"/>
      <c r="IK129" s="12"/>
      <c r="IL129" s="12"/>
      <c r="IM129" s="12"/>
      <c r="IN129" s="12"/>
    </row>
    <row r="130" spans="1:248" s="32" customFormat="1" ht="12.75" customHeight="1">
      <c r="A130" s="202" t="s">
        <v>1452</v>
      </c>
      <c r="B130" s="31" t="s">
        <v>913</v>
      </c>
      <c r="D130" s="88"/>
      <c r="E130" s="88"/>
      <c r="F130" s="88"/>
      <c r="G130" s="423" t="s">
        <v>565</v>
      </c>
      <c r="I130" s="59" t="str">
        <f>$I$6</f>
        <v>120 / </v>
      </c>
      <c r="J130" s="16"/>
      <c r="K130" s="614"/>
      <c r="L130" s="615"/>
      <c r="M130" s="367"/>
      <c r="N130" s="605"/>
      <c r="O130" s="33"/>
      <c r="P130" s="33"/>
      <c r="Q130" s="16"/>
      <c r="AN130" s="12"/>
      <c r="AO130" s="16"/>
      <c r="IG130" s="12"/>
      <c r="IH130" s="12"/>
      <c r="II130" s="12"/>
      <c r="IJ130" s="12"/>
      <c r="IK130" s="12"/>
      <c r="IL130" s="12"/>
      <c r="IM130" s="12"/>
      <c r="IN130" s="12"/>
    </row>
    <row r="131" spans="1:248" s="32" customFormat="1" ht="12.75" customHeight="1">
      <c r="A131" s="367"/>
      <c r="B131" s="12"/>
      <c r="C131" s="88"/>
      <c r="D131" s="88"/>
      <c r="E131" s="88"/>
      <c r="F131" s="88"/>
      <c r="G131" s="424" t="s">
        <v>716</v>
      </c>
      <c r="J131" s="16"/>
      <c r="K131" s="614"/>
      <c r="L131" s="615"/>
      <c r="M131" s="367"/>
      <c r="N131" s="605"/>
      <c r="O131" s="33"/>
      <c r="P131" s="33"/>
      <c r="Q131" s="16"/>
      <c r="AN131" s="12"/>
      <c r="AO131" s="16"/>
      <c r="IG131" s="12"/>
      <c r="IH131" s="12"/>
      <c r="II131" s="12"/>
      <c r="IJ131" s="12"/>
      <c r="IK131" s="12"/>
      <c r="IL131" s="12"/>
      <c r="IM131" s="12"/>
      <c r="IN131" s="12"/>
    </row>
    <row r="132" spans="1:248" s="90" customFormat="1" ht="12.75" customHeight="1">
      <c r="A132" s="202" t="s">
        <v>1453</v>
      </c>
      <c r="B132" s="7" t="s">
        <v>1273</v>
      </c>
      <c r="C132" s="203"/>
      <c r="D132" s="203"/>
      <c r="E132" s="203"/>
      <c r="F132" s="203"/>
      <c r="G132" s="425">
        <v>2009</v>
      </c>
      <c r="J132" s="578"/>
      <c r="K132" s="634"/>
      <c r="L132" s="562"/>
      <c r="M132" s="415"/>
      <c r="N132" s="192"/>
      <c r="O132" s="33"/>
      <c r="AB132" s="193"/>
      <c r="AF132" s="75"/>
      <c r="AG132" s="75"/>
      <c r="AH132" s="194"/>
      <c r="AI132" s="195"/>
      <c r="AJ132" s="195"/>
      <c r="AK132" s="195"/>
      <c r="AL132" s="195"/>
      <c r="IG132" s="75"/>
      <c r="IH132" s="75"/>
      <c r="II132" s="75"/>
      <c r="IJ132" s="75"/>
      <c r="IK132" s="75"/>
      <c r="IL132" s="75"/>
      <c r="IM132" s="75"/>
      <c r="IN132" s="75"/>
    </row>
    <row r="133" spans="1:248" s="90" customFormat="1" ht="12.75" customHeight="1">
      <c r="A133" s="199">
        <f>501</f>
        <v>501</v>
      </c>
      <c r="B133" s="57" t="s">
        <v>346</v>
      </c>
      <c r="C133" s="224"/>
      <c r="D133" s="224"/>
      <c r="E133" s="224"/>
      <c r="F133" s="206"/>
      <c r="G133" s="965"/>
      <c r="K133" s="634"/>
      <c r="L133" s="562"/>
      <c r="M133" s="582">
        <f>G135*A133</f>
        <v>0</v>
      </c>
      <c r="N133" s="192"/>
      <c r="O133" s="33"/>
      <c r="AB133" s="193"/>
      <c r="AF133" s="75"/>
      <c r="AG133" s="75"/>
      <c r="AH133" s="194"/>
      <c r="AI133" s="195"/>
      <c r="AJ133" s="195"/>
      <c r="AK133" s="195"/>
      <c r="AL133" s="195"/>
      <c r="IG133" s="75"/>
      <c r="IH133" s="75"/>
      <c r="II133" s="75"/>
      <c r="IJ133" s="75"/>
      <c r="IK133" s="75"/>
      <c r="IL133" s="75"/>
      <c r="IM133" s="75"/>
      <c r="IN133" s="75"/>
    </row>
    <row r="134" spans="1:248" s="90" customFormat="1" ht="12.75" customHeight="1">
      <c r="A134" s="199">
        <f>A133+1</f>
        <v>502</v>
      </c>
      <c r="B134" s="57" t="s">
        <v>1422</v>
      </c>
      <c r="C134" s="224"/>
      <c r="D134" s="224"/>
      <c r="E134" s="224"/>
      <c r="F134" s="206"/>
      <c r="G134" s="965"/>
      <c r="K134" s="634"/>
      <c r="L134" s="562"/>
      <c r="M134" s="594"/>
      <c r="N134" s="192"/>
      <c r="O134" s="33"/>
      <c r="AB134" s="193"/>
      <c r="AF134" s="75"/>
      <c r="AG134" s="75"/>
      <c r="AH134" s="194"/>
      <c r="AI134" s="195"/>
      <c r="AJ134" s="195"/>
      <c r="AK134" s="195"/>
      <c r="AL134" s="195"/>
      <c r="IG134" s="75"/>
      <c r="IH134" s="75"/>
      <c r="II134" s="75"/>
      <c r="IJ134" s="75"/>
      <c r="IK134" s="75"/>
      <c r="IL134" s="75"/>
      <c r="IM134" s="75"/>
      <c r="IN134" s="75"/>
    </row>
    <row r="135" spans="1:248" s="90" customFormat="1" ht="12.75" customHeight="1">
      <c r="A135" s="199">
        <f>A134+1</f>
        <v>503</v>
      </c>
      <c r="B135" s="645" t="s">
        <v>1421</v>
      </c>
      <c r="C135" s="611"/>
      <c r="D135" s="611"/>
      <c r="E135" s="17"/>
      <c r="F135" s="646"/>
      <c r="G135" s="4">
        <f>SUM(G133:G134)</f>
        <v>0</v>
      </c>
      <c r="K135" s="634"/>
      <c r="L135" s="562"/>
      <c r="M135" s="594"/>
      <c r="N135" s="192"/>
      <c r="O135" s="33"/>
      <c r="AB135" s="193"/>
      <c r="AF135" s="75"/>
      <c r="AG135" s="75"/>
      <c r="AH135" s="194"/>
      <c r="AI135" s="195"/>
      <c r="AJ135" s="195"/>
      <c r="AK135" s="195"/>
      <c r="AL135" s="195"/>
      <c r="IG135" s="75"/>
      <c r="IH135" s="75"/>
      <c r="II135" s="75"/>
      <c r="IJ135" s="75"/>
      <c r="IK135" s="75"/>
      <c r="IL135" s="75"/>
      <c r="IM135" s="75"/>
      <c r="IN135" s="75"/>
    </row>
    <row r="136" spans="11:248" s="90" customFormat="1" ht="12.75" customHeight="1">
      <c r="K136" s="634"/>
      <c r="L136" s="562"/>
      <c r="M136" s="594"/>
      <c r="N136" s="192"/>
      <c r="O136" s="33"/>
      <c r="AB136" s="193"/>
      <c r="AF136" s="75"/>
      <c r="AG136" s="75"/>
      <c r="AH136" s="194"/>
      <c r="AI136" s="195"/>
      <c r="AJ136" s="195"/>
      <c r="AK136" s="195"/>
      <c r="AL136" s="195"/>
      <c r="IG136" s="75"/>
      <c r="IH136" s="75"/>
      <c r="II136" s="75"/>
      <c r="IJ136" s="75"/>
      <c r="IK136" s="75"/>
      <c r="IL136" s="75"/>
      <c r="IM136" s="75"/>
      <c r="IN136" s="75"/>
    </row>
    <row r="137" spans="1:248" s="90" customFormat="1" ht="12.75" customHeight="1">
      <c r="A137" s="202" t="s">
        <v>1419</v>
      </c>
      <c r="B137" s="7" t="s">
        <v>578</v>
      </c>
      <c r="K137" s="634"/>
      <c r="L137" s="562"/>
      <c r="M137" s="594"/>
      <c r="N137" s="192"/>
      <c r="O137" s="33"/>
      <c r="AB137" s="193"/>
      <c r="AF137" s="75"/>
      <c r="AG137" s="75"/>
      <c r="AH137" s="194"/>
      <c r="AI137" s="195"/>
      <c r="AJ137" s="195"/>
      <c r="AK137" s="195"/>
      <c r="AL137" s="195"/>
      <c r="IG137" s="75"/>
      <c r="IH137" s="75"/>
      <c r="II137" s="75"/>
      <c r="IJ137" s="75"/>
      <c r="IK137" s="75"/>
      <c r="IL137" s="75"/>
      <c r="IM137" s="75"/>
      <c r="IN137" s="75"/>
    </row>
    <row r="138" spans="1:248" s="90" customFormat="1" ht="12.75" customHeight="1">
      <c r="A138" s="199">
        <f>A135+1</f>
        <v>504</v>
      </c>
      <c r="B138" s="57" t="s">
        <v>347</v>
      </c>
      <c r="C138" s="224"/>
      <c r="D138" s="224"/>
      <c r="E138" s="224"/>
      <c r="F138" s="206"/>
      <c r="G138" s="965"/>
      <c r="K138" s="634"/>
      <c r="L138" s="562"/>
      <c r="M138" s="594"/>
      <c r="N138" s="192"/>
      <c r="O138" s="33"/>
      <c r="AB138" s="193"/>
      <c r="AF138" s="75"/>
      <c r="AG138" s="75"/>
      <c r="AH138" s="194"/>
      <c r="AI138" s="195"/>
      <c r="AJ138" s="195"/>
      <c r="AK138" s="195"/>
      <c r="AL138" s="195"/>
      <c r="IG138" s="75"/>
      <c r="IH138" s="75"/>
      <c r="II138" s="75"/>
      <c r="IJ138" s="75"/>
      <c r="IK138" s="75"/>
      <c r="IL138" s="75"/>
      <c r="IM138" s="75"/>
      <c r="IN138" s="75"/>
    </row>
    <row r="139" spans="1:248" s="90" customFormat="1" ht="12.75" customHeight="1">
      <c r="A139" s="199">
        <f>A138+1</f>
        <v>505</v>
      </c>
      <c r="B139" s="57" t="s">
        <v>348</v>
      </c>
      <c r="C139" s="224"/>
      <c r="D139" s="224"/>
      <c r="E139" s="224"/>
      <c r="F139" s="206"/>
      <c r="G139" s="965"/>
      <c r="K139" s="634"/>
      <c r="L139" s="562"/>
      <c r="M139" s="594"/>
      <c r="N139" s="192"/>
      <c r="O139" s="33"/>
      <c r="AB139" s="193"/>
      <c r="AF139" s="75"/>
      <c r="AG139" s="75"/>
      <c r="AH139" s="194"/>
      <c r="AI139" s="195"/>
      <c r="AJ139" s="195"/>
      <c r="AK139" s="195"/>
      <c r="AL139" s="195"/>
      <c r="IG139" s="75"/>
      <c r="IH139" s="75"/>
      <c r="II139" s="75"/>
      <c r="IJ139" s="75"/>
      <c r="IK139" s="75"/>
      <c r="IL139" s="75"/>
      <c r="IM139" s="75"/>
      <c r="IN139" s="75"/>
    </row>
    <row r="140" spans="1:248" s="90" customFormat="1" ht="12.75" customHeight="1">
      <c r="A140" s="199">
        <f>A139+1</f>
        <v>506</v>
      </c>
      <c r="B140" s="57" t="s">
        <v>1423</v>
      </c>
      <c r="C140" s="224"/>
      <c r="D140" s="224"/>
      <c r="E140" s="224"/>
      <c r="F140" s="206"/>
      <c r="G140" s="965"/>
      <c r="K140" s="634"/>
      <c r="L140" s="562"/>
      <c r="M140" s="594"/>
      <c r="N140" s="192"/>
      <c r="O140" s="33"/>
      <c r="AB140" s="193"/>
      <c r="AF140" s="75"/>
      <c r="AG140" s="75"/>
      <c r="AH140" s="194"/>
      <c r="AI140" s="195"/>
      <c r="AJ140" s="195"/>
      <c r="AK140" s="195"/>
      <c r="AL140" s="195"/>
      <c r="IG140" s="75"/>
      <c r="IH140" s="75"/>
      <c r="II140" s="75"/>
      <c r="IJ140" s="75"/>
      <c r="IK140" s="75"/>
      <c r="IL140" s="75"/>
      <c r="IM140" s="75"/>
      <c r="IN140" s="75"/>
    </row>
    <row r="141" spans="1:248" s="90" customFormat="1" ht="12.75" customHeight="1">
      <c r="A141" s="199">
        <f>A140+1</f>
        <v>507</v>
      </c>
      <c r="B141" s="645" t="s">
        <v>1424</v>
      </c>
      <c r="C141" s="611"/>
      <c r="D141" s="611"/>
      <c r="E141" s="611"/>
      <c r="F141" s="646"/>
      <c r="G141" s="4">
        <f>SUM(G138:G140)</f>
        <v>0</v>
      </c>
      <c r="K141" s="634"/>
      <c r="L141" s="562"/>
      <c r="M141" s="594"/>
      <c r="N141" s="192"/>
      <c r="O141" s="33"/>
      <c r="AB141" s="193"/>
      <c r="AF141" s="75"/>
      <c r="AG141" s="75"/>
      <c r="AH141" s="194"/>
      <c r="AI141" s="195"/>
      <c r="AJ141" s="195"/>
      <c r="AK141" s="195"/>
      <c r="AL141" s="195"/>
      <c r="IG141" s="75"/>
      <c r="IH141" s="75"/>
      <c r="II141" s="75"/>
      <c r="IJ141" s="75"/>
      <c r="IK141" s="75"/>
      <c r="IL141" s="75"/>
      <c r="IM141" s="75"/>
      <c r="IN141" s="75"/>
    </row>
    <row r="142" spans="1:248" s="90" customFormat="1" ht="12.75" customHeight="1">
      <c r="A142" s="202"/>
      <c r="B142" s="58"/>
      <c r="C142" s="203"/>
      <c r="D142" s="203"/>
      <c r="E142" s="203"/>
      <c r="F142" s="203"/>
      <c r="G142" s="203"/>
      <c r="H142" s="204"/>
      <c r="I142" s="579"/>
      <c r="J142" s="578"/>
      <c r="K142" s="562"/>
      <c r="L142" s="562"/>
      <c r="M142" s="415"/>
      <c r="N142" s="192"/>
      <c r="O142" s="33"/>
      <c r="AB142" s="193"/>
      <c r="AF142" s="75"/>
      <c r="AG142" s="75"/>
      <c r="AH142" s="194"/>
      <c r="AI142" s="195"/>
      <c r="AJ142" s="195"/>
      <c r="AK142" s="195"/>
      <c r="AL142" s="195"/>
      <c r="IG142" s="75"/>
      <c r="IH142" s="75"/>
      <c r="II142" s="75"/>
      <c r="IJ142" s="75"/>
      <c r="IK142" s="75"/>
      <c r="IL142" s="75"/>
      <c r="IM142" s="75"/>
      <c r="IN142" s="75"/>
    </row>
    <row r="143" spans="3:248" s="90" customFormat="1" ht="12.75" customHeight="1">
      <c r="C143" s="203"/>
      <c r="D143" s="203"/>
      <c r="E143" s="583" t="s">
        <v>567</v>
      </c>
      <c r="F143" s="583" t="s">
        <v>469</v>
      </c>
      <c r="G143" s="584" t="s">
        <v>470</v>
      </c>
      <c r="I143" s="585" t="s">
        <v>671</v>
      </c>
      <c r="J143" s="75"/>
      <c r="K143" s="562"/>
      <c r="L143" s="562"/>
      <c r="M143" s="415"/>
      <c r="N143" s="192"/>
      <c r="O143" s="33"/>
      <c r="AB143" s="193"/>
      <c r="AF143" s="75"/>
      <c r="AG143" s="75"/>
      <c r="AH143" s="194"/>
      <c r="AI143" s="195"/>
      <c r="AJ143" s="195"/>
      <c r="AK143" s="195"/>
      <c r="AL143" s="195"/>
      <c r="IG143" s="75"/>
      <c r="IH143" s="75"/>
      <c r="II143" s="75"/>
      <c r="IJ143" s="75"/>
      <c r="IK143" s="75"/>
      <c r="IL143" s="75"/>
      <c r="IM143" s="75"/>
      <c r="IN143" s="75"/>
    </row>
    <row r="144" spans="1:248" s="90" customFormat="1" ht="12.75" customHeight="1">
      <c r="A144" s="202" t="s">
        <v>1454</v>
      </c>
      <c r="B144" s="7" t="s">
        <v>1290</v>
      </c>
      <c r="C144" s="203"/>
      <c r="D144" s="203"/>
      <c r="E144" s="586">
        <v>2009</v>
      </c>
      <c r="F144" s="587"/>
      <c r="G144" s="586"/>
      <c r="I144" s="588" t="s">
        <v>787</v>
      </c>
      <c r="J144" s="75"/>
      <c r="K144" s="562"/>
      <c r="L144" s="562"/>
      <c r="M144" s="415"/>
      <c r="N144" s="192"/>
      <c r="O144" s="33"/>
      <c r="AB144" s="193"/>
      <c r="AF144" s="75"/>
      <c r="AG144" s="75"/>
      <c r="AH144" s="194"/>
      <c r="AI144" s="195"/>
      <c r="AJ144" s="195"/>
      <c r="AK144" s="195"/>
      <c r="AL144" s="195"/>
      <c r="IG144" s="75"/>
      <c r="IH144" s="75"/>
      <c r="II144" s="75"/>
      <c r="IJ144" s="75"/>
      <c r="IK144" s="75"/>
      <c r="IL144" s="75"/>
      <c r="IM144" s="75"/>
      <c r="IN144" s="75"/>
    </row>
    <row r="145" spans="1:248" s="90" customFormat="1" ht="12.75" customHeight="1">
      <c r="A145" s="199">
        <f>A141+1</f>
        <v>508</v>
      </c>
      <c r="B145" s="224" t="s">
        <v>1273</v>
      </c>
      <c r="C145" s="224"/>
      <c r="D145" s="224"/>
      <c r="E145" s="617">
        <f>IF(I145&gt;G135,G135,I145)</f>
        <v>0</v>
      </c>
      <c r="F145" s="589">
        <f>Uitvoerbestand!I59</f>
        <v>25272.28</v>
      </c>
      <c r="G145" s="465">
        <f>ROUND(E145*F145,0)</f>
        <v>0</v>
      </c>
      <c r="I145" s="686">
        <f>CEILING((E163+E164)/365,1)</f>
        <v>0</v>
      </c>
      <c r="J145" s="75"/>
      <c r="K145" s="562" t="s">
        <v>543</v>
      </c>
      <c r="L145" s="562"/>
      <c r="M145" s="590">
        <f>G145*A145</f>
        <v>0</v>
      </c>
      <c r="N145" s="192"/>
      <c r="O145" s="33"/>
      <c r="AB145" s="193"/>
      <c r="AF145" s="75"/>
      <c r="AG145" s="75"/>
      <c r="AH145" s="194"/>
      <c r="AI145" s="195"/>
      <c r="AJ145" s="195"/>
      <c r="AK145" s="195"/>
      <c r="AL145" s="195"/>
      <c r="IG145" s="75"/>
      <c r="IH145" s="75"/>
      <c r="II145" s="75"/>
      <c r="IJ145" s="75"/>
      <c r="IK145" s="75"/>
      <c r="IL145" s="75"/>
      <c r="IM145" s="75"/>
      <c r="IN145" s="75"/>
    </row>
    <row r="146" spans="1:248" s="16" customFormat="1" ht="12.75" customHeight="1">
      <c r="A146" s="199">
        <f>A145+1</f>
        <v>509</v>
      </c>
      <c r="B146" s="224" t="s">
        <v>1272</v>
      </c>
      <c r="C146" s="224"/>
      <c r="D146" s="592"/>
      <c r="E146" s="581">
        <f>IF(E145=G135,0,G135-E145)</f>
        <v>0</v>
      </c>
      <c r="F146" s="593"/>
      <c r="G146" s="855"/>
      <c r="H146" s="12"/>
      <c r="I146" s="12"/>
      <c r="J146" s="12"/>
      <c r="K146" s="562" t="s">
        <v>1274</v>
      </c>
      <c r="L146" s="562"/>
      <c r="M146" s="640"/>
      <c r="N146" s="636"/>
      <c r="O146" s="33"/>
      <c r="P146" s="12"/>
      <c r="Q146" s="12"/>
      <c r="R146" s="216"/>
      <c r="S146" s="75"/>
      <c r="T146" s="12"/>
      <c r="U146" s="12"/>
      <c r="V146" s="12"/>
      <c r="IG146" s="12"/>
      <c r="IH146" s="12"/>
      <c r="II146" s="12"/>
      <c r="IJ146" s="12"/>
      <c r="IK146" s="12"/>
      <c r="IL146" s="12"/>
      <c r="IM146" s="12"/>
      <c r="IN146" s="12"/>
    </row>
    <row r="147" spans="1:248" s="90" customFormat="1" ht="12.75" customHeight="1">
      <c r="A147" s="199">
        <f>A146+1</f>
        <v>510</v>
      </c>
      <c r="B147" s="645" t="s">
        <v>1421</v>
      </c>
      <c r="C147" s="611"/>
      <c r="D147" s="611"/>
      <c r="E147" s="17">
        <f>SUM(E145:E146)</f>
        <v>0</v>
      </c>
      <c r="F147" s="646"/>
      <c r="G147" s="4">
        <f>SUM(G145:G146)</f>
        <v>0</v>
      </c>
      <c r="J147" s="75"/>
      <c r="K147" s="562"/>
      <c r="L147" s="562"/>
      <c r="M147" s="635"/>
      <c r="N147" s="192"/>
      <c r="O147" s="33"/>
      <c r="AB147" s="193"/>
      <c r="AF147" s="75"/>
      <c r="AG147" s="75"/>
      <c r="AH147" s="194"/>
      <c r="AI147" s="195"/>
      <c r="AJ147" s="195"/>
      <c r="AK147" s="195"/>
      <c r="AL147" s="195"/>
      <c r="IG147" s="75"/>
      <c r="IH147" s="75"/>
      <c r="II147" s="75"/>
      <c r="IJ147" s="75"/>
      <c r="IK147" s="75"/>
      <c r="IL147" s="75"/>
      <c r="IM147" s="75"/>
      <c r="IN147" s="75"/>
    </row>
    <row r="148" spans="9:248" s="90" customFormat="1" ht="12.75" customHeight="1">
      <c r="I148" s="585" t="s">
        <v>671</v>
      </c>
      <c r="J148" s="75"/>
      <c r="K148" s="562"/>
      <c r="L148" s="562"/>
      <c r="M148" s="635"/>
      <c r="N148" s="192"/>
      <c r="O148" s="33"/>
      <c r="AB148" s="193"/>
      <c r="AF148" s="75"/>
      <c r="AG148" s="75"/>
      <c r="AH148" s="194"/>
      <c r="AI148" s="195"/>
      <c r="AJ148" s="195"/>
      <c r="AK148" s="195"/>
      <c r="AL148" s="195"/>
      <c r="IG148" s="75"/>
      <c r="IH148" s="75"/>
      <c r="II148" s="75"/>
      <c r="IJ148" s="75"/>
      <c r="IK148" s="75"/>
      <c r="IL148" s="75"/>
      <c r="IM148" s="75"/>
      <c r="IN148" s="75"/>
    </row>
    <row r="149" spans="1:248" s="90" customFormat="1" ht="12.75" customHeight="1">
      <c r="A149" s="202" t="s">
        <v>1455</v>
      </c>
      <c r="B149" s="7" t="s">
        <v>1291</v>
      </c>
      <c r="I149" s="588" t="s">
        <v>787</v>
      </c>
      <c r="J149" s="75"/>
      <c r="K149" s="562"/>
      <c r="L149" s="562"/>
      <c r="M149" s="635"/>
      <c r="N149" s="192"/>
      <c r="O149" s="33"/>
      <c r="AB149" s="193"/>
      <c r="AF149" s="75"/>
      <c r="AG149" s="75"/>
      <c r="AH149" s="194"/>
      <c r="AI149" s="195"/>
      <c r="AJ149" s="195"/>
      <c r="AK149" s="195"/>
      <c r="AL149" s="195"/>
      <c r="IG149" s="75"/>
      <c r="IH149" s="75"/>
      <c r="II149" s="75"/>
      <c r="IJ149" s="75"/>
      <c r="IK149" s="75"/>
      <c r="IL149" s="75"/>
      <c r="IM149" s="75"/>
      <c r="IN149" s="75"/>
    </row>
    <row r="150" spans="1:248" s="16" customFormat="1" ht="12.75" customHeight="1">
      <c r="A150" s="199">
        <f>A147+1</f>
        <v>511</v>
      </c>
      <c r="B150" s="224" t="s">
        <v>578</v>
      </c>
      <c r="C150" s="224"/>
      <c r="D150" s="224"/>
      <c r="E150" s="581">
        <f>IF(I150&gt;G141,G141,I150)</f>
        <v>0</v>
      </c>
      <c r="F150" s="865"/>
      <c r="G150" s="855"/>
      <c r="I150" s="686">
        <f>CEILING((E165+E166+E167+E168)/365,1)</f>
        <v>0</v>
      </c>
      <c r="J150" s="12"/>
      <c r="K150" s="562"/>
      <c r="L150" s="562"/>
      <c r="M150" s="635"/>
      <c r="N150" s="636"/>
      <c r="O150" s="33"/>
      <c r="P150" s="12"/>
      <c r="Q150" s="12"/>
      <c r="R150" s="12"/>
      <c r="S150" s="12"/>
      <c r="T150" s="12"/>
      <c r="U150" s="12"/>
      <c r="V150" s="12"/>
      <c r="IG150" s="12"/>
      <c r="IH150" s="12"/>
      <c r="II150" s="12"/>
      <c r="IJ150" s="12"/>
      <c r="IK150" s="12"/>
      <c r="IL150" s="12"/>
      <c r="IM150" s="12"/>
      <c r="IN150" s="12"/>
    </row>
    <row r="151" spans="1:248" s="16" customFormat="1" ht="12.75" customHeight="1">
      <c r="A151" s="199">
        <f>A150+1</f>
        <v>512</v>
      </c>
      <c r="B151" s="224" t="s">
        <v>1030</v>
      </c>
      <c r="C151" s="224"/>
      <c r="D151" s="224"/>
      <c r="E151" s="965"/>
      <c r="F151" s="589">
        <f>Uitvoerbestand!I57</f>
        <v>42053.96</v>
      </c>
      <c r="G151" s="465">
        <f>ROUND(E151*F151,0)</f>
        <v>0</v>
      </c>
      <c r="H151" s="12"/>
      <c r="I151" s="218"/>
      <c r="J151" s="213"/>
      <c r="K151" s="562" t="s">
        <v>544</v>
      </c>
      <c r="L151" s="562"/>
      <c r="M151" s="637">
        <f>G151*A151</f>
        <v>0</v>
      </c>
      <c r="N151" s="636"/>
      <c r="O151" s="33"/>
      <c r="P151" s="12"/>
      <c r="Q151" s="12"/>
      <c r="R151" s="12"/>
      <c r="S151" s="12"/>
      <c r="T151" s="12"/>
      <c r="U151" s="12"/>
      <c r="V151" s="12"/>
      <c r="IG151" s="12"/>
      <c r="IH151" s="12"/>
      <c r="II151" s="12"/>
      <c r="IJ151" s="12"/>
      <c r="IK151" s="12"/>
      <c r="IL151" s="12"/>
      <c r="IM151" s="12"/>
      <c r="IN151" s="12"/>
    </row>
    <row r="152" spans="1:248" s="16" customFormat="1" ht="12.75" customHeight="1">
      <c r="A152" s="199">
        <f>A151+1</f>
        <v>513</v>
      </c>
      <c r="B152" s="224" t="s">
        <v>1031</v>
      </c>
      <c r="C152" s="224"/>
      <c r="D152" s="224"/>
      <c r="E152" s="965"/>
      <c r="F152" s="589">
        <f>Uitvoerbestand!I58</f>
        <v>29365.68</v>
      </c>
      <c r="G152" s="465">
        <f>ROUND(E152*F152,0)</f>
        <v>0</v>
      </c>
      <c r="H152" s="12"/>
      <c r="I152" s="218"/>
      <c r="J152" s="213"/>
      <c r="K152" s="562" t="s">
        <v>545</v>
      </c>
      <c r="L152" s="562"/>
      <c r="M152" s="639">
        <f>G152*A152</f>
        <v>0</v>
      </c>
      <c r="N152" s="636"/>
      <c r="O152" s="33"/>
      <c r="P152" s="12"/>
      <c r="Q152" s="12"/>
      <c r="R152" s="12"/>
      <c r="S152" s="12"/>
      <c r="T152" s="12"/>
      <c r="U152" s="12"/>
      <c r="V152" s="12"/>
      <c r="IG152" s="12"/>
      <c r="IH152" s="12"/>
      <c r="II152" s="12"/>
      <c r="IJ152" s="12"/>
      <c r="IK152" s="12"/>
      <c r="IL152" s="12"/>
      <c r="IM152" s="12"/>
      <c r="IN152" s="12"/>
    </row>
    <row r="153" spans="1:248" s="16" customFormat="1" ht="12.75" customHeight="1">
      <c r="A153" s="199">
        <f>A152+1</f>
        <v>514</v>
      </c>
      <c r="B153" s="224" t="s">
        <v>579</v>
      </c>
      <c r="C153" s="224"/>
      <c r="D153" s="592"/>
      <c r="E153" s="581">
        <f>IF(E150=G141,0,G141-E150)</f>
        <v>0</v>
      </c>
      <c r="F153" s="865"/>
      <c r="G153" s="855"/>
      <c r="H153" s="12"/>
      <c r="I153" s="12"/>
      <c r="J153" s="12"/>
      <c r="K153" s="562" t="s">
        <v>1275</v>
      </c>
      <c r="L153" s="562"/>
      <c r="M153" s="635"/>
      <c r="N153" s="636"/>
      <c r="O153" s="33"/>
      <c r="P153" s="12"/>
      <c r="Q153" s="12"/>
      <c r="R153" s="216"/>
      <c r="S153" s="75"/>
      <c r="T153" s="12"/>
      <c r="U153" s="12"/>
      <c r="V153" s="12"/>
      <c r="IG153" s="12"/>
      <c r="IH153" s="12"/>
      <c r="II153" s="12"/>
      <c r="IJ153" s="12"/>
      <c r="IK153" s="12"/>
      <c r="IL153" s="12"/>
      <c r="IM153" s="12"/>
      <c r="IN153" s="12"/>
    </row>
    <row r="154" spans="1:248" s="16" customFormat="1" ht="12.75" customHeight="1">
      <c r="A154" s="199">
        <f>A153+1</f>
        <v>515</v>
      </c>
      <c r="B154" s="645" t="str">
        <f>CONCATENATE("Totaal regel ",A150," en regel ",A153)</f>
        <v>Totaal regel 511 en regel 514</v>
      </c>
      <c r="C154" s="611"/>
      <c r="D154" s="646"/>
      <c r="E154" s="17">
        <f>E150+E153</f>
        <v>0</v>
      </c>
      <c r="F154" s="82"/>
      <c r="G154" s="876">
        <f>SUM(G150:G153)</f>
        <v>0</v>
      </c>
      <c r="H154" s="12"/>
      <c r="I154" s="12"/>
      <c r="J154" s="12"/>
      <c r="K154" s="562"/>
      <c r="L154" s="562"/>
      <c r="M154" s="635"/>
      <c r="N154" s="636"/>
      <c r="O154" s="33"/>
      <c r="P154" s="12"/>
      <c r="Q154" s="12"/>
      <c r="R154" s="216"/>
      <c r="S154" s="75"/>
      <c r="T154" s="12"/>
      <c r="U154" s="12"/>
      <c r="V154" s="12"/>
      <c r="IG154" s="12"/>
      <c r="IH154" s="12"/>
      <c r="II154" s="12"/>
      <c r="IJ154" s="12"/>
      <c r="IK154" s="12"/>
      <c r="IL154" s="12"/>
      <c r="IM154" s="12"/>
      <c r="IN154" s="12"/>
    </row>
    <row r="155" spans="1:248" s="16" customFormat="1" ht="12.75" customHeight="1">
      <c r="A155" s="367"/>
      <c r="B155" s="89"/>
      <c r="C155" s="12"/>
      <c r="D155" s="12"/>
      <c r="E155" s="470"/>
      <c r="F155" s="595"/>
      <c r="G155" s="88"/>
      <c r="H155" s="12"/>
      <c r="I155" s="12"/>
      <c r="J155" s="12"/>
      <c r="K155" s="562"/>
      <c r="L155" s="562"/>
      <c r="M155" s="635"/>
      <c r="N155" s="636"/>
      <c r="O155" s="33"/>
      <c r="P155" s="12"/>
      <c r="Q155" s="12"/>
      <c r="R155" s="216"/>
      <c r="S155" s="75"/>
      <c r="T155" s="12"/>
      <c r="U155" s="12"/>
      <c r="V155" s="12"/>
      <c r="IG155" s="12"/>
      <c r="IH155" s="12"/>
      <c r="II155" s="12"/>
      <c r="IJ155" s="12"/>
      <c r="IK155" s="12"/>
      <c r="IL155" s="12"/>
      <c r="IM155" s="12"/>
      <c r="IN155" s="12"/>
    </row>
    <row r="156" spans="1:238" ht="12.75" customHeight="1">
      <c r="A156" s="202" t="s">
        <v>1456</v>
      </c>
      <c r="B156" s="7" t="s">
        <v>781</v>
      </c>
      <c r="C156" s="32"/>
      <c r="D156" s="32"/>
      <c r="E156" s="32"/>
      <c r="F156" s="32"/>
      <c r="G156" s="32"/>
      <c r="H156" s="16"/>
      <c r="I156" s="16"/>
      <c r="J156" s="16"/>
      <c r="K156" s="562"/>
      <c r="L156" s="562"/>
      <c r="M156" s="641"/>
      <c r="N156" s="642"/>
      <c r="O156" s="33"/>
      <c r="P156" s="16"/>
      <c r="Q156" s="16"/>
      <c r="R156" s="16"/>
      <c r="S156" s="16"/>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row>
    <row r="157" spans="1:238" ht="12.75" customHeight="1">
      <c r="A157" s="199">
        <f>A154+1</f>
        <v>516</v>
      </c>
      <c r="B157" s="224" t="s">
        <v>1030</v>
      </c>
      <c r="C157" s="224"/>
      <c r="D157" s="224"/>
      <c r="E157" s="965"/>
      <c r="F157" s="643"/>
      <c r="G157" s="32"/>
      <c r="H157" s="16"/>
      <c r="I157" s="32"/>
      <c r="J157" s="16"/>
      <c r="K157" s="562" t="s">
        <v>808</v>
      </c>
      <c r="L157" s="562"/>
      <c r="M157" s="604">
        <f>E157*A157</f>
        <v>0</v>
      </c>
      <c r="N157" s="642"/>
      <c r="O157" s="33"/>
      <c r="P157" s="16"/>
      <c r="Q157" s="16"/>
      <c r="R157" s="16"/>
      <c r="S157" s="16"/>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row>
    <row r="158" spans="1:238" ht="12.75" customHeight="1">
      <c r="A158" s="199">
        <f>A157+1</f>
        <v>517</v>
      </c>
      <c r="B158" s="224" t="s">
        <v>1031</v>
      </c>
      <c r="C158" s="224"/>
      <c r="D158" s="224"/>
      <c r="E158" s="965"/>
      <c r="F158" s="643"/>
      <c r="G158" s="32"/>
      <c r="H158" s="16"/>
      <c r="I158" s="32"/>
      <c r="J158" s="16"/>
      <c r="K158" s="562" t="s">
        <v>809</v>
      </c>
      <c r="L158" s="562"/>
      <c r="M158" s="607">
        <f>E158*A158</f>
        <v>0</v>
      </c>
      <c r="N158" s="642"/>
      <c r="O158" s="33"/>
      <c r="P158" s="16"/>
      <c r="Q158" s="16"/>
      <c r="R158" s="16"/>
      <c r="S158" s="16"/>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row>
    <row r="159" spans="1:238" ht="12.75" customHeight="1">
      <c r="A159" s="199">
        <f>A158+1</f>
        <v>518</v>
      </c>
      <c r="B159" s="224" t="s">
        <v>537</v>
      </c>
      <c r="C159" s="224"/>
      <c r="D159" s="224"/>
      <c r="E159" s="965"/>
      <c r="F159" s="643"/>
      <c r="G159" s="32"/>
      <c r="I159" s="32"/>
      <c r="J159" s="16"/>
      <c r="K159" s="562" t="s">
        <v>810</v>
      </c>
      <c r="L159" s="562"/>
      <c r="M159" s="610">
        <f>E159*A159</f>
        <v>0</v>
      </c>
      <c r="N159" s="642"/>
      <c r="O159" s="33"/>
      <c r="P159" s="16"/>
      <c r="Q159" s="16"/>
      <c r="R159" s="16"/>
      <c r="S159" s="16"/>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row>
    <row r="160" spans="1:238" ht="12.75" customHeight="1">
      <c r="A160" s="199">
        <f>A159+1</f>
        <v>519</v>
      </c>
      <c r="B160" s="611" t="s">
        <v>468</v>
      </c>
      <c r="C160" s="611"/>
      <c r="D160" s="611"/>
      <c r="E160" s="4">
        <f>MIN(E150,CEILING((E179/365),1))</f>
        <v>0</v>
      </c>
      <c r="F160" s="32"/>
      <c r="G160" s="32"/>
      <c r="H160" s="16"/>
      <c r="J160" s="16"/>
      <c r="K160" s="562"/>
      <c r="L160" s="562"/>
      <c r="M160" s="594"/>
      <c r="N160" s="642"/>
      <c r="O160" s="33"/>
      <c r="P160" s="16"/>
      <c r="Q160" s="16"/>
      <c r="R160" s="16"/>
      <c r="S160" s="16"/>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row>
    <row r="161" spans="1:238" s="90" customFormat="1" ht="12.75" customHeight="1">
      <c r="A161" s="367"/>
      <c r="B161" s="5"/>
      <c r="C161" s="5"/>
      <c r="D161" s="5"/>
      <c r="E161" s="10"/>
      <c r="F161" s="16"/>
      <c r="G161" s="16"/>
      <c r="H161" s="16"/>
      <c r="I161" s="12"/>
      <c r="J161" s="12"/>
      <c r="K161" s="562"/>
      <c r="L161" s="562"/>
      <c r="M161" s="635"/>
      <c r="N161" s="642"/>
      <c r="O161" s="33"/>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row>
    <row r="162" spans="1:238" s="90" customFormat="1" ht="12.75" customHeight="1">
      <c r="A162" s="202" t="s">
        <v>902</v>
      </c>
      <c r="B162" s="7" t="s">
        <v>783</v>
      </c>
      <c r="C162" s="5"/>
      <c r="D162" s="7"/>
      <c r="E162" s="7"/>
      <c r="F162" s="632"/>
      <c r="G162" s="469"/>
      <c r="H162" s="16"/>
      <c r="I162" s="857" t="s">
        <v>911</v>
      </c>
      <c r="J162" s="88"/>
      <c r="K162" s="623"/>
      <c r="L162" s="562"/>
      <c r="M162" s="650"/>
      <c r="N162" s="630"/>
      <c r="O162" s="33"/>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2"/>
      <c r="AN162" s="12"/>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row>
    <row r="163" spans="1:238" s="90" customFormat="1" ht="12.75" customHeight="1">
      <c r="A163" s="199">
        <f>A160+1</f>
        <v>520</v>
      </c>
      <c r="B163" s="224" t="s">
        <v>1264</v>
      </c>
      <c r="C163" s="224"/>
      <c r="D163" s="600" t="s">
        <v>655</v>
      </c>
      <c r="E163" s="207"/>
      <c r="F163" s="644">
        <f>Uitvoerbestand!I33</f>
        <v>201.38</v>
      </c>
      <c r="G163" s="465">
        <f aca="true" t="shared" si="13" ref="G163:G168">ROUND(E163*F163,0)</f>
        <v>0</v>
      </c>
      <c r="H163" s="16"/>
      <c r="I163" s="854">
        <f aca="true" t="shared" si="14" ref="I163:I168">IF(E163=0,0,E163/$E$169)</f>
        <v>0</v>
      </c>
      <c r="J163" s="602"/>
      <c r="K163" s="562" t="s">
        <v>1028</v>
      </c>
      <c r="L163" s="562"/>
      <c r="M163" s="638">
        <f aca="true" t="shared" si="15" ref="M163:M168">G163*A163</f>
        <v>0</v>
      </c>
      <c r="N163" s="630"/>
      <c r="O163" s="33"/>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2"/>
      <c r="AN163" s="12"/>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row>
    <row r="164" spans="1:238" s="90" customFormat="1" ht="12.75" customHeight="1">
      <c r="A164" s="199">
        <f aca="true" t="shared" si="16" ref="A164:A169">A163+1</f>
        <v>521</v>
      </c>
      <c r="B164" s="224" t="s">
        <v>1265</v>
      </c>
      <c r="C164" s="224"/>
      <c r="D164" s="600" t="s">
        <v>656</v>
      </c>
      <c r="E164" s="207"/>
      <c r="F164" s="644">
        <f>Uitvoerbestand!I34</f>
        <v>264.86</v>
      </c>
      <c r="G164" s="465">
        <f t="shared" si="13"/>
        <v>0</v>
      </c>
      <c r="H164" s="16"/>
      <c r="I164" s="854">
        <f t="shared" si="14"/>
        <v>0</v>
      </c>
      <c r="J164" s="602"/>
      <c r="K164" s="562" t="s">
        <v>1023</v>
      </c>
      <c r="L164" s="562"/>
      <c r="M164" s="638">
        <f t="shared" si="15"/>
        <v>0</v>
      </c>
      <c r="N164" s="630"/>
      <c r="O164" s="33"/>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2"/>
      <c r="AN164" s="12"/>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row>
    <row r="165" spans="1:238" s="90" customFormat="1" ht="12.75" customHeight="1">
      <c r="A165" s="199">
        <f t="shared" si="16"/>
        <v>522</v>
      </c>
      <c r="B165" s="224" t="s">
        <v>1457</v>
      </c>
      <c r="C165" s="224"/>
      <c r="D165" s="600" t="s">
        <v>657</v>
      </c>
      <c r="E165" s="207"/>
      <c r="F165" s="644">
        <f>Uitvoerbestand!I35</f>
        <v>204.84</v>
      </c>
      <c r="G165" s="465">
        <f t="shared" si="13"/>
        <v>0</v>
      </c>
      <c r="H165" s="16"/>
      <c r="I165" s="854">
        <f t="shared" si="14"/>
        <v>0</v>
      </c>
      <c r="J165" s="602"/>
      <c r="K165" s="562" t="s">
        <v>1024</v>
      </c>
      <c r="L165" s="562"/>
      <c r="M165" s="638">
        <f t="shared" si="15"/>
        <v>0</v>
      </c>
      <c r="N165" s="630"/>
      <c r="O165" s="33"/>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2"/>
      <c r="AN165" s="12"/>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row>
    <row r="166" spans="1:238" s="90" customFormat="1" ht="12.75" customHeight="1">
      <c r="A166" s="199">
        <f t="shared" si="16"/>
        <v>523</v>
      </c>
      <c r="B166" s="224" t="s">
        <v>1458</v>
      </c>
      <c r="C166" s="224"/>
      <c r="D166" s="600" t="s">
        <v>658</v>
      </c>
      <c r="E166" s="207"/>
      <c r="F166" s="644">
        <f>Uitvoerbestand!I36</f>
        <v>306.07</v>
      </c>
      <c r="G166" s="465">
        <f t="shared" si="13"/>
        <v>0</v>
      </c>
      <c r="H166" s="16"/>
      <c r="I166" s="854">
        <f t="shared" si="14"/>
        <v>0</v>
      </c>
      <c r="J166" s="602"/>
      <c r="K166" s="562" t="s">
        <v>1025</v>
      </c>
      <c r="L166" s="562"/>
      <c r="M166" s="638">
        <f t="shared" si="15"/>
        <v>0</v>
      </c>
      <c r="N166" s="630"/>
      <c r="O166" s="33"/>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2"/>
      <c r="AN166" s="12"/>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row>
    <row r="167" spans="1:238" s="90" customFormat="1" ht="12.75" customHeight="1">
      <c r="A167" s="199">
        <f t="shared" si="16"/>
        <v>524</v>
      </c>
      <c r="B167" s="224" t="s">
        <v>1459</v>
      </c>
      <c r="C167" s="224"/>
      <c r="D167" s="600" t="s">
        <v>659</v>
      </c>
      <c r="E167" s="207"/>
      <c r="F167" s="644">
        <f>Uitvoerbestand!I37</f>
        <v>262.24</v>
      </c>
      <c r="G167" s="465">
        <f t="shared" si="13"/>
        <v>0</v>
      </c>
      <c r="H167" s="16"/>
      <c r="I167" s="854">
        <f t="shared" si="14"/>
        <v>0</v>
      </c>
      <c r="J167" s="602"/>
      <c r="K167" s="562" t="s">
        <v>1026</v>
      </c>
      <c r="L167" s="562"/>
      <c r="M167" s="638">
        <f t="shared" si="15"/>
        <v>0</v>
      </c>
      <c r="N167" s="630"/>
      <c r="O167" s="33"/>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2"/>
      <c r="AN167" s="12"/>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row>
    <row r="168" spans="1:238" s="90" customFormat="1" ht="12.75" customHeight="1">
      <c r="A168" s="199">
        <f t="shared" si="16"/>
        <v>525</v>
      </c>
      <c r="B168" s="378" t="s">
        <v>1460</v>
      </c>
      <c r="C168" s="378"/>
      <c r="D168" s="600" t="s">
        <v>660</v>
      </c>
      <c r="E168" s="207"/>
      <c r="F168" s="644">
        <f>Uitvoerbestand!I38</f>
        <v>330.5</v>
      </c>
      <c r="G168" s="465">
        <f t="shared" si="13"/>
        <v>0</v>
      </c>
      <c r="H168" s="16"/>
      <c r="I168" s="854">
        <f t="shared" si="14"/>
        <v>0</v>
      </c>
      <c r="J168" s="602"/>
      <c r="K168" s="562" t="s">
        <v>1027</v>
      </c>
      <c r="L168" s="562"/>
      <c r="M168" s="639">
        <f t="shared" si="15"/>
        <v>0</v>
      </c>
      <c r="N168" s="630"/>
      <c r="O168" s="33"/>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2"/>
      <c r="AN168" s="12"/>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row>
    <row r="169" spans="1:238" s="90" customFormat="1" ht="12.75" customHeight="1">
      <c r="A169" s="199">
        <f t="shared" si="16"/>
        <v>526</v>
      </c>
      <c r="B169" s="645" t="s">
        <v>468</v>
      </c>
      <c r="C169" s="611"/>
      <c r="D169" s="646"/>
      <c r="E169" s="17">
        <f>SUM(E163:E168)</f>
        <v>0</v>
      </c>
      <c r="F169" s="82"/>
      <c r="G169" s="876">
        <f>SUM(G163:G168)</f>
        <v>0</v>
      </c>
      <c r="H169" s="16"/>
      <c r="I169" s="435">
        <f>SUM(I163:I168)</f>
        <v>0</v>
      </c>
      <c r="J169" s="105"/>
      <c r="K169" s="613"/>
      <c r="L169" s="562"/>
      <c r="M169" s="629"/>
      <c r="N169" s="630"/>
      <c r="O169" s="33"/>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2"/>
      <c r="AN169" s="12"/>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row>
    <row r="170" spans="1:238" s="90" customFormat="1" ht="12.75" customHeight="1">
      <c r="A170" s="367"/>
      <c r="B170" s="367"/>
      <c r="C170" s="5"/>
      <c r="D170" s="5"/>
      <c r="E170" s="11"/>
      <c r="F170" s="10"/>
      <c r="G170" s="627"/>
      <c r="H170" s="16"/>
      <c r="I170" s="222"/>
      <c r="J170" s="105"/>
      <c r="K170" s="613"/>
      <c r="L170" s="562"/>
      <c r="M170" s="629"/>
      <c r="N170" s="630"/>
      <c r="O170" s="33"/>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2"/>
      <c r="AN170" s="12"/>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row>
    <row r="171" spans="1:238" s="90" customFormat="1" ht="12.75" customHeight="1">
      <c r="A171" s="367"/>
      <c r="B171" s="367"/>
      <c r="C171" s="5"/>
      <c r="D171" s="5"/>
      <c r="E171" s="11"/>
      <c r="F171" s="10"/>
      <c r="G171" s="627"/>
      <c r="H171" s="16"/>
      <c r="I171" s="59" t="s">
        <v>1432</v>
      </c>
      <c r="J171" s="105"/>
      <c r="K171" s="613"/>
      <c r="L171" s="562"/>
      <c r="M171" s="629"/>
      <c r="N171" s="630"/>
      <c r="O171" s="33"/>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2"/>
      <c r="AN171" s="12"/>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row>
    <row r="172" spans="1:238" s="90" customFormat="1" ht="12.75" customHeight="1">
      <c r="A172" s="202" t="s">
        <v>903</v>
      </c>
      <c r="B172" s="7" t="s">
        <v>901</v>
      </c>
      <c r="C172" s="5"/>
      <c r="D172" s="7"/>
      <c r="E172" s="7"/>
      <c r="F172" s="632"/>
      <c r="G172" s="225"/>
      <c r="H172" s="16"/>
      <c r="I172" s="59" t="str">
        <f>$I$6</f>
        <v>120 / </v>
      </c>
      <c r="J172" s="88"/>
      <c r="K172" s="623"/>
      <c r="L172" s="562"/>
      <c r="M172" s="635"/>
      <c r="N172" s="630"/>
      <c r="O172" s="33"/>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2"/>
      <c r="AN172" s="12"/>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row>
    <row r="173" spans="1:238" s="90" customFormat="1" ht="12.75" customHeight="1">
      <c r="A173" s="199">
        <v>601</v>
      </c>
      <c r="B173" s="224" t="s">
        <v>1264</v>
      </c>
      <c r="C173" s="224"/>
      <c r="D173" s="600" t="s">
        <v>655</v>
      </c>
      <c r="E173" s="207"/>
      <c r="F173" s="624">
        <f aca="true" t="shared" si="17" ref="F173:F178">F163</f>
        <v>201.38</v>
      </c>
      <c r="G173" s="465">
        <f aca="true" t="shared" si="18" ref="G173:G178">ROUND(E173*F173,0)</f>
        <v>0</v>
      </c>
      <c r="I173" s="857" t="s">
        <v>911</v>
      </c>
      <c r="J173" s="602"/>
      <c r="K173" s="562" t="s">
        <v>1276</v>
      </c>
      <c r="L173" s="562"/>
      <c r="M173" s="650">
        <f aca="true" t="shared" si="19" ref="M173:M178">G173*A173</f>
        <v>0</v>
      </c>
      <c r="N173" s="630"/>
      <c r="O173" s="33"/>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2"/>
      <c r="AN173" s="12"/>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row>
    <row r="174" spans="1:238" s="90" customFormat="1" ht="12.75" customHeight="1">
      <c r="A174" s="199">
        <f aca="true" t="shared" si="20" ref="A174:A179">A173+1</f>
        <v>602</v>
      </c>
      <c r="B174" s="224" t="s">
        <v>1265</v>
      </c>
      <c r="C174" s="224"/>
      <c r="D174" s="600" t="s">
        <v>656</v>
      </c>
      <c r="E174" s="207"/>
      <c r="F174" s="624">
        <f t="shared" si="17"/>
        <v>264.86</v>
      </c>
      <c r="G174" s="465">
        <f t="shared" si="18"/>
        <v>0</v>
      </c>
      <c r="I174" s="854">
        <f>IF(E174=0,0,E174/$E$179)</f>
        <v>0</v>
      </c>
      <c r="J174" s="602"/>
      <c r="K174" s="562" t="s">
        <v>1277</v>
      </c>
      <c r="L174" s="562"/>
      <c r="M174" s="638">
        <f t="shared" si="19"/>
        <v>0</v>
      </c>
      <c r="N174" s="630"/>
      <c r="O174" s="33"/>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2"/>
      <c r="AN174" s="12"/>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row>
    <row r="175" spans="1:238" s="90" customFormat="1" ht="12.75" customHeight="1">
      <c r="A175" s="199">
        <f t="shared" si="20"/>
        <v>603</v>
      </c>
      <c r="B175" s="224" t="s">
        <v>1457</v>
      </c>
      <c r="C175" s="224"/>
      <c r="D175" s="600" t="s">
        <v>657</v>
      </c>
      <c r="E175" s="207"/>
      <c r="F175" s="624">
        <f t="shared" si="17"/>
        <v>204.84</v>
      </c>
      <c r="G175" s="465">
        <f t="shared" si="18"/>
        <v>0</v>
      </c>
      <c r="I175" s="854">
        <f>IF(E175=0,0,E175/$E$179)</f>
        <v>0</v>
      </c>
      <c r="J175" s="602"/>
      <c r="K175" s="562" t="s">
        <v>1278</v>
      </c>
      <c r="L175" s="562"/>
      <c r="M175" s="638">
        <f t="shared" si="19"/>
        <v>0</v>
      </c>
      <c r="N175" s="630"/>
      <c r="O175" s="33"/>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2"/>
      <c r="AN175" s="12"/>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row>
    <row r="176" spans="1:238" s="90" customFormat="1" ht="12.75" customHeight="1">
      <c r="A176" s="199">
        <f t="shared" si="20"/>
        <v>604</v>
      </c>
      <c r="B176" s="224" t="s">
        <v>1458</v>
      </c>
      <c r="C176" s="224"/>
      <c r="D176" s="600" t="s">
        <v>658</v>
      </c>
      <c r="E176" s="207"/>
      <c r="F176" s="624">
        <f t="shared" si="17"/>
        <v>306.07</v>
      </c>
      <c r="G176" s="465">
        <f t="shared" si="18"/>
        <v>0</v>
      </c>
      <c r="I176" s="854">
        <f>IF(E176=0,0,E176/$E$179)</f>
        <v>0</v>
      </c>
      <c r="J176" s="602"/>
      <c r="K176" s="562" t="s">
        <v>1279</v>
      </c>
      <c r="L176" s="562"/>
      <c r="M176" s="638">
        <f t="shared" si="19"/>
        <v>0</v>
      </c>
      <c r="N176" s="630"/>
      <c r="O176" s="33"/>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2"/>
      <c r="AN176" s="12"/>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row>
    <row r="177" spans="1:238" s="90" customFormat="1" ht="12.75" customHeight="1">
      <c r="A177" s="199">
        <f t="shared" si="20"/>
        <v>605</v>
      </c>
      <c r="B177" s="224" t="s">
        <v>1459</v>
      </c>
      <c r="C177" s="224"/>
      <c r="D177" s="600" t="s">
        <v>659</v>
      </c>
      <c r="E177" s="207"/>
      <c r="F177" s="624">
        <f t="shared" si="17"/>
        <v>262.24</v>
      </c>
      <c r="G177" s="465">
        <f t="shared" si="18"/>
        <v>0</v>
      </c>
      <c r="I177" s="854">
        <f>IF(E177=0,0,E177/$E$179)</f>
        <v>0</v>
      </c>
      <c r="J177" s="602"/>
      <c r="K177" s="562" t="s">
        <v>1280</v>
      </c>
      <c r="L177" s="562"/>
      <c r="M177" s="638">
        <f t="shared" si="19"/>
        <v>0</v>
      </c>
      <c r="N177" s="630"/>
      <c r="O177" s="33"/>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2"/>
      <c r="AN177" s="12"/>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row>
    <row r="178" spans="1:238" s="90" customFormat="1" ht="12.75" customHeight="1">
      <c r="A178" s="199">
        <f t="shared" si="20"/>
        <v>606</v>
      </c>
      <c r="B178" s="378" t="s">
        <v>1460</v>
      </c>
      <c r="C178" s="378"/>
      <c r="D178" s="600" t="s">
        <v>660</v>
      </c>
      <c r="E178" s="207"/>
      <c r="F178" s="624">
        <f t="shared" si="17"/>
        <v>330.5</v>
      </c>
      <c r="G178" s="465">
        <f t="shared" si="18"/>
        <v>0</v>
      </c>
      <c r="I178" s="854">
        <f>IF(E178=0,0,E178/$E$179)</f>
        <v>0</v>
      </c>
      <c r="J178" s="602"/>
      <c r="K178" s="562" t="s">
        <v>1281</v>
      </c>
      <c r="L178" s="562"/>
      <c r="M178" s="639">
        <f t="shared" si="19"/>
        <v>0</v>
      </c>
      <c r="N178" s="630"/>
      <c r="O178" s="33"/>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2"/>
      <c r="AN178" s="12"/>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row>
    <row r="179" spans="1:238" s="90" customFormat="1" ht="12.75" customHeight="1">
      <c r="A179" s="199">
        <f t="shared" si="20"/>
        <v>607</v>
      </c>
      <c r="B179" s="645" t="s">
        <v>468</v>
      </c>
      <c r="C179" s="611"/>
      <c r="D179" s="611"/>
      <c r="E179" s="4">
        <f>SUM(E173:E178)</f>
        <v>0</v>
      </c>
      <c r="F179" s="466"/>
      <c r="G179" s="876">
        <f>SUM(G173:G178)</f>
        <v>0</v>
      </c>
      <c r="I179" s="435">
        <f>SUM(I173:I178)</f>
        <v>0</v>
      </c>
      <c r="J179" s="105"/>
      <c r="K179" s="613"/>
      <c r="L179" s="562"/>
      <c r="M179" s="629"/>
      <c r="N179" s="630"/>
      <c r="O179" s="12"/>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2"/>
      <c r="AN179" s="12"/>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row>
    <row r="180" spans="1:238" s="90" customFormat="1" ht="12.75" customHeight="1">
      <c r="A180" s="367"/>
      <c r="B180" s="367"/>
      <c r="C180" s="5"/>
      <c r="D180" s="5"/>
      <c r="E180" s="11"/>
      <c r="F180" s="10"/>
      <c r="G180" s="627"/>
      <c r="H180" s="625"/>
      <c r="J180" s="105"/>
      <c r="K180" s="613"/>
      <c r="L180" s="562"/>
      <c r="M180" s="629"/>
      <c r="N180" s="630"/>
      <c r="O180" s="12"/>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2"/>
      <c r="AN180" s="12"/>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row>
    <row r="181" spans="1:248" s="90" customFormat="1" ht="12.75" customHeight="1">
      <c r="A181" s="202" t="s">
        <v>726</v>
      </c>
      <c r="B181" s="7" t="s">
        <v>289</v>
      </c>
      <c r="C181" s="203"/>
      <c r="D181" s="203"/>
      <c r="E181" s="203"/>
      <c r="F181" s="203"/>
      <c r="G181" s="423" t="s">
        <v>565</v>
      </c>
      <c r="K181" s="562"/>
      <c r="L181" s="562"/>
      <c r="M181" s="415"/>
      <c r="N181" s="192"/>
      <c r="O181" s="12"/>
      <c r="AB181" s="193"/>
      <c r="AF181" s="75"/>
      <c r="AG181" s="75"/>
      <c r="AH181" s="194"/>
      <c r="AI181" s="195"/>
      <c r="AJ181" s="195"/>
      <c r="AK181" s="195"/>
      <c r="AL181" s="195"/>
      <c r="IG181" s="75"/>
      <c r="IH181" s="75"/>
      <c r="II181" s="75"/>
      <c r="IJ181" s="75"/>
      <c r="IK181" s="75"/>
      <c r="IL181" s="75"/>
      <c r="IM181" s="75"/>
      <c r="IN181" s="75"/>
    </row>
    <row r="182" spans="1:248" s="90" customFormat="1" ht="12.75" customHeight="1">
      <c r="A182" s="202"/>
      <c r="B182" s="7"/>
      <c r="C182" s="203"/>
      <c r="D182" s="203"/>
      <c r="E182" s="203"/>
      <c r="F182" s="203"/>
      <c r="G182" s="424" t="s">
        <v>716</v>
      </c>
      <c r="K182" s="562"/>
      <c r="L182" s="562"/>
      <c r="M182" s="415"/>
      <c r="N182" s="192"/>
      <c r="O182" s="12"/>
      <c r="AB182" s="193"/>
      <c r="AF182" s="75"/>
      <c r="AG182" s="75"/>
      <c r="AH182" s="194"/>
      <c r="AI182" s="195"/>
      <c r="AJ182" s="195"/>
      <c r="AK182" s="195"/>
      <c r="AL182" s="195"/>
      <c r="IG182" s="75"/>
      <c r="IH182" s="75"/>
      <c r="II182" s="75"/>
      <c r="IJ182" s="75"/>
      <c r="IK182" s="75"/>
      <c r="IL182" s="75"/>
      <c r="IM182" s="75"/>
      <c r="IN182" s="75"/>
    </row>
    <row r="183" spans="1:248" s="90" customFormat="1" ht="12.75" customHeight="1">
      <c r="A183" s="202" t="s">
        <v>727</v>
      </c>
      <c r="B183" s="7" t="s">
        <v>785</v>
      </c>
      <c r="C183" s="203"/>
      <c r="D183" s="203"/>
      <c r="E183" s="203"/>
      <c r="F183" s="203"/>
      <c r="G183" s="425">
        <v>2009</v>
      </c>
      <c r="J183" s="578"/>
      <c r="K183" s="562"/>
      <c r="L183" s="562"/>
      <c r="M183" s="415"/>
      <c r="N183" s="192"/>
      <c r="O183" s="12"/>
      <c r="AB183" s="193"/>
      <c r="AF183" s="75"/>
      <c r="AG183" s="75"/>
      <c r="AH183" s="194"/>
      <c r="AI183" s="195"/>
      <c r="AJ183" s="195"/>
      <c r="AK183" s="195"/>
      <c r="AL183" s="195"/>
      <c r="IG183" s="75"/>
      <c r="IH183" s="75"/>
      <c r="II183" s="75"/>
      <c r="IJ183" s="75"/>
      <c r="IK183" s="75"/>
      <c r="IL183" s="75"/>
      <c r="IM183" s="75"/>
      <c r="IN183" s="75"/>
    </row>
    <row r="184" spans="1:248" s="90" customFormat="1" ht="12.75" customHeight="1">
      <c r="A184" s="199">
        <f>A179+1</f>
        <v>608</v>
      </c>
      <c r="B184" s="57" t="s">
        <v>349</v>
      </c>
      <c r="C184" s="200"/>
      <c r="D184" s="200"/>
      <c r="E184" s="200"/>
      <c r="F184" s="206"/>
      <c r="G184" s="965"/>
      <c r="K184" s="562"/>
      <c r="L184" s="562"/>
      <c r="M184" s="590">
        <f>G186*A184</f>
        <v>0</v>
      </c>
      <c r="N184" s="192"/>
      <c r="O184" s="12"/>
      <c r="AB184" s="193"/>
      <c r="AF184" s="75"/>
      <c r="AG184" s="75"/>
      <c r="AH184" s="194"/>
      <c r="AI184" s="195"/>
      <c r="AJ184" s="195"/>
      <c r="AK184" s="195"/>
      <c r="AL184" s="195"/>
      <c r="IG184" s="75"/>
      <c r="IH184" s="75"/>
      <c r="II184" s="75"/>
      <c r="IJ184" s="75"/>
      <c r="IK184" s="75"/>
      <c r="IL184" s="75"/>
      <c r="IM184" s="75"/>
      <c r="IN184" s="75"/>
    </row>
    <row r="185" spans="1:248" s="90" customFormat="1" ht="12.75" customHeight="1">
      <c r="A185" s="199">
        <f>A184+1</f>
        <v>609</v>
      </c>
      <c r="B185" s="57" t="s">
        <v>350</v>
      </c>
      <c r="C185" s="200"/>
      <c r="D185" s="200"/>
      <c r="E185" s="200"/>
      <c r="F185" s="206"/>
      <c r="G185" s="965"/>
      <c r="K185" s="562"/>
      <c r="L185" s="562"/>
      <c r="M185" s="635"/>
      <c r="N185" s="192"/>
      <c r="O185" s="12"/>
      <c r="AB185" s="193"/>
      <c r="AF185" s="75"/>
      <c r="AG185" s="75"/>
      <c r="AH185" s="194"/>
      <c r="AI185" s="195"/>
      <c r="AJ185" s="195"/>
      <c r="AK185" s="195"/>
      <c r="AL185" s="195"/>
      <c r="IG185" s="75"/>
      <c r="IH185" s="75"/>
      <c r="II185" s="75"/>
      <c r="IJ185" s="75"/>
      <c r="IK185" s="75"/>
      <c r="IL185" s="75"/>
      <c r="IM185" s="75"/>
      <c r="IN185" s="75"/>
    </row>
    <row r="186" spans="1:248" s="90" customFormat="1" ht="12.75" customHeight="1">
      <c r="A186" s="199">
        <f>A185+1</f>
        <v>610</v>
      </c>
      <c r="B186" s="645" t="s">
        <v>1416</v>
      </c>
      <c r="C186" s="611"/>
      <c r="D186" s="611"/>
      <c r="E186" s="611"/>
      <c r="F186" s="646"/>
      <c r="G186" s="4">
        <f>SUM(G184:G185)</f>
        <v>0</v>
      </c>
      <c r="K186" s="562"/>
      <c r="L186" s="562"/>
      <c r="M186" s="635"/>
      <c r="N186" s="192"/>
      <c r="O186" s="12"/>
      <c r="AB186" s="193"/>
      <c r="AF186" s="75"/>
      <c r="AG186" s="75"/>
      <c r="AH186" s="194"/>
      <c r="AI186" s="195"/>
      <c r="AJ186" s="195"/>
      <c r="AK186" s="195"/>
      <c r="AL186" s="195"/>
      <c r="IG186" s="75"/>
      <c r="IH186" s="75"/>
      <c r="II186" s="75"/>
      <c r="IJ186" s="75"/>
      <c r="IK186" s="75"/>
      <c r="IL186" s="75"/>
      <c r="IM186" s="75"/>
      <c r="IN186" s="75"/>
    </row>
    <row r="187" spans="1:248" s="90" customFormat="1" ht="12.75" customHeight="1">
      <c r="A187" s="202"/>
      <c r="B187" s="58"/>
      <c r="C187" s="203"/>
      <c r="D187" s="203"/>
      <c r="E187" s="203"/>
      <c r="F187" s="203"/>
      <c r="G187" s="203"/>
      <c r="H187" s="204"/>
      <c r="I187" s="579"/>
      <c r="J187" s="578"/>
      <c r="K187" s="562"/>
      <c r="L187" s="562"/>
      <c r="M187" s="415"/>
      <c r="N187" s="192"/>
      <c r="O187" s="12"/>
      <c r="AB187" s="193"/>
      <c r="AF187" s="75"/>
      <c r="AG187" s="75"/>
      <c r="AH187" s="194"/>
      <c r="AI187" s="195"/>
      <c r="AJ187" s="195"/>
      <c r="AK187" s="195"/>
      <c r="AL187" s="195"/>
      <c r="IG187" s="75"/>
      <c r="IH187" s="75"/>
      <c r="II187" s="75"/>
      <c r="IJ187" s="75"/>
      <c r="IK187" s="75"/>
      <c r="IL187" s="75"/>
      <c r="IM187" s="75"/>
      <c r="IN187" s="75"/>
    </row>
    <row r="188" spans="3:248" s="90" customFormat="1" ht="12.75" customHeight="1">
      <c r="C188" s="203"/>
      <c r="D188" s="203"/>
      <c r="E188" s="583" t="s">
        <v>567</v>
      </c>
      <c r="F188" s="583" t="s">
        <v>469</v>
      </c>
      <c r="G188" s="584" t="s">
        <v>470</v>
      </c>
      <c r="I188" s="585" t="s">
        <v>671</v>
      </c>
      <c r="J188" s="75"/>
      <c r="K188" s="562"/>
      <c r="L188" s="562"/>
      <c r="M188" s="415"/>
      <c r="N188" s="192"/>
      <c r="O188" s="12"/>
      <c r="AB188" s="193"/>
      <c r="AF188" s="75"/>
      <c r="AG188" s="75"/>
      <c r="AH188" s="194"/>
      <c r="AI188" s="195"/>
      <c r="AJ188" s="195"/>
      <c r="AK188" s="195"/>
      <c r="AL188" s="195"/>
      <c r="IG188" s="75"/>
      <c r="IH188" s="75"/>
      <c r="II188" s="75"/>
      <c r="IJ188" s="75"/>
      <c r="IK188" s="75"/>
      <c r="IL188" s="75"/>
      <c r="IM188" s="75"/>
      <c r="IN188" s="75"/>
    </row>
    <row r="189" spans="1:248" ht="12.75" customHeight="1">
      <c r="A189" s="202" t="s">
        <v>1420</v>
      </c>
      <c r="B189" s="7" t="s">
        <v>784</v>
      </c>
      <c r="C189" s="35"/>
      <c r="D189" s="35"/>
      <c r="E189" s="586">
        <v>2009</v>
      </c>
      <c r="F189" s="587"/>
      <c r="G189" s="586"/>
      <c r="I189" s="588" t="s">
        <v>787</v>
      </c>
      <c r="J189" s="75"/>
      <c r="K189" s="562"/>
      <c r="L189" s="562"/>
      <c r="N189" s="85"/>
      <c r="O189" s="12"/>
      <c r="AB189" s="74"/>
      <c r="AF189" s="75"/>
      <c r="AG189" s="75"/>
      <c r="AH189" s="101"/>
      <c r="AI189" s="102"/>
      <c r="AJ189" s="102"/>
      <c r="AK189" s="102"/>
      <c r="AL189" s="102"/>
      <c r="IG189" s="75"/>
      <c r="IH189" s="75"/>
      <c r="II189" s="75"/>
      <c r="IJ189" s="75"/>
      <c r="IK189" s="75"/>
      <c r="IL189" s="75"/>
      <c r="IM189" s="75"/>
      <c r="IN189" s="75"/>
    </row>
    <row r="190" spans="1:248" s="32" customFormat="1" ht="12.75" customHeight="1">
      <c r="A190" s="199">
        <f>A186+1</f>
        <v>611</v>
      </c>
      <c r="B190" s="224" t="s">
        <v>780</v>
      </c>
      <c r="C190" s="224"/>
      <c r="D190" s="224"/>
      <c r="E190" s="617">
        <f>IF(I190&gt;G186,G186,I190)</f>
        <v>0</v>
      </c>
      <c r="F190" s="589">
        <f>Uitvoerbestand!I60</f>
        <v>56547.26</v>
      </c>
      <c r="G190" s="465">
        <f>ROUND(E190*F190,0)</f>
        <v>0</v>
      </c>
      <c r="H190" s="858"/>
      <c r="I190" s="686">
        <f>CEILING(E195/365,1)</f>
        <v>0</v>
      </c>
      <c r="J190" s="12"/>
      <c r="K190" s="562" t="s">
        <v>542</v>
      </c>
      <c r="L190" s="562"/>
      <c r="M190" s="582">
        <f>G190*A190</f>
        <v>0</v>
      </c>
      <c r="N190" s="591"/>
      <c r="O190" s="12"/>
      <c r="P190" s="12"/>
      <c r="Q190" s="12"/>
      <c r="R190" s="12"/>
      <c r="S190" s="12"/>
      <c r="T190" s="12"/>
      <c r="U190" s="12"/>
      <c r="V190" s="12"/>
      <c r="IG190" s="12"/>
      <c r="IH190" s="12"/>
      <c r="II190" s="12"/>
      <c r="IJ190" s="12"/>
      <c r="IK190" s="12"/>
      <c r="IL190" s="12"/>
      <c r="IM190" s="12"/>
      <c r="IN190" s="12"/>
    </row>
    <row r="191" spans="1:248" s="16" customFormat="1" ht="12.75" customHeight="1">
      <c r="A191" s="199">
        <f>A190+1</f>
        <v>612</v>
      </c>
      <c r="B191" s="224" t="s">
        <v>286</v>
      </c>
      <c r="C191" s="224"/>
      <c r="D191" s="592"/>
      <c r="E191" s="581">
        <f>IF(E190=G186,0,G186-E190)</f>
        <v>0</v>
      </c>
      <c r="F191" s="865"/>
      <c r="G191" s="855"/>
      <c r="H191" s="12"/>
      <c r="I191" s="12"/>
      <c r="J191" s="12"/>
      <c r="K191" s="562" t="s">
        <v>912</v>
      </c>
      <c r="L191" s="562"/>
      <c r="M191" s="635"/>
      <c r="N191" s="636"/>
      <c r="O191" s="12"/>
      <c r="P191" s="12"/>
      <c r="Q191" s="12"/>
      <c r="R191" s="216"/>
      <c r="S191" s="75"/>
      <c r="T191" s="12"/>
      <c r="U191" s="12"/>
      <c r="V191" s="12"/>
      <c r="IG191" s="12"/>
      <c r="IH191" s="12"/>
      <c r="II191" s="12"/>
      <c r="IJ191" s="12"/>
      <c r="IK191" s="12"/>
      <c r="IL191" s="12"/>
      <c r="IM191" s="12"/>
      <c r="IN191" s="12"/>
    </row>
    <row r="192" spans="1:248" s="32" customFormat="1" ht="12.75" customHeight="1">
      <c r="A192" s="199">
        <f>A191+1</f>
        <v>613</v>
      </c>
      <c r="B192" s="645" t="s">
        <v>1416</v>
      </c>
      <c r="C192" s="611"/>
      <c r="D192" s="611"/>
      <c r="E192" s="611"/>
      <c r="F192" s="646"/>
      <c r="G192" s="876">
        <f>SUM(G190:G191)</f>
        <v>0</v>
      </c>
      <c r="H192" s="441"/>
      <c r="J192" s="12"/>
      <c r="K192" s="562"/>
      <c r="L192" s="562"/>
      <c r="M192" s="594"/>
      <c r="N192" s="591"/>
      <c r="O192" s="12"/>
      <c r="P192" s="12"/>
      <c r="Q192" s="12"/>
      <c r="R192" s="12"/>
      <c r="S192" s="12"/>
      <c r="T192" s="12"/>
      <c r="U192" s="12"/>
      <c r="V192" s="12"/>
      <c r="IG192" s="12"/>
      <c r="IH192" s="12"/>
      <c r="II192" s="12"/>
      <c r="IJ192" s="12"/>
      <c r="IK192" s="12"/>
      <c r="IL192" s="12"/>
      <c r="IM192" s="12"/>
      <c r="IN192" s="12"/>
    </row>
    <row r="193" spans="1:238" s="90" customFormat="1" ht="12.75" customHeight="1">
      <c r="A193" s="421"/>
      <c r="B193" s="649"/>
      <c r="C193" s="5"/>
      <c r="D193" s="7"/>
      <c r="E193" s="7"/>
      <c r="F193" s="632"/>
      <c r="G193" s="225"/>
      <c r="I193" s="88"/>
      <c r="J193" s="88"/>
      <c r="K193" s="623"/>
      <c r="L193" s="562"/>
      <c r="M193" s="629"/>
      <c r="N193" s="630"/>
      <c r="O193" s="12"/>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2"/>
      <c r="AN193" s="12"/>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row>
    <row r="194" spans="1:238" s="90" customFormat="1" ht="12.75" customHeight="1">
      <c r="A194" s="202" t="s">
        <v>728</v>
      </c>
      <c r="B194" s="7" t="s">
        <v>729</v>
      </c>
      <c r="C194" s="5"/>
      <c r="D194" s="7"/>
      <c r="E194" s="7"/>
      <c r="F194" s="598"/>
      <c r="G194" s="225"/>
      <c r="I194" s="857" t="s">
        <v>911</v>
      </c>
      <c r="J194" s="88"/>
      <c r="K194" s="623"/>
      <c r="L194" s="562"/>
      <c r="M194" s="650"/>
      <c r="N194" s="630"/>
      <c r="O194" s="12"/>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2"/>
      <c r="AN194" s="12"/>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row>
    <row r="195" spans="1:238" s="90" customFormat="1" ht="12.75" customHeight="1">
      <c r="A195" s="199">
        <f>A192+1</f>
        <v>614</v>
      </c>
      <c r="B195" s="224" t="s">
        <v>475</v>
      </c>
      <c r="C195" s="651"/>
      <c r="D195" s="652"/>
      <c r="E195" s="207"/>
      <c r="F195" s="644">
        <f>Uitvoerbestand!I40</f>
        <v>316.10999999999996</v>
      </c>
      <c r="G195" s="465">
        <f>ROUND(E195*F195,0)</f>
        <v>0</v>
      </c>
      <c r="I195" s="854">
        <f>IF(E195=0,0,E195/$E$195)</f>
        <v>0</v>
      </c>
      <c r="J195" s="105"/>
      <c r="K195" s="562" t="s">
        <v>242</v>
      </c>
      <c r="L195" s="562"/>
      <c r="M195" s="590">
        <f>G195*A195</f>
        <v>0</v>
      </c>
      <c r="N195" s="630"/>
      <c r="O195" s="12"/>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2"/>
      <c r="AN195" s="12"/>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c r="HU195" s="16"/>
      <c r="HV195" s="16"/>
      <c r="HW195" s="16"/>
      <c r="HX195" s="16"/>
      <c r="HY195" s="16"/>
      <c r="HZ195" s="16"/>
      <c r="IA195" s="16"/>
      <c r="IB195" s="16"/>
      <c r="IC195" s="16"/>
      <c r="ID195" s="16"/>
    </row>
    <row r="196" spans="1:238" ht="12.75" customHeight="1">
      <c r="A196" s="7"/>
      <c r="B196" s="7"/>
      <c r="C196" s="7"/>
      <c r="D196" s="7"/>
      <c r="E196" s="7"/>
      <c r="F196" s="7"/>
      <c r="G196" s="6"/>
      <c r="H196" s="88"/>
      <c r="I196" s="88"/>
      <c r="J196" s="88"/>
      <c r="K196" s="562"/>
      <c r="L196" s="562"/>
      <c r="M196" s="564"/>
      <c r="N196" s="608"/>
      <c r="O196" s="12"/>
      <c r="P196" s="16"/>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12"/>
      <c r="AN196" s="1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row>
    <row r="197" spans="1:248" s="16" customFormat="1" ht="12.75" customHeight="1">
      <c r="A197" s="367"/>
      <c r="B197" s="12"/>
      <c r="C197" s="88"/>
      <c r="D197" s="88"/>
      <c r="E197" s="583" t="s">
        <v>567</v>
      </c>
      <c r="F197" s="583" t="s">
        <v>469</v>
      </c>
      <c r="G197" s="584" t="s">
        <v>470</v>
      </c>
      <c r="H197" s="88"/>
      <c r="I197" s="88"/>
      <c r="J197" s="88"/>
      <c r="K197" s="647"/>
      <c r="L197" s="648"/>
      <c r="M197" s="367"/>
      <c r="N197" s="653"/>
      <c r="O197" s="654"/>
      <c r="P197" s="12"/>
      <c r="AN197" s="12"/>
      <c r="IG197" s="12"/>
      <c r="IH197" s="12"/>
      <c r="II197" s="12"/>
      <c r="IJ197" s="12"/>
      <c r="IK197" s="12"/>
      <c r="IL197" s="12"/>
      <c r="IM197" s="12"/>
      <c r="IN197" s="12"/>
    </row>
    <row r="198" spans="1:238" ht="12.75" customHeight="1">
      <c r="A198" s="421" t="s">
        <v>730</v>
      </c>
      <c r="B198" s="7" t="s">
        <v>686</v>
      </c>
      <c r="C198" s="5"/>
      <c r="D198" s="7"/>
      <c r="E198" s="586">
        <v>2009</v>
      </c>
      <c r="F198" s="587"/>
      <c r="G198" s="586"/>
      <c r="H198" s="12"/>
      <c r="I198" s="12"/>
      <c r="J198" s="12"/>
      <c r="K198" s="623"/>
      <c r="L198" s="562"/>
      <c r="M198" s="564"/>
      <c r="N198" s="608"/>
      <c r="O198" s="33"/>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row>
    <row r="199" spans="1:238" ht="12.75" customHeight="1">
      <c r="A199" s="199">
        <f>A195+1</f>
        <v>615</v>
      </c>
      <c r="B199" s="655" t="s">
        <v>553</v>
      </c>
      <c r="C199" s="224"/>
      <c r="D199" s="592"/>
      <c r="E199" s="656">
        <f>H424</f>
        <v>3650</v>
      </c>
      <c r="F199" s="619">
        <f>Uitvoerbestand!I67</f>
        <v>21.09</v>
      </c>
      <c r="G199" s="465">
        <f>ROUND(E199*F199,0)</f>
        <v>76979</v>
      </c>
      <c r="H199" s="89"/>
      <c r="I199" s="12"/>
      <c r="J199" s="12"/>
      <c r="K199" s="562" t="s">
        <v>900</v>
      </c>
      <c r="L199" s="562"/>
      <c r="M199" s="582">
        <f>G199*A199</f>
        <v>47342085</v>
      </c>
      <c r="N199" s="657"/>
      <c r="O199" s="33"/>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row>
    <row r="200" spans="1:238" ht="12.75" customHeight="1">
      <c r="A200" s="367"/>
      <c r="B200" s="609"/>
      <c r="C200" s="12"/>
      <c r="D200" s="12"/>
      <c r="E200" s="658"/>
      <c r="F200" s="595"/>
      <c r="G200" s="88"/>
      <c r="H200" s="89"/>
      <c r="I200" s="12"/>
      <c r="J200" s="12"/>
      <c r="K200" s="562"/>
      <c r="L200" s="562"/>
      <c r="M200" s="564"/>
      <c r="N200" s="657"/>
      <c r="O200" s="33"/>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row>
    <row r="201" spans="1:248" s="90" customFormat="1" ht="12.75" customHeight="1">
      <c r="A201" s="44" t="s">
        <v>1437</v>
      </c>
      <c r="B201" s="7" t="s">
        <v>856</v>
      </c>
      <c r="C201" s="205" t="s">
        <v>566</v>
      </c>
      <c r="D201" s="200"/>
      <c r="E201" s="350"/>
      <c r="F201" s="56" t="str">
        <f>IF(E31="JA","ja","nee")</f>
        <v>nee</v>
      </c>
      <c r="H201" s="32"/>
      <c r="I201" s="59" t="s">
        <v>1433</v>
      </c>
      <c r="K201" s="562"/>
      <c r="L201" s="562"/>
      <c r="M201" s="415"/>
      <c r="N201" s="192"/>
      <c r="AB201" s="193"/>
      <c r="AF201" s="75"/>
      <c r="AG201" s="75"/>
      <c r="AH201" s="194"/>
      <c r="AI201" s="195"/>
      <c r="AJ201" s="195"/>
      <c r="AK201" s="195"/>
      <c r="AL201" s="195"/>
      <c r="IG201" s="75"/>
      <c r="IH201" s="75"/>
      <c r="II201" s="75"/>
      <c r="IJ201" s="75"/>
      <c r="IK201" s="75"/>
      <c r="IL201" s="75"/>
      <c r="IM201" s="75"/>
      <c r="IN201" s="75"/>
    </row>
    <row r="202" spans="1:248" s="90" customFormat="1" ht="12.75" customHeight="1">
      <c r="A202" s="44"/>
      <c r="B202" s="7"/>
      <c r="C202" s="417"/>
      <c r="D202" s="33"/>
      <c r="E202" s="33"/>
      <c r="F202" s="46"/>
      <c r="H202" s="32"/>
      <c r="I202" s="59" t="str">
        <f>$I$6</f>
        <v>120 / </v>
      </c>
      <c r="K202" s="562"/>
      <c r="L202" s="562"/>
      <c r="M202" s="415"/>
      <c r="N202" s="192"/>
      <c r="AB202" s="193"/>
      <c r="AF202" s="75"/>
      <c r="AG202" s="75"/>
      <c r="AH202" s="194"/>
      <c r="AI202" s="195"/>
      <c r="AJ202" s="195"/>
      <c r="AK202" s="195"/>
      <c r="AL202" s="195"/>
      <c r="IG202" s="75"/>
      <c r="IH202" s="75"/>
      <c r="II202" s="75"/>
      <c r="IJ202" s="75"/>
      <c r="IK202" s="75"/>
      <c r="IL202" s="75"/>
      <c r="IM202" s="75"/>
      <c r="IN202" s="75"/>
    </row>
    <row r="203" spans="3:248" s="90" customFormat="1" ht="12.75" customHeight="1">
      <c r="C203" s="32"/>
      <c r="D203" s="32"/>
      <c r="E203" s="32"/>
      <c r="F203" s="61"/>
      <c r="G203" s="423" t="s">
        <v>565</v>
      </c>
      <c r="K203" s="562"/>
      <c r="L203" s="562"/>
      <c r="M203" s="415"/>
      <c r="N203" s="192"/>
      <c r="AB203" s="193"/>
      <c r="AF203" s="75"/>
      <c r="AG203" s="75"/>
      <c r="AH203" s="194"/>
      <c r="AI203" s="195"/>
      <c r="AJ203" s="195"/>
      <c r="AK203" s="195"/>
      <c r="AL203" s="195"/>
      <c r="IG203" s="75"/>
      <c r="IH203" s="75"/>
      <c r="II203" s="75"/>
      <c r="IJ203" s="75"/>
      <c r="IK203" s="75"/>
      <c r="IL203" s="75"/>
      <c r="IM203" s="75"/>
      <c r="IN203" s="75"/>
    </row>
    <row r="204" spans="1:248" s="90" customFormat="1" ht="12.75" customHeight="1">
      <c r="A204" s="44" t="s">
        <v>1438</v>
      </c>
      <c r="B204" s="7" t="s">
        <v>857</v>
      </c>
      <c r="C204" s="32"/>
      <c r="D204" s="32"/>
      <c r="E204" s="32"/>
      <c r="F204" s="61"/>
      <c r="G204" s="424" t="s">
        <v>716</v>
      </c>
      <c r="K204" s="562"/>
      <c r="L204" s="562"/>
      <c r="M204" s="415"/>
      <c r="N204" s="192"/>
      <c r="AB204" s="193"/>
      <c r="AF204" s="75"/>
      <c r="AG204" s="75"/>
      <c r="AH204" s="194"/>
      <c r="AI204" s="195"/>
      <c r="AJ204" s="195"/>
      <c r="AK204" s="195"/>
      <c r="AL204" s="195"/>
      <c r="IG204" s="75"/>
      <c r="IH204" s="75"/>
      <c r="II204" s="75"/>
      <c r="IJ204" s="75"/>
      <c r="IK204" s="75"/>
      <c r="IL204" s="75"/>
      <c r="IM204" s="75"/>
      <c r="IN204" s="75"/>
    </row>
    <row r="205" spans="2:248" s="90" customFormat="1" ht="12.75" customHeight="1">
      <c r="B205" s="347"/>
      <c r="E205" s="32"/>
      <c r="F205" s="61"/>
      <c r="G205" s="425">
        <v>2009</v>
      </c>
      <c r="K205" s="562"/>
      <c r="L205" s="562"/>
      <c r="M205" s="415"/>
      <c r="N205" s="192"/>
      <c r="AB205" s="193"/>
      <c r="AF205" s="75"/>
      <c r="AG205" s="75"/>
      <c r="AH205" s="194"/>
      <c r="AI205" s="195"/>
      <c r="AJ205" s="195"/>
      <c r="AK205" s="195"/>
      <c r="AL205" s="195"/>
      <c r="IG205" s="75"/>
      <c r="IH205" s="75"/>
      <c r="II205" s="75"/>
      <c r="IJ205" s="75"/>
      <c r="IK205" s="75"/>
      <c r="IL205" s="75"/>
      <c r="IM205" s="75"/>
      <c r="IN205" s="75"/>
    </row>
    <row r="206" spans="1:248" s="90" customFormat="1" ht="12.75" customHeight="1">
      <c r="A206" s="199">
        <f>701</f>
        <v>701</v>
      </c>
      <c r="B206" s="57" t="s">
        <v>351</v>
      </c>
      <c r="C206" s="200"/>
      <c r="D206" s="200"/>
      <c r="E206" s="200"/>
      <c r="F206" s="206"/>
      <c r="G206" s="965"/>
      <c r="K206" s="562"/>
      <c r="L206" s="562"/>
      <c r="M206" s="582">
        <f>G208*A206</f>
        <v>0</v>
      </c>
      <c r="N206" s="192"/>
      <c r="AB206" s="193"/>
      <c r="AF206" s="75"/>
      <c r="AG206" s="75"/>
      <c r="AH206" s="194"/>
      <c r="AI206" s="195"/>
      <c r="AJ206" s="195"/>
      <c r="AK206" s="195"/>
      <c r="AL206" s="195"/>
      <c r="IG206" s="75"/>
      <c r="IH206" s="75"/>
      <c r="II206" s="75"/>
      <c r="IJ206" s="75"/>
      <c r="IK206" s="75"/>
      <c r="IL206" s="75"/>
      <c r="IM206" s="75"/>
      <c r="IN206" s="75"/>
    </row>
    <row r="207" spans="1:248" s="90" customFormat="1" ht="12.75" customHeight="1">
      <c r="A207" s="199">
        <f>A206+1</f>
        <v>702</v>
      </c>
      <c r="B207" s="57" t="s">
        <v>352</v>
      </c>
      <c r="C207" s="33"/>
      <c r="D207" s="33"/>
      <c r="E207" s="33"/>
      <c r="F207" s="870"/>
      <c r="G207" s="965"/>
      <c r="K207" s="562"/>
      <c r="L207" s="562"/>
      <c r="M207" s="594"/>
      <c r="N207" s="192"/>
      <c r="AB207" s="193"/>
      <c r="AF207" s="75"/>
      <c r="AG207" s="75"/>
      <c r="AH207" s="194"/>
      <c r="AI207" s="195"/>
      <c r="AJ207" s="195"/>
      <c r="AK207" s="195"/>
      <c r="AL207" s="195"/>
      <c r="IG207" s="75"/>
      <c r="IH207" s="75"/>
      <c r="II207" s="75"/>
      <c r="IJ207" s="75"/>
      <c r="IK207" s="75"/>
      <c r="IL207" s="75"/>
      <c r="IM207" s="75"/>
      <c r="IN207" s="75"/>
    </row>
    <row r="208" spans="1:248" s="90" customFormat="1" ht="12.75" customHeight="1">
      <c r="A208" s="199">
        <f>A207+1</f>
        <v>703</v>
      </c>
      <c r="B208" s="645" t="s">
        <v>946</v>
      </c>
      <c r="C208" s="611"/>
      <c r="D208" s="646"/>
      <c r="E208" s="17">
        <f>E203+E207</f>
        <v>0</v>
      </c>
      <c r="F208" s="82"/>
      <c r="G208" s="868">
        <f>SUM(G206:G207)</f>
        <v>0</v>
      </c>
      <c r="K208" s="562"/>
      <c r="L208" s="562"/>
      <c r="M208" s="594"/>
      <c r="N208" s="192"/>
      <c r="AB208" s="193"/>
      <c r="AF208" s="75"/>
      <c r="AG208" s="75"/>
      <c r="AH208" s="194"/>
      <c r="AI208" s="195"/>
      <c r="AJ208" s="195"/>
      <c r="AK208" s="195"/>
      <c r="AL208" s="195"/>
      <c r="IG208" s="75"/>
      <c r="IH208" s="75"/>
      <c r="II208" s="75"/>
      <c r="IJ208" s="75"/>
      <c r="IK208" s="75"/>
      <c r="IL208" s="75"/>
      <c r="IM208" s="75"/>
      <c r="IN208" s="75"/>
    </row>
    <row r="209" spans="1:248" s="90" customFormat="1" ht="12.75" customHeight="1">
      <c r="A209" s="202"/>
      <c r="B209" s="58"/>
      <c r="C209" s="203"/>
      <c r="D209" s="203"/>
      <c r="E209" s="203"/>
      <c r="F209" s="203"/>
      <c r="G209" s="203"/>
      <c r="H209" s="204"/>
      <c r="I209" s="579"/>
      <c r="J209" s="578"/>
      <c r="K209" s="562"/>
      <c r="L209" s="562"/>
      <c r="M209" s="415"/>
      <c r="N209" s="192"/>
      <c r="AB209" s="193"/>
      <c r="AF209" s="75"/>
      <c r="AG209" s="75"/>
      <c r="AH209" s="194"/>
      <c r="AI209" s="195"/>
      <c r="AJ209" s="195"/>
      <c r="AK209" s="195"/>
      <c r="AL209" s="195"/>
      <c r="IG209" s="75"/>
      <c r="IH209" s="75"/>
      <c r="II209" s="75"/>
      <c r="IJ209" s="75"/>
      <c r="IK209" s="75"/>
      <c r="IL209" s="75"/>
      <c r="IM209" s="75"/>
      <c r="IN209" s="75"/>
    </row>
    <row r="210" spans="3:248" s="90" customFormat="1" ht="12.75" customHeight="1">
      <c r="C210" s="203"/>
      <c r="D210" s="203"/>
      <c r="E210" s="583" t="s">
        <v>567</v>
      </c>
      <c r="F210" s="583" t="s">
        <v>469</v>
      </c>
      <c r="G210" s="584" t="s">
        <v>470</v>
      </c>
      <c r="H210" s="12"/>
      <c r="I210" s="585" t="s">
        <v>671</v>
      </c>
      <c r="K210" s="562"/>
      <c r="L210" s="562"/>
      <c r="M210" s="415"/>
      <c r="N210" s="192"/>
      <c r="AB210" s="193"/>
      <c r="AF210" s="75"/>
      <c r="AG210" s="75"/>
      <c r="AH210" s="194"/>
      <c r="AI210" s="195"/>
      <c r="AJ210" s="195"/>
      <c r="AK210" s="195"/>
      <c r="AL210" s="195"/>
      <c r="IG210" s="75"/>
      <c r="IH210" s="75"/>
      <c r="II210" s="75"/>
      <c r="IJ210" s="75"/>
      <c r="IK210" s="75"/>
      <c r="IL210" s="75"/>
      <c r="IM210" s="75"/>
      <c r="IN210" s="75"/>
    </row>
    <row r="211" spans="1:248" ht="12.75" customHeight="1">
      <c r="A211" s="442" t="s">
        <v>731</v>
      </c>
      <c r="B211" s="7" t="s">
        <v>819</v>
      </c>
      <c r="C211" s="35"/>
      <c r="D211" s="35"/>
      <c r="E211" s="586">
        <v>2009</v>
      </c>
      <c r="F211" s="587"/>
      <c r="G211" s="586"/>
      <c r="H211" s="12"/>
      <c r="I211" s="588" t="s">
        <v>787</v>
      </c>
      <c r="K211" s="562"/>
      <c r="L211" s="562"/>
      <c r="N211" s="85"/>
      <c r="O211" s="90"/>
      <c r="AB211" s="74"/>
      <c r="AF211" s="75"/>
      <c r="AG211" s="75"/>
      <c r="AH211" s="101"/>
      <c r="AI211" s="102"/>
      <c r="AJ211" s="102"/>
      <c r="AK211" s="102"/>
      <c r="AL211" s="102"/>
      <c r="IG211" s="75"/>
      <c r="IH211" s="75"/>
      <c r="II211" s="75"/>
      <c r="IJ211" s="75"/>
      <c r="IK211" s="75"/>
      <c r="IL211" s="75"/>
      <c r="IM211" s="75"/>
      <c r="IN211" s="75"/>
    </row>
    <row r="212" spans="1:248" s="32" customFormat="1" ht="12.75" customHeight="1">
      <c r="A212" s="199">
        <f>A208+1</f>
        <v>704</v>
      </c>
      <c r="B212" s="224" t="s">
        <v>819</v>
      </c>
      <c r="C212" s="224"/>
      <c r="D212" s="224"/>
      <c r="E212" s="581">
        <f>IF(I212&gt;G208,G208,I212)</f>
        <v>0</v>
      </c>
      <c r="F212" s="865"/>
      <c r="G212" s="855">
        <f>ROUND(E212*F212,0)</f>
        <v>0</v>
      </c>
      <c r="H212" s="12"/>
      <c r="I212" s="686">
        <f>CEILING(E231/(365*0.99),1)</f>
        <v>0</v>
      </c>
      <c r="J212" s="16"/>
      <c r="K212" s="562"/>
      <c r="L212" s="562"/>
      <c r="M212" s="196"/>
      <c r="N212" s="591"/>
      <c r="O212" s="90"/>
      <c r="P212" s="12"/>
      <c r="Q212" s="12"/>
      <c r="R212" s="12"/>
      <c r="S212" s="12"/>
      <c r="T212" s="12"/>
      <c r="U212" s="12"/>
      <c r="V212" s="12"/>
      <c r="IG212" s="12"/>
      <c r="IH212" s="12"/>
      <c r="II212" s="12"/>
      <c r="IJ212" s="12"/>
      <c r="IK212" s="12"/>
      <c r="IL212" s="12"/>
      <c r="IM212" s="12"/>
      <c r="IN212" s="12"/>
    </row>
    <row r="213" spans="1:248" s="32" customFormat="1" ht="12.75" customHeight="1">
      <c r="A213" s="199">
        <f>A212+1</f>
        <v>705</v>
      </c>
      <c r="B213" s="223" t="s">
        <v>815</v>
      </c>
      <c r="C213" s="224"/>
      <c r="D213" s="224"/>
      <c r="E213" s="207"/>
      <c r="F213" s="619">
        <f>Uitvoerbestand!I61</f>
        <v>10002.83</v>
      </c>
      <c r="G213" s="465">
        <f>ROUND(E213*F213,0)</f>
        <v>0</v>
      </c>
      <c r="H213" s="12"/>
      <c r="I213" s="218"/>
      <c r="J213" s="213"/>
      <c r="K213" s="562" t="s">
        <v>539</v>
      </c>
      <c r="L213" s="562"/>
      <c r="M213" s="604">
        <f>G213*A213</f>
        <v>0</v>
      </c>
      <c r="N213" s="591"/>
      <c r="O213" s="90"/>
      <c r="P213" s="12"/>
      <c r="Q213" s="12"/>
      <c r="R213" s="12"/>
      <c r="S213" s="12"/>
      <c r="T213" s="12"/>
      <c r="U213" s="12"/>
      <c r="V213" s="12"/>
      <c r="IG213" s="12"/>
      <c r="IH213" s="12"/>
      <c r="II213" s="12"/>
      <c r="IJ213" s="12"/>
      <c r="IK213" s="12"/>
      <c r="IL213" s="12"/>
      <c r="IM213" s="12"/>
      <c r="IN213" s="12"/>
    </row>
    <row r="214" spans="1:248" s="32" customFormat="1" ht="12.75" customHeight="1">
      <c r="A214" s="199">
        <f>A213+1</f>
        <v>706</v>
      </c>
      <c r="B214" s="659" t="s">
        <v>816</v>
      </c>
      <c r="C214" s="224"/>
      <c r="D214" s="224"/>
      <c r="E214" s="207"/>
      <c r="F214" s="619">
        <f>Uitvoerbestand!I62</f>
        <v>9356.76</v>
      </c>
      <c r="G214" s="465">
        <f>ROUND(E214*F214,0)</f>
        <v>0</v>
      </c>
      <c r="H214" s="12"/>
      <c r="I214" s="218"/>
      <c r="J214" s="213"/>
      <c r="K214" s="562" t="s">
        <v>540</v>
      </c>
      <c r="L214" s="562"/>
      <c r="M214" s="607">
        <f>G214*A214</f>
        <v>0</v>
      </c>
      <c r="N214" s="591"/>
      <c r="O214" s="90"/>
      <c r="P214" s="12"/>
      <c r="Q214" s="12"/>
      <c r="R214" s="12"/>
      <c r="S214" s="12"/>
      <c r="T214" s="12"/>
      <c r="U214" s="12"/>
      <c r="V214" s="12"/>
      <c r="IG214" s="12"/>
      <c r="IH214" s="12"/>
      <c r="II214" s="12"/>
      <c r="IJ214" s="12"/>
      <c r="IK214" s="12"/>
      <c r="IL214" s="12"/>
      <c r="IM214" s="12"/>
      <c r="IN214" s="12"/>
    </row>
    <row r="215" spans="1:248" s="32" customFormat="1" ht="12.75" customHeight="1">
      <c r="A215" s="199">
        <f>A214+1</f>
        <v>707</v>
      </c>
      <c r="B215" s="659" t="s">
        <v>817</v>
      </c>
      <c r="C215" s="224"/>
      <c r="D215" s="224"/>
      <c r="E215" s="207"/>
      <c r="F215" s="619">
        <f>Uitvoerbestand!I63</f>
        <v>9608.970000000001</v>
      </c>
      <c r="G215" s="465">
        <f>ROUND(E215*F215,0)</f>
        <v>0</v>
      </c>
      <c r="H215" s="12"/>
      <c r="I215" s="219"/>
      <c r="J215" s="213"/>
      <c r="K215" s="562" t="s">
        <v>541</v>
      </c>
      <c r="L215" s="562"/>
      <c r="M215" s="610">
        <f>G215*A215</f>
        <v>0</v>
      </c>
      <c r="N215" s="591"/>
      <c r="O215" s="90"/>
      <c r="P215" s="12"/>
      <c r="Q215" s="12"/>
      <c r="R215" s="12"/>
      <c r="S215" s="12"/>
      <c r="T215" s="12"/>
      <c r="U215" s="12"/>
      <c r="V215" s="12"/>
      <c r="IG215" s="12"/>
      <c r="IH215" s="12"/>
      <c r="II215" s="12"/>
      <c r="IJ215" s="12"/>
      <c r="IK215" s="12"/>
      <c r="IL215" s="12"/>
      <c r="IM215" s="12"/>
      <c r="IN215" s="12"/>
    </row>
    <row r="216" spans="1:248" s="32" customFormat="1" ht="12.75" customHeight="1">
      <c r="A216" s="199">
        <f>A215+1</f>
        <v>708</v>
      </c>
      <c r="B216" s="223" t="s">
        <v>818</v>
      </c>
      <c r="C216" s="224"/>
      <c r="D216" s="592"/>
      <c r="E216" s="581">
        <f>IF(E212=G208,0,G208-E212)</f>
        <v>0</v>
      </c>
      <c r="F216" s="593"/>
      <c r="G216" s="855"/>
      <c r="H216" s="12"/>
      <c r="I216" s="33"/>
      <c r="J216" s="12"/>
      <c r="K216" s="562" t="s">
        <v>144</v>
      </c>
      <c r="L216" s="562"/>
      <c r="M216" s="594"/>
      <c r="N216" s="591"/>
      <c r="O216" s="90"/>
      <c r="P216" s="12"/>
      <c r="Q216" s="12"/>
      <c r="R216" s="216"/>
      <c r="S216" s="75"/>
      <c r="T216" s="12"/>
      <c r="U216" s="12"/>
      <c r="V216" s="12"/>
      <c r="IG216" s="12"/>
      <c r="IH216" s="12"/>
      <c r="II216" s="12"/>
      <c r="IJ216" s="12"/>
      <c r="IK216" s="12"/>
      <c r="IL216" s="12"/>
      <c r="IM216" s="12"/>
      <c r="IN216" s="12"/>
    </row>
    <row r="217" spans="1:248" s="32" customFormat="1" ht="12.75" customHeight="1">
      <c r="A217" s="199">
        <f>A216+1</f>
        <v>709</v>
      </c>
      <c r="B217" s="645" t="str">
        <f>CONCATENATE("Totaal regel ",A212," en regel ",A216)</f>
        <v>Totaal regel 704 en regel 708</v>
      </c>
      <c r="C217" s="611"/>
      <c r="D217" s="646"/>
      <c r="E217" s="17">
        <f>E212+E216</f>
        <v>0</v>
      </c>
      <c r="F217" s="82"/>
      <c r="G217" s="876">
        <f>SUM(G212:G216)</f>
        <v>0</v>
      </c>
      <c r="H217" s="12"/>
      <c r="I217" s="33"/>
      <c r="J217" s="12"/>
      <c r="K217" s="562"/>
      <c r="L217" s="562"/>
      <c r="M217" s="594"/>
      <c r="N217" s="591"/>
      <c r="O217" s="90"/>
      <c r="P217" s="12"/>
      <c r="Q217" s="12"/>
      <c r="R217" s="216"/>
      <c r="S217" s="75"/>
      <c r="T217" s="12"/>
      <c r="U217" s="12"/>
      <c r="V217" s="12"/>
      <c r="IG217" s="12"/>
      <c r="IH217" s="12"/>
      <c r="II217" s="12"/>
      <c r="IJ217" s="12"/>
      <c r="IK217" s="12"/>
      <c r="IL217" s="12"/>
      <c r="IM217" s="12"/>
      <c r="IN217" s="12"/>
    </row>
    <row r="218" spans="1:248" s="32" customFormat="1" ht="12.75" customHeight="1">
      <c r="A218" s="367"/>
      <c r="B218" s="89"/>
      <c r="C218" s="12"/>
      <c r="D218" s="12"/>
      <c r="E218" s="470"/>
      <c r="F218" s="595"/>
      <c r="G218" s="88"/>
      <c r="H218" s="12"/>
      <c r="I218" s="33"/>
      <c r="J218" s="12"/>
      <c r="K218" s="562"/>
      <c r="L218" s="562"/>
      <c r="M218" s="594"/>
      <c r="N218" s="591"/>
      <c r="O218" s="90"/>
      <c r="P218" s="12"/>
      <c r="Q218" s="12"/>
      <c r="R218" s="216"/>
      <c r="S218" s="75"/>
      <c r="T218" s="12"/>
      <c r="U218" s="12"/>
      <c r="V218" s="12"/>
      <c r="IG218" s="12"/>
      <c r="IH218" s="12"/>
      <c r="II218" s="12"/>
      <c r="IJ218" s="12"/>
      <c r="IK218" s="12"/>
      <c r="IL218" s="12"/>
      <c r="IM218" s="12"/>
      <c r="IN218" s="12"/>
    </row>
    <row r="219" spans="1:238" ht="12.75" customHeight="1">
      <c r="A219" s="367" t="s">
        <v>732</v>
      </c>
      <c r="B219" s="7" t="s">
        <v>504</v>
      </c>
      <c r="C219" s="16"/>
      <c r="D219" s="16"/>
      <c r="E219" s="660"/>
      <c r="F219" s="16"/>
      <c r="G219" s="16"/>
      <c r="H219" s="16"/>
      <c r="I219" s="16"/>
      <c r="J219" s="16"/>
      <c r="K219" s="661"/>
      <c r="L219" s="562"/>
      <c r="M219" s="629"/>
      <c r="N219" s="662"/>
      <c r="O219" s="90"/>
      <c r="P219" s="662"/>
      <c r="Q219" s="662"/>
      <c r="R219" s="662"/>
      <c r="S219" s="66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row>
    <row r="220" spans="1:238" ht="12.75" customHeight="1">
      <c r="A220" s="199">
        <f>A217+1</f>
        <v>710</v>
      </c>
      <c r="B220" s="223" t="s">
        <v>815</v>
      </c>
      <c r="C220" s="224"/>
      <c r="D220" s="224"/>
      <c r="E220" s="207"/>
      <c r="F220" s="643"/>
      <c r="G220" s="16"/>
      <c r="H220" s="16"/>
      <c r="I220" s="32"/>
      <c r="J220" s="16"/>
      <c r="K220" s="661" t="s">
        <v>1237</v>
      </c>
      <c r="L220" s="562"/>
      <c r="M220" s="604">
        <f>E220*A220</f>
        <v>0</v>
      </c>
      <c r="N220" s="662"/>
      <c r="O220" s="90"/>
      <c r="P220" s="662"/>
      <c r="Q220" s="662"/>
      <c r="R220" s="662"/>
      <c r="S220" s="66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row>
    <row r="221" spans="1:238" ht="12.75" customHeight="1">
      <c r="A221" s="199">
        <f>A220+1</f>
        <v>711</v>
      </c>
      <c r="B221" s="659" t="s">
        <v>816</v>
      </c>
      <c r="C221" s="224"/>
      <c r="D221" s="224"/>
      <c r="E221" s="207"/>
      <c r="F221" s="643"/>
      <c r="G221" s="16"/>
      <c r="H221" s="16"/>
      <c r="I221" s="32"/>
      <c r="J221" s="16"/>
      <c r="K221" s="661" t="s">
        <v>1236</v>
      </c>
      <c r="L221" s="562"/>
      <c r="M221" s="607">
        <f>E221*A221</f>
        <v>0</v>
      </c>
      <c r="N221" s="662"/>
      <c r="O221" s="90"/>
      <c r="P221" s="662"/>
      <c r="Q221" s="662"/>
      <c r="R221" s="662"/>
      <c r="S221" s="66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row>
    <row r="222" spans="1:238" ht="12.75" customHeight="1">
      <c r="A222" s="199">
        <f>A221+1</f>
        <v>712</v>
      </c>
      <c r="B222" s="659" t="s">
        <v>817</v>
      </c>
      <c r="C222" s="224"/>
      <c r="D222" s="592"/>
      <c r="E222" s="207"/>
      <c r="F222" s="643"/>
      <c r="G222" s="16"/>
      <c r="I222" s="32"/>
      <c r="J222" s="16"/>
      <c r="K222" s="661" t="s">
        <v>1235</v>
      </c>
      <c r="L222" s="562"/>
      <c r="M222" s="610">
        <f>E222*A222</f>
        <v>0</v>
      </c>
      <c r="N222" s="662"/>
      <c r="O222" s="90"/>
      <c r="P222" s="662"/>
      <c r="Q222" s="662"/>
      <c r="R222" s="662"/>
      <c r="S222" s="66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row>
    <row r="223" spans="1:238" ht="12.75" customHeight="1">
      <c r="A223" s="199">
        <f>A222+1</f>
        <v>713</v>
      </c>
      <c r="B223" s="664" t="s">
        <v>468</v>
      </c>
      <c r="C223" s="665"/>
      <c r="D223" s="666"/>
      <c r="E223" s="4">
        <f>MIN(E212,CEILING((E230/365)*0.99,1))</f>
        <v>0</v>
      </c>
      <c r="F223" s="16"/>
      <c r="G223" s="16"/>
      <c r="I223" s="16"/>
      <c r="J223" s="16"/>
      <c r="K223" s="661"/>
      <c r="L223" s="562"/>
      <c r="M223" s="594"/>
      <c r="N223" s="662"/>
      <c r="O223" s="90"/>
      <c r="P223" s="662"/>
      <c r="Q223" s="662"/>
      <c r="R223" s="662"/>
      <c r="S223" s="66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row>
    <row r="224" spans="1:238" ht="12.75" customHeight="1">
      <c r="A224" s="367"/>
      <c r="B224" s="667"/>
      <c r="C224" s="667"/>
      <c r="D224" s="667"/>
      <c r="E224" s="11"/>
      <c r="F224" s="16"/>
      <c r="G224" s="16"/>
      <c r="I224" s="16"/>
      <c r="J224" s="16"/>
      <c r="K224" s="661"/>
      <c r="L224" s="562"/>
      <c r="M224" s="594"/>
      <c r="N224" s="662"/>
      <c r="O224" s="90"/>
      <c r="P224" s="662"/>
      <c r="Q224" s="662"/>
      <c r="R224" s="662"/>
      <c r="S224" s="66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row>
    <row r="225" spans="1:238" ht="12.75" customHeight="1">
      <c r="A225" s="421" t="s">
        <v>733</v>
      </c>
      <c r="B225" s="7" t="s">
        <v>1198</v>
      </c>
      <c r="C225" s="5"/>
      <c r="D225" s="7"/>
      <c r="E225" s="620"/>
      <c r="F225" s="668"/>
      <c r="G225" s="622"/>
      <c r="I225" s="857" t="s">
        <v>911</v>
      </c>
      <c r="J225" s="88"/>
      <c r="K225" s="623"/>
      <c r="L225" s="562"/>
      <c r="M225" s="564"/>
      <c r="N225" s="608"/>
      <c r="O225" s="90"/>
      <c r="P225" s="16"/>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12"/>
      <c r="AN225" s="1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row>
    <row r="226" spans="1:238" ht="12.75" customHeight="1">
      <c r="A226" s="199">
        <f>A223+1</f>
        <v>714</v>
      </c>
      <c r="B226" s="224" t="s">
        <v>587</v>
      </c>
      <c r="C226" s="224"/>
      <c r="D226" s="669" t="s">
        <v>1079</v>
      </c>
      <c r="E226" s="207"/>
      <c r="F226" s="624">
        <f>Uitvoerbestand!I43</f>
        <v>32.4</v>
      </c>
      <c r="G226" s="465">
        <f>ROUND(E226*F226,0)</f>
        <v>0</v>
      </c>
      <c r="I226" s="854">
        <f>IF(E226=0,0,E226/$E$231)</f>
        <v>0</v>
      </c>
      <c r="J226" s="602"/>
      <c r="K226" s="562" t="s">
        <v>588</v>
      </c>
      <c r="L226" s="562"/>
      <c r="M226" s="604">
        <f>G226*A226</f>
        <v>0</v>
      </c>
      <c r="N226" s="608"/>
      <c r="O226" s="90"/>
      <c r="P226" s="16"/>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12"/>
      <c r="AN226" s="1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row>
    <row r="227" spans="1:238" ht="12.75" customHeight="1">
      <c r="A227" s="199">
        <f>A226+1</f>
        <v>715</v>
      </c>
      <c r="B227" s="224" t="s">
        <v>589</v>
      </c>
      <c r="C227" s="224"/>
      <c r="D227" s="669" t="s">
        <v>1080</v>
      </c>
      <c r="E227" s="207"/>
      <c r="F227" s="624">
        <f>Uitvoerbestand!I44</f>
        <v>78.51</v>
      </c>
      <c r="G227" s="465">
        <f>ROUND(E227*F227,0)</f>
        <v>0</v>
      </c>
      <c r="I227" s="854">
        <f>IF(E227=0,0,E227/$E$231)</f>
        <v>0</v>
      </c>
      <c r="J227" s="602"/>
      <c r="K227" s="562" t="s">
        <v>590</v>
      </c>
      <c r="L227" s="562"/>
      <c r="M227" s="607">
        <f>G227*A227</f>
        <v>0</v>
      </c>
      <c r="N227" s="608"/>
      <c r="O227" s="90"/>
      <c r="P227" s="16"/>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12"/>
      <c r="AN227" s="1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row>
    <row r="228" spans="1:238" ht="12.75" customHeight="1">
      <c r="A228" s="199">
        <f>A227+1</f>
        <v>716</v>
      </c>
      <c r="B228" s="224" t="s">
        <v>591</v>
      </c>
      <c r="C228" s="224"/>
      <c r="D228" s="669" t="s">
        <v>1081</v>
      </c>
      <c r="E228" s="207"/>
      <c r="F228" s="624">
        <f>Uitvoerbestand!I45</f>
        <v>43.76</v>
      </c>
      <c r="G228" s="465">
        <f>ROUND(E228*F228,0)</f>
        <v>0</v>
      </c>
      <c r="I228" s="854">
        <f>IF(E228=0,0,E228/$E$231)</f>
        <v>0</v>
      </c>
      <c r="J228" s="602"/>
      <c r="K228" s="562" t="s">
        <v>454</v>
      </c>
      <c r="L228" s="562"/>
      <c r="M228" s="607">
        <f>G228*A228</f>
        <v>0</v>
      </c>
      <c r="N228" s="608"/>
      <c r="O228" s="90"/>
      <c r="P228" s="16"/>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12"/>
      <c r="AN228" s="1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row>
    <row r="229" spans="1:238" ht="12.75" customHeight="1">
      <c r="A229" s="199">
        <f>A228+1</f>
        <v>717</v>
      </c>
      <c r="B229" s="378" t="s">
        <v>304</v>
      </c>
      <c r="C229" s="378"/>
      <c r="D229" s="670" t="s">
        <v>1082</v>
      </c>
      <c r="E229" s="207"/>
      <c r="F229" s="624">
        <f>Uitvoerbestand!I46</f>
        <v>87.66</v>
      </c>
      <c r="G229" s="465">
        <f>ROUND(E229*F229,0)</f>
        <v>0</v>
      </c>
      <c r="I229" s="854">
        <f>IF(E229=0,0,E229/$E$231)</f>
        <v>0</v>
      </c>
      <c r="J229" s="602"/>
      <c r="K229" s="562" t="s">
        <v>1055</v>
      </c>
      <c r="L229" s="562"/>
      <c r="M229" s="607">
        <f>G229*A229</f>
        <v>0</v>
      </c>
      <c r="N229" s="608"/>
      <c r="O229" s="90"/>
      <c r="P229" s="16"/>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12"/>
      <c r="AN229" s="1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row>
    <row r="230" spans="1:238" ht="12.75" customHeight="1">
      <c r="A230" s="199">
        <f>A229+1</f>
        <v>718</v>
      </c>
      <c r="B230" s="378" t="s">
        <v>684</v>
      </c>
      <c r="C230" s="378"/>
      <c r="D230" s="670" t="s">
        <v>683</v>
      </c>
      <c r="E230" s="207"/>
      <c r="F230" s="624">
        <f>Uitvoerbestand!I47</f>
        <v>117.7</v>
      </c>
      <c r="G230" s="465">
        <f>ROUND(E230*F230,0)</f>
        <v>0</v>
      </c>
      <c r="I230" s="854">
        <f>IF(E230=0,0,E230/$E$231)</f>
        <v>0</v>
      </c>
      <c r="J230" s="602"/>
      <c r="K230" s="562" t="s">
        <v>682</v>
      </c>
      <c r="L230" s="562"/>
      <c r="M230" s="610">
        <f>G230*A230</f>
        <v>0</v>
      </c>
      <c r="N230" s="608"/>
      <c r="O230" s="90"/>
      <c r="P230" s="16"/>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12"/>
      <c r="AN230" s="1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row>
    <row r="231" spans="1:238" ht="12.75" customHeight="1">
      <c r="A231" s="199">
        <f>A230+1</f>
        <v>719</v>
      </c>
      <c r="B231" s="611" t="s">
        <v>468</v>
      </c>
      <c r="C231" s="611"/>
      <c r="D231" s="611"/>
      <c r="E231" s="466">
        <f>SUM(E226:E230)</f>
        <v>0</v>
      </c>
      <c r="F231" s="633"/>
      <c r="G231" s="876">
        <f>SUM(G226:G230)</f>
        <v>0</v>
      </c>
      <c r="I231" s="435">
        <f>SUM(I226:I230)</f>
        <v>0</v>
      </c>
      <c r="J231" s="105"/>
      <c r="K231" s="613"/>
      <c r="L231" s="562"/>
      <c r="M231" s="564"/>
      <c r="N231" s="608"/>
      <c r="O231" s="90"/>
      <c r="P231" s="16"/>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12"/>
      <c r="AN231" s="1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row>
    <row r="232" spans="1:238" ht="12.75" customHeight="1">
      <c r="A232" s="421"/>
      <c r="B232" s="7"/>
      <c r="C232" s="5"/>
      <c r="D232" s="7"/>
      <c r="E232" s="7"/>
      <c r="F232" s="632"/>
      <c r="G232" s="32"/>
      <c r="I232" s="88"/>
      <c r="J232" s="88"/>
      <c r="K232" s="623"/>
      <c r="L232" s="562"/>
      <c r="M232" s="564"/>
      <c r="N232" s="608"/>
      <c r="O232" s="90"/>
      <c r="P232" s="16"/>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12"/>
      <c r="AN232" s="1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row>
    <row r="233" spans="1:238" ht="12.75" customHeight="1">
      <c r="A233" s="421" t="s">
        <v>734</v>
      </c>
      <c r="B233" s="7" t="s">
        <v>786</v>
      </c>
      <c r="C233" s="5"/>
      <c r="D233" s="5"/>
      <c r="E233" s="11"/>
      <c r="F233" s="627"/>
      <c r="G233" s="8"/>
      <c r="H233" s="5"/>
      <c r="I233" s="59"/>
      <c r="J233" s="5"/>
      <c r="K233" s="623"/>
      <c r="L233" s="562"/>
      <c r="M233" s="594"/>
      <c r="N233" s="608"/>
      <c r="O233" s="90"/>
      <c r="P233" s="33"/>
      <c r="Q233" s="33"/>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row>
    <row r="234" spans="1:238" ht="12.75" customHeight="1">
      <c r="A234" s="199">
        <f>A231+1</f>
        <v>720</v>
      </c>
      <c r="B234" s="659" t="s">
        <v>820</v>
      </c>
      <c r="C234" s="651"/>
      <c r="D234" s="671"/>
      <c r="E234" s="207"/>
      <c r="F234" s="627"/>
      <c r="G234" s="8"/>
      <c r="H234" s="5"/>
      <c r="K234" s="623" t="s">
        <v>584</v>
      </c>
      <c r="L234" s="562"/>
      <c r="M234" s="604">
        <f>(E234)*A234</f>
        <v>0</v>
      </c>
      <c r="N234" s="608"/>
      <c r="O234" s="90"/>
      <c r="P234" s="33"/>
      <c r="Q234" s="33"/>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row>
    <row r="235" spans="1:238" ht="12.75" customHeight="1">
      <c r="A235" s="199">
        <f>A234+1</f>
        <v>721</v>
      </c>
      <c r="B235" s="659" t="s">
        <v>1400</v>
      </c>
      <c r="C235" s="651"/>
      <c r="D235" s="671"/>
      <c r="E235" s="207"/>
      <c r="F235" s="627"/>
      <c r="G235" s="8"/>
      <c r="H235" s="5"/>
      <c r="K235" s="623" t="s">
        <v>585</v>
      </c>
      <c r="L235" s="562"/>
      <c r="M235" s="607">
        <f>(E235)*A235</f>
        <v>0</v>
      </c>
      <c r="N235" s="608"/>
      <c r="O235" s="90"/>
      <c r="P235" s="33"/>
      <c r="Q235" s="33"/>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row>
    <row r="236" spans="1:238" ht="12.75" customHeight="1">
      <c r="A236" s="199">
        <f>A235+1</f>
        <v>722</v>
      </c>
      <c r="B236" s="659" t="s">
        <v>580</v>
      </c>
      <c r="C236" s="651"/>
      <c r="D236" s="671"/>
      <c r="E236" s="207"/>
      <c r="F236" s="627"/>
      <c r="G236" s="8"/>
      <c r="H236" s="5"/>
      <c r="I236" s="672"/>
      <c r="J236" s="5"/>
      <c r="K236" s="623" t="s">
        <v>586</v>
      </c>
      <c r="L236" s="562"/>
      <c r="M236" s="610">
        <f>(E236)*A236</f>
        <v>0</v>
      </c>
      <c r="N236" s="608"/>
      <c r="O236" s="90"/>
      <c r="P236" s="33"/>
      <c r="Q236" s="33"/>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row>
    <row r="237" spans="1:238" ht="12.75" customHeight="1">
      <c r="A237" s="367"/>
      <c r="B237" s="673"/>
      <c r="C237" s="5"/>
      <c r="D237" s="5"/>
      <c r="E237" s="674"/>
      <c r="F237" s="627"/>
      <c r="G237" s="8"/>
      <c r="H237" s="5"/>
      <c r="I237" s="672"/>
      <c r="J237" s="5"/>
      <c r="K237" s="623"/>
      <c r="L237" s="562"/>
      <c r="M237" s="594"/>
      <c r="N237" s="608"/>
      <c r="O237" s="90"/>
      <c r="P237" s="33"/>
      <c r="Q237" s="33"/>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row>
    <row r="238" spans="1:238" ht="12.75" customHeight="1">
      <c r="A238" s="367"/>
      <c r="B238" s="12"/>
      <c r="C238" s="12"/>
      <c r="D238" s="675"/>
      <c r="E238" s="583" t="s">
        <v>567</v>
      </c>
      <c r="F238" s="583" t="s">
        <v>469</v>
      </c>
      <c r="G238" s="584" t="s">
        <v>470</v>
      </c>
      <c r="I238" s="59" t="s">
        <v>1434</v>
      </c>
      <c r="J238" s="16"/>
      <c r="K238" s="562"/>
      <c r="L238" s="562"/>
      <c r="M238" s="641"/>
      <c r="N238" s="642"/>
      <c r="O238" s="16"/>
      <c r="P238" s="16"/>
      <c r="Q238" s="16"/>
      <c r="R238" s="16"/>
      <c r="S238" s="16"/>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row>
    <row r="239" spans="1:238" ht="12.75" customHeight="1">
      <c r="A239" s="421" t="s">
        <v>735</v>
      </c>
      <c r="B239" s="7" t="s">
        <v>686</v>
      </c>
      <c r="C239" s="5"/>
      <c r="D239" s="7"/>
      <c r="E239" s="586">
        <v>2009</v>
      </c>
      <c r="F239" s="587"/>
      <c r="G239" s="586"/>
      <c r="I239" s="59" t="str">
        <f>$I$6</f>
        <v>120 / </v>
      </c>
      <c r="J239" s="12"/>
      <c r="K239" s="623"/>
      <c r="L239" s="562"/>
      <c r="M239" s="564"/>
      <c r="N239" s="348" t="s">
        <v>180</v>
      </c>
      <c r="O239" s="349" t="s">
        <v>181</v>
      </c>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row>
    <row r="240" spans="1:238" ht="12.75" customHeight="1">
      <c r="A240" s="199">
        <v>801</v>
      </c>
      <c r="B240" s="223" t="s">
        <v>815</v>
      </c>
      <c r="C240" s="224"/>
      <c r="D240" s="224"/>
      <c r="E240" s="676">
        <f>E213</f>
        <v>0</v>
      </c>
      <c r="F240" s="601">
        <f>Uitvoerbestand!I68</f>
        <v>1401.59</v>
      </c>
      <c r="G240" s="465">
        <f>ROUND(E240*F240,0)</f>
        <v>0</v>
      </c>
      <c r="I240" s="12"/>
      <c r="J240" s="13"/>
      <c r="K240" s="623" t="s">
        <v>581</v>
      </c>
      <c r="L240" s="562"/>
      <c r="M240" s="604">
        <f>E240*A240</f>
        <v>0</v>
      </c>
      <c r="N240" s="353">
        <v>0</v>
      </c>
      <c r="O240" s="450">
        <f>E240</f>
        <v>0</v>
      </c>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row>
    <row r="241" spans="1:238" ht="12.75" customHeight="1">
      <c r="A241" s="199">
        <f>A240+1</f>
        <v>802</v>
      </c>
      <c r="B241" s="659" t="s">
        <v>816</v>
      </c>
      <c r="C241" s="224"/>
      <c r="D241" s="224"/>
      <c r="E241" s="676">
        <f>E214</f>
        <v>0</v>
      </c>
      <c r="F241" s="601">
        <f>Uitvoerbestand!I69</f>
        <v>965.87</v>
      </c>
      <c r="G241" s="465">
        <f>ROUND(E241*F241,0)</f>
        <v>0</v>
      </c>
      <c r="I241" s="12"/>
      <c r="J241" s="12"/>
      <c r="K241" s="623" t="s">
        <v>582</v>
      </c>
      <c r="L241" s="562"/>
      <c r="M241" s="607">
        <f>(E241)*A241</f>
        <v>0</v>
      </c>
      <c r="N241" s="356">
        <v>0</v>
      </c>
      <c r="O241" s="451">
        <f>E241</f>
        <v>0</v>
      </c>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row>
    <row r="242" spans="1:238" ht="12.75" customHeight="1">
      <c r="A242" s="199">
        <f>A241+1</f>
        <v>803</v>
      </c>
      <c r="B242" s="659" t="s">
        <v>817</v>
      </c>
      <c r="C242" s="224"/>
      <c r="D242" s="224"/>
      <c r="E242" s="676">
        <f>E215</f>
        <v>0</v>
      </c>
      <c r="F242" s="601">
        <f>Uitvoerbestand!I70</f>
        <v>1135.44</v>
      </c>
      <c r="G242" s="465">
        <f>ROUND(E242*F242,0)</f>
        <v>0</v>
      </c>
      <c r="I242" s="12"/>
      <c r="J242" s="12"/>
      <c r="K242" s="623" t="s">
        <v>583</v>
      </c>
      <c r="L242" s="562"/>
      <c r="M242" s="610">
        <f>(E242)*A242</f>
        <v>0</v>
      </c>
      <c r="N242" s="358">
        <v>0</v>
      </c>
      <c r="O242" s="452">
        <f>E242</f>
        <v>0</v>
      </c>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row>
    <row r="243" spans="1:238" ht="12.75" customHeight="1">
      <c r="A243" s="199">
        <f>A242+1</f>
        <v>804</v>
      </c>
      <c r="B243" s="611" t="s">
        <v>468</v>
      </c>
      <c r="C243" s="611"/>
      <c r="D243" s="611"/>
      <c r="E243" s="466">
        <f>SUM(E240:E242)</f>
        <v>0</v>
      </c>
      <c r="F243" s="633"/>
      <c r="G243" s="876">
        <f>SUM(G240:G242)</f>
        <v>0</v>
      </c>
      <c r="H243" s="361"/>
      <c r="J243" s="33"/>
      <c r="K243" s="562"/>
      <c r="L243" s="562"/>
      <c r="M243" s="594"/>
      <c r="N243" s="608"/>
      <c r="O243" s="33"/>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row>
    <row r="244" spans="1:238" ht="12.75" customHeight="1">
      <c r="A244" s="367"/>
      <c r="B244" s="673"/>
      <c r="C244" s="12"/>
      <c r="D244" s="12"/>
      <c r="E244" s="658"/>
      <c r="F244" s="595"/>
      <c r="H244" s="89"/>
      <c r="I244" s="698" t="s">
        <v>987</v>
      </c>
      <c r="J244" s="12"/>
      <c r="K244" s="562"/>
      <c r="L244" s="562"/>
      <c r="M244" s="564"/>
      <c r="N244" s="608"/>
      <c r="O244" s="33"/>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row>
    <row r="245" spans="1:238" ht="12.75" customHeight="1">
      <c r="A245" s="872" t="s">
        <v>554</v>
      </c>
      <c r="B245" s="58" t="s">
        <v>1308</v>
      </c>
      <c r="C245" s="5"/>
      <c r="D245" s="5"/>
      <c r="E245" s="5"/>
      <c r="F245" s="677"/>
      <c r="H245" s="88"/>
      <c r="I245" s="587" t="s">
        <v>179</v>
      </c>
      <c r="J245" s="88"/>
      <c r="K245" s="562"/>
      <c r="L245" s="562"/>
      <c r="M245" s="564"/>
      <c r="N245" s="608"/>
      <c r="O245" s="33"/>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12"/>
      <c r="AN245" s="1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row>
    <row r="246" spans="1:238" s="90" customFormat="1" ht="12.75" customHeight="1">
      <c r="A246" s="199">
        <f>A243+1</f>
        <v>805</v>
      </c>
      <c r="B246" s="223" t="s">
        <v>1257</v>
      </c>
      <c r="C246" s="224"/>
      <c r="D246" s="678"/>
      <c r="E246" s="393"/>
      <c r="F246" s="800"/>
      <c r="G246" s="211"/>
      <c r="H246" s="801"/>
      <c r="I246" s="207"/>
      <c r="J246" s="3"/>
      <c r="K246" s="562" t="s">
        <v>821</v>
      </c>
      <c r="L246" s="562"/>
      <c r="M246" s="582">
        <f>I246*A246</f>
        <v>0</v>
      </c>
      <c r="N246" s="608"/>
      <c r="O246" s="33"/>
      <c r="P246" s="32"/>
      <c r="Q246" s="32"/>
      <c r="R246" s="32"/>
      <c r="S246" s="32"/>
      <c r="T246" s="32"/>
      <c r="U246" s="32"/>
      <c r="V246" s="32"/>
      <c r="W246" s="32"/>
      <c r="X246" s="16"/>
      <c r="Y246" s="16"/>
      <c r="Z246" s="16"/>
      <c r="AA246" s="16"/>
      <c r="AB246" s="16"/>
      <c r="AC246" s="16"/>
      <c r="AD246" s="16"/>
      <c r="AE246" s="16"/>
      <c r="AF246" s="16"/>
      <c r="AG246" s="16"/>
      <c r="AH246" s="16"/>
      <c r="AI246" s="16"/>
      <c r="AJ246" s="16"/>
      <c r="AK246" s="16"/>
      <c r="AL246" s="16"/>
      <c r="AM246" s="12"/>
      <c r="AN246" s="12"/>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6"/>
      <c r="HV246" s="16"/>
      <c r="HW246" s="16"/>
      <c r="HX246" s="16"/>
      <c r="HY246" s="16"/>
      <c r="HZ246" s="16"/>
      <c r="IA246" s="16"/>
      <c r="IB246" s="16"/>
      <c r="IC246" s="16"/>
      <c r="ID246" s="16"/>
    </row>
    <row r="247" spans="1:238" s="90" customFormat="1" ht="12.75" customHeight="1">
      <c r="A247" s="367"/>
      <c r="B247" s="12"/>
      <c r="C247" s="12"/>
      <c r="D247" s="45"/>
      <c r="E247" s="81"/>
      <c r="F247" s="595"/>
      <c r="G247" s="436"/>
      <c r="H247" s="3"/>
      <c r="I247" s="3"/>
      <c r="J247" s="3"/>
      <c r="K247" s="562"/>
      <c r="L247" s="562"/>
      <c r="M247" s="564"/>
      <c r="N247" s="608"/>
      <c r="O247" s="33"/>
      <c r="P247" s="32"/>
      <c r="Q247" s="32"/>
      <c r="R247" s="32"/>
      <c r="S247" s="32"/>
      <c r="T247" s="32"/>
      <c r="U247" s="32"/>
      <c r="V247" s="32"/>
      <c r="W247" s="32"/>
      <c r="X247" s="16"/>
      <c r="Y247" s="16"/>
      <c r="Z247" s="16"/>
      <c r="AA247" s="16"/>
      <c r="AB247" s="16"/>
      <c r="AC247" s="16"/>
      <c r="AD247" s="16"/>
      <c r="AE247" s="16"/>
      <c r="AF247" s="16"/>
      <c r="AG247" s="16"/>
      <c r="AH247" s="16"/>
      <c r="AI247" s="16"/>
      <c r="AJ247" s="16"/>
      <c r="AK247" s="16"/>
      <c r="AL247" s="16"/>
      <c r="AM247" s="12"/>
      <c r="AN247" s="12"/>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c r="HU247" s="16"/>
      <c r="HV247" s="16"/>
      <c r="HW247" s="16"/>
      <c r="HX247" s="16"/>
      <c r="HY247" s="16"/>
      <c r="HZ247" s="16"/>
      <c r="IA247" s="16"/>
      <c r="IB247" s="16"/>
      <c r="IC247" s="16"/>
      <c r="ID247" s="16"/>
    </row>
    <row r="248" spans="1:238" s="90" customFormat="1" ht="12.75" customHeight="1">
      <c r="A248" s="44" t="s">
        <v>736</v>
      </c>
      <c r="B248" s="7" t="s">
        <v>1477</v>
      </c>
      <c r="C248" s="5"/>
      <c r="D248" s="7"/>
      <c r="E248" s="7"/>
      <c r="F248" s="632"/>
      <c r="G248" s="32"/>
      <c r="H248" s="88"/>
      <c r="I248" s="88"/>
      <c r="J248" s="88"/>
      <c r="K248" s="623"/>
      <c r="L248" s="562"/>
      <c r="M248" s="564"/>
      <c r="N248" s="608"/>
      <c r="O248" s="33"/>
      <c r="P248" s="16"/>
      <c r="Q248" s="32"/>
      <c r="R248" s="32"/>
      <c r="S248" s="32"/>
      <c r="T248" s="32"/>
      <c r="U248" s="32"/>
      <c r="V248" s="32"/>
      <c r="W248" s="32"/>
      <c r="X248" s="16"/>
      <c r="Y248" s="16"/>
      <c r="Z248" s="16"/>
      <c r="AA248" s="16"/>
      <c r="AB248" s="16"/>
      <c r="AC248" s="16"/>
      <c r="AD248" s="16"/>
      <c r="AE248" s="16"/>
      <c r="AF248" s="16"/>
      <c r="AG248" s="16"/>
      <c r="AH248" s="16"/>
      <c r="AI248" s="16"/>
      <c r="AJ248" s="16"/>
      <c r="AK248" s="16"/>
      <c r="AL248" s="16"/>
      <c r="AM248" s="12"/>
      <c r="AN248" s="12"/>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6"/>
      <c r="HN248" s="16"/>
      <c r="HO248" s="16"/>
      <c r="HP248" s="16"/>
      <c r="HQ248" s="16"/>
      <c r="HR248" s="16"/>
      <c r="HS248" s="16"/>
      <c r="HT248" s="16"/>
      <c r="HU248" s="16"/>
      <c r="HV248" s="16"/>
      <c r="HW248" s="16"/>
      <c r="HX248" s="16"/>
      <c r="HY248" s="16"/>
      <c r="HZ248" s="16"/>
      <c r="IA248" s="16"/>
      <c r="IB248" s="16"/>
      <c r="IC248" s="16"/>
      <c r="ID248" s="16"/>
    </row>
    <row r="249" spans="1:238" ht="12.75" customHeight="1">
      <c r="A249" s="421"/>
      <c r="B249" s="7"/>
      <c r="C249" s="5"/>
      <c r="D249" s="7"/>
      <c r="E249" s="585" t="s">
        <v>1172</v>
      </c>
      <c r="F249" s="583" t="s">
        <v>567</v>
      </c>
      <c r="G249" s="584" t="s">
        <v>468</v>
      </c>
      <c r="H249" s="585" t="s">
        <v>1173</v>
      </c>
      <c r="I249" s="698" t="s">
        <v>987</v>
      </c>
      <c r="J249" s="88"/>
      <c r="K249" s="623"/>
      <c r="L249" s="562"/>
      <c r="M249" s="629"/>
      <c r="N249" s="630"/>
      <c r="O249" s="12"/>
      <c r="P249" s="16"/>
      <c r="Q249" s="16"/>
      <c r="R249" s="16"/>
      <c r="S249" s="16"/>
      <c r="T249" s="16"/>
      <c r="U249" s="16"/>
      <c r="V249" s="16"/>
      <c r="W249" s="16"/>
      <c r="X249" s="32"/>
      <c r="Y249" s="32"/>
      <c r="Z249" s="32"/>
      <c r="AA249" s="32"/>
      <c r="AB249" s="32"/>
      <c r="AC249" s="32"/>
      <c r="AD249" s="32"/>
      <c r="AE249" s="32"/>
      <c r="AF249" s="32"/>
      <c r="AG249" s="32"/>
      <c r="AH249" s="32"/>
      <c r="AI249" s="32"/>
      <c r="AJ249" s="32"/>
      <c r="AK249" s="32"/>
      <c r="AL249" s="32"/>
      <c r="AM249" s="12"/>
      <c r="AN249" s="1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row>
    <row r="250" spans="1:238" ht="12.75" customHeight="1">
      <c r="A250" s="421"/>
      <c r="B250" s="7"/>
      <c r="C250" s="5"/>
      <c r="D250" s="7"/>
      <c r="E250" s="586" t="s">
        <v>1175</v>
      </c>
      <c r="F250" s="587" t="s">
        <v>1176</v>
      </c>
      <c r="G250" s="586" t="s">
        <v>489</v>
      </c>
      <c r="H250" s="586" t="s">
        <v>1177</v>
      </c>
      <c r="I250" s="587" t="s">
        <v>179</v>
      </c>
      <c r="J250" s="88"/>
      <c r="K250" s="623"/>
      <c r="L250" s="562"/>
      <c r="M250" s="415"/>
      <c r="N250" s="348" t="s">
        <v>180</v>
      </c>
      <c r="O250" s="349" t="s">
        <v>181</v>
      </c>
      <c r="P250" s="16"/>
      <c r="Q250" s="16"/>
      <c r="R250" s="16"/>
      <c r="S250" s="16"/>
      <c r="T250" s="16"/>
      <c r="U250" s="16"/>
      <c r="V250" s="16"/>
      <c r="W250" s="16"/>
      <c r="X250" s="32"/>
      <c r="Y250" s="32"/>
      <c r="Z250" s="32"/>
      <c r="AA250" s="32"/>
      <c r="AB250" s="32"/>
      <c r="AC250" s="32"/>
      <c r="AD250" s="32"/>
      <c r="AE250" s="32"/>
      <c r="AF250" s="32"/>
      <c r="AG250" s="32"/>
      <c r="AH250" s="32"/>
      <c r="AI250" s="32"/>
      <c r="AJ250" s="32"/>
      <c r="AK250" s="32"/>
      <c r="AL250" s="32"/>
      <c r="AM250" s="12"/>
      <c r="AN250" s="1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row>
    <row r="251" spans="1:238" ht="12.75" customHeight="1" thickBot="1">
      <c r="A251" s="199">
        <f>A246+1</f>
        <v>806</v>
      </c>
      <c r="B251" s="224" t="s">
        <v>1193</v>
      </c>
      <c r="C251" s="669"/>
      <c r="D251" s="679" t="s">
        <v>701</v>
      </c>
      <c r="E251" s="56" t="s">
        <v>968</v>
      </c>
      <c r="F251" s="401" t="str">
        <f>IF($E$31="ja","ja","nee")</f>
        <v>nee</v>
      </c>
      <c r="G251" s="351"/>
      <c r="H251" s="352"/>
      <c r="I251" s="465">
        <f>IF(F251="ja",ROUND(G251*H251,0),0)</f>
        <v>0</v>
      </c>
      <c r="J251" s="680"/>
      <c r="K251" s="623" t="s">
        <v>705</v>
      </c>
      <c r="L251" s="562" t="s">
        <v>473</v>
      </c>
      <c r="M251" s="582">
        <f>I251*A251</f>
        <v>0</v>
      </c>
      <c r="N251" s="385">
        <v>0</v>
      </c>
      <c r="O251" s="681">
        <v>78.59</v>
      </c>
      <c r="P251" s="12"/>
      <c r="Q251" s="16"/>
      <c r="R251" s="16"/>
      <c r="S251" s="16"/>
      <c r="T251" s="16"/>
      <c r="U251" s="16"/>
      <c r="V251" s="16"/>
      <c r="W251" s="16"/>
      <c r="X251" s="32"/>
      <c r="Y251" s="32"/>
      <c r="Z251" s="32"/>
      <c r="AA251" s="32"/>
      <c r="AB251" s="32"/>
      <c r="AC251" s="32"/>
      <c r="AD251" s="32"/>
      <c r="AE251" s="32"/>
      <c r="AF251" s="32"/>
      <c r="AG251" s="32"/>
      <c r="AH251" s="32"/>
      <c r="AI251" s="32"/>
      <c r="AJ251" s="32"/>
      <c r="AK251" s="32"/>
      <c r="AL251" s="32"/>
      <c r="AM251" s="12"/>
      <c r="AN251" s="1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row>
    <row r="252" spans="1:37" ht="12.75" customHeight="1" thickBot="1">
      <c r="A252" s="199">
        <f>A251+1</f>
        <v>807</v>
      </c>
      <c r="B252" s="365" t="s">
        <v>285</v>
      </c>
      <c r="C252" s="198"/>
      <c r="D252" s="682"/>
      <c r="E252" s="198"/>
      <c r="F252" s="198"/>
      <c r="G252" s="198"/>
      <c r="H252" s="198"/>
      <c r="I252" s="467">
        <f>I251</f>
        <v>0</v>
      </c>
      <c r="K252" s="562"/>
      <c r="L252" s="562"/>
      <c r="O252" s="380"/>
      <c r="P252" s="33"/>
      <c r="Q252" s="16"/>
      <c r="R252" s="32"/>
      <c r="S252" s="32"/>
      <c r="T252" s="32"/>
      <c r="U252" s="32"/>
      <c r="V252" s="32"/>
      <c r="W252" s="32"/>
      <c r="X252" s="75"/>
      <c r="Y252" s="75"/>
      <c r="Z252" s="75"/>
      <c r="AA252" s="345"/>
      <c r="AC252" s="75"/>
      <c r="AD252" s="75"/>
      <c r="AG252" s="75"/>
      <c r="AH252" s="75"/>
      <c r="AJ252" s="208"/>
      <c r="AK252" s="209"/>
    </row>
    <row r="253" spans="1:37" ht="12.75" customHeight="1">
      <c r="A253" s="421"/>
      <c r="B253" s="7"/>
      <c r="C253" s="5"/>
      <c r="D253" s="7"/>
      <c r="E253" s="7"/>
      <c r="F253" s="632"/>
      <c r="G253" s="15"/>
      <c r="H253" s="88"/>
      <c r="I253" s="683"/>
      <c r="J253" s="88"/>
      <c r="K253" s="623"/>
      <c r="L253" s="562"/>
      <c r="N253" s="605"/>
      <c r="O253" s="608"/>
      <c r="P253" s="33"/>
      <c r="Q253" s="16"/>
      <c r="R253" s="32"/>
      <c r="S253" s="32"/>
      <c r="T253" s="32"/>
      <c r="U253" s="32"/>
      <c r="V253" s="32"/>
      <c r="W253" s="32"/>
      <c r="X253" s="75"/>
      <c r="Y253" s="75"/>
      <c r="Z253" s="75"/>
      <c r="AA253" s="345"/>
      <c r="AC253" s="75"/>
      <c r="AD253" s="75"/>
      <c r="AG253" s="75"/>
      <c r="AH253" s="75"/>
      <c r="AJ253" s="208"/>
      <c r="AK253" s="209"/>
    </row>
    <row r="254" spans="1:37" ht="12.75" customHeight="1">
      <c r="A254" s="421" t="s">
        <v>1439</v>
      </c>
      <c r="B254" s="31" t="s">
        <v>747</v>
      </c>
      <c r="C254" s="5"/>
      <c r="D254" s="7"/>
      <c r="E254" s="7"/>
      <c r="F254" s="632"/>
      <c r="G254" s="15"/>
      <c r="H254" s="88"/>
      <c r="I254" s="683"/>
      <c r="J254" s="88"/>
      <c r="K254" s="623"/>
      <c r="L254" s="562"/>
      <c r="N254" s="605"/>
      <c r="O254" s="608"/>
      <c r="P254" s="33"/>
      <c r="Q254" s="16"/>
      <c r="R254" s="32"/>
      <c r="S254" s="32"/>
      <c r="T254" s="32"/>
      <c r="U254" s="32"/>
      <c r="V254" s="32"/>
      <c r="W254" s="32"/>
      <c r="X254" s="75"/>
      <c r="Y254" s="75"/>
      <c r="Z254" s="75"/>
      <c r="AA254" s="345"/>
      <c r="AC254" s="75"/>
      <c r="AD254" s="75"/>
      <c r="AG254" s="75"/>
      <c r="AH254" s="75"/>
      <c r="AJ254" s="355">
        <f>I257*A257</f>
        <v>0</v>
      </c>
      <c r="AK254" s="209"/>
    </row>
    <row r="255" spans="1:37" ht="12.75" customHeight="1">
      <c r="A255" s="80"/>
      <c r="B255" s="32"/>
      <c r="C255" s="32"/>
      <c r="D255" s="32"/>
      <c r="E255" s="585" t="s">
        <v>1172</v>
      </c>
      <c r="F255" s="583" t="s">
        <v>567</v>
      </c>
      <c r="G255" s="584" t="s">
        <v>468</v>
      </c>
      <c r="H255" s="585" t="s">
        <v>1173</v>
      </c>
      <c r="I255" s="698" t="s">
        <v>987</v>
      </c>
      <c r="K255" s="221"/>
      <c r="L255" s="221"/>
      <c r="N255" s="343" t="s">
        <v>1174</v>
      </c>
      <c r="O255" s="344"/>
      <c r="X255" s="75"/>
      <c r="Y255" s="75"/>
      <c r="Z255" s="75"/>
      <c r="AA255" s="345"/>
      <c r="AC255" s="75"/>
      <c r="AD255" s="75"/>
      <c r="AG255" s="75"/>
      <c r="AH255" s="75"/>
      <c r="AJ255" s="355">
        <f>I258*A258</f>
        <v>0</v>
      </c>
      <c r="AK255" s="209"/>
    </row>
    <row r="256" spans="1:37" ht="12.75" customHeight="1">
      <c r="A256" s="442" t="s">
        <v>916</v>
      </c>
      <c r="B256" s="346" t="s">
        <v>892</v>
      </c>
      <c r="C256" s="347"/>
      <c r="D256" s="347"/>
      <c r="E256" s="586" t="s">
        <v>1175</v>
      </c>
      <c r="F256" s="587" t="s">
        <v>1176</v>
      </c>
      <c r="G256" s="586" t="s">
        <v>489</v>
      </c>
      <c r="H256" s="586" t="s">
        <v>1177</v>
      </c>
      <c r="I256" s="684" t="s">
        <v>179</v>
      </c>
      <c r="K256" s="221"/>
      <c r="L256" s="221"/>
      <c r="N256" s="348" t="s">
        <v>180</v>
      </c>
      <c r="O256" s="349" t="s">
        <v>181</v>
      </c>
      <c r="X256" s="75"/>
      <c r="Y256" s="75"/>
      <c r="Z256" s="75"/>
      <c r="AA256" s="345"/>
      <c r="AC256" s="75"/>
      <c r="AD256" s="75"/>
      <c r="AG256" s="75"/>
      <c r="AH256" s="75"/>
      <c r="AJ256" s="355">
        <f>I259*A259</f>
        <v>0</v>
      </c>
      <c r="AK256" s="209"/>
    </row>
    <row r="257" spans="1:37" ht="12.75" customHeight="1">
      <c r="A257" s="199">
        <f>A252+1</f>
        <v>808</v>
      </c>
      <c r="B257" s="57" t="s">
        <v>892</v>
      </c>
      <c r="C257" s="350"/>
      <c r="D257" s="678" t="s">
        <v>1061</v>
      </c>
      <c r="E257" s="56" t="s">
        <v>182</v>
      </c>
      <c r="F257" s="56" t="str">
        <f>IF($E$26="ja","ja","nee")</f>
        <v>nee</v>
      </c>
      <c r="G257" s="351"/>
      <c r="H257" s="352"/>
      <c r="I257" s="465">
        <f>IF(F257="ja",ROUND(G257*H257,0),0)</f>
        <v>0</v>
      </c>
      <c r="K257" s="562" t="str">
        <f>CONCATENATE("PQ",D257)</f>
        <v>PQH126</v>
      </c>
      <c r="L257" s="562" t="str">
        <f>CONCATENATE("P",D257)</f>
        <v>PH126</v>
      </c>
      <c r="M257" s="604">
        <f>I257*A257</f>
        <v>0</v>
      </c>
      <c r="N257" s="353">
        <v>0</v>
      </c>
      <c r="O257" s="354">
        <v>42.96</v>
      </c>
      <c r="X257" s="75"/>
      <c r="Y257" s="75"/>
      <c r="Z257" s="75"/>
      <c r="AA257" s="345"/>
      <c r="AC257" s="75"/>
      <c r="AD257" s="75"/>
      <c r="AG257" s="75"/>
      <c r="AH257" s="75"/>
      <c r="AJ257" s="373"/>
      <c r="AK257" s="81"/>
    </row>
    <row r="258" spans="1:238" ht="12.75" customHeight="1">
      <c r="A258" s="199">
        <f>A257+1</f>
        <v>809</v>
      </c>
      <c r="B258" s="57" t="s">
        <v>236</v>
      </c>
      <c r="C258" s="350"/>
      <c r="D258" s="678" t="s">
        <v>441</v>
      </c>
      <c r="E258" s="56" t="s">
        <v>182</v>
      </c>
      <c r="F258" s="56" t="str">
        <f>IF($E$26="ja","ja","nee")</f>
        <v>nee</v>
      </c>
      <c r="G258" s="351"/>
      <c r="H258" s="352"/>
      <c r="I258" s="465">
        <f>IF(F258="ja",ROUND(G258*H258,0),0)</f>
        <v>0</v>
      </c>
      <c r="K258" s="221" t="str">
        <f>CONCATENATE("PQ",D258)</f>
        <v>PQH127</v>
      </c>
      <c r="L258" s="562" t="str">
        <f>CONCATENATE("P",D258)</f>
        <v>PH127</v>
      </c>
      <c r="M258" s="607">
        <f>I258*A258</f>
        <v>0</v>
      </c>
      <c r="N258" s="356">
        <v>0</v>
      </c>
      <c r="O258" s="357">
        <v>46.12</v>
      </c>
      <c r="X258" s="32"/>
      <c r="Y258" s="32"/>
      <c r="Z258" s="32"/>
      <c r="AA258" s="32"/>
      <c r="AB258" s="32"/>
      <c r="AC258" s="32"/>
      <c r="AD258" s="32"/>
      <c r="AE258" s="32"/>
      <c r="AF258" s="32"/>
      <c r="AG258" s="32"/>
      <c r="AH258" s="32"/>
      <c r="AI258" s="32"/>
      <c r="AJ258" s="32"/>
      <c r="AK258" s="32"/>
      <c r="AL258" s="32"/>
      <c r="AM258" s="12"/>
      <c r="AN258" s="1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row>
    <row r="259" spans="1:37" ht="12.75" customHeight="1" thickBot="1">
      <c r="A259" s="199">
        <f>A258+1</f>
        <v>810</v>
      </c>
      <c r="B259" s="57" t="s">
        <v>624</v>
      </c>
      <c r="C259" s="350"/>
      <c r="D259" s="678" t="s">
        <v>623</v>
      </c>
      <c r="E259" s="56" t="s">
        <v>182</v>
      </c>
      <c r="F259" s="56" t="str">
        <f>IF($E$26="ja","ja","nee")</f>
        <v>nee</v>
      </c>
      <c r="G259" s="351"/>
      <c r="H259" s="352"/>
      <c r="I259" s="465">
        <f>IF(F259="ja",ROUND(G259*H259,0),0)</f>
        <v>0</v>
      </c>
      <c r="K259" s="221" t="str">
        <f>CONCATENATE("PQ",D259)</f>
        <v>PQH120</v>
      </c>
      <c r="L259" s="562" t="str">
        <f>CONCATENATE("P",D259)</f>
        <v>PH120</v>
      </c>
      <c r="M259" s="610">
        <f>I259*A259</f>
        <v>0</v>
      </c>
      <c r="N259" s="358">
        <v>0</v>
      </c>
      <c r="O259" s="359">
        <v>64.94</v>
      </c>
      <c r="X259" s="75"/>
      <c r="Y259" s="75"/>
      <c r="Z259" s="75"/>
      <c r="AA259" s="345"/>
      <c r="AC259" s="75"/>
      <c r="AD259" s="75"/>
      <c r="AG259" s="75"/>
      <c r="AH259" s="75"/>
      <c r="AJ259" s="355"/>
      <c r="AK259" s="209"/>
    </row>
    <row r="260" spans="1:37" ht="12.75" customHeight="1" thickBot="1">
      <c r="A260" s="199">
        <f>A259+1</f>
        <v>811</v>
      </c>
      <c r="B260" s="365" t="s">
        <v>858</v>
      </c>
      <c r="C260" s="198"/>
      <c r="D260" s="682"/>
      <c r="E260" s="198"/>
      <c r="F260" s="198"/>
      <c r="G260" s="198"/>
      <c r="H260" s="198"/>
      <c r="I260" s="474">
        <f>SUM(I257:I259)</f>
        <v>0</v>
      </c>
      <c r="K260" s="221"/>
      <c r="L260" s="562"/>
      <c r="M260" s="594"/>
      <c r="N260" s="371"/>
      <c r="O260" s="372"/>
      <c r="X260" s="75"/>
      <c r="Y260" s="75"/>
      <c r="Z260" s="75"/>
      <c r="AA260" s="345"/>
      <c r="AC260" s="75"/>
      <c r="AD260" s="75"/>
      <c r="AG260" s="75"/>
      <c r="AH260" s="75"/>
      <c r="AJ260" s="355"/>
      <c r="AK260" s="209"/>
    </row>
    <row r="261" spans="1:37" ht="12.75" customHeight="1">
      <c r="A261" s="360"/>
      <c r="B261" s="12"/>
      <c r="C261" s="75"/>
      <c r="D261" s="45"/>
      <c r="E261" s="46"/>
      <c r="F261" s="46"/>
      <c r="G261" s="361"/>
      <c r="H261" s="685"/>
      <c r="I261" s="468"/>
      <c r="K261" s="221"/>
      <c r="L261" s="562"/>
      <c r="N261" s="371"/>
      <c r="O261" s="372"/>
      <c r="X261" s="75"/>
      <c r="Y261" s="75"/>
      <c r="Z261" s="75"/>
      <c r="AA261" s="345"/>
      <c r="AC261" s="75"/>
      <c r="AD261" s="75"/>
      <c r="AG261" s="75"/>
      <c r="AH261" s="75"/>
      <c r="AJ261" s="355"/>
      <c r="AK261" s="209"/>
    </row>
    <row r="262" spans="1:37" ht="12.75" customHeight="1">
      <c r="A262" s="442" t="s">
        <v>917</v>
      </c>
      <c r="B262" s="346" t="s">
        <v>893</v>
      </c>
      <c r="C262" s="32"/>
      <c r="D262" s="32"/>
      <c r="E262" s="32"/>
      <c r="F262" s="33"/>
      <c r="G262" s="32"/>
      <c r="H262" s="32"/>
      <c r="I262" s="469"/>
      <c r="J262" s="16"/>
      <c r="K262" s="562"/>
      <c r="L262" s="562"/>
      <c r="O262" s="380"/>
      <c r="P262" s="33"/>
      <c r="Q262" s="16"/>
      <c r="R262" s="32"/>
      <c r="S262" s="32"/>
      <c r="T262" s="32"/>
      <c r="U262" s="32"/>
      <c r="V262" s="32"/>
      <c r="W262" s="32"/>
      <c r="X262" s="75"/>
      <c r="Y262" s="75"/>
      <c r="Z262" s="75"/>
      <c r="AA262" s="345"/>
      <c r="AC262" s="75"/>
      <c r="AD262" s="75"/>
      <c r="AG262" s="75"/>
      <c r="AH262" s="75"/>
      <c r="AJ262" s="355"/>
      <c r="AK262" s="209"/>
    </row>
    <row r="263" spans="1:37" ht="12.75" customHeight="1">
      <c r="A263" s="199">
        <f>A260+1</f>
        <v>812</v>
      </c>
      <c r="B263" s="57" t="s">
        <v>893</v>
      </c>
      <c r="C263" s="350"/>
      <c r="D263" s="678" t="s">
        <v>617</v>
      </c>
      <c r="E263" s="686" t="s">
        <v>182</v>
      </c>
      <c r="F263" s="687" t="str">
        <f>IF($E$27="ja","ja","nee")</f>
        <v>nee</v>
      </c>
      <c r="G263" s="351"/>
      <c r="H263" s="352"/>
      <c r="I263" s="465">
        <f>IF(F263="ja",ROUND(G263*H263,0),0)</f>
        <v>0</v>
      </c>
      <c r="K263" s="562" t="str">
        <f>CONCATENATE("PQ",D263)</f>
        <v>PQH104</v>
      </c>
      <c r="L263" s="562" t="str">
        <f>CONCATENATE("P",D263)</f>
        <v>PH104</v>
      </c>
      <c r="M263" s="604">
        <f>I263*A263</f>
        <v>0</v>
      </c>
      <c r="N263" s="353">
        <v>0</v>
      </c>
      <c r="O263" s="381">
        <v>67.02</v>
      </c>
      <c r="X263" s="75"/>
      <c r="Y263" s="75"/>
      <c r="Z263" s="75"/>
      <c r="AA263" s="345"/>
      <c r="AC263" s="75"/>
      <c r="AD263" s="75"/>
      <c r="AG263" s="75"/>
      <c r="AH263" s="75"/>
      <c r="AJ263" s="355"/>
      <c r="AK263" s="209"/>
    </row>
    <row r="264" spans="1:238" ht="12.75" customHeight="1">
      <c r="A264" s="199">
        <f>A263+1</f>
        <v>813</v>
      </c>
      <c r="B264" s="57" t="s">
        <v>442</v>
      </c>
      <c r="C264" s="350"/>
      <c r="D264" s="678" t="s">
        <v>1104</v>
      </c>
      <c r="E264" s="686" t="s">
        <v>182</v>
      </c>
      <c r="F264" s="687" t="str">
        <f>IF($E$27="ja","ja","nee")</f>
        <v>nee</v>
      </c>
      <c r="G264" s="351"/>
      <c r="H264" s="352"/>
      <c r="I264" s="465">
        <f>IF(F264="ja",ROUND(G264*H264,0),0)</f>
        <v>0</v>
      </c>
      <c r="K264" s="562" t="str">
        <f>CONCATENATE("PQ",D264)</f>
        <v>PQH128</v>
      </c>
      <c r="L264" s="562" t="str">
        <f>CONCATENATE("P",D264)</f>
        <v>PH128</v>
      </c>
      <c r="M264" s="607">
        <f>I264*A264</f>
        <v>0</v>
      </c>
      <c r="N264" s="356">
        <v>0</v>
      </c>
      <c r="O264" s="382">
        <v>71.78</v>
      </c>
      <c r="X264" s="32"/>
      <c r="Y264" s="32"/>
      <c r="Z264" s="32"/>
      <c r="AA264" s="32"/>
      <c r="AB264" s="32"/>
      <c r="AC264" s="32"/>
      <c r="AD264" s="32"/>
      <c r="AE264" s="32"/>
      <c r="AF264" s="32"/>
      <c r="AG264" s="32"/>
      <c r="AH264" s="32"/>
      <c r="AI264" s="32"/>
      <c r="AJ264" s="32"/>
      <c r="AK264" s="32"/>
      <c r="AL264" s="32"/>
      <c r="AM264" s="12"/>
      <c r="AN264" s="1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row>
    <row r="265" spans="1:238" ht="12.75" customHeight="1">
      <c r="A265" s="199">
        <f>A264+1</f>
        <v>814</v>
      </c>
      <c r="B265" s="57" t="s">
        <v>443</v>
      </c>
      <c r="C265" s="350"/>
      <c r="D265" s="678" t="s">
        <v>1105</v>
      </c>
      <c r="E265" s="686" t="s">
        <v>182</v>
      </c>
      <c r="F265" s="687" t="str">
        <f>IF($E$27="ja","ja","nee")</f>
        <v>nee</v>
      </c>
      <c r="G265" s="351"/>
      <c r="H265" s="352"/>
      <c r="I265" s="465">
        <f>IF(F265="ja",ROUND(G265*H265,0),0)</f>
        <v>0</v>
      </c>
      <c r="K265" s="562" t="str">
        <f>CONCATENATE("PQ",D265)</f>
        <v>PQH106</v>
      </c>
      <c r="L265" s="562" t="str">
        <f>CONCATENATE("P",D265)</f>
        <v>PH106</v>
      </c>
      <c r="M265" s="607">
        <f>I265*A265</f>
        <v>0</v>
      </c>
      <c r="N265" s="356">
        <v>0</v>
      </c>
      <c r="O265" s="382">
        <v>72.57</v>
      </c>
      <c r="X265" s="32"/>
      <c r="Y265" s="32"/>
      <c r="Z265" s="32"/>
      <c r="AA265" s="32"/>
      <c r="AB265" s="32"/>
      <c r="AC265" s="32"/>
      <c r="AD265" s="32"/>
      <c r="AE265" s="32"/>
      <c r="AF265" s="32"/>
      <c r="AG265" s="32"/>
      <c r="AH265" s="32"/>
      <c r="AI265" s="32"/>
      <c r="AJ265" s="32"/>
      <c r="AK265" s="32"/>
      <c r="AL265" s="32"/>
      <c r="AM265" s="12"/>
      <c r="AN265" s="1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2"/>
      <c r="GU265" s="32"/>
      <c r="GV265" s="32"/>
      <c r="GW265" s="32"/>
      <c r="GX265" s="32"/>
      <c r="GY265" s="32"/>
      <c r="GZ265" s="32"/>
      <c r="HA265" s="32"/>
      <c r="HB265" s="32"/>
      <c r="HC265" s="32"/>
      <c r="HD265" s="32"/>
      <c r="HE265" s="32"/>
      <c r="HF265" s="32"/>
      <c r="HG265" s="32"/>
      <c r="HH265" s="32"/>
      <c r="HI265" s="32"/>
      <c r="HJ265" s="32"/>
      <c r="HK265" s="32"/>
      <c r="HL265" s="32"/>
      <c r="HM265" s="32"/>
      <c r="HN265" s="32"/>
      <c r="HO265" s="32"/>
      <c r="HP265" s="32"/>
      <c r="HQ265" s="32"/>
      <c r="HR265" s="32"/>
      <c r="HS265" s="32"/>
      <c r="HT265" s="32"/>
      <c r="HU265" s="32"/>
      <c r="HV265" s="32"/>
      <c r="HW265" s="32"/>
      <c r="HX265" s="32"/>
      <c r="HY265" s="32"/>
      <c r="HZ265" s="32"/>
      <c r="IA265" s="32"/>
      <c r="IB265" s="32"/>
      <c r="IC265" s="32"/>
      <c r="ID265" s="32"/>
    </row>
    <row r="266" spans="1:238" ht="12.75" customHeight="1" thickBot="1">
      <c r="A266" s="199">
        <f>A265+1</f>
        <v>815</v>
      </c>
      <c r="B266" s="57" t="s">
        <v>1057</v>
      </c>
      <c r="C266" s="350"/>
      <c r="D266" s="678" t="s">
        <v>1106</v>
      </c>
      <c r="E266" s="686" t="s">
        <v>182</v>
      </c>
      <c r="F266" s="687" t="str">
        <f>IF($E$27="ja","ja","nee")</f>
        <v>nee</v>
      </c>
      <c r="G266" s="351"/>
      <c r="H266" s="352"/>
      <c r="I266" s="465">
        <f>IF(F266="ja",ROUND(G266*H266,0),0)</f>
        <v>0</v>
      </c>
      <c r="K266" s="221" t="str">
        <f>CONCATENATE("PQ",D266)</f>
        <v>PQH114</v>
      </c>
      <c r="L266" s="562" t="str">
        <f>CONCATENATE("P",D266)</f>
        <v>PH114</v>
      </c>
      <c r="M266" s="610">
        <f>I266*A266</f>
        <v>0</v>
      </c>
      <c r="N266" s="358">
        <v>0</v>
      </c>
      <c r="O266" s="383">
        <v>67.02</v>
      </c>
      <c r="X266" s="32"/>
      <c r="Y266" s="32"/>
      <c r="Z266" s="32"/>
      <c r="AA266" s="32"/>
      <c r="AB266" s="32"/>
      <c r="AC266" s="32"/>
      <c r="AD266" s="32"/>
      <c r="AE266" s="32"/>
      <c r="AF266" s="32"/>
      <c r="AG266" s="32"/>
      <c r="AH266" s="32"/>
      <c r="AI266" s="32"/>
      <c r="AJ266" s="32"/>
      <c r="AK266" s="32"/>
      <c r="AL266" s="32"/>
      <c r="AM266" s="12"/>
      <c r="AN266" s="1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row>
    <row r="267" spans="1:238" ht="12.75" customHeight="1" thickBot="1">
      <c r="A267" s="199">
        <f>A266+1</f>
        <v>816</v>
      </c>
      <c r="B267" s="365" t="s">
        <v>859</v>
      </c>
      <c r="C267" s="198"/>
      <c r="D267" s="682"/>
      <c r="E267" s="198"/>
      <c r="F267" s="198"/>
      <c r="G267" s="198"/>
      <c r="H267" s="198"/>
      <c r="I267" s="474">
        <f>SUM(I263:I266)</f>
        <v>0</v>
      </c>
      <c r="K267" s="221"/>
      <c r="L267" s="562"/>
      <c r="M267" s="594"/>
      <c r="N267" s="371"/>
      <c r="O267" s="372"/>
      <c r="X267" s="32"/>
      <c r="Y267" s="32"/>
      <c r="Z267" s="32"/>
      <c r="AA267" s="32"/>
      <c r="AB267" s="32"/>
      <c r="AC267" s="32"/>
      <c r="AD267" s="32"/>
      <c r="AE267" s="32"/>
      <c r="AF267" s="32"/>
      <c r="AG267" s="32"/>
      <c r="AH267" s="32"/>
      <c r="AI267" s="32"/>
      <c r="AJ267" s="32"/>
      <c r="AK267" s="32"/>
      <c r="AL267" s="32"/>
      <c r="AM267" s="12"/>
      <c r="AN267" s="1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row>
    <row r="268" spans="1:238" ht="12.75" customHeight="1">
      <c r="A268" s="360"/>
      <c r="B268" s="33"/>
      <c r="C268" s="33"/>
      <c r="D268" s="46"/>
      <c r="E268" s="33"/>
      <c r="F268" s="33"/>
      <c r="G268" s="46"/>
      <c r="H268" s="46"/>
      <c r="I268" s="59"/>
      <c r="K268" s="613"/>
      <c r="L268" s="562"/>
      <c r="N268" s="371"/>
      <c r="O268" s="372"/>
      <c r="P268" s="33"/>
      <c r="Q268" s="16"/>
      <c r="R268" s="32"/>
      <c r="S268" s="32"/>
      <c r="T268" s="32"/>
      <c r="U268" s="32"/>
      <c r="V268" s="32"/>
      <c r="W268" s="32"/>
      <c r="X268" s="32"/>
      <c r="Y268" s="32"/>
      <c r="Z268" s="32"/>
      <c r="AA268" s="32"/>
      <c r="AB268" s="32"/>
      <c r="AC268" s="32"/>
      <c r="AD268" s="32"/>
      <c r="AE268" s="32"/>
      <c r="AF268" s="32"/>
      <c r="AG268" s="32"/>
      <c r="AH268" s="32"/>
      <c r="AI268" s="32"/>
      <c r="AJ268" s="32"/>
      <c r="AK268" s="32"/>
      <c r="AL268" s="32"/>
      <c r="AM268" s="12"/>
      <c r="AN268" s="1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2"/>
      <c r="GU268" s="32"/>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row>
    <row r="269" spans="1:238" ht="12.75" customHeight="1">
      <c r="A269" s="360"/>
      <c r="B269" s="33"/>
      <c r="C269" s="33"/>
      <c r="D269" s="46"/>
      <c r="E269" s="585" t="s">
        <v>1172</v>
      </c>
      <c r="F269" s="583" t="s">
        <v>567</v>
      </c>
      <c r="G269" s="584" t="s">
        <v>468</v>
      </c>
      <c r="H269" s="585" t="s">
        <v>1173</v>
      </c>
      <c r="I269" s="698" t="s">
        <v>987</v>
      </c>
      <c r="K269" s="613"/>
      <c r="L269" s="562"/>
      <c r="N269" s="371"/>
      <c r="O269" s="372"/>
      <c r="P269" s="33"/>
      <c r="Q269" s="16"/>
      <c r="R269" s="32"/>
      <c r="S269" s="32"/>
      <c r="T269" s="32"/>
      <c r="U269" s="32"/>
      <c r="V269" s="32"/>
      <c r="W269" s="32"/>
      <c r="X269" s="32"/>
      <c r="Y269" s="32"/>
      <c r="Z269" s="32"/>
      <c r="AA269" s="32"/>
      <c r="AB269" s="32"/>
      <c r="AC269" s="32"/>
      <c r="AD269" s="32"/>
      <c r="AE269" s="32"/>
      <c r="AF269" s="32"/>
      <c r="AG269" s="32"/>
      <c r="AH269" s="32"/>
      <c r="AI269" s="32"/>
      <c r="AJ269" s="32"/>
      <c r="AK269" s="32"/>
      <c r="AL269" s="32"/>
      <c r="AM269" s="12"/>
      <c r="AN269" s="1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row>
    <row r="270" spans="1:238" ht="12.75" customHeight="1">
      <c r="A270" s="442" t="s">
        <v>918</v>
      </c>
      <c r="B270" s="346" t="s">
        <v>444</v>
      </c>
      <c r="C270" s="32"/>
      <c r="D270" s="32"/>
      <c r="E270" s="586" t="s">
        <v>1175</v>
      </c>
      <c r="F270" s="587" t="s">
        <v>1176</v>
      </c>
      <c r="G270" s="586" t="s">
        <v>489</v>
      </c>
      <c r="H270" s="586" t="s">
        <v>1177</v>
      </c>
      <c r="I270" s="684" t="s">
        <v>179</v>
      </c>
      <c r="J270" s="16"/>
      <c r="K270" s="613"/>
      <c r="L270" s="562"/>
      <c r="O270" s="380"/>
      <c r="P270" s="33"/>
      <c r="Q270" s="16"/>
      <c r="R270" s="32"/>
      <c r="S270" s="32"/>
      <c r="T270" s="32"/>
      <c r="U270" s="32"/>
      <c r="V270" s="32"/>
      <c r="W270" s="32"/>
      <c r="X270" s="32"/>
      <c r="Y270" s="32"/>
      <c r="Z270" s="32"/>
      <c r="AA270" s="32"/>
      <c r="AB270" s="32"/>
      <c r="AC270" s="32"/>
      <c r="AD270" s="32"/>
      <c r="AE270" s="32"/>
      <c r="AF270" s="32"/>
      <c r="AG270" s="32"/>
      <c r="AH270" s="32"/>
      <c r="AI270" s="32"/>
      <c r="AJ270" s="32"/>
      <c r="AK270" s="32"/>
      <c r="AL270" s="32"/>
      <c r="AM270" s="12"/>
      <c r="AN270" s="1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2"/>
      <c r="GU270" s="32"/>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row>
    <row r="271" spans="1:238" ht="12.75" customHeight="1">
      <c r="A271" s="199">
        <f>A267+1</f>
        <v>817</v>
      </c>
      <c r="B271" s="57" t="s">
        <v>444</v>
      </c>
      <c r="C271" s="350"/>
      <c r="D271" s="678" t="s">
        <v>183</v>
      </c>
      <c r="E271" s="56" t="s">
        <v>182</v>
      </c>
      <c r="F271" s="56" t="str">
        <f>IF(OR($E$28="ja",$E$29="ja"),"ja","nee")</f>
        <v>nee</v>
      </c>
      <c r="G271" s="351"/>
      <c r="H271" s="352"/>
      <c r="I271" s="465">
        <f aca="true" t="shared" si="21" ref="I271:I278">IF(F271="ja",ROUND(G271*H271,0),0)</f>
        <v>0</v>
      </c>
      <c r="K271" s="613" t="str">
        <f aca="true" t="shared" si="22" ref="K271:K278">CONCATENATE("PQ",D271)</f>
        <v>PQH149</v>
      </c>
      <c r="L271" s="562" t="str">
        <f aca="true" t="shared" si="23" ref="L271:L278">CONCATENATE("P",D271)</f>
        <v>PH149</v>
      </c>
      <c r="M271" s="604">
        <f aca="true" t="shared" si="24" ref="M271:M278">I271*A271</f>
        <v>0</v>
      </c>
      <c r="N271" s="353">
        <v>0</v>
      </c>
      <c r="O271" s="354">
        <v>46.08</v>
      </c>
      <c r="P271" s="33"/>
      <c r="Q271" s="16"/>
      <c r="R271" s="32"/>
      <c r="S271" s="32"/>
      <c r="T271" s="32"/>
      <c r="U271" s="32"/>
      <c r="V271" s="32"/>
      <c r="W271" s="32"/>
      <c r="X271" s="32"/>
      <c r="Y271" s="32"/>
      <c r="Z271" s="32"/>
      <c r="AA271" s="32"/>
      <c r="AB271" s="32"/>
      <c r="AC271" s="32"/>
      <c r="AD271" s="32"/>
      <c r="AE271" s="32"/>
      <c r="AF271" s="32"/>
      <c r="AG271" s="32"/>
      <c r="AH271" s="32"/>
      <c r="AI271" s="32"/>
      <c r="AJ271" s="32"/>
      <c r="AK271" s="32"/>
      <c r="AL271" s="32"/>
      <c r="AM271" s="12"/>
      <c r="AN271" s="1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row>
    <row r="272" spans="1:238" ht="12.75" customHeight="1">
      <c r="A272" s="199">
        <f aca="true" t="shared" si="25" ref="A272:A279">A271+1</f>
        <v>818</v>
      </c>
      <c r="B272" s="57" t="s">
        <v>445</v>
      </c>
      <c r="C272" s="350"/>
      <c r="D272" s="678" t="s">
        <v>184</v>
      </c>
      <c r="E272" s="56" t="s">
        <v>182</v>
      </c>
      <c r="F272" s="56" t="str">
        <f>IF(OR($E$28="ja",$E$29="ja"),"ja","nee")</f>
        <v>nee</v>
      </c>
      <c r="G272" s="351"/>
      <c r="H272" s="352"/>
      <c r="I272" s="465">
        <f t="shared" si="21"/>
        <v>0</v>
      </c>
      <c r="K272" s="221" t="str">
        <f t="shared" si="22"/>
        <v>PQH150</v>
      </c>
      <c r="L272" s="562" t="str">
        <f t="shared" si="23"/>
        <v>PH150</v>
      </c>
      <c r="M272" s="607">
        <f t="shared" si="24"/>
        <v>0</v>
      </c>
      <c r="N272" s="356">
        <v>0</v>
      </c>
      <c r="O272" s="357">
        <v>49.47</v>
      </c>
      <c r="P272" s="33"/>
      <c r="Q272" s="16"/>
      <c r="R272" s="32"/>
      <c r="S272" s="32"/>
      <c r="T272" s="32"/>
      <c r="U272" s="32"/>
      <c r="V272" s="32"/>
      <c r="W272" s="32"/>
      <c r="X272" s="32"/>
      <c r="Y272" s="32"/>
      <c r="Z272" s="32"/>
      <c r="AA272" s="32"/>
      <c r="AB272" s="32"/>
      <c r="AC272" s="32"/>
      <c r="AD272" s="32"/>
      <c r="AE272" s="32"/>
      <c r="AF272" s="32"/>
      <c r="AG272" s="32"/>
      <c r="AH272" s="32"/>
      <c r="AI272" s="32"/>
      <c r="AJ272" s="32"/>
      <c r="AK272" s="32"/>
      <c r="AL272" s="32"/>
      <c r="AM272" s="12"/>
      <c r="AN272" s="1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row>
    <row r="273" spans="1:238" ht="12.75" customHeight="1">
      <c r="A273" s="199">
        <f t="shared" si="25"/>
        <v>819</v>
      </c>
      <c r="B273" s="57" t="s">
        <v>1294</v>
      </c>
      <c r="C273" s="350"/>
      <c r="D273" s="678" t="s">
        <v>185</v>
      </c>
      <c r="E273" s="56" t="s">
        <v>182</v>
      </c>
      <c r="F273" s="56" t="str">
        <f>IF(OR($E$28="ja",$E$29="ja"),"ja","nee")</f>
        <v>nee</v>
      </c>
      <c r="G273" s="351"/>
      <c r="H273" s="352"/>
      <c r="I273" s="465">
        <f t="shared" si="21"/>
        <v>0</v>
      </c>
      <c r="K273" s="221" t="str">
        <f t="shared" si="22"/>
        <v>PQH152</v>
      </c>
      <c r="L273" s="562" t="str">
        <f t="shared" si="23"/>
        <v>PH152</v>
      </c>
      <c r="M273" s="607">
        <f t="shared" si="24"/>
        <v>0</v>
      </c>
      <c r="N273" s="356">
        <v>0</v>
      </c>
      <c r="O273" s="357">
        <v>77.43</v>
      </c>
      <c r="P273" s="33"/>
      <c r="Q273" s="16"/>
      <c r="R273" s="32"/>
      <c r="S273" s="32"/>
      <c r="T273" s="32"/>
      <c r="U273" s="32"/>
      <c r="V273" s="32"/>
      <c r="W273" s="32"/>
      <c r="X273" s="32"/>
      <c r="Y273" s="32"/>
      <c r="Z273" s="32"/>
      <c r="AA273" s="32"/>
      <c r="AB273" s="32"/>
      <c r="AC273" s="32"/>
      <c r="AD273" s="32"/>
      <c r="AE273" s="32"/>
      <c r="AF273" s="32"/>
      <c r="AG273" s="32"/>
      <c r="AH273" s="32"/>
      <c r="AI273" s="32"/>
      <c r="AJ273" s="32"/>
      <c r="AK273" s="32"/>
      <c r="AL273" s="32"/>
      <c r="AM273" s="12"/>
      <c r="AN273" s="1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row>
    <row r="274" spans="1:238" ht="12.75" customHeight="1">
      <c r="A274" s="199">
        <f t="shared" si="25"/>
        <v>820</v>
      </c>
      <c r="B274" s="57" t="s">
        <v>1295</v>
      </c>
      <c r="C274" s="350"/>
      <c r="D274" s="678" t="s">
        <v>1261</v>
      </c>
      <c r="E274" s="56" t="s">
        <v>182</v>
      </c>
      <c r="F274" s="56" t="str">
        <f>IF(OR($E$28="ja",$E$29="ja"),"ja","nee")</f>
        <v>nee</v>
      </c>
      <c r="G274" s="351"/>
      <c r="H274" s="352"/>
      <c r="I274" s="465">
        <f t="shared" si="21"/>
        <v>0</v>
      </c>
      <c r="K274" s="221" t="str">
        <f t="shared" si="22"/>
        <v>PQH144</v>
      </c>
      <c r="L274" s="562" t="str">
        <f t="shared" si="23"/>
        <v>PH144</v>
      </c>
      <c r="M274" s="607">
        <f t="shared" si="24"/>
        <v>0</v>
      </c>
      <c r="N274" s="356">
        <v>0</v>
      </c>
      <c r="O274" s="357">
        <v>78.25</v>
      </c>
      <c r="P274" s="33"/>
      <c r="Q274" s="16"/>
      <c r="R274" s="32"/>
      <c r="S274" s="32"/>
      <c r="T274" s="32"/>
      <c r="U274" s="32"/>
      <c r="V274" s="32"/>
      <c r="W274" s="32"/>
      <c r="X274" s="32"/>
      <c r="Y274" s="32"/>
      <c r="Z274" s="32"/>
      <c r="AA274" s="32"/>
      <c r="AB274" s="32"/>
      <c r="AC274" s="32"/>
      <c r="AD274" s="32"/>
      <c r="AE274" s="32"/>
      <c r="AF274" s="32"/>
      <c r="AG274" s="32"/>
      <c r="AH274" s="32"/>
      <c r="AI274" s="32"/>
      <c r="AJ274" s="32"/>
      <c r="AK274" s="32"/>
      <c r="AL274" s="32"/>
      <c r="AM274" s="12"/>
      <c r="AN274" s="1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row>
    <row r="275" spans="1:238" ht="12.75" customHeight="1">
      <c r="A275" s="199">
        <f t="shared" si="25"/>
        <v>821</v>
      </c>
      <c r="B275" s="57" t="s">
        <v>1296</v>
      </c>
      <c r="C275" s="350"/>
      <c r="D275" s="678" t="s">
        <v>186</v>
      </c>
      <c r="E275" s="56" t="s">
        <v>182</v>
      </c>
      <c r="F275" s="56" t="str">
        <f>IF(OR($E$28="ja",$E$29="ja"),"ja","nee")</f>
        <v>nee</v>
      </c>
      <c r="G275" s="351"/>
      <c r="H275" s="352"/>
      <c r="I275" s="465">
        <f t="shared" si="21"/>
        <v>0</v>
      </c>
      <c r="K275" s="221" t="str">
        <f t="shared" si="22"/>
        <v>PQH153</v>
      </c>
      <c r="L275" s="562" t="str">
        <f t="shared" si="23"/>
        <v>PH153</v>
      </c>
      <c r="M275" s="610">
        <f t="shared" si="24"/>
        <v>0</v>
      </c>
      <c r="N275" s="358">
        <v>0</v>
      </c>
      <c r="O275" s="383">
        <v>81.91</v>
      </c>
      <c r="P275" s="33"/>
      <c r="Q275" s="16"/>
      <c r="R275" s="32"/>
      <c r="S275" s="32"/>
      <c r="T275" s="32"/>
      <c r="U275" s="32"/>
      <c r="V275" s="32"/>
      <c r="W275" s="32"/>
      <c r="X275" s="32"/>
      <c r="Y275" s="32"/>
      <c r="Z275" s="32"/>
      <c r="AA275" s="32"/>
      <c r="AB275" s="32"/>
      <c r="AC275" s="32"/>
      <c r="AD275" s="32"/>
      <c r="AE275" s="32"/>
      <c r="AF275" s="32"/>
      <c r="AG275" s="32"/>
      <c r="AH275" s="32"/>
      <c r="AI275" s="32"/>
      <c r="AJ275" s="32"/>
      <c r="AK275" s="32"/>
      <c r="AL275" s="32"/>
      <c r="AM275" s="12"/>
      <c r="AN275" s="1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row>
    <row r="276" spans="1:238" ht="12.75" customHeight="1">
      <c r="A276" s="199">
        <f t="shared" si="25"/>
        <v>822</v>
      </c>
      <c r="B276" s="57" t="s">
        <v>188</v>
      </c>
      <c r="C276" s="350"/>
      <c r="D276" s="678" t="s">
        <v>187</v>
      </c>
      <c r="E276" s="56" t="s">
        <v>182</v>
      </c>
      <c r="F276" s="56" t="str">
        <f>IF($E$28="ja","ja","nee")</f>
        <v>nee</v>
      </c>
      <c r="G276" s="351"/>
      <c r="H276" s="352"/>
      <c r="I276" s="465">
        <f t="shared" si="21"/>
        <v>0</v>
      </c>
      <c r="J276" s="88"/>
      <c r="K276" s="562" t="str">
        <f t="shared" si="22"/>
        <v>PQH156</v>
      </c>
      <c r="L276" s="562" t="str">
        <f t="shared" si="23"/>
        <v>PH156</v>
      </c>
      <c r="M276" s="604">
        <f t="shared" si="24"/>
        <v>0</v>
      </c>
      <c r="N276" s="353">
        <v>0</v>
      </c>
      <c r="O276" s="381">
        <v>50.84</v>
      </c>
      <c r="P276" s="33"/>
      <c r="Q276" s="16"/>
      <c r="R276" s="32"/>
      <c r="S276" s="32"/>
      <c r="T276" s="32"/>
      <c r="U276" s="32"/>
      <c r="V276" s="32"/>
      <c r="W276" s="32"/>
      <c r="X276" s="32"/>
      <c r="Y276" s="32"/>
      <c r="Z276" s="32"/>
      <c r="AA276" s="32"/>
      <c r="AB276" s="32"/>
      <c r="AC276" s="32"/>
      <c r="AD276" s="32"/>
      <c r="AE276" s="32"/>
      <c r="AF276" s="32"/>
      <c r="AG276" s="32"/>
      <c r="AH276" s="32"/>
      <c r="AI276" s="32"/>
      <c r="AJ276" s="32"/>
      <c r="AK276" s="32"/>
      <c r="AL276" s="32"/>
      <c r="AM276" s="12"/>
      <c r="AN276" s="1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row>
    <row r="277" spans="1:238" ht="12.75" customHeight="1">
      <c r="A277" s="199">
        <f t="shared" si="25"/>
        <v>823</v>
      </c>
      <c r="B277" s="57" t="s">
        <v>190</v>
      </c>
      <c r="C277" s="350"/>
      <c r="D277" s="678" t="s">
        <v>189</v>
      </c>
      <c r="E277" s="56" t="s">
        <v>182</v>
      </c>
      <c r="F277" s="56" t="str">
        <f>IF($E$28="ja","ja","nee")</f>
        <v>nee</v>
      </c>
      <c r="G277" s="351"/>
      <c r="H277" s="352"/>
      <c r="I277" s="465">
        <f t="shared" si="21"/>
        <v>0</v>
      </c>
      <c r="J277" s="88"/>
      <c r="K277" s="562" t="str">
        <f t="shared" si="22"/>
        <v>PQH157</v>
      </c>
      <c r="L277" s="562" t="str">
        <f t="shared" si="23"/>
        <v>PH157</v>
      </c>
      <c r="M277" s="607">
        <f t="shared" si="24"/>
        <v>0</v>
      </c>
      <c r="N277" s="356">
        <v>0</v>
      </c>
      <c r="O277" s="382">
        <v>92.81</v>
      </c>
      <c r="P277" s="33"/>
      <c r="Q277" s="16"/>
      <c r="R277" s="32"/>
      <c r="S277" s="32"/>
      <c r="T277" s="32"/>
      <c r="U277" s="32"/>
      <c r="V277" s="32"/>
      <c r="W277" s="32"/>
      <c r="X277" s="32"/>
      <c r="Y277" s="32"/>
      <c r="Z277" s="32"/>
      <c r="AA277" s="32"/>
      <c r="AB277" s="32"/>
      <c r="AC277" s="32"/>
      <c r="AD277" s="32"/>
      <c r="AE277" s="32"/>
      <c r="AF277" s="32"/>
      <c r="AG277" s="32"/>
      <c r="AH277" s="32"/>
      <c r="AI277" s="32"/>
      <c r="AJ277" s="32"/>
      <c r="AK277" s="32"/>
      <c r="AL277" s="32"/>
      <c r="AM277" s="12"/>
      <c r="AN277" s="1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c r="GK277" s="32"/>
      <c r="GL277" s="32"/>
      <c r="GM277" s="32"/>
      <c r="GN277" s="32"/>
      <c r="GO277" s="32"/>
      <c r="GP277" s="32"/>
      <c r="GQ277" s="32"/>
      <c r="GR277" s="32"/>
      <c r="GS277" s="32"/>
      <c r="GT277" s="32"/>
      <c r="GU277" s="32"/>
      <c r="GV277" s="32"/>
      <c r="GW277" s="32"/>
      <c r="GX277" s="32"/>
      <c r="GY277" s="32"/>
      <c r="GZ277" s="32"/>
      <c r="HA277" s="32"/>
      <c r="HB277" s="32"/>
      <c r="HC277" s="32"/>
      <c r="HD277" s="32"/>
      <c r="HE277" s="32"/>
      <c r="HF277" s="32"/>
      <c r="HG277" s="32"/>
      <c r="HH277" s="32"/>
      <c r="HI277" s="32"/>
      <c r="HJ277" s="32"/>
      <c r="HK277" s="32"/>
      <c r="HL277" s="32"/>
      <c r="HM277" s="32"/>
      <c r="HN277" s="32"/>
      <c r="HO277" s="32"/>
      <c r="HP277" s="32"/>
      <c r="HQ277" s="32"/>
      <c r="HR277" s="32"/>
      <c r="HS277" s="32"/>
      <c r="HT277" s="32"/>
      <c r="HU277" s="32"/>
      <c r="HV277" s="32"/>
      <c r="HW277" s="32"/>
      <c r="HX277" s="32"/>
      <c r="HY277" s="32"/>
      <c r="HZ277" s="32"/>
      <c r="IA277" s="32"/>
      <c r="IB277" s="32"/>
      <c r="IC277" s="32"/>
      <c r="ID277" s="32"/>
    </row>
    <row r="278" spans="1:238" ht="12.75" customHeight="1" thickBot="1">
      <c r="A278" s="199">
        <f t="shared" si="25"/>
        <v>824</v>
      </c>
      <c r="B278" s="57" t="s">
        <v>191</v>
      </c>
      <c r="C278" s="350"/>
      <c r="D278" s="678" t="s">
        <v>13</v>
      </c>
      <c r="E278" s="56" t="s">
        <v>182</v>
      </c>
      <c r="F278" s="56" t="str">
        <f>IF($E$28="ja","ja","nee")</f>
        <v>nee</v>
      </c>
      <c r="G278" s="351"/>
      <c r="H278" s="352"/>
      <c r="I278" s="465">
        <f t="shared" si="21"/>
        <v>0</v>
      </c>
      <c r="J278" s="88"/>
      <c r="K278" s="562" t="str">
        <f t="shared" si="22"/>
        <v>PQH170</v>
      </c>
      <c r="L278" s="562" t="str">
        <f t="shared" si="23"/>
        <v>PH170</v>
      </c>
      <c r="M278" s="610">
        <f t="shared" si="24"/>
        <v>0</v>
      </c>
      <c r="N278" s="358">
        <v>0</v>
      </c>
      <c r="O278" s="383">
        <v>110.3</v>
      </c>
      <c r="P278" s="33"/>
      <c r="Q278" s="16"/>
      <c r="R278" s="32"/>
      <c r="S278" s="32"/>
      <c r="T278" s="32"/>
      <c r="U278" s="32"/>
      <c r="V278" s="32"/>
      <c r="W278" s="32"/>
      <c r="X278" s="32"/>
      <c r="Y278" s="32"/>
      <c r="Z278" s="32"/>
      <c r="AA278" s="32"/>
      <c r="AB278" s="32"/>
      <c r="AC278" s="32"/>
      <c r="AD278" s="32"/>
      <c r="AE278" s="32"/>
      <c r="AF278" s="32"/>
      <c r="AG278" s="32"/>
      <c r="AH278" s="32"/>
      <c r="AI278" s="32"/>
      <c r="AJ278" s="32"/>
      <c r="AK278" s="32"/>
      <c r="AL278" s="32"/>
      <c r="AM278" s="12"/>
      <c r="AN278" s="1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row>
    <row r="279" spans="1:238" ht="12.75" customHeight="1" thickBot="1">
      <c r="A279" s="199">
        <f t="shared" si="25"/>
        <v>825</v>
      </c>
      <c r="B279" s="365" t="s">
        <v>860</v>
      </c>
      <c r="C279" s="198"/>
      <c r="D279" s="682"/>
      <c r="E279" s="198"/>
      <c r="F279" s="198"/>
      <c r="G279" s="198"/>
      <c r="H279" s="198"/>
      <c r="I279" s="474">
        <f>SUM(I271:I278)</f>
        <v>0</v>
      </c>
      <c r="J279" s="88"/>
      <c r="K279" s="562"/>
      <c r="L279" s="562"/>
      <c r="M279" s="594"/>
      <c r="N279" s="371"/>
      <c r="O279" s="372"/>
      <c r="P279" s="33"/>
      <c r="Q279" s="16"/>
      <c r="R279" s="32"/>
      <c r="S279" s="32"/>
      <c r="T279" s="32"/>
      <c r="U279" s="32"/>
      <c r="V279" s="32"/>
      <c r="W279" s="32"/>
      <c r="X279" s="32"/>
      <c r="Y279" s="32"/>
      <c r="Z279" s="32"/>
      <c r="AA279" s="32"/>
      <c r="AB279" s="32"/>
      <c r="AC279" s="32"/>
      <c r="AD279" s="32"/>
      <c r="AE279" s="32"/>
      <c r="AF279" s="32"/>
      <c r="AG279" s="32"/>
      <c r="AH279" s="32"/>
      <c r="AI279" s="32"/>
      <c r="AJ279" s="32"/>
      <c r="AK279" s="32"/>
      <c r="AL279" s="32"/>
      <c r="AM279" s="12"/>
      <c r="AN279" s="1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row>
    <row r="280" spans="1:238" ht="12.75" customHeight="1">
      <c r="A280" s="360"/>
      <c r="B280" s="33"/>
      <c r="C280" s="46"/>
      <c r="E280" s="33"/>
      <c r="F280" s="33"/>
      <c r="G280" s="46"/>
      <c r="H280" s="46"/>
      <c r="I280" s="59" t="s">
        <v>1327</v>
      </c>
      <c r="J280" s="361"/>
      <c r="K280" s="562"/>
      <c r="L280" s="562"/>
      <c r="N280" s="371"/>
      <c r="O280" s="372"/>
      <c r="P280" s="33"/>
      <c r="Q280" s="389" t="s">
        <v>884</v>
      </c>
      <c r="R280" s="32"/>
      <c r="S280" s="32"/>
      <c r="T280" s="32"/>
      <c r="U280" s="32"/>
      <c r="V280" s="32"/>
      <c r="W280" s="32"/>
      <c r="X280" s="32"/>
      <c r="Y280" s="32"/>
      <c r="Z280" s="32"/>
      <c r="AA280" s="32"/>
      <c r="AB280" s="32"/>
      <c r="AC280" s="32"/>
      <c r="AD280" s="32"/>
      <c r="AE280" s="32"/>
      <c r="AF280" s="32"/>
      <c r="AG280" s="32"/>
      <c r="AH280" s="32"/>
      <c r="AI280" s="32"/>
      <c r="AJ280" s="32"/>
      <c r="AK280" s="32"/>
      <c r="AL280" s="32"/>
      <c r="AM280" s="12"/>
      <c r="AN280" s="1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c r="HN280" s="32"/>
      <c r="HO280" s="32"/>
      <c r="HP280" s="32"/>
      <c r="HQ280" s="32"/>
      <c r="HR280" s="32"/>
      <c r="HS280" s="32"/>
      <c r="HT280" s="32"/>
      <c r="HU280" s="32"/>
      <c r="HV280" s="32"/>
      <c r="HW280" s="32"/>
      <c r="HX280" s="32"/>
      <c r="HY280" s="32"/>
      <c r="HZ280" s="32"/>
      <c r="IA280" s="32"/>
      <c r="IB280" s="32"/>
      <c r="IC280" s="32"/>
      <c r="ID280" s="32"/>
    </row>
    <row r="281" spans="1:238" ht="12.75" customHeight="1">
      <c r="A281" s="202" t="s">
        <v>866</v>
      </c>
      <c r="B281" s="31" t="s">
        <v>562</v>
      </c>
      <c r="C281" s="32"/>
      <c r="E281" s="32"/>
      <c r="F281" s="33"/>
      <c r="G281" s="364"/>
      <c r="H281" s="364"/>
      <c r="I281" s="59" t="str">
        <f>$I$6</f>
        <v>120 / </v>
      </c>
      <c r="J281" s="366"/>
      <c r="K281" s="562"/>
      <c r="L281" s="562"/>
      <c r="O281" s="380"/>
      <c r="P281" s="33"/>
      <c r="Q281" s="389" t="s">
        <v>885</v>
      </c>
      <c r="R281" s="32"/>
      <c r="S281" s="32"/>
      <c r="T281" s="32"/>
      <c r="U281" s="32"/>
      <c r="V281" s="32"/>
      <c r="W281" s="32"/>
      <c r="X281" s="32"/>
      <c r="Y281" s="32"/>
      <c r="Z281" s="32"/>
      <c r="AA281" s="32"/>
      <c r="AB281" s="32"/>
      <c r="AC281" s="32"/>
      <c r="AD281" s="32"/>
      <c r="AE281" s="32"/>
      <c r="AF281" s="32"/>
      <c r="AG281" s="32"/>
      <c r="AH281" s="32"/>
      <c r="AI281" s="32"/>
      <c r="AJ281" s="32"/>
      <c r="AK281" s="32"/>
      <c r="AL281" s="32"/>
      <c r="AM281" s="12"/>
      <c r="AN281" s="1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c r="GK281" s="32"/>
      <c r="GL281" s="32"/>
      <c r="GM281" s="32"/>
      <c r="GN281" s="32"/>
      <c r="GO281" s="32"/>
      <c r="GP281" s="32"/>
      <c r="GQ281" s="32"/>
      <c r="GR281" s="32"/>
      <c r="GS281" s="32"/>
      <c r="GT281" s="32"/>
      <c r="GU281" s="32"/>
      <c r="GV281" s="32"/>
      <c r="GW281" s="32"/>
      <c r="GX281" s="32"/>
      <c r="GY281" s="32"/>
      <c r="GZ281" s="32"/>
      <c r="HA281" s="32"/>
      <c r="HB281" s="32"/>
      <c r="HC281" s="32"/>
      <c r="HD281" s="32"/>
      <c r="HE281" s="32"/>
      <c r="HF281" s="32"/>
      <c r="HG281" s="32"/>
      <c r="HH281" s="32"/>
      <c r="HI281" s="32"/>
      <c r="HJ281" s="32"/>
      <c r="HK281" s="32"/>
      <c r="HL281" s="32"/>
      <c r="HM281" s="32"/>
      <c r="HN281" s="32"/>
      <c r="HO281" s="32"/>
      <c r="HP281" s="32"/>
      <c r="HQ281" s="32"/>
      <c r="HR281" s="32"/>
      <c r="HS281" s="32"/>
      <c r="HT281" s="32"/>
      <c r="HU281" s="32"/>
      <c r="HV281" s="32"/>
      <c r="HW281" s="32"/>
      <c r="HX281" s="32"/>
      <c r="HY281" s="32"/>
      <c r="HZ281" s="32"/>
      <c r="IA281" s="32"/>
      <c r="IB281" s="32"/>
      <c r="IC281" s="32"/>
      <c r="ID281" s="32"/>
    </row>
    <row r="282" spans="1:238" ht="12.75" customHeight="1">
      <c r="A282" s="199">
        <v>901</v>
      </c>
      <c r="B282" s="57" t="s">
        <v>629</v>
      </c>
      <c r="C282" s="350"/>
      <c r="D282" s="688" t="s">
        <v>625</v>
      </c>
      <c r="E282" s="56" t="s">
        <v>182</v>
      </c>
      <c r="F282" s="56" t="str">
        <f aca="true" t="shared" si="26" ref="F282:F289">IF($E$30="ja","ja","nee")</f>
        <v>nee</v>
      </c>
      <c r="G282" s="351"/>
      <c r="H282" s="352"/>
      <c r="I282" s="465">
        <f aca="true" t="shared" si="27" ref="I282:I289">IF(F282="ja",ROUND(G282*H282,0),0)</f>
        <v>0</v>
      </c>
      <c r="J282" s="440"/>
      <c r="K282" s="562" t="str">
        <f aca="true" t="shared" si="28" ref="K282:K289">CONCATENATE("PQ",D282)</f>
        <v>PQH328</v>
      </c>
      <c r="L282" s="562" t="str">
        <f aca="true" t="shared" si="29" ref="L282:L289">CONCATENATE("P",D282)</f>
        <v>PH328</v>
      </c>
      <c r="M282" s="604">
        <f aca="true" t="shared" si="30" ref="M282:M289">I282*A282</f>
        <v>0</v>
      </c>
      <c r="N282" s="353">
        <v>0</v>
      </c>
      <c r="O282" s="354">
        <v>101.61</v>
      </c>
      <c r="P282" s="33"/>
      <c r="Q282" s="390">
        <f aca="true" t="shared" si="31" ref="Q282:Q288">IF(I283&gt;0,G283,0)</f>
        <v>0</v>
      </c>
      <c r="R282" s="32"/>
      <c r="S282" s="32"/>
      <c r="T282" s="32"/>
      <c r="U282" s="32"/>
      <c r="V282" s="32"/>
      <c r="W282" s="32"/>
      <c r="X282" s="32"/>
      <c r="Y282" s="32"/>
      <c r="Z282" s="32"/>
      <c r="AA282" s="32"/>
      <c r="AB282" s="32"/>
      <c r="AC282" s="32"/>
      <c r="AD282" s="32"/>
      <c r="AE282" s="32"/>
      <c r="AF282" s="32"/>
      <c r="AG282" s="32"/>
      <c r="AH282" s="32"/>
      <c r="AI282" s="32"/>
      <c r="AJ282" s="32"/>
      <c r="AK282" s="32"/>
      <c r="AL282" s="32"/>
      <c r="AM282" s="12"/>
      <c r="AN282" s="1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c r="GK282" s="32"/>
      <c r="GL282" s="32"/>
      <c r="GM282" s="32"/>
      <c r="GN282" s="32"/>
      <c r="GO282" s="32"/>
      <c r="GP282" s="32"/>
      <c r="GQ282" s="32"/>
      <c r="GR282" s="32"/>
      <c r="GS282" s="32"/>
      <c r="GT282" s="32"/>
      <c r="GU282" s="32"/>
      <c r="GV282" s="32"/>
      <c r="GW282" s="32"/>
      <c r="GX282" s="32"/>
      <c r="GY282" s="32"/>
      <c r="GZ282" s="32"/>
      <c r="HA282" s="32"/>
      <c r="HB282" s="32"/>
      <c r="HC282" s="32"/>
      <c r="HD282" s="32"/>
      <c r="HE282" s="32"/>
      <c r="HF282" s="32"/>
      <c r="HG282" s="32"/>
      <c r="HH282" s="32"/>
      <c r="HI282" s="32"/>
      <c r="HJ282" s="32"/>
      <c r="HK282" s="32"/>
      <c r="HL282" s="32"/>
      <c r="HM282" s="32"/>
      <c r="HN282" s="32"/>
      <c r="HO282" s="32"/>
      <c r="HP282" s="32"/>
      <c r="HQ282" s="32"/>
      <c r="HR282" s="32"/>
      <c r="HS282" s="32"/>
      <c r="HT282" s="32"/>
      <c r="HU282" s="32"/>
      <c r="HV282" s="32"/>
      <c r="HW282" s="32"/>
      <c r="HX282" s="32"/>
      <c r="HY282" s="32"/>
      <c r="HZ282" s="32"/>
      <c r="IA282" s="32"/>
      <c r="IB282" s="32"/>
      <c r="IC282" s="32"/>
      <c r="ID282" s="32"/>
    </row>
    <row r="283" spans="1:238" ht="12.75" customHeight="1">
      <c r="A283" s="199">
        <f aca="true" t="shared" si="32" ref="A283:A288">A282+1</f>
        <v>902</v>
      </c>
      <c r="B283" s="57" t="s">
        <v>630</v>
      </c>
      <c r="C283" s="350"/>
      <c r="D283" s="688" t="s">
        <v>626</v>
      </c>
      <c r="E283" s="56" t="s">
        <v>182</v>
      </c>
      <c r="F283" s="56" t="str">
        <f t="shared" si="26"/>
        <v>nee</v>
      </c>
      <c r="G283" s="351"/>
      <c r="H283" s="352"/>
      <c r="I283" s="465">
        <f t="shared" si="27"/>
        <v>0</v>
      </c>
      <c r="K283" s="562" t="str">
        <f t="shared" si="28"/>
        <v>PQH329</v>
      </c>
      <c r="L283" s="562" t="str">
        <f t="shared" si="29"/>
        <v>PH329</v>
      </c>
      <c r="M283" s="607">
        <f t="shared" si="30"/>
        <v>0</v>
      </c>
      <c r="N283" s="356">
        <v>0</v>
      </c>
      <c r="O283" s="357">
        <v>101.61</v>
      </c>
      <c r="P283" s="33"/>
      <c r="Q283" s="391">
        <f t="shared" si="31"/>
        <v>0</v>
      </c>
      <c r="R283" s="32"/>
      <c r="S283" s="32"/>
      <c r="T283" s="32"/>
      <c r="U283" s="32"/>
      <c r="V283" s="32"/>
      <c r="W283" s="32"/>
      <c r="X283" s="32"/>
      <c r="Y283" s="32"/>
      <c r="Z283" s="32"/>
      <c r="AA283" s="32"/>
      <c r="AB283" s="32"/>
      <c r="AC283" s="32"/>
      <c r="AD283" s="32"/>
      <c r="AE283" s="32"/>
      <c r="AF283" s="32"/>
      <c r="AG283" s="32"/>
      <c r="AH283" s="32"/>
      <c r="AI283" s="32"/>
      <c r="AJ283" s="32"/>
      <c r="AK283" s="32"/>
      <c r="AL283" s="32"/>
      <c r="AM283" s="12"/>
      <c r="AN283" s="1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c r="GK283" s="32"/>
      <c r="GL283" s="32"/>
      <c r="GM283" s="32"/>
      <c r="GN283" s="32"/>
      <c r="GO283" s="32"/>
      <c r="GP283" s="32"/>
      <c r="GQ283" s="32"/>
      <c r="GR283" s="32"/>
      <c r="GS283" s="32"/>
      <c r="GT283" s="32"/>
      <c r="GU283" s="32"/>
      <c r="GV283" s="32"/>
      <c r="GW283" s="32"/>
      <c r="GX283" s="32"/>
      <c r="GY283" s="32"/>
      <c r="GZ283" s="32"/>
      <c r="HA283" s="32"/>
      <c r="HB283" s="32"/>
      <c r="HC283" s="32"/>
      <c r="HD283" s="32"/>
      <c r="HE283" s="32"/>
      <c r="HF283" s="32"/>
      <c r="HG283" s="32"/>
      <c r="HH283" s="32"/>
      <c r="HI283" s="32"/>
      <c r="HJ283" s="32"/>
      <c r="HK283" s="32"/>
      <c r="HL283" s="32"/>
      <c r="HM283" s="32"/>
      <c r="HN283" s="32"/>
      <c r="HO283" s="32"/>
      <c r="HP283" s="32"/>
      <c r="HQ283" s="32"/>
      <c r="HR283" s="32"/>
      <c r="HS283" s="32"/>
      <c r="HT283" s="32"/>
      <c r="HU283" s="32"/>
      <c r="HV283" s="32"/>
      <c r="HW283" s="32"/>
      <c r="HX283" s="32"/>
      <c r="HY283" s="32"/>
      <c r="HZ283" s="32"/>
      <c r="IA283" s="32"/>
      <c r="IB283" s="32"/>
      <c r="IC283" s="32"/>
      <c r="ID283" s="32"/>
    </row>
    <row r="284" spans="1:238" ht="12.75" customHeight="1">
      <c r="A284" s="199">
        <f t="shared" si="32"/>
        <v>903</v>
      </c>
      <c r="B284" s="57" t="s">
        <v>1403</v>
      </c>
      <c r="C284" s="350"/>
      <c r="D284" s="688" t="s">
        <v>627</v>
      </c>
      <c r="E284" s="56" t="s">
        <v>182</v>
      </c>
      <c r="F284" s="56" t="str">
        <f t="shared" si="26"/>
        <v>nee</v>
      </c>
      <c r="G284" s="351"/>
      <c r="H284" s="352"/>
      <c r="I284" s="465">
        <f t="shared" si="27"/>
        <v>0</v>
      </c>
      <c r="K284" s="562" t="str">
        <f t="shared" si="28"/>
        <v>PQH330</v>
      </c>
      <c r="L284" s="562" t="str">
        <f t="shared" si="29"/>
        <v>PH330</v>
      </c>
      <c r="M284" s="607">
        <f t="shared" si="30"/>
        <v>0</v>
      </c>
      <c r="N284" s="356">
        <v>0</v>
      </c>
      <c r="O284" s="382">
        <v>54</v>
      </c>
      <c r="P284" s="33"/>
      <c r="Q284" s="391">
        <f t="shared" si="31"/>
        <v>0</v>
      </c>
      <c r="R284" s="32"/>
      <c r="S284" s="32"/>
      <c r="T284" s="32"/>
      <c r="U284" s="32"/>
      <c r="V284" s="32"/>
      <c r="W284" s="32"/>
      <c r="X284" s="32"/>
      <c r="Y284" s="32"/>
      <c r="Z284" s="32"/>
      <c r="AA284" s="32"/>
      <c r="AB284" s="32"/>
      <c r="AC284" s="32"/>
      <c r="AD284" s="32"/>
      <c r="AE284" s="32"/>
      <c r="AF284" s="32"/>
      <c r="AG284" s="32"/>
      <c r="AH284" s="32"/>
      <c r="AI284" s="32"/>
      <c r="AJ284" s="32"/>
      <c r="AK284" s="32"/>
      <c r="AL284" s="32"/>
      <c r="AM284" s="12"/>
      <c r="AN284" s="1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2"/>
      <c r="HH284" s="32"/>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row>
    <row r="285" spans="1:238" ht="12.75" customHeight="1">
      <c r="A285" s="199">
        <f t="shared" si="32"/>
        <v>904</v>
      </c>
      <c r="B285" s="57" t="s">
        <v>1059</v>
      </c>
      <c r="C285" s="350"/>
      <c r="D285" s="688" t="s">
        <v>299</v>
      </c>
      <c r="E285" s="56" t="s">
        <v>182</v>
      </c>
      <c r="F285" s="56" t="str">
        <f t="shared" si="26"/>
        <v>nee</v>
      </c>
      <c r="G285" s="351"/>
      <c r="H285" s="352"/>
      <c r="I285" s="465">
        <f t="shared" si="27"/>
        <v>0</v>
      </c>
      <c r="K285" s="613" t="str">
        <f t="shared" si="28"/>
        <v>PQH324</v>
      </c>
      <c r="L285" s="562" t="str">
        <f t="shared" si="29"/>
        <v>PH324</v>
      </c>
      <c r="M285" s="607">
        <f t="shared" si="30"/>
        <v>0</v>
      </c>
      <c r="N285" s="356">
        <v>0</v>
      </c>
      <c r="O285" s="357">
        <v>101.61</v>
      </c>
      <c r="P285" s="33"/>
      <c r="Q285" s="391">
        <f t="shared" si="31"/>
        <v>0</v>
      </c>
      <c r="R285" s="32"/>
      <c r="S285" s="32"/>
      <c r="T285" s="32"/>
      <c r="U285" s="32"/>
      <c r="V285" s="32"/>
      <c r="W285" s="32"/>
      <c r="X285" s="32"/>
      <c r="Y285" s="32"/>
      <c r="Z285" s="32"/>
      <c r="AA285" s="32"/>
      <c r="AB285" s="32"/>
      <c r="AC285" s="32"/>
      <c r="AD285" s="32"/>
      <c r="AE285" s="32"/>
      <c r="AF285" s="32"/>
      <c r="AG285" s="32"/>
      <c r="AH285" s="32"/>
      <c r="AI285" s="32"/>
      <c r="AJ285" s="32"/>
      <c r="AK285" s="32"/>
      <c r="AL285" s="32"/>
      <c r="AM285" s="12"/>
      <c r="AN285" s="1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2"/>
      <c r="HH285" s="32"/>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row>
    <row r="286" spans="1:238" ht="12.75" customHeight="1">
      <c r="A286" s="199">
        <f t="shared" si="32"/>
        <v>905</v>
      </c>
      <c r="B286" s="57" t="s">
        <v>297</v>
      </c>
      <c r="C286" s="350"/>
      <c r="D286" s="688" t="s">
        <v>300</v>
      </c>
      <c r="E286" s="56" t="s">
        <v>182</v>
      </c>
      <c r="F286" s="56" t="str">
        <f t="shared" si="26"/>
        <v>nee</v>
      </c>
      <c r="G286" s="351"/>
      <c r="H286" s="352"/>
      <c r="I286" s="465">
        <f t="shared" si="27"/>
        <v>0</v>
      </c>
      <c r="K286" s="613" t="str">
        <f t="shared" si="28"/>
        <v>PQH325</v>
      </c>
      <c r="L286" s="562" t="str">
        <f t="shared" si="29"/>
        <v>PH325</v>
      </c>
      <c r="M286" s="607">
        <f t="shared" si="30"/>
        <v>0</v>
      </c>
      <c r="N286" s="356">
        <v>0</v>
      </c>
      <c r="O286" s="357">
        <v>101.61</v>
      </c>
      <c r="P286" s="33"/>
      <c r="Q286" s="391">
        <f t="shared" si="31"/>
        <v>0</v>
      </c>
      <c r="R286" s="32"/>
      <c r="S286" s="32"/>
      <c r="T286" s="32"/>
      <c r="U286" s="32"/>
      <c r="V286" s="32"/>
      <c r="W286" s="32"/>
      <c r="X286" s="32"/>
      <c r="Y286" s="32"/>
      <c r="Z286" s="32"/>
      <c r="AA286" s="32"/>
      <c r="AB286" s="32"/>
      <c r="AC286" s="32"/>
      <c r="AD286" s="32"/>
      <c r="AE286" s="32"/>
      <c r="AF286" s="32"/>
      <c r="AG286" s="32"/>
      <c r="AH286" s="32"/>
      <c r="AI286" s="32"/>
      <c r="AJ286" s="32"/>
      <c r="AK286" s="32"/>
      <c r="AL286" s="32"/>
      <c r="AM286" s="12"/>
      <c r="AN286" s="1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c r="GK286" s="32"/>
      <c r="GL286" s="32"/>
      <c r="GM286" s="32"/>
      <c r="GN286" s="32"/>
      <c r="GO286" s="32"/>
      <c r="GP286" s="32"/>
      <c r="GQ286" s="32"/>
      <c r="GR286" s="32"/>
      <c r="GS286" s="32"/>
      <c r="GT286" s="32"/>
      <c r="GU286" s="32"/>
      <c r="GV286" s="32"/>
      <c r="GW286" s="32"/>
      <c r="GX286" s="32"/>
      <c r="GY286" s="32"/>
      <c r="GZ286" s="32"/>
      <c r="HA286" s="32"/>
      <c r="HB286" s="32"/>
      <c r="HC286" s="32"/>
      <c r="HD286" s="32"/>
      <c r="HE286" s="32"/>
      <c r="HF286" s="32"/>
      <c r="HG286" s="32"/>
      <c r="HH286" s="32"/>
      <c r="HI286" s="32"/>
      <c r="HJ286" s="32"/>
      <c r="HK286" s="32"/>
      <c r="HL286" s="32"/>
      <c r="HM286" s="32"/>
      <c r="HN286" s="32"/>
      <c r="HO286" s="32"/>
      <c r="HP286" s="32"/>
      <c r="HQ286" s="32"/>
      <c r="HR286" s="32"/>
      <c r="HS286" s="32"/>
      <c r="HT286" s="32"/>
      <c r="HU286" s="32"/>
      <c r="HV286" s="32"/>
      <c r="HW286" s="32"/>
      <c r="HX286" s="32"/>
      <c r="HY286" s="32"/>
      <c r="HZ286" s="32"/>
      <c r="IA286" s="32"/>
      <c r="IB286" s="32"/>
      <c r="IC286" s="32"/>
      <c r="ID286" s="32"/>
    </row>
    <row r="287" spans="1:238" ht="12.75" customHeight="1">
      <c r="A287" s="199">
        <f t="shared" si="32"/>
        <v>906</v>
      </c>
      <c r="B287" s="57" t="s">
        <v>298</v>
      </c>
      <c r="C287" s="350"/>
      <c r="D287" s="688" t="s">
        <v>628</v>
      </c>
      <c r="E287" s="56" t="s">
        <v>182</v>
      </c>
      <c r="F287" s="56" t="str">
        <f t="shared" si="26"/>
        <v>nee</v>
      </c>
      <c r="G287" s="351"/>
      <c r="H287" s="352"/>
      <c r="I287" s="465">
        <f t="shared" si="27"/>
        <v>0</v>
      </c>
      <c r="K287" s="562" t="str">
        <f t="shared" si="28"/>
        <v>PQH326</v>
      </c>
      <c r="L287" s="562" t="str">
        <f t="shared" si="29"/>
        <v>PH326</v>
      </c>
      <c r="M287" s="607">
        <f t="shared" si="30"/>
        <v>0</v>
      </c>
      <c r="N287" s="356">
        <v>0</v>
      </c>
      <c r="O287" s="357">
        <v>101.61</v>
      </c>
      <c r="P287" s="33"/>
      <c r="Q287" s="391">
        <f t="shared" si="31"/>
        <v>0</v>
      </c>
      <c r="R287" s="32"/>
      <c r="S287" s="32"/>
      <c r="T287" s="32"/>
      <c r="U287" s="32"/>
      <c r="V287" s="32"/>
      <c r="W287" s="32"/>
      <c r="X287" s="32"/>
      <c r="Y287" s="32"/>
      <c r="Z287" s="32"/>
      <c r="AA287" s="32"/>
      <c r="AB287" s="32"/>
      <c r="AC287" s="32"/>
      <c r="AD287" s="32"/>
      <c r="AE287" s="32"/>
      <c r="AF287" s="32"/>
      <c r="AG287" s="32"/>
      <c r="AH287" s="32"/>
      <c r="AI287" s="32"/>
      <c r="AJ287" s="32"/>
      <c r="AK287" s="32"/>
      <c r="AL287" s="32"/>
      <c r="AM287" s="12"/>
      <c r="AN287" s="1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c r="GK287" s="32"/>
      <c r="GL287" s="32"/>
      <c r="GM287" s="32"/>
      <c r="GN287" s="32"/>
      <c r="GO287" s="32"/>
      <c r="GP287" s="32"/>
      <c r="GQ287" s="32"/>
      <c r="GR287" s="32"/>
      <c r="GS287" s="32"/>
      <c r="GT287" s="32"/>
      <c r="GU287" s="32"/>
      <c r="GV287" s="32"/>
      <c r="GW287" s="32"/>
      <c r="GX287" s="32"/>
      <c r="GY287" s="32"/>
      <c r="GZ287" s="32"/>
      <c r="HA287" s="32"/>
      <c r="HB287" s="32"/>
      <c r="HC287" s="32"/>
      <c r="HD287" s="32"/>
      <c r="HE287" s="32"/>
      <c r="HF287" s="32"/>
      <c r="HG287" s="32"/>
      <c r="HH287" s="32"/>
      <c r="HI287" s="32"/>
      <c r="HJ287" s="32"/>
      <c r="HK287" s="32"/>
      <c r="HL287" s="32"/>
      <c r="HM287" s="32"/>
      <c r="HN287" s="32"/>
      <c r="HO287" s="32"/>
      <c r="HP287" s="32"/>
      <c r="HQ287" s="32"/>
      <c r="HR287" s="32"/>
      <c r="HS287" s="32"/>
      <c r="HT287" s="32"/>
      <c r="HU287" s="32"/>
      <c r="HV287" s="32"/>
      <c r="HW287" s="32"/>
      <c r="HX287" s="32"/>
      <c r="HY287" s="32"/>
      <c r="HZ287" s="32"/>
      <c r="IA287" s="32"/>
      <c r="IB287" s="32"/>
      <c r="IC287" s="32"/>
      <c r="ID287" s="32"/>
    </row>
    <row r="288" spans="1:238" ht="12.75" customHeight="1">
      <c r="A288" s="199">
        <f t="shared" si="32"/>
        <v>907</v>
      </c>
      <c r="B288" s="57" t="s">
        <v>1204</v>
      </c>
      <c r="C288" s="350"/>
      <c r="D288" s="688" t="s">
        <v>301</v>
      </c>
      <c r="E288" s="56" t="s">
        <v>182</v>
      </c>
      <c r="F288" s="56" t="str">
        <f t="shared" si="26"/>
        <v>nee</v>
      </c>
      <c r="G288" s="351"/>
      <c r="H288" s="352"/>
      <c r="I288" s="465">
        <f t="shared" si="27"/>
        <v>0</v>
      </c>
      <c r="K288" s="562" t="str">
        <f t="shared" si="28"/>
        <v>PQH327</v>
      </c>
      <c r="L288" s="562" t="str">
        <f t="shared" si="29"/>
        <v>PH327</v>
      </c>
      <c r="M288" s="607">
        <f t="shared" si="30"/>
        <v>0</v>
      </c>
      <c r="N288" s="356">
        <v>0</v>
      </c>
      <c r="O288" s="382">
        <v>101.61</v>
      </c>
      <c r="P288" s="33"/>
      <c r="Q288" s="392">
        <f t="shared" si="31"/>
        <v>0</v>
      </c>
      <c r="R288" s="32"/>
      <c r="S288" s="32"/>
      <c r="T288" s="32"/>
      <c r="U288" s="32"/>
      <c r="V288" s="32"/>
      <c r="W288" s="32"/>
      <c r="X288" s="32"/>
      <c r="Y288" s="32"/>
      <c r="Z288" s="32"/>
      <c r="AA288" s="32"/>
      <c r="AB288" s="32"/>
      <c r="AC288" s="32"/>
      <c r="AD288" s="32"/>
      <c r="AE288" s="32"/>
      <c r="AF288" s="32"/>
      <c r="AG288" s="32"/>
      <c r="AH288" s="32"/>
      <c r="AI288" s="32"/>
      <c r="AJ288" s="32"/>
      <c r="AK288" s="32"/>
      <c r="AL288" s="32"/>
      <c r="AM288" s="12"/>
      <c r="AN288" s="1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row>
    <row r="289" spans="1:238" s="90" customFormat="1" ht="12.75" customHeight="1" thickBot="1">
      <c r="A289" s="199">
        <f>A288+1</f>
        <v>908</v>
      </c>
      <c r="B289" s="57" t="s">
        <v>193</v>
      </c>
      <c r="C289" s="350"/>
      <c r="D289" s="688" t="s">
        <v>192</v>
      </c>
      <c r="E289" s="56" t="s">
        <v>182</v>
      </c>
      <c r="F289" s="56" t="str">
        <f t="shared" si="26"/>
        <v>nee</v>
      </c>
      <c r="G289" s="351"/>
      <c r="H289" s="352"/>
      <c r="I289" s="465">
        <f t="shared" si="27"/>
        <v>0</v>
      </c>
      <c r="K289" s="562" t="str">
        <f t="shared" si="28"/>
        <v>PQH331</v>
      </c>
      <c r="L289" s="562" t="str">
        <f t="shared" si="29"/>
        <v>PH331</v>
      </c>
      <c r="M289" s="610">
        <f t="shared" si="30"/>
        <v>0</v>
      </c>
      <c r="N289" s="358">
        <v>0</v>
      </c>
      <c r="O289" s="383">
        <v>106.73</v>
      </c>
      <c r="P289" s="33"/>
      <c r="Q289" s="418"/>
      <c r="R289" s="32"/>
      <c r="S289" s="32"/>
      <c r="T289" s="32"/>
      <c r="U289" s="32"/>
      <c r="V289" s="32"/>
      <c r="W289" s="32"/>
      <c r="X289" s="16"/>
      <c r="Y289" s="16"/>
      <c r="Z289" s="16"/>
      <c r="AA289" s="16"/>
      <c r="AB289" s="16"/>
      <c r="AC289" s="16"/>
      <c r="AD289" s="16"/>
      <c r="AE289" s="16"/>
      <c r="AF289" s="16"/>
      <c r="AG289" s="16"/>
      <c r="AH289" s="16"/>
      <c r="AI289" s="16"/>
      <c r="AJ289" s="16"/>
      <c r="AK289" s="16"/>
      <c r="AL289" s="16"/>
      <c r="AM289" s="12"/>
      <c r="AN289" s="12"/>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c r="FM289" s="16"/>
      <c r="FN289" s="16"/>
      <c r="FO289" s="16"/>
      <c r="FP289" s="16"/>
      <c r="FQ289" s="16"/>
      <c r="FR289" s="16"/>
      <c r="FS289" s="16"/>
      <c r="FT289" s="16"/>
      <c r="FU289" s="16"/>
      <c r="FV289" s="16"/>
      <c r="FW289" s="16"/>
      <c r="FX289" s="16"/>
      <c r="FY289" s="16"/>
      <c r="FZ289" s="16"/>
      <c r="GA289" s="16"/>
      <c r="GB289" s="16"/>
      <c r="GC289" s="16"/>
      <c r="GD289" s="16"/>
      <c r="GE289" s="16"/>
      <c r="GF289" s="16"/>
      <c r="GG289" s="16"/>
      <c r="GH289" s="16"/>
      <c r="GI289" s="16"/>
      <c r="GJ289" s="16"/>
      <c r="GK289" s="16"/>
      <c r="GL289" s="16"/>
      <c r="GM289" s="16"/>
      <c r="GN289" s="16"/>
      <c r="GO289" s="16"/>
      <c r="GP289" s="16"/>
      <c r="GQ289" s="16"/>
      <c r="GR289" s="16"/>
      <c r="GS289" s="16"/>
      <c r="GT289" s="16"/>
      <c r="GU289" s="16"/>
      <c r="GV289" s="16"/>
      <c r="GW289" s="16"/>
      <c r="GX289" s="16"/>
      <c r="GY289" s="16"/>
      <c r="GZ289" s="16"/>
      <c r="HA289" s="16"/>
      <c r="HB289" s="16"/>
      <c r="HC289" s="16"/>
      <c r="HD289" s="16"/>
      <c r="HE289" s="16"/>
      <c r="HF289" s="16"/>
      <c r="HG289" s="16"/>
      <c r="HH289" s="16"/>
      <c r="HI289" s="16"/>
      <c r="HJ289" s="16"/>
      <c r="HK289" s="16"/>
      <c r="HL289" s="16"/>
      <c r="HM289" s="16"/>
      <c r="HN289" s="16"/>
      <c r="HO289" s="16"/>
      <c r="HP289" s="16"/>
      <c r="HQ289" s="16"/>
      <c r="HR289" s="16"/>
      <c r="HS289" s="16"/>
      <c r="HT289" s="16"/>
      <c r="HU289" s="16"/>
      <c r="HV289" s="16"/>
      <c r="HW289" s="16"/>
      <c r="HX289" s="16"/>
      <c r="HY289" s="16"/>
      <c r="HZ289" s="16"/>
      <c r="IA289" s="16"/>
      <c r="IB289" s="16"/>
      <c r="IC289" s="16"/>
      <c r="ID289" s="16"/>
    </row>
    <row r="290" spans="1:238" ht="12.75" customHeight="1" thickBot="1">
      <c r="A290" s="199">
        <f>A289+1</f>
        <v>909</v>
      </c>
      <c r="B290" s="365" t="s">
        <v>1171</v>
      </c>
      <c r="C290" s="198"/>
      <c r="D290" s="682"/>
      <c r="E290" s="198"/>
      <c r="F290" s="198"/>
      <c r="G290" s="198"/>
      <c r="H290" s="198"/>
      <c r="I290" s="474">
        <f>SUM(I282:I289)</f>
        <v>0</v>
      </c>
      <c r="J290" s="361"/>
      <c r="K290" s="562"/>
      <c r="L290" s="562"/>
      <c r="N290" s="371"/>
      <c r="O290" s="384"/>
      <c r="P290" s="33"/>
      <c r="Q290" s="397"/>
      <c r="R290" s="32"/>
      <c r="S290" s="32"/>
      <c r="T290" s="32"/>
      <c r="U290" s="32"/>
      <c r="V290" s="32"/>
      <c r="W290" s="32"/>
      <c r="X290" s="32"/>
      <c r="Y290" s="32"/>
      <c r="Z290" s="32"/>
      <c r="AA290" s="32"/>
      <c r="AB290" s="32"/>
      <c r="AC290" s="32"/>
      <c r="AD290" s="32"/>
      <c r="AE290" s="32"/>
      <c r="AF290" s="32"/>
      <c r="AG290" s="32"/>
      <c r="AH290" s="32"/>
      <c r="AI290" s="32"/>
      <c r="AJ290" s="32"/>
      <c r="AK290" s="32"/>
      <c r="AL290" s="32"/>
      <c r="AM290" s="12"/>
      <c r="AN290" s="1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c r="GK290" s="32"/>
      <c r="GL290" s="32"/>
      <c r="GM290" s="32"/>
      <c r="GN290" s="32"/>
      <c r="GO290" s="32"/>
      <c r="GP290" s="32"/>
      <c r="GQ290" s="32"/>
      <c r="GR290" s="32"/>
      <c r="GS290" s="32"/>
      <c r="GT290" s="32"/>
      <c r="GU290" s="32"/>
      <c r="GV290" s="32"/>
      <c r="GW290" s="32"/>
      <c r="GX290" s="32"/>
      <c r="GY290" s="32"/>
      <c r="GZ290" s="32"/>
      <c r="HA290" s="32"/>
      <c r="HB290" s="32"/>
      <c r="HC290" s="32"/>
      <c r="HD290" s="32"/>
      <c r="HE290" s="32"/>
      <c r="HF290" s="32"/>
      <c r="HG290" s="32"/>
      <c r="HH290" s="32"/>
      <c r="HI290" s="32"/>
      <c r="HJ290" s="32"/>
      <c r="HK290" s="32"/>
      <c r="HL290" s="32"/>
      <c r="HM290" s="32"/>
      <c r="HN290" s="32"/>
      <c r="HO290" s="32"/>
      <c r="HP290" s="32"/>
      <c r="HQ290" s="32"/>
      <c r="HR290" s="32"/>
      <c r="HS290" s="32"/>
      <c r="HT290" s="32"/>
      <c r="HU290" s="32"/>
      <c r="HV290" s="32"/>
      <c r="HW290" s="32"/>
      <c r="HX290" s="32"/>
      <c r="HY290" s="32"/>
      <c r="HZ290" s="32"/>
      <c r="IA290" s="32"/>
      <c r="IB290" s="32"/>
      <c r="IC290" s="32"/>
      <c r="ID290" s="32"/>
    </row>
    <row r="291" spans="1:238" ht="7.5" customHeight="1">
      <c r="A291" s="366"/>
      <c r="B291" s="367"/>
      <c r="C291" s="12"/>
      <c r="D291" s="12"/>
      <c r="E291" s="12"/>
      <c r="F291" s="12"/>
      <c r="G291" s="12"/>
      <c r="H291" s="12"/>
      <c r="J291" s="12"/>
      <c r="K291" s="562"/>
      <c r="L291" s="562"/>
      <c r="M291" s="415"/>
      <c r="N291" s="90"/>
      <c r="O291" s="422"/>
      <c r="P291" s="12"/>
      <c r="Q291" s="397"/>
      <c r="R291" s="16"/>
      <c r="S291" s="16"/>
      <c r="T291" s="16"/>
      <c r="U291" s="16"/>
      <c r="V291" s="16"/>
      <c r="W291" s="16"/>
      <c r="X291" s="32"/>
      <c r="Y291" s="32"/>
      <c r="Z291" s="32"/>
      <c r="AA291" s="32"/>
      <c r="AB291" s="32"/>
      <c r="AC291" s="32"/>
      <c r="AD291" s="32"/>
      <c r="AE291" s="32"/>
      <c r="AF291" s="32"/>
      <c r="AG291" s="32"/>
      <c r="AH291" s="32"/>
      <c r="AI291" s="32"/>
      <c r="AJ291" s="32"/>
      <c r="AK291" s="32"/>
      <c r="AL291" s="32"/>
      <c r="AM291" s="12"/>
      <c r="AN291" s="1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c r="GK291" s="32"/>
      <c r="GL291" s="32"/>
      <c r="GM291" s="32"/>
      <c r="GN291" s="32"/>
      <c r="GO291" s="32"/>
      <c r="GP291" s="32"/>
      <c r="GQ291" s="32"/>
      <c r="GR291" s="32"/>
      <c r="GS291" s="32"/>
      <c r="GT291" s="32"/>
      <c r="GU291" s="32"/>
      <c r="GV291" s="32"/>
      <c r="GW291" s="32"/>
      <c r="GX291" s="32"/>
      <c r="GY291" s="32"/>
      <c r="GZ291" s="32"/>
      <c r="HA291" s="32"/>
      <c r="HB291" s="32"/>
      <c r="HC291" s="32"/>
      <c r="HD291" s="32"/>
      <c r="HE291" s="32"/>
      <c r="HF291" s="32"/>
      <c r="HG291" s="32"/>
      <c r="HH291" s="32"/>
      <c r="HI291" s="32"/>
      <c r="HJ291" s="32"/>
      <c r="HK291" s="32"/>
      <c r="HL291" s="32"/>
      <c r="HM291" s="32"/>
      <c r="HN291" s="32"/>
      <c r="HO291" s="32"/>
      <c r="HP291" s="32"/>
      <c r="HQ291" s="32"/>
      <c r="HR291" s="32"/>
      <c r="HS291" s="32"/>
      <c r="HT291" s="32"/>
      <c r="HU291" s="32"/>
      <c r="HV291" s="32"/>
      <c r="HW291" s="32"/>
      <c r="HX291" s="32"/>
      <c r="HY291" s="32"/>
      <c r="HZ291" s="32"/>
      <c r="IA291" s="32"/>
      <c r="IB291" s="32"/>
      <c r="IC291" s="32"/>
      <c r="ID291" s="32"/>
    </row>
    <row r="292" spans="1:238" ht="12.75" customHeight="1">
      <c r="A292" s="80"/>
      <c r="B292" s="32"/>
      <c r="C292" s="32"/>
      <c r="D292" s="32"/>
      <c r="E292" s="596" t="s">
        <v>1172</v>
      </c>
      <c r="F292" s="689" t="s">
        <v>567</v>
      </c>
      <c r="G292" s="690" t="s">
        <v>468</v>
      </c>
      <c r="H292" s="596" t="s">
        <v>1173</v>
      </c>
      <c r="I292" s="698" t="s">
        <v>987</v>
      </c>
      <c r="K292" s="562"/>
      <c r="L292" s="562"/>
      <c r="O292" s="380"/>
      <c r="P292" s="33"/>
      <c r="Q292" s="389" t="s">
        <v>884</v>
      </c>
      <c r="R292" s="32"/>
      <c r="S292" s="32"/>
      <c r="T292" s="32"/>
      <c r="U292" s="32"/>
      <c r="V292" s="32"/>
      <c r="W292" s="32"/>
      <c r="X292" s="32"/>
      <c r="Y292" s="32"/>
      <c r="Z292" s="32"/>
      <c r="AA292" s="32"/>
      <c r="AB292" s="32"/>
      <c r="AC292" s="32"/>
      <c r="AD292" s="32"/>
      <c r="AE292" s="32"/>
      <c r="AF292" s="32"/>
      <c r="AG292" s="32"/>
      <c r="AH292" s="32"/>
      <c r="AI292" s="32"/>
      <c r="AJ292" s="32"/>
      <c r="AK292" s="32"/>
      <c r="AL292" s="32"/>
      <c r="AM292" s="12"/>
      <c r="AN292" s="1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row>
    <row r="293" spans="1:238" ht="12.75" customHeight="1">
      <c r="A293" s="202" t="s">
        <v>867</v>
      </c>
      <c r="B293" s="31" t="s">
        <v>910</v>
      </c>
      <c r="C293" s="32"/>
      <c r="D293" s="32"/>
      <c r="E293" s="691" t="s">
        <v>1175</v>
      </c>
      <c r="F293" s="692" t="s">
        <v>1176</v>
      </c>
      <c r="G293" s="691" t="s">
        <v>489</v>
      </c>
      <c r="H293" s="691" t="s">
        <v>1177</v>
      </c>
      <c r="I293" s="692" t="s">
        <v>179</v>
      </c>
      <c r="K293" s="562"/>
      <c r="L293" s="562"/>
      <c r="O293" s="380"/>
      <c r="P293" s="33"/>
      <c r="Q293" s="389" t="s">
        <v>885</v>
      </c>
      <c r="R293" s="32"/>
      <c r="S293" s="32"/>
      <c r="T293" s="32"/>
      <c r="U293" s="32"/>
      <c r="V293" s="32"/>
      <c r="W293" s="32"/>
      <c r="X293" s="32"/>
      <c r="Y293" s="32"/>
      <c r="Z293" s="32"/>
      <c r="AA293" s="32"/>
      <c r="AB293" s="32"/>
      <c r="AC293" s="32"/>
      <c r="AD293" s="32"/>
      <c r="AE293" s="32"/>
      <c r="AF293" s="32"/>
      <c r="AG293" s="32"/>
      <c r="AH293" s="32"/>
      <c r="AI293" s="32"/>
      <c r="AJ293" s="32"/>
      <c r="AK293" s="32"/>
      <c r="AL293" s="32"/>
      <c r="AM293" s="12"/>
      <c r="AN293" s="1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row>
    <row r="294" spans="1:238" ht="12.75" customHeight="1">
      <c r="A294" s="199">
        <f>A290+1</f>
        <v>910</v>
      </c>
      <c r="B294" s="57" t="s">
        <v>1302</v>
      </c>
      <c r="C294" s="350"/>
      <c r="D294" s="688" t="s">
        <v>194</v>
      </c>
      <c r="E294" s="56" t="s">
        <v>195</v>
      </c>
      <c r="F294" s="56" t="str">
        <f>IF(OR($E$28="ja",$E$29="ja"),"ja","nee")</f>
        <v>nee</v>
      </c>
      <c r="G294" s="351"/>
      <c r="H294" s="352"/>
      <c r="I294" s="465">
        <f aca="true" t="shared" si="33" ref="I294:I307">IF(F294="ja",ROUND(G294*H294,0),0)</f>
        <v>0</v>
      </c>
      <c r="K294" s="562" t="str">
        <f aca="true" t="shared" si="34" ref="K294:K307">CONCATENATE("PQ",D294)</f>
        <v>PQH531</v>
      </c>
      <c r="L294" s="562" t="str">
        <f aca="true" t="shared" si="35" ref="L294:L307">CONCATENATE("P",D294)</f>
        <v>PH531</v>
      </c>
      <c r="M294" s="604">
        <f aca="true" t="shared" si="36" ref="M294:M307">I294*A294</f>
        <v>0</v>
      </c>
      <c r="N294" s="353">
        <v>0</v>
      </c>
      <c r="O294" s="354">
        <v>32.05</v>
      </c>
      <c r="P294" s="33"/>
      <c r="Q294" s="390">
        <f aca="true" t="shared" si="37" ref="Q294:Q307">IF(I294&gt;0,G294,0)</f>
        <v>0</v>
      </c>
      <c r="R294" s="32"/>
      <c r="S294" s="32"/>
      <c r="T294" s="32"/>
      <c r="U294" s="32"/>
      <c r="V294" s="32"/>
      <c r="W294" s="32"/>
      <c r="X294" s="32"/>
      <c r="Y294" s="32"/>
      <c r="Z294" s="32"/>
      <c r="AA294" s="32"/>
      <c r="AB294" s="32"/>
      <c r="AC294" s="32"/>
      <c r="AD294" s="32"/>
      <c r="AE294" s="32"/>
      <c r="AF294" s="32"/>
      <c r="AG294" s="32"/>
      <c r="AH294" s="32"/>
      <c r="AI294" s="32"/>
      <c r="AJ294" s="32"/>
      <c r="AK294" s="32"/>
      <c r="AL294" s="32"/>
      <c r="AM294" s="12"/>
      <c r="AN294" s="1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c r="GK294" s="32"/>
      <c r="GL294" s="32"/>
      <c r="GM294" s="32"/>
      <c r="GN294" s="32"/>
      <c r="GO294" s="32"/>
      <c r="GP294" s="32"/>
      <c r="GQ294" s="32"/>
      <c r="GR294" s="32"/>
      <c r="GS294" s="32"/>
      <c r="GT294" s="32"/>
      <c r="GU294" s="32"/>
      <c r="GV294" s="32"/>
      <c r="GW294" s="32"/>
      <c r="GX294" s="32"/>
      <c r="GY294" s="32"/>
      <c r="GZ294" s="32"/>
      <c r="HA294" s="32"/>
      <c r="HB294" s="32"/>
      <c r="HC294" s="32"/>
      <c r="HD294" s="32"/>
      <c r="HE294" s="32"/>
      <c r="HF294" s="32"/>
      <c r="HG294" s="32"/>
      <c r="HH294" s="32"/>
      <c r="HI294" s="32"/>
      <c r="HJ294" s="32"/>
      <c r="HK294" s="32"/>
      <c r="HL294" s="32"/>
      <c r="HM294" s="32"/>
      <c r="HN294" s="32"/>
      <c r="HO294" s="32"/>
      <c r="HP294" s="32"/>
      <c r="HQ294" s="32"/>
      <c r="HR294" s="32"/>
      <c r="HS294" s="32"/>
      <c r="HT294" s="32"/>
      <c r="HU294" s="32"/>
      <c r="HV294" s="32"/>
      <c r="HW294" s="32"/>
      <c r="HX294" s="32"/>
      <c r="HY294" s="32"/>
      <c r="HZ294" s="32"/>
      <c r="IA294" s="32"/>
      <c r="IB294" s="32"/>
      <c r="IC294" s="32"/>
      <c r="ID294" s="32"/>
    </row>
    <row r="295" spans="1:238" ht="12.75" customHeight="1">
      <c r="A295" s="199">
        <f aca="true" t="shared" si="38" ref="A295:A308">A294+1</f>
        <v>911</v>
      </c>
      <c r="B295" s="57" t="s">
        <v>1303</v>
      </c>
      <c r="C295" s="350"/>
      <c r="D295" s="688" t="s">
        <v>196</v>
      </c>
      <c r="E295" s="56" t="s">
        <v>195</v>
      </c>
      <c r="F295" s="56" t="str">
        <f>IF(AND($E$30="ja",OR($E$28="ja",$E$29="ja")),"ja","nee")</f>
        <v>nee</v>
      </c>
      <c r="G295" s="351"/>
      <c r="H295" s="352"/>
      <c r="I295" s="465">
        <f t="shared" si="33"/>
        <v>0</v>
      </c>
      <c r="K295" s="562" t="str">
        <f t="shared" si="34"/>
        <v>PQH532</v>
      </c>
      <c r="L295" s="562" t="str">
        <f t="shared" si="35"/>
        <v>PH532</v>
      </c>
      <c r="M295" s="607">
        <f t="shared" si="36"/>
        <v>0</v>
      </c>
      <c r="N295" s="356">
        <v>0</v>
      </c>
      <c r="O295" s="357">
        <v>58.46</v>
      </c>
      <c r="P295" s="33"/>
      <c r="Q295" s="391">
        <f t="shared" si="37"/>
        <v>0</v>
      </c>
      <c r="R295" s="32"/>
      <c r="S295" s="32"/>
      <c r="T295" s="32"/>
      <c r="U295" s="32"/>
      <c r="V295" s="32"/>
      <c r="W295" s="32"/>
      <c r="X295" s="32"/>
      <c r="Y295" s="32"/>
      <c r="Z295" s="32"/>
      <c r="AA295" s="32"/>
      <c r="AB295" s="32"/>
      <c r="AC295" s="32"/>
      <c r="AD295" s="32"/>
      <c r="AE295" s="32"/>
      <c r="AF295" s="32"/>
      <c r="AG295" s="32"/>
      <c r="AH295" s="32"/>
      <c r="AI295" s="32"/>
      <c r="AJ295" s="32"/>
      <c r="AK295" s="32"/>
      <c r="AL295" s="32"/>
      <c r="AM295" s="12"/>
      <c r="AN295" s="1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row>
    <row r="296" spans="1:238" ht="12.75" customHeight="1">
      <c r="A296" s="199">
        <f t="shared" si="38"/>
        <v>912</v>
      </c>
      <c r="B296" s="57" t="s">
        <v>1304</v>
      </c>
      <c r="C296" s="350"/>
      <c r="D296" s="688" t="s">
        <v>197</v>
      </c>
      <c r="E296" s="56" t="s">
        <v>195</v>
      </c>
      <c r="F296" s="56" t="str">
        <f>IF(AND($E$30="ja",OR($E$28="ja",$E$29="ja")),"ja","nee")</f>
        <v>nee</v>
      </c>
      <c r="G296" s="351"/>
      <c r="H296" s="352"/>
      <c r="I296" s="465">
        <f t="shared" si="33"/>
        <v>0</v>
      </c>
      <c r="K296" s="562" t="str">
        <f t="shared" si="34"/>
        <v>PQH533</v>
      </c>
      <c r="L296" s="562" t="str">
        <f t="shared" si="35"/>
        <v>PH533</v>
      </c>
      <c r="M296" s="607">
        <f t="shared" si="36"/>
        <v>0</v>
      </c>
      <c r="N296" s="356">
        <v>0</v>
      </c>
      <c r="O296" s="357">
        <v>58.46</v>
      </c>
      <c r="P296" s="33"/>
      <c r="Q296" s="391">
        <f t="shared" si="37"/>
        <v>0</v>
      </c>
      <c r="R296" s="32"/>
      <c r="S296" s="32"/>
      <c r="T296" s="32"/>
      <c r="U296" s="32"/>
      <c r="V296" s="32"/>
      <c r="W296" s="32"/>
      <c r="X296" s="32"/>
      <c r="Y296" s="32"/>
      <c r="Z296" s="32"/>
      <c r="AA296" s="32"/>
      <c r="AB296" s="32"/>
      <c r="AC296" s="32"/>
      <c r="AD296" s="32"/>
      <c r="AE296" s="32"/>
      <c r="AF296" s="32"/>
      <c r="AG296" s="32"/>
      <c r="AH296" s="32"/>
      <c r="AI296" s="32"/>
      <c r="AJ296" s="32"/>
      <c r="AK296" s="32"/>
      <c r="AL296" s="32"/>
      <c r="AM296" s="12"/>
      <c r="AN296" s="1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c r="GK296" s="32"/>
      <c r="GL296" s="32"/>
      <c r="GM296" s="32"/>
      <c r="GN296" s="32"/>
      <c r="GO296" s="32"/>
      <c r="GP296" s="32"/>
      <c r="GQ296" s="32"/>
      <c r="GR296" s="32"/>
      <c r="GS296" s="32"/>
      <c r="GT296" s="32"/>
      <c r="GU296" s="32"/>
      <c r="GV296" s="32"/>
      <c r="GW296" s="32"/>
      <c r="GX296" s="32"/>
      <c r="GY296" s="32"/>
      <c r="GZ296" s="32"/>
      <c r="HA296" s="32"/>
      <c r="HB296" s="32"/>
      <c r="HC296" s="32"/>
      <c r="HD296" s="32"/>
      <c r="HE296" s="32"/>
      <c r="HF296" s="32"/>
      <c r="HG296" s="32"/>
      <c r="HH296" s="32"/>
      <c r="HI296" s="32"/>
      <c r="HJ296" s="32"/>
      <c r="HK296" s="32"/>
      <c r="HL296" s="32"/>
      <c r="HM296" s="32"/>
      <c r="HN296" s="32"/>
      <c r="HO296" s="32"/>
      <c r="HP296" s="32"/>
      <c r="HQ296" s="32"/>
      <c r="HR296" s="32"/>
      <c r="HS296" s="32"/>
      <c r="HT296" s="32"/>
      <c r="HU296" s="32"/>
      <c r="HV296" s="32"/>
      <c r="HW296" s="32"/>
      <c r="HX296" s="32"/>
      <c r="HY296" s="32"/>
      <c r="HZ296" s="32"/>
      <c r="IA296" s="32"/>
      <c r="IB296" s="32"/>
      <c r="IC296" s="32"/>
      <c r="ID296" s="32"/>
    </row>
    <row r="297" spans="1:238" ht="12.75" customHeight="1">
      <c r="A297" s="199">
        <f t="shared" si="38"/>
        <v>913</v>
      </c>
      <c r="B297" s="57" t="s">
        <v>1215</v>
      </c>
      <c r="C297" s="350"/>
      <c r="D297" s="688" t="s">
        <v>198</v>
      </c>
      <c r="E297" s="56" t="s">
        <v>195</v>
      </c>
      <c r="F297" s="56" t="str">
        <f aca="true" t="shared" si="39" ref="F297:F305">IF(OR($E$28="ja",$E$29="ja"),"ja","nee")</f>
        <v>nee</v>
      </c>
      <c r="G297" s="351"/>
      <c r="H297" s="352"/>
      <c r="I297" s="465">
        <f t="shared" si="33"/>
        <v>0</v>
      </c>
      <c r="K297" s="562" t="str">
        <f t="shared" si="34"/>
        <v>PQH534</v>
      </c>
      <c r="L297" s="562" t="str">
        <f t="shared" si="35"/>
        <v>PH534</v>
      </c>
      <c r="M297" s="607">
        <f t="shared" si="36"/>
        <v>0</v>
      </c>
      <c r="N297" s="356">
        <v>0</v>
      </c>
      <c r="O297" s="357">
        <v>59.96</v>
      </c>
      <c r="P297" s="33"/>
      <c r="Q297" s="391">
        <f t="shared" si="37"/>
        <v>0</v>
      </c>
      <c r="R297" s="32"/>
      <c r="S297" s="32"/>
      <c r="T297" s="32"/>
      <c r="U297" s="32"/>
      <c r="V297" s="32"/>
      <c r="W297" s="32"/>
      <c r="X297" s="32"/>
      <c r="Y297" s="32"/>
      <c r="Z297" s="32"/>
      <c r="AA297" s="32"/>
      <c r="AB297" s="32"/>
      <c r="AC297" s="32"/>
      <c r="AD297" s="32"/>
      <c r="AE297" s="32"/>
      <c r="AF297" s="32"/>
      <c r="AG297" s="32"/>
      <c r="AH297" s="32"/>
      <c r="AI297" s="32"/>
      <c r="AJ297" s="32"/>
      <c r="AK297" s="32"/>
      <c r="AL297" s="32"/>
      <c r="AM297" s="12"/>
      <c r="AN297" s="1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c r="GK297" s="32"/>
      <c r="GL297" s="32"/>
      <c r="GM297" s="32"/>
      <c r="GN297" s="32"/>
      <c r="GO297" s="32"/>
      <c r="GP297" s="32"/>
      <c r="GQ297" s="32"/>
      <c r="GR297" s="32"/>
      <c r="GS297" s="32"/>
      <c r="GT297" s="32"/>
      <c r="GU297" s="32"/>
      <c r="GV297" s="32"/>
      <c r="GW297" s="32"/>
      <c r="GX297" s="32"/>
      <c r="GY297" s="32"/>
      <c r="GZ297" s="32"/>
      <c r="HA297" s="32"/>
      <c r="HB297" s="32"/>
      <c r="HC297" s="32"/>
      <c r="HD297" s="32"/>
      <c r="HE297" s="32"/>
      <c r="HF297" s="32"/>
      <c r="HG297" s="32"/>
      <c r="HH297" s="32"/>
      <c r="HI297" s="32"/>
      <c r="HJ297" s="32"/>
      <c r="HK297" s="32"/>
      <c r="HL297" s="32"/>
      <c r="HM297" s="32"/>
      <c r="HN297" s="32"/>
      <c r="HO297" s="32"/>
      <c r="HP297" s="32"/>
      <c r="HQ297" s="32"/>
      <c r="HR297" s="32"/>
      <c r="HS297" s="32"/>
      <c r="HT297" s="32"/>
      <c r="HU297" s="32"/>
      <c r="HV297" s="32"/>
      <c r="HW297" s="32"/>
      <c r="HX297" s="32"/>
      <c r="HY297" s="32"/>
      <c r="HZ297" s="32"/>
      <c r="IA297" s="32"/>
      <c r="IB297" s="32"/>
      <c r="IC297" s="32"/>
      <c r="ID297" s="32"/>
    </row>
    <row r="298" spans="1:238" s="101" customFormat="1" ht="12.75" customHeight="1">
      <c r="A298" s="199">
        <f>A297+1</f>
        <v>914</v>
      </c>
      <c r="B298" s="57" t="s">
        <v>1305</v>
      </c>
      <c r="C298" s="350"/>
      <c r="D298" s="688" t="s">
        <v>199</v>
      </c>
      <c r="E298" s="56" t="s">
        <v>195</v>
      </c>
      <c r="F298" s="56" t="str">
        <f t="shared" si="39"/>
        <v>nee</v>
      </c>
      <c r="G298" s="351"/>
      <c r="H298" s="352"/>
      <c r="I298" s="465">
        <f t="shared" si="33"/>
        <v>0</v>
      </c>
      <c r="J298" s="90"/>
      <c r="K298" s="613" t="str">
        <f t="shared" si="34"/>
        <v>PQH535</v>
      </c>
      <c r="L298" s="562" t="str">
        <f t="shared" si="35"/>
        <v>PH535</v>
      </c>
      <c r="M298" s="607">
        <f t="shared" si="36"/>
        <v>0</v>
      </c>
      <c r="N298" s="356">
        <v>0</v>
      </c>
      <c r="O298" s="357">
        <v>40.44</v>
      </c>
      <c r="P298" s="33"/>
      <c r="Q298" s="391">
        <f t="shared" si="37"/>
        <v>0</v>
      </c>
      <c r="R298" s="32"/>
      <c r="S298" s="32"/>
      <c r="T298" s="32"/>
      <c r="U298" s="32"/>
      <c r="V298" s="32"/>
      <c r="W298" s="32"/>
      <c r="X298" s="368"/>
      <c r="Y298" s="368"/>
      <c r="Z298" s="368"/>
      <c r="AA298" s="368"/>
      <c r="AB298" s="368"/>
      <c r="AC298" s="368"/>
      <c r="AD298" s="368"/>
      <c r="AE298" s="368"/>
      <c r="AF298" s="368"/>
      <c r="AG298" s="368"/>
      <c r="AH298" s="368"/>
      <c r="AI298" s="368"/>
      <c r="AJ298" s="368"/>
      <c r="AK298" s="368"/>
      <c r="AL298" s="368"/>
      <c r="AM298" s="89"/>
      <c r="AN298" s="89"/>
      <c r="AO298" s="368"/>
      <c r="AP298" s="368"/>
      <c r="AQ298" s="368"/>
      <c r="AR298" s="368"/>
      <c r="AS298" s="368"/>
      <c r="AT298" s="368"/>
      <c r="AU298" s="368"/>
      <c r="AV298" s="368"/>
      <c r="AW298" s="368"/>
      <c r="AX298" s="368"/>
      <c r="AY298" s="368"/>
      <c r="AZ298" s="368"/>
      <c r="BA298" s="368"/>
      <c r="BB298" s="368"/>
      <c r="BC298" s="368"/>
      <c r="BD298" s="368"/>
      <c r="BE298" s="368"/>
      <c r="BF298" s="368"/>
      <c r="BG298" s="368"/>
      <c r="BH298" s="368"/>
      <c r="BI298" s="368"/>
      <c r="BJ298" s="368"/>
      <c r="BK298" s="368"/>
      <c r="BL298" s="368"/>
      <c r="BM298" s="368"/>
      <c r="BN298" s="368"/>
      <c r="BO298" s="368"/>
      <c r="BP298" s="368"/>
      <c r="BQ298" s="368"/>
      <c r="BR298" s="368"/>
      <c r="BS298" s="368"/>
      <c r="BT298" s="368"/>
      <c r="BU298" s="368"/>
      <c r="BV298" s="368"/>
      <c r="BW298" s="368"/>
      <c r="BX298" s="368"/>
      <c r="BY298" s="368"/>
      <c r="BZ298" s="368"/>
      <c r="CA298" s="368"/>
      <c r="CB298" s="368"/>
      <c r="CC298" s="368"/>
      <c r="CD298" s="368"/>
      <c r="CE298" s="368"/>
      <c r="CF298" s="368"/>
      <c r="CG298" s="368"/>
      <c r="CH298" s="368"/>
      <c r="CI298" s="368"/>
      <c r="CJ298" s="368"/>
      <c r="CK298" s="368"/>
      <c r="CL298" s="368"/>
      <c r="CM298" s="368"/>
      <c r="CN298" s="368"/>
      <c r="CO298" s="368"/>
      <c r="CP298" s="368"/>
      <c r="CQ298" s="368"/>
      <c r="CR298" s="368"/>
      <c r="CS298" s="368"/>
      <c r="CT298" s="368"/>
      <c r="CU298" s="368"/>
      <c r="CV298" s="368"/>
      <c r="CW298" s="368"/>
      <c r="CX298" s="368"/>
      <c r="CY298" s="368"/>
      <c r="CZ298" s="368"/>
      <c r="DA298" s="368"/>
      <c r="DB298" s="368"/>
      <c r="DC298" s="368"/>
      <c r="DD298" s="368"/>
      <c r="DE298" s="368"/>
      <c r="DF298" s="368"/>
      <c r="DG298" s="368"/>
      <c r="DH298" s="368"/>
      <c r="DI298" s="368"/>
      <c r="DJ298" s="368"/>
      <c r="DK298" s="368"/>
      <c r="DL298" s="368"/>
      <c r="DM298" s="368"/>
      <c r="DN298" s="368"/>
      <c r="DO298" s="368"/>
      <c r="DP298" s="368"/>
      <c r="DQ298" s="368"/>
      <c r="DR298" s="368"/>
      <c r="DS298" s="368"/>
      <c r="DT298" s="368"/>
      <c r="DU298" s="368"/>
      <c r="DV298" s="368"/>
      <c r="DW298" s="368"/>
      <c r="DX298" s="368"/>
      <c r="DY298" s="368"/>
      <c r="DZ298" s="368"/>
      <c r="EA298" s="368"/>
      <c r="EB298" s="368"/>
      <c r="EC298" s="368"/>
      <c r="ED298" s="368"/>
      <c r="EE298" s="368"/>
      <c r="EF298" s="368"/>
      <c r="EG298" s="368"/>
      <c r="EH298" s="368"/>
      <c r="EI298" s="368"/>
      <c r="EJ298" s="368"/>
      <c r="EK298" s="368"/>
      <c r="EL298" s="368"/>
      <c r="EM298" s="368"/>
      <c r="EN298" s="368"/>
      <c r="EO298" s="368"/>
      <c r="EP298" s="368"/>
      <c r="EQ298" s="368"/>
      <c r="ER298" s="368"/>
      <c r="ES298" s="368"/>
      <c r="ET298" s="368"/>
      <c r="EU298" s="368"/>
      <c r="EV298" s="368"/>
      <c r="EW298" s="368"/>
      <c r="EX298" s="368"/>
      <c r="EY298" s="368"/>
      <c r="EZ298" s="368"/>
      <c r="FA298" s="368"/>
      <c r="FB298" s="368"/>
      <c r="FC298" s="368"/>
      <c r="FD298" s="368"/>
      <c r="FE298" s="368"/>
      <c r="FF298" s="368"/>
      <c r="FG298" s="368"/>
      <c r="FH298" s="368"/>
      <c r="FI298" s="368"/>
      <c r="FJ298" s="368"/>
      <c r="FK298" s="368"/>
      <c r="FL298" s="368"/>
      <c r="FM298" s="368"/>
      <c r="FN298" s="368"/>
      <c r="FO298" s="368"/>
      <c r="FP298" s="368"/>
      <c r="FQ298" s="368"/>
      <c r="FR298" s="368"/>
      <c r="FS298" s="368"/>
      <c r="FT298" s="368"/>
      <c r="FU298" s="368"/>
      <c r="FV298" s="368"/>
      <c r="FW298" s="368"/>
      <c r="FX298" s="368"/>
      <c r="FY298" s="368"/>
      <c r="FZ298" s="368"/>
      <c r="GA298" s="368"/>
      <c r="GB298" s="368"/>
      <c r="GC298" s="368"/>
      <c r="GD298" s="368"/>
      <c r="GE298" s="368"/>
      <c r="GF298" s="368"/>
      <c r="GG298" s="368"/>
      <c r="GH298" s="368"/>
      <c r="GI298" s="368"/>
      <c r="GJ298" s="368"/>
      <c r="GK298" s="368"/>
      <c r="GL298" s="368"/>
      <c r="GM298" s="368"/>
      <c r="GN298" s="368"/>
      <c r="GO298" s="368"/>
      <c r="GP298" s="368"/>
      <c r="GQ298" s="368"/>
      <c r="GR298" s="368"/>
      <c r="GS298" s="368"/>
      <c r="GT298" s="368"/>
      <c r="GU298" s="368"/>
      <c r="GV298" s="368"/>
      <c r="GW298" s="368"/>
      <c r="GX298" s="368"/>
      <c r="GY298" s="368"/>
      <c r="GZ298" s="368"/>
      <c r="HA298" s="368"/>
      <c r="HB298" s="368"/>
      <c r="HC298" s="368"/>
      <c r="HD298" s="368"/>
      <c r="HE298" s="368"/>
      <c r="HF298" s="368"/>
      <c r="HG298" s="368"/>
      <c r="HH298" s="368"/>
      <c r="HI298" s="368"/>
      <c r="HJ298" s="368"/>
      <c r="HK298" s="368"/>
      <c r="HL298" s="368"/>
      <c r="HM298" s="368"/>
      <c r="HN298" s="368"/>
      <c r="HO298" s="368"/>
      <c r="HP298" s="368"/>
      <c r="HQ298" s="368"/>
      <c r="HR298" s="368"/>
      <c r="HS298" s="368"/>
      <c r="HT298" s="368"/>
      <c r="HU298" s="368"/>
      <c r="HV298" s="368"/>
      <c r="HW298" s="368"/>
      <c r="HX298" s="368"/>
      <c r="HY298" s="368"/>
      <c r="HZ298" s="368"/>
      <c r="IA298" s="368"/>
      <c r="IB298" s="368"/>
      <c r="IC298" s="368"/>
      <c r="ID298" s="368"/>
    </row>
    <row r="299" spans="1:238" ht="12.75" customHeight="1">
      <c r="A299" s="199">
        <f t="shared" si="38"/>
        <v>915</v>
      </c>
      <c r="B299" s="57" t="s">
        <v>1094</v>
      </c>
      <c r="C299" s="350"/>
      <c r="D299" s="688" t="s">
        <v>1209</v>
      </c>
      <c r="E299" s="56" t="s">
        <v>195</v>
      </c>
      <c r="F299" s="56" t="str">
        <f t="shared" si="39"/>
        <v>nee</v>
      </c>
      <c r="G299" s="351"/>
      <c r="H299" s="352"/>
      <c r="I299" s="465">
        <f t="shared" si="33"/>
        <v>0</v>
      </c>
      <c r="K299" s="613" t="str">
        <f t="shared" si="34"/>
        <v>PQH520</v>
      </c>
      <c r="L299" s="562" t="str">
        <f t="shared" si="35"/>
        <v>PH520</v>
      </c>
      <c r="M299" s="607">
        <f t="shared" si="36"/>
        <v>0</v>
      </c>
      <c r="N299" s="356">
        <v>0</v>
      </c>
      <c r="O299" s="357">
        <v>51.16</v>
      </c>
      <c r="P299" s="33"/>
      <c r="Q299" s="391">
        <f t="shared" si="37"/>
        <v>0</v>
      </c>
      <c r="R299" s="32"/>
      <c r="S299" s="32"/>
      <c r="T299" s="32"/>
      <c r="U299" s="32"/>
      <c r="V299" s="32"/>
      <c r="W299" s="32"/>
      <c r="X299" s="32"/>
      <c r="Y299" s="32"/>
      <c r="Z299" s="32"/>
      <c r="AA299" s="32"/>
      <c r="AB299" s="32"/>
      <c r="AC299" s="32"/>
      <c r="AD299" s="32"/>
      <c r="AE299" s="32"/>
      <c r="AF299" s="32"/>
      <c r="AG299" s="32"/>
      <c r="AH299" s="32"/>
      <c r="AI299" s="32"/>
      <c r="AJ299" s="32"/>
      <c r="AK299" s="32"/>
      <c r="AL299" s="32"/>
      <c r="AM299" s="12"/>
      <c r="AN299" s="1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c r="HN299" s="32"/>
      <c r="HO299" s="32"/>
      <c r="HP299" s="32"/>
      <c r="HQ299" s="32"/>
      <c r="HR299" s="32"/>
      <c r="HS299" s="32"/>
      <c r="HT299" s="32"/>
      <c r="HU299" s="32"/>
      <c r="HV299" s="32"/>
      <c r="HW299" s="32"/>
      <c r="HX299" s="32"/>
      <c r="HY299" s="32"/>
      <c r="HZ299" s="32"/>
      <c r="IA299" s="32"/>
      <c r="IB299" s="32"/>
      <c r="IC299" s="32"/>
      <c r="ID299" s="32"/>
    </row>
    <row r="300" spans="1:238" ht="12.75" customHeight="1">
      <c r="A300" s="199">
        <f t="shared" si="38"/>
        <v>916</v>
      </c>
      <c r="B300" s="57" t="s">
        <v>1095</v>
      </c>
      <c r="C300" s="350"/>
      <c r="D300" s="688" t="s">
        <v>200</v>
      </c>
      <c r="E300" s="56" t="s">
        <v>195</v>
      </c>
      <c r="F300" s="56" t="str">
        <f t="shared" si="39"/>
        <v>nee</v>
      </c>
      <c r="G300" s="351"/>
      <c r="H300" s="352"/>
      <c r="I300" s="465">
        <f t="shared" si="33"/>
        <v>0</v>
      </c>
      <c r="K300" s="562" t="str">
        <f t="shared" si="34"/>
        <v>PQH536</v>
      </c>
      <c r="L300" s="562" t="str">
        <f t="shared" si="35"/>
        <v>PH536</v>
      </c>
      <c r="M300" s="607">
        <f t="shared" si="36"/>
        <v>0</v>
      </c>
      <c r="N300" s="356">
        <v>0</v>
      </c>
      <c r="O300" s="357">
        <v>45.02</v>
      </c>
      <c r="P300" s="33"/>
      <c r="Q300" s="391">
        <f t="shared" si="37"/>
        <v>0</v>
      </c>
      <c r="R300" s="32"/>
      <c r="S300" s="32"/>
      <c r="T300" s="32"/>
      <c r="U300" s="32"/>
      <c r="V300" s="32"/>
      <c r="W300" s="32"/>
      <c r="X300" s="32"/>
      <c r="Y300" s="32"/>
      <c r="Z300" s="32"/>
      <c r="AA300" s="32"/>
      <c r="AB300" s="32"/>
      <c r="AC300" s="32"/>
      <c r="AD300" s="32"/>
      <c r="AE300" s="32"/>
      <c r="AF300" s="32"/>
      <c r="AG300" s="32"/>
      <c r="AH300" s="32"/>
      <c r="AI300" s="32"/>
      <c r="AJ300" s="32"/>
      <c r="AK300" s="32"/>
      <c r="AL300" s="32"/>
      <c r="AM300" s="12"/>
      <c r="AN300" s="1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c r="HN300" s="32"/>
      <c r="HO300" s="32"/>
      <c r="HP300" s="32"/>
      <c r="HQ300" s="32"/>
      <c r="HR300" s="32"/>
      <c r="HS300" s="32"/>
      <c r="HT300" s="32"/>
      <c r="HU300" s="32"/>
      <c r="HV300" s="32"/>
      <c r="HW300" s="32"/>
      <c r="HX300" s="32"/>
      <c r="HY300" s="32"/>
      <c r="HZ300" s="32"/>
      <c r="IA300" s="32"/>
      <c r="IB300" s="32"/>
      <c r="IC300" s="32"/>
      <c r="ID300" s="32"/>
    </row>
    <row r="301" spans="1:238" ht="12.75" customHeight="1">
      <c r="A301" s="199">
        <f t="shared" si="38"/>
        <v>917</v>
      </c>
      <c r="B301" s="57" t="s">
        <v>1098</v>
      </c>
      <c r="C301" s="350"/>
      <c r="D301" s="688" t="s">
        <v>201</v>
      </c>
      <c r="E301" s="56" t="s">
        <v>195</v>
      </c>
      <c r="F301" s="56" t="str">
        <f t="shared" si="39"/>
        <v>nee</v>
      </c>
      <c r="G301" s="394"/>
      <c r="H301" s="395"/>
      <c r="I301" s="465">
        <f t="shared" si="33"/>
        <v>0</v>
      </c>
      <c r="J301" s="194"/>
      <c r="K301" s="562" t="str">
        <f t="shared" si="34"/>
        <v>PQH537</v>
      </c>
      <c r="L301" s="562" t="str">
        <f t="shared" si="35"/>
        <v>PH537</v>
      </c>
      <c r="M301" s="607">
        <f t="shared" si="36"/>
        <v>0</v>
      </c>
      <c r="N301" s="793">
        <v>0</v>
      </c>
      <c r="O301" s="357">
        <v>48.09</v>
      </c>
      <c r="P301" s="363"/>
      <c r="Q301" s="476">
        <f t="shared" si="37"/>
        <v>0</v>
      </c>
      <c r="R301" s="368"/>
      <c r="S301" s="368"/>
      <c r="T301" s="368"/>
      <c r="U301" s="368"/>
      <c r="V301" s="368"/>
      <c r="W301" s="368"/>
      <c r="X301" s="32"/>
      <c r="Y301" s="32"/>
      <c r="Z301" s="32"/>
      <c r="AA301" s="32"/>
      <c r="AB301" s="32"/>
      <c r="AC301" s="32"/>
      <c r="AD301" s="32"/>
      <c r="AE301" s="32"/>
      <c r="AF301" s="32"/>
      <c r="AG301" s="32"/>
      <c r="AH301" s="32"/>
      <c r="AI301" s="32"/>
      <c r="AJ301" s="32"/>
      <c r="AK301" s="32"/>
      <c r="AL301" s="32"/>
      <c r="AM301" s="12"/>
      <c r="AN301" s="1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c r="GK301" s="32"/>
      <c r="GL301" s="32"/>
      <c r="GM301" s="32"/>
      <c r="GN301" s="32"/>
      <c r="GO301" s="32"/>
      <c r="GP301" s="32"/>
      <c r="GQ301" s="32"/>
      <c r="GR301" s="32"/>
      <c r="GS301" s="32"/>
      <c r="GT301" s="32"/>
      <c r="GU301" s="32"/>
      <c r="GV301" s="32"/>
      <c r="GW301" s="32"/>
      <c r="GX301" s="32"/>
      <c r="GY301" s="32"/>
      <c r="GZ301" s="32"/>
      <c r="HA301" s="32"/>
      <c r="HB301" s="32"/>
      <c r="HC301" s="32"/>
      <c r="HD301" s="32"/>
      <c r="HE301" s="32"/>
      <c r="HF301" s="32"/>
      <c r="HG301" s="32"/>
      <c r="HH301" s="32"/>
      <c r="HI301" s="32"/>
      <c r="HJ301" s="32"/>
      <c r="HK301" s="32"/>
      <c r="HL301" s="32"/>
      <c r="HM301" s="32"/>
      <c r="HN301" s="32"/>
      <c r="HO301" s="32"/>
      <c r="HP301" s="32"/>
      <c r="HQ301" s="32"/>
      <c r="HR301" s="32"/>
      <c r="HS301" s="32"/>
      <c r="HT301" s="32"/>
      <c r="HU301" s="32"/>
      <c r="HV301" s="32"/>
      <c r="HW301" s="32"/>
      <c r="HX301" s="32"/>
      <c r="HY301" s="32"/>
      <c r="HZ301" s="32"/>
      <c r="IA301" s="32"/>
      <c r="IB301" s="32"/>
      <c r="IC301" s="32"/>
      <c r="ID301" s="32"/>
    </row>
    <row r="302" spans="1:238" ht="12.75" customHeight="1">
      <c r="A302" s="199">
        <f t="shared" si="38"/>
        <v>918</v>
      </c>
      <c r="B302" s="57" t="s">
        <v>1096</v>
      </c>
      <c r="C302" s="350"/>
      <c r="D302" s="688" t="s">
        <v>1211</v>
      </c>
      <c r="E302" s="56" t="s">
        <v>195</v>
      </c>
      <c r="F302" s="56" t="str">
        <f t="shared" si="39"/>
        <v>nee</v>
      </c>
      <c r="G302" s="351"/>
      <c r="H302" s="352"/>
      <c r="I302" s="465">
        <f t="shared" si="33"/>
        <v>0</v>
      </c>
      <c r="K302" s="562" t="str">
        <f t="shared" si="34"/>
        <v>PQH525</v>
      </c>
      <c r="L302" s="562" t="str">
        <f t="shared" si="35"/>
        <v>PH525</v>
      </c>
      <c r="M302" s="607">
        <f t="shared" si="36"/>
        <v>0</v>
      </c>
      <c r="N302" s="356">
        <v>0</v>
      </c>
      <c r="O302" s="357">
        <v>64.44</v>
      </c>
      <c r="P302" s="33"/>
      <c r="Q302" s="391">
        <f t="shared" si="37"/>
        <v>0</v>
      </c>
      <c r="R302" s="32"/>
      <c r="S302" s="32"/>
      <c r="T302" s="32"/>
      <c r="U302" s="32"/>
      <c r="V302" s="32"/>
      <c r="W302" s="32"/>
      <c r="X302" s="32"/>
      <c r="Y302" s="32"/>
      <c r="Z302" s="32"/>
      <c r="AA302" s="32"/>
      <c r="AB302" s="32"/>
      <c r="AC302" s="32"/>
      <c r="AD302" s="32"/>
      <c r="AE302" s="32"/>
      <c r="AF302" s="32"/>
      <c r="AG302" s="32"/>
      <c r="AH302" s="32"/>
      <c r="AI302" s="32"/>
      <c r="AJ302" s="32"/>
      <c r="AK302" s="32"/>
      <c r="AL302" s="32"/>
      <c r="AM302" s="12"/>
      <c r="AN302" s="1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c r="GK302" s="32"/>
      <c r="GL302" s="32"/>
      <c r="GM302" s="32"/>
      <c r="GN302" s="32"/>
      <c r="GO302" s="32"/>
      <c r="GP302" s="32"/>
      <c r="GQ302" s="32"/>
      <c r="GR302" s="32"/>
      <c r="GS302" s="32"/>
      <c r="GT302" s="32"/>
      <c r="GU302" s="32"/>
      <c r="GV302" s="32"/>
      <c r="GW302" s="32"/>
      <c r="GX302" s="32"/>
      <c r="GY302" s="32"/>
      <c r="GZ302" s="32"/>
      <c r="HA302" s="32"/>
      <c r="HB302" s="32"/>
      <c r="HC302" s="32"/>
      <c r="HD302" s="32"/>
      <c r="HE302" s="32"/>
      <c r="HF302" s="32"/>
      <c r="HG302" s="32"/>
      <c r="HH302" s="32"/>
      <c r="HI302" s="32"/>
      <c r="HJ302" s="32"/>
      <c r="HK302" s="32"/>
      <c r="HL302" s="32"/>
      <c r="HM302" s="32"/>
      <c r="HN302" s="32"/>
      <c r="HO302" s="32"/>
      <c r="HP302" s="32"/>
      <c r="HQ302" s="32"/>
      <c r="HR302" s="32"/>
      <c r="HS302" s="32"/>
      <c r="HT302" s="32"/>
      <c r="HU302" s="32"/>
      <c r="HV302" s="32"/>
      <c r="HW302" s="32"/>
      <c r="HX302" s="32"/>
      <c r="HY302" s="32"/>
      <c r="HZ302" s="32"/>
      <c r="IA302" s="32"/>
      <c r="IB302" s="32"/>
      <c r="IC302" s="32"/>
      <c r="ID302" s="32"/>
    </row>
    <row r="303" spans="1:238" ht="12.75" customHeight="1">
      <c r="A303" s="199">
        <f t="shared" si="38"/>
        <v>919</v>
      </c>
      <c r="B303" s="57" t="s">
        <v>202</v>
      </c>
      <c r="C303" s="350"/>
      <c r="D303" s="688" t="s">
        <v>1212</v>
      </c>
      <c r="E303" s="56" t="s">
        <v>195</v>
      </c>
      <c r="F303" s="56" t="str">
        <f t="shared" si="39"/>
        <v>nee</v>
      </c>
      <c r="G303" s="351"/>
      <c r="H303" s="352"/>
      <c r="I303" s="465">
        <f t="shared" si="33"/>
        <v>0</v>
      </c>
      <c r="K303" s="562" t="str">
        <f t="shared" si="34"/>
        <v>PQH526</v>
      </c>
      <c r="L303" s="562" t="str">
        <f t="shared" si="35"/>
        <v>PH526</v>
      </c>
      <c r="M303" s="607">
        <f t="shared" si="36"/>
        <v>0</v>
      </c>
      <c r="N303" s="356">
        <v>0</v>
      </c>
      <c r="O303" s="357">
        <v>63.16</v>
      </c>
      <c r="P303" s="33"/>
      <c r="Q303" s="391">
        <f t="shared" si="37"/>
        <v>0</v>
      </c>
      <c r="R303" s="32"/>
      <c r="S303" s="32"/>
      <c r="T303" s="32"/>
      <c r="U303" s="32"/>
      <c r="V303" s="32"/>
      <c r="W303" s="32"/>
      <c r="X303" s="32"/>
      <c r="Y303" s="32"/>
      <c r="Z303" s="32"/>
      <c r="AA303" s="32"/>
      <c r="AB303" s="32"/>
      <c r="AC303" s="32"/>
      <c r="AD303" s="32"/>
      <c r="AE303" s="32"/>
      <c r="AF303" s="32"/>
      <c r="AG303" s="32"/>
      <c r="AH303" s="32"/>
      <c r="AI303" s="32"/>
      <c r="AJ303" s="32"/>
      <c r="AK303" s="32"/>
      <c r="AL303" s="32"/>
      <c r="AM303" s="12"/>
      <c r="AN303" s="1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c r="GK303" s="32"/>
      <c r="GL303" s="32"/>
      <c r="GM303" s="32"/>
      <c r="GN303" s="32"/>
      <c r="GO303" s="32"/>
      <c r="GP303" s="32"/>
      <c r="GQ303" s="32"/>
      <c r="GR303" s="32"/>
      <c r="GS303" s="32"/>
      <c r="GT303" s="32"/>
      <c r="GU303" s="32"/>
      <c r="GV303" s="32"/>
      <c r="GW303" s="32"/>
      <c r="GX303" s="32"/>
      <c r="GY303" s="32"/>
      <c r="GZ303" s="32"/>
      <c r="HA303" s="32"/>
      <c r="HB303" s="32"/>
      <c r="HC303" s="32"/>
      <c r="HD303" s="32"/>
      <c r="HE303" s="32"/>
      <c r="HF303" s="32"/>
      <c r="HG303" s="32"/>
      <c r="HH303" s="32"/>
      <c r="HI303" s="32"/>
      <c r="HJ303" s="32"/>
      <c r="HK303" s="32"/>
      <c r="HL303" s="32"/>
      <c r="HM303" s="32"/>
      <c r="HN303" s="32"/>
      <c r="HO303" s="32"/>
      <c r="HP303" s="32"/>
      <c r="HQ303" s="32"/>
      <c r="HR303" s="32"/>
      <c r="HS303" s="32"/>
      <c r="HT303" s="32"/>
      <c r="HU303" s="32"/>
      <c r="HV303" s="32"/>
      <c r="HW303" s="32"/>
      <c r="HX303" s="32"/>
      <c r="HY303" s="32"/>
      <c r="HZ303" s="32"/>
      <c r="IA303" s="32"/>
      <c r="IB303" s="32"/>
      <c r="IC303" s="32"/>
      <c r="ID303" s="32"/>
    </row>
    <row r="304" spans="1:238" ht="12.75" customHeight="1">
      <c r="A304" s="199">
        <f t="shared" si="38"/>
        <v>920</v>
      </c>
      <c r="B304" s="57" t="s">
        <v>203</v>
      </c>
      <c r="C304" s="350"/>
      <c r="D304" s="688" t="s">
        <v>1306</v>
      </c>
      <c r="E304" s="56" t="s">
        <v>195</v>
      </c>
      <c r="F304" s="56" t="str">
        <f t="shared" si="39"/>
        <v>nee</v>
      </c>
      <c r="G304" s="351"/>
      <c r="H304" s="352"/>
      <c r="I304" s="465">
        <f t="shared" si="33"/>
        <v>0</v>
      </c>
      <c r="K304" s="562" t="str">
        <f t="shared" si="34"/>
        <v>PQH530</v>
      </c>
      <c r="L304" s="562" t="str">
        <f t="shared" si="35"/>
        <v>PH530</v>
      </c>
      <c r="M304" s="607">
        <f t="shared" si="36"/>
        <v>0</v>
      </c>
      <c r="N304" s="356">
        <v>0</v>
      </c>
      <c r="O304" s="357">
        <v>83.07</v>
      </c>
      <c r="P304" s="33"/>
      <c r="Q304" s="391">
        <f t="shared" si="37"/>
        <v>0</v>
      </c>
      <c r="R304" s="32"/>
      <c r="S304" s="32"/>
      <c r="T304" s="32"/>
      <c r="U304" s="32"/>
      <c r="V304" s="32"/>
      <c r="W304" s="32"/>
      <c r="X304" s="32"/>
      <c r="Y304" s="32"/>
      <c r="Z304" s="32"/>
      <c r="AA304" s="32"/>
      <c r="AB304" s="32"/>
      <c r="AC304" s="32"/>
      <c r="AD304" s="32"/>
      <c r="AE304" s="32"/>
      <c r="AF304" s="32"/>
      <c r="AG304" s="32"/>
      <c r="AH304" s="32"/>
      <c r="AI304" s="32"/>
      <c r="AJ304" s="32"/>
      <c r="AK304" s="32"/>
      <c r="AL304" s="32"/>
      <c r="AM304" s="12"/>
      <c r="AN304" s="1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c r="GK304" s="32"/>
      <c r="GL304" s="32"/>
      <c r="GM304" s="32"/>
      <c r="GN304" s="32"/>
      <c r="GO304" s="32"/>
      <c r="GP304" s="32"/>
      <c r="GQ304" s="32"/>
      <c r="GR304" s="32"/>
      <c r="GS304" s="32"/>
      <c r="GT304" s="32"/>
      <c r="GU304" s="32"/>
      <c r="GV304" s="32"/>
      <c r="GW304" s="32"/>
      <c r="GX304" s="32"/>
      <c r="GY304" s="32"/>
      <c r="GZ304" s="32"/>
      <c r="HA304" s="32"/>
      <c r="HB304" s="32"/>
      <c r="HC304" s="32"/>
      <c r="HD304" s="32"/>
      <c r="HE304" s="32"/>
      <c r="HF304" s="32"/>
      <c r="HG304" s="32"/>
      <c r="HH304" s="32"/>
      <c r="HI304" s="32"/>
      <c r="HJ304" s="32"/>
      <c r="HK304" s="32"/>
      <c r="HL304" s="32"/>
      <c r="HM304" s="32"/>
      <c r="HN304" s="32"/>
      <c r="HO304" s="32"/>
      <c r="HP304" s="32"/>
      <c r="HQ304" s="32"/>
      <c r="HR304" s="32"/>
      <c r="HS304" s="32"/>
      <c r="HT304" s="32"/>
      <c r="HU304" s="32"/>
      <c r="HV304" s="32"/>
      <c r="HW304" s="32"/>
      <c r="HX304" s="32"/>
      <c r="HY304" s="32"/>
      <c r="HZ304" s="32"/>
      <c r="IA304" s="32"/>
      <c r="IB304" s="32"/>
      <c r="IC304" s="32"/>
      <c r="ID304" s="32"/>
    </row>
    <row r="305" spans="1:238" ht="12.75" customHeight="1">
      <c r="A305" s="199">
        <f t="shared" si="38"/>
        <v>921</v>
      </c>
      <c r="B305" s="57" t="s">
        <v>1097</v>
      </c>
      <c r="C305" s="350"/>
      <c r="D305" s="688" t="s">
        <v>1213</v>
      </c>
      <c r="E305" s="56" t="s">
        <v>195</v>
      </c>
      <c r="F305" s="56" t="str">
        <f t="shared" si="39"/>
        <v>nee</v>
      </c>
      <c r="G305" s="351"/>
      <c r="H305" s="352"/>
      <c r="I305" s="465">
        <f t="shared" si="33"/>
        <v>0</v>
      </c>
      <c r="K305" s="562" t="str">
        <f t="shared" si="34"/>
        <v>PQH527</v>
      </c>
      <c r="L305" s="562" t="str">
        <f t="shared" si="35"/>
        <v>PH527</v>
      </c>
      <c r="M305" s="607">
        <f t="shared" si="36"/>
        <v>0</v>
      </c>
      <c r="N305" s="356">
        <v>0</v>
      </c>
      <c r="O305" s="382">
        <v>63.16</v>
      </c>
      <c r="P305" s="33"/>
      <c r="Q305" s="391">
        <f t="shared" si="37"/>
        <v>0</v>
      </c>
      <c r="R305" s="32"/>
      <c r="S305" s="32"/>
      <c r="T305" s="32"/>
      <c r="U305" s="32"/>
      <c r="V305" s="32"/>
      <c r="W305" s="32"/>
      <c r="X305" s="32"/>
      <c r="Y305" s="32"/>
      <c r="Z305" s="32"/>
      <c r="AA305" s="32"/>
      <c r="AB305" s="32"/>
      <c r="AC305" s="32"/>
      <c r="AD305" s="32"/>
      <c r="AE305" s="32"/>
      <c r="AF305" s="32"/>
      <c r="AG305" s="32"/>
      <c r="AH305" s="32"/>
      <c r="AI305" s="32"/>
      <c r="AJ305" s="32"/>
      <c r="AK305" s="32"/>
      <c r="AL305" s="32"/>
      <c r="AM305" s="12"/>
      <c r="AN305" s="1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c r="HN305" s="32"/>
      <c r="HO305" s="32"/>
      <c r="HP305" s="32"/>
      <c r="HQ305" s="32"/>
      <c r="HR305" s="32"/>
      <c r="HS305" s="32"/>
      <c r="HT305" s="32"/>
      <c r="HU305" s="32"/>
      <c r="HV305" s="32"/>
      <c r="HW305" s="32"/>
      <c r="HX305" s="32"/>
      <c r="HY305" s="32"/>
      <c r="HZ305" s="32"/>
      <c r="IA305" s="32"/>
      <c r="IB305" s="32"/>
      <c r="IC305" s="32"/>
      <c r="ID305" s="32"/>
    </row>
    <row r="306" spans="1:238" ht="12.75" customHeight="1">
      <c r="A306" s="199">
        <f t="shared" si="38"/>
        <v>922</v>
      </c>
      <c r="B306" s="57" t="s">
        <v>205</v>
      </c>
      <c r="C306" s="350"/>
      <c r="D306" s="688" t="s">
        <v>204</v>
      </c>
      <c r="E306" s="56" t="s">
        <v>195</v>
      </c>
      <c r="F306" s="56" t="str">
        <f>IF(AND($E$31="ja",OR($E$28="ja",$E$29="ja")),"ja","nee")</f>
        <v>nee</v>
      </c>
      <c r="G306" s="351"/>
      <c r="H306" s="352"/>
      <c r="I306" s="465">
        <f t="shared" si="33"/>
        <v>0</v>
      </c>
      <c r="K306" s="562" t="str">
        <f t="shared" si="34"/>
        <v>PQH132</v>
      </c>
      <c r="L306" s="562" t="str">
        <f t="shared" si="35"/>
        <v>PH132</v>
      </c>
      <c r="M306" s="607">
        <f t="shared" si="36"/>
        <v>0</v>
      </c>
      <c r="N306" s="356">
        <v>0</v>
      </c>
      <c r="O306" s="382">
        <v>42.5</v>
      </c>
      <c r="P306" s="33"/>
      <c r="Q306" s="693">
        <f t="shared" si="37"/>
        <v>0</v>
      </c>
      <c r="R306" s="32"/>
      <c r="S306" s="32"/>
      <c r="T306" s="32"/>
      <c r="U306" s="32"/>
      <c r="V306" s="32"/>
      <c r="W306" s="32"/>
      <c r="X306" s="32"/>
      <c r="Y306" s="32"/>
      <c r="Z306" s="32"/>
      <c r="AA306" s="32"/>
      <c r="AB306" s="32"/>
      <c r="AC306" s="32"/>
      <c r="AD306" s="32"/>
      <c r="AE306" s="32"/>
      <c r="AF306" s="32"/>
      <c r="AG306" s="32"/>
      <c r="AH306" s="32"/>
      <c r="AI306" s="32"/>
      <c r="AJ306" s="32"/>
      <c r="AK306" s="32"/>
      <c r="AL306" s="32"/>
      <c r="AM306" s="12"/>
      <c r="AN306" s="1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row>
    <row r="307" spans="1:238" ht="12.75" customHeight="1" thickBot="1">
      <c r="A307" s="199">
        <f t="shared" si="38"/>
        <v>923</v>
      </c>
      <c r="B307" s="57" t="s">
        <v>207</v>
      </c>
      <c r="C307" s="350"/>
      <c r="D307" s="688" t="s">
        <v>206</v>
      </c>
      <c r="E307" s="56" t="s">
        <v>195</v>
      </c>
      <c r="F307" s="56" t="str">
        <f>IF(AND($E$31="ja",OR($E$28="ja",$E$29="ja")),"ja","nee")</f>
        <v>nee</v>
      </c>
      <c r="G307" s="351"/>
      <c r="H307" s="352"/>
      <c r="I307" s="465">
        <f t="shared" si="33"/>
        <v>0</v>
      </c>
      <c r="K307" s="562" t="str">
        <f t="shared" si="34"/>
        <v>PQH180</v>
      </c>
      <c r="L307" s="562" t="str">
        <f t="shared" si="35"/>
        <v>PH180</v>
      </c>
      <c r="M307" s="610">
        <f t="shared" si="36"/>
        <v>0</v>
      </c>
      <c r="N307" s="358">
        <v>0</v>
      </c>
      <c r="O307" s="383">
        <v>77.41</v>
      </c>
      <c r="P307" s="33"/>
      <c r="Q307" s="694">
        <f t="shared" si="37"/>
        <v>0</v>
      </c>
      <c r="R307" s="32"/>
      <c r="S307" s="32"/>
      <c r="T307" s="32"/>
      <c r="U307" s="32"/>
      <c r="V307" s="32"/>
      <c r="W307" s="32"/>
      <c r="X307" s="32"/>
      <c r="Y307" s="32"/>
      <c r="Z307" s="32"/>
      <c r="AA307" s="32"/>
      <c r="AB307" s="32"/>
      <c r="AC307" s="32"/>
      <c r="AD307" s="32"/>
      <c r="AE307" s="32"/>
      <c r="AF307" s="32"/>
      <c r="AG307" s="32"/>
      <c r="AH307" s="32"/>
      <c r="AI307" s="32"/>
      <c r="AJ307" s="32"/>
      <c r="AK307" s="32"/>
      <c r="AL307" s="32"/>
      <c r="AM307" s="12"/>
      <c r="AN307" s="1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row>
    <row r="308" spans="1:238" ht="12.75" customHeight="1" thickBot="1">
      <c r="A308" s="199">
        <f t="shared" si="38"/>
        <v>924</v>
      </c>
      <c r="B308" s="365" t="s">
        <v>208</v>
      </c>
      <c r="C308" s="198"/>
      <c r="D308" s="682"/>
      <c r="E308" s="198"/>
      <c r="F308" s="198"/>
      <c r="G308" s="198"/>
      <c r="H308" s="198"/>
      <c r="I308" s="474">
        <f>SUM(I294:I307)</f>
        <v>0</v>
      </c>
      <c r="K308" s="562"/>
      <c r="L308" s="562"/>
      <c r="O308" s="380"/>
      <c r="P308" s="33"/>
      <c r="Q308" s="16"/>
      <c r="R308" s="32"/>
      <c r="S308" s="32"/>
      <c r="T308" s="32"/>
      <c r="U308" s="32"/>
      <c r="V308" s="32"/>
      <c r="W308" s="32"/>
      <c r="X308" s="32"/>
      <c r="Y308" s="32"/>
      <c r="Z308" s="32"/>
      <c r="AA308" s="32"/>
      <c r="AB308" s="32"/>
      <c r="AC308" s="32"/>
      <c r="AD308" s="32"/>
      <c r="AE308" s="32"/>
      <c r="AF308" s="32"/>
      <c r="AG308" s="32"/>
      <c r="AH308" s="32"/>
      <c r="AI308" s="32"/>
      <c r="AJ308" s="32"/>
      <c r="AK308" s="32"/>
      <c r="AL308" s="32"/>
      <c r="AM308" s="12"/>
      <c r="AN308" s="1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row>
    <row r="309" spans="1:238" ht="7.5" customHeight="1">
      <c r="A309" s="366"/>
      <c r="B309" s="12"/>
      <c r="C309" s="12"/>
      <c r="D309" s="75"/>
      <c r="E309" s="12"/>
      <c r="F309" s="12"/>
      <c r="G309" s="12"/>
      <c r="H309" s="12"/>
      <c r="I309" s="480"/>
      <c r="K309" s="562"/>
      <c r="L309" s="562"/>
      <c r="O309" s="380"/>
      <c r="P309" s="33"/>
      <c r="Q309" s="16"/>
      <c r="R309" s="32"/>
      <c r="S309" s="32"/>
      <c r="T309" s="32"/>
      <c r="U309" s="32"/>
      <c r="V309" s="32"/>
      <c r="W309" s="32"/>
      <c r="X309" s="32"/>
      <c r="Y309" s="32"/>
      <c r="Z309" s="32"/>
      <c r="AA309" s="32"/>
      <c r="AB309" s="32"/>
      <c r="AC309" s="32"/>
      <c r="AD309" s="32"/>
      <c r="AE309" s="32"/>
      <c r="AF309" s="32"/>
      <c r="AG309" s="32"/>
      <c r="AH309" s="32"/>
      <c r="AI309" s="32"/>
      <c r="AJ309" s="32"/>
      <c r="AK309" s="32"/>
      <c r="AL309" s="32"/>
      <c r="AM309" s="12"/>
      <c r="AN309" s="1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row>
    <row r="310" spans="1:238" ht="12.75" customHeight="1">
      <c r="A310" s="202" t="s">
        <v>737</v>
      </c>
      <c r="B310" s="367" t="s">
        <v>862</v>
      </c>
      <c r="C310" s="12"/>
      <c r="D310" s="75"/>
      <c r="E310" s="596" t="s">
        <v>1172</v>
      </c>
      <c r="F310" s="689" t="s">
        <v>567</v>
      </c>
      <c r="G310" s="690" t="s">
        <v>468</v>
      </c>
      <c r="H310" s="596" t="s">
        <v>1173</v>
      </c>
      <c r="I310" s="689" t="s">
        <v>987</v>
      </c>
      <c r="K310" s="562"/>
      <c r="L310" s="562"/>
      <c r="O310" s="380"/>
      <c r="P310" s="33"/>
      <c r="Q310" s="16"/>
      <c r="R310" s="32"/>
      <c r="S310" s="32"/>
      <c r="T310" s="32"/>
      <c r="U310" s="32"/>
      <c r="V310" s="32"/>
      <c r="W310" s="32"/>
      <c r="X310" s="32"/>
      <c r="Y310" s="32"/>
      <c r="Z310" s="32"/>
      <c r="AA310" s="32"/>
      <c r="AB310" s="32"/>
      <c r="AC310" s="32"/>
      <c r="AD310" s="32"/>
      <c r="AE310" s="32"/>
      <c r="AF310" s="32"/>
      <c r="AG310" s="32"/>
      <c r="AH310" s="32"/>
      <c r="AI310" s="32"/>
      <c r="AJ310" s="32"/>
      <c r="AK310" s="32"/>
      <c r="AL310" s="32"/>
      <c r="AM310" s="12"/>
      <c r="AN310" s="1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row>
    <row r="311" spans="1:238" ht="12.75" customHeight="1">
      <c r="A311" s="366"/>
      <c r="B311" s="5" t="s">
        <v>209</v>
      </c>
      <c r="C311" s="12"/>
      <c r="D311" s="367"/>
      <c r="E311" s="691" t="s">
        <v>1175</v>
      </c>
      <c r="F311" s="692" t="s">
        <v>1176</v>
      </c>
      <c r="G311" s="691" t="s">
        <v>489</v>
      </c>
      <c r="H311" s="691" t="s">
        <v>1177</v>
      </c>
      <c r="I311" s="692" t="s">
        <v>179</v>
      </c>
      <c r="J311" s="12"/>
      <c r="K311" s="562"/>
      <c r="L311" s="562"/>
      <c r="O311" s="380"/>
      <c r="P311" s="33"/>
      <c r="R311" s="32"/>
      <c r="S311" s="32"/>
      <c r="T311" s="32"/>
      <c r="U311" s="32"/>
      <c r="V311" s="32"/>
      <c r="W311" s="32"/>
      <c r="X311" s="32"/>
      <c r="Y311" s="32"/>
      <c r="Z311" s="32"/>
      <c r="AA311" s="32"/>
      <c r="AB311" s="32"/>
      <c r="AC311" s="32"/>
      <c r="AD311" s="32"/>
      <c r="AE311" s="32"/>
      <c r="AF311" s="32"/>
      <c r="AG311" s="32"/>
      <c r="AH311" s="32"/>
      <c r="AI311" s="32"/>
      <c r="AJ311" s="32"/>
      <c r="AK311" s="32"/>
      <c r="AL311" s="32"/>
      <c r="AM311" s="12"/>
      <c r="AN311" s="1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row>
    <row r="312" spans="1:238" ht="12.75" customHeight="1">
      <c r="A312" s="199">
        <f>A308+1</f>
        <v>925</v>
      </c>
      <c r="B312" s="57" t="s">
        <v>862</v>
      </c>
      <c r="C312" s="350"/>
      <c r="D312" s="688" t="s">
        <v>1267</v>
      </c>
      <c r="E312" s="56" t="s">
        <v>182</v>
      </c>
      <c r="F312" s="56" t="str">
        <f>IF($E$26="ja","ja","nee")</f>
        <v>nee</v>
      </c>
      <c r="G312" s="351"/>
      <c r="H312" s="352"/>
      <c r="I312" s="465">
        <f>IF(F312="ja",ROUND(G312*H312,0),0)</f>
        <v>0</v>
      </c>
      <c r="K312" s="562" t="str">
        <f>CONCATENATE("PQ",D312)</f>
        <v>PQH166</v>
      </c>
      <c r="L312" s="562" t="str">
        <f>CONCATENATE("P",D312)</f>
        <v>PH166</v>
      </c>
      <c r="M312" s="604">
        <f>I312*A312</f>
        <v>0</v>
      </c>
      <c r="N312" s="353">
        <v>0</v>
      </c>
      <c r="O312" s="354">
        <v>42.96</v>
      </c>
      <c r="P312" s="33"/>
      <c r="R312" s="32"/>
      <c r="S312" s="32"/>
      <c r="T312" s="32"/>
      <c r="U312" s="32"/>
      <c r="V312" s="32"/>
      <c r="W312" s="32"/>
      <c r="X312" s="32"/>
      <c r="Y312" s="32"/>
      <c r="Z312" s="32"/>
      <c r="AA312" s="32"/>
      <c r="AB312" s="32"/>
      <c r="AC312" s="32"/>
      <c r="AD312" s="32"/>
      <c r="AE312" s="32"/>
      <c r="AF312" s="32"/>
      <c r="AG312" s="32"/>
      <c r="AH312" s="32"/>
      <c r="AI312" s="32"/>
      <c r="AJ312" s="32"/>
      <c r="AK312" s="32"/>
      <c r="AL312" s="32"/>
      <c r="AM312" s="12"/>
      <c r="AN312" s="1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row>
    <row r="313" spans="1:238" ht="12.75" customHeight="1" thickBot="1">
      <c r="A313" s="199">
        <f>A312+1</f>
        <v>926</v>
      </c>
      <c r="B313" s="57" t="s">
        <v>919</v>
      </c>
      <c r="C313" s="350"/>
      <c r="D313" s="688" t="s">
        <v>1268</v>
      </c>
      <c r="E313" s="56" t="s">
        <v>182</v>
      </c>
      <c r="F313" s="56" t="str">
        <f>IF($E$26="ja","ja","nee")</f>
        <v>nee</v>
      </c>
      <c r="G313" s="351"/>
      <c r="H313" s="352"/>
      <c r="I313" s="465">
        <f>IF(F313="ja",ROUND(G313*H313,0),0)</f>
        <v>0</v>
      </c>
      <c r="K313" s="562" t="str">
        <f>CONCATENATE("PQ",D313)</f>
        <v>PQH167</v>
      </c>
      <c r="L313" s="562" t="str">
        <f>CONCATENATE("P",D313)</f>
        <v>PH167</v>
      </c>
      <c r="M313" s="610">
        <f>I313*A313</f>
        <v>0</v>
      </c>
      <c r="N313" s="358">
        <v>0</v>
      </c>
      <c r="O313" s="359">
        <v>46.12</v>
      </c>
      <c r="P313" s="33"/>
      <c r="R313" s="32"/>
      <c r="S313" s="32"/>
      <c r="T313" s="32"/>
      <c r="U313" s="32"/>
      <c r="V313" s="32"/>
      <c r="W313" s="32"/>
      <c r="X313" s="32"/>
      <c r="Y313" s="32"/>
      <c r="Z313" s="32"/>
      <c r="AA313" s="32"/>
      <c r="AB313" s="32"/>
      <c r="AC313" s="32"/>
      <c r="AD313" s="32"/>
      <c r="AE313" s="32"/>
      <c r="AF313" s="32"/>
      <c r="AG313" s="32"/>
      <c r="AH313" s="32"/>
      <c r="AI313" s="32"/>
      <c r="AJ313" s="32"/>
      <c r="AK313" s="32"/>
      <c r="AL313" s="32"/>
      <c r="AM313" s="12"/>
      <c r="AN313" s="1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c r="HN313" s="32"/>
      <c r="HO313" s="32"/>
      <c r="HP313" s="32"/>
      <c r="HQ313" s="32"/>
      <c r="HR313" s="32"/>
      <c r="HS313" s="32"/>
      <c r="HT313" s="32"/>
      <c r="HU313" s="32"/>
      <c r="HV313" s="32"/>
      <c r="HW313" s="32"/>
      <c r="HX313" s="32"/>
      <c r="HY313" s="32"/>
      <c r="HZ313" s="32"/>
      <c r="IA313" s="32"/>
      <c r="IB313" s="32"/>
      <c r="IC313" s="32"/>
      <c r="ID313" s="32"/>
    </row>
    <row r="314" spans="1:238" ht="12.75" customHeight="1" thickBot="1">
      <c r="A314" s="199">
        <f>A313+1</f>
        <v>927</v>
      </c>
      <c r="B314" s="869" t="s">
        <v>895</v>
      </c>
      <c r="C314" s="198"/>
      <c r="D314" s="682"/>
      <c r="E314" s="198"/>
      <c r="F314" s="198"/>
      <c r="G314" s="198"/>
      <c r="H314" s="198"/>
      <c r="I314" s="474">
        <f>SUM(I312:I313)</f>
        <v>0</v>
      </c>
      <c r="K314" s="562"/>
      <c r="L314" s="562"/>
      <c r="M314" s="594"/>
      <c r="N314" s="371"/>
      <c r="O314" s="372"/>
      <c r="P314" s="33"/>
      <c r="R314" s="32"/>
      <c r="S314" s="32"/>
      <c r="T314" s="32"/>
      <c r="U314" s="32"/>
      <c r="V314" s="32"/>
      <c r="W314" s="32"/>
      <c r="X314" s="32"/>
      <c r="Y314" s="32"/>
      <c r="Z314" s="32"/>
      <c r="AA314" s="32"/>
      <c r="AB314" s="32"/>
      <c r="AC314" s="32"/>
      <c r="AD314" s="32"/>
      <c r="AE314" s="32"/>
      <c r="AF314" s="32"/>
      <c r="AG314" s="32"/>
      <c r="AH314" s="32"/>
      <c r="AI314" s="32"/>
      <c r="AJ314" s="32"/>
      <c r="AK314" s="32"/>
      <c r="AL314" s="32"/>
      <c r="AM314" s="12"/>
      <c r="AN314" s="1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row>
    <row r="315" spans="1:238" ht="9.75" customHeight="1">
      <c r="A315" s="360"/>
      <c r="B315" s="33"/>
      <c r="C315" s="33"/>
      <c r="D315" s="45"/>
      <c r="E315" s="46"/>
      <c r="F315" s="46"/>
      <c r="G315" s="361"/>
      <c r="H315" s="685"/>
      <c r="I315" s="472"/>
      <c r="K315" s="562"/>
      <c r="L315" s="562"/>
      <c r="M315" s="594"/>
      <c r="N315" s="371"/>
      <c r="O315" s="372"/>
      <c r="P315" s="33"/>
      <c r="R315" s="32"/>
      <c r="S315" s="32"/>
      <c r="T315" s="32"/>
      <c r="U315" s="32"/>
      <c r="V315" s="32"/>
      <c r="W315" s="32"/>
      <c r="X315" s="32"/>
      <c r="Y315" s="32"/>
      <c r="Z315" s="32"/>
      <c r="AA315" s="32"/>
      <c r="AB315" s="32"/>
      <c r="AC315" s="32"/>
      <c r="AD315" s="32"/>
      <c r="AE315" s="32"/>
      <c r="AF315" s="32"/>
      <c r="AG315" s="32"/>
      <c r="AH315" s="32"/>
      <c r="AI315" s="32"/>
      <c r="AJ315" s="32"/>
      <c r="AK315" s="32"/>
      <c r="AL315" s="32"/>
      <c r="AM315" s="12"/>
      <c r="AN315" s="1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row>
    <row r="316" spans="1:238" ht="12.75" customHeight="1">
      <c r="A316" s="202" t="s">
        <v>738</v>
      </c>
      <c r="B316" s="367" t="s">
        <v>861</v>
      </c>
      <c r="C316" s="12"/>
      <c r="K316" s="562"/>
      <c r="L316" s="562"/>
      <c r="O316" s="380"/>
      <c r="P316" s="33"/>
      <c r="R316" s="32"/>
      <c r="S316" s="32"/>
      <c r="T316" s="32"/>
      <c r="U316" s="32"/>
      <c r="V316" s="32"/>
      <c r="W316" s="32"/>
      <c r="X316" s="32"/>
      <c r="Y316" s="32"/>
      <c r="Z316" s="32"/>
      <c r="AA316" s="32"/>
      <c r="AB316" s="32"/>
      <c r="AC316" s="32"/>
      <c r="AD316" s="32"/>
      <c r="AE316" s="32"/>
      <c r="AF316" s="32"/>
      <c r="AG316" s="32"/>
      <c r="AH316" s="32"/>
      <c r="AI316" s="32"/>
      <c r="AJ316" s="32"/>
      <c r="AK316" s="32"/>
      <c r="AL316" s="32"/>
      <c r="AM316" s="12"/>
      <c r="AN316" s="1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c r="HN316" s="32"/>
      <c r="HO316" s="32"/>
      <c r="HP316" s="32"/>
      <c r="HQ316" s="32"/>
      <c r="HR316" s="32"/>
      <c r="HS316" s="32"/>
      <c r="HT316" s="32"/>
      <c r="HU316" s="32"/>
      <c r="HV316" s="32"/>
      <c r="HW316" s="32"/>
      <c r="HX316" s="32"/>
      <c r="HY316" s="32"/>
      <c r="HZ316" s="32"/>
      <c r="IA316" s="32"/>
      <c r="IB316" s="32"/>
      <c r="IC316" s="32"/>
      <c r="ID316" s="32"/>
    </row>
    <row r="317" spans="1:238" ht="12.75" customHeight="1">
      <c r="A317" s="199">
        <f>A314+1</f>
        <v>928</v>
      </c>
      <c r="B317" s="57" t="s">
        <v>560</v>
      </c>
      <c r="C317" s="350"/>
      <c r="D317" s="688" t="s">
        <v>618</v>
      </c>
      <c r="E317" s="56" t="s">
        <v>182</v>
      </c>
      <c r="F317" s="56" t="str">
        <f aca="true" t="shared" si="40" ref="F317:F322">IF($E$28="ja","ja","nee")</f>
        <v>nee</v>
      </c>
      <c r="G317" s="351"/>
      <c r="H317" s="352"/>
      <c r="I317" s="465">
        <f aca="true" t="shared" si="41" ref="I317:I322">IF(F317="ja",ROUND(G317*H317,0),0)</f>
        <v>0</v>
      </c>
      <c r="K317" s="562" t="str">
        <f aca="true" t="shared" si="42" ref="K317:K322">CONCATENATE("PQ",D317)</f>
        <v>PQH121</v>
      </c>
      <c r="L317" s="562" t="str">
        <f aca="true" t="shared" si="43" ref="L317:L322">CONCATENATE("P",D317)</f>
        <v>PH121</v>
      </c>
      <c r="M317" s="604">
        <f aca="true" t="shared" si="44" ref="M317:M322">I317*A317</f>
        <v>0</v>
      </c>
      <c r="N317" s="353">
        <v>0</v>
      </c>
      <c r="O317" s="354">
        <v>46.08</v>
      </c>
      <c r="P317" s="33"/>
      <c r="R317" s="32"/>
      <c r="S317" s="32"/>
      <c r="T317" s="32"/>
      <c r="U317" s="32"/>
      <c r="V317" s="32"/>
      <c r="W317" s="32"/>
      <c r="X317" s="32"/>
      <c r="Y317" s="32"/>
      <c r="Z317" s="32"/>
      <c r="AA317" s="32"/>
      <c r="AB317" s="32"/>
      <c r="AC317" s="32"/>
      <c r="AD317" s="32"/>
      <c r="AE317" s="32"/>
      <c r="AF317" s="32"/>
      <c r="AG317" s="32"/>
      <c r="AH317" s="32"/>
      <c r="AI317" s="32"/>
      <c r="AJ317" s="32"/>
      <c r="AK317" s="32"/>
      <c r="AL317" s="32"/>
      <c r="AM317" s="12"/>
      <c r="AN317" s="1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c r="HN317" s="32"/>
      <c r="HO317" s="32"/>
      <c r="HP317" s="32"/>
      <c r="HQ317" s="32"/>
      <c r="HR317" s="32"/>
      <c r="HS317" s="32"/>
      <c r="HT317" s="32"/>
      <c r="HU317" s="32"/>
      <c r="HV317" s="32"/>
      <c r="HW317" s="32"/>
      <c r="HX317" s="32"/>
      <c r="HY317" s="32"/>
      <c r="HZ317" s="32"/>
      <c r="IA317" s="32"/>
      <c r="IB317" s="32"/>
      <c r="IC317" s="32"/>
      <c r="ID317" s="32"/>
    </row>
    <row r="318" spans="1:238" ht="12.75" customHeight="1">
      <c r="A318" s="199">
        <f aca="true" t="shared" si="45" ref="A318:A323">A317+1</f>
        <v>929</v>
      </c>
      <c r="B318" s="57" t="s">
        <v>210</v>
      </c>
      <c r="C318" s="350"/>
      <c r="D318" s="688" t="s">
        <v>446</v>
      </c>
      <c r="E318" s="56" t="s">
        <v>182</v>
      </c>
      <c r="F318" s="56" t="str">
        <f t="shared" si="40"/>
        <v>nee</v>
      </c>
      <c r="G318" s="351"/>
      <c r="H318" s="352"/>
      <c r="I318" s="465">
        <f t="shared" si="41"/>
        <v>0</v>
      </c>
      <c r="K318" s="562" t="str">
        <f t="shared" si="42"/>
        <v>PQH129</v>
      </c>
      <c r="L318" s="562" t="str">
        <f t="shared" si="43"/>
        <v>PH129</v>
      </c>
      <c r="M318" s="607">
        <f t="shared" si="44"/>
        <v>0</v>
      </c>
      <c r="N318" s="356">
        <v>0</v>
      </c>
      <c r="O318" s="357">
        <v>49.47</v>
      </c>
      <c r="P318" s="33"/>
      <c r="R318" s="32"/>
      <c r="S318" s="32"/>
      <c r="T318" s="32"/>
      <c r="U318" s="32"/>
      <c r="V318" s="32"/>
      <c r="W318" s="32"/>
      <c r="X318" s="32"/>
      <c r="Y318" s="32"/>
      <c r="Z318" s="32"/>
      <c r="AA318" s="32"/>
      <c r="AB318" s="32"/>
      <c r="AC318" s="32"/>
      <c r="AD318" s="32"/>
      <c r="AE318" s="32"/>
      <c r="AF318" s="32"/>
      <c r="AG318" s="32"/>
      <c r="AH318" s="32"/>
      <c r="AI318" s="32"/>
      <c r="AJ318" s="32"/>
      <c r="AK318" s="32"/>
      <c r="AL318" s="32"/>
      <c r="AM318" s="12"/>
      <c r="AN318" s="1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c r="HN318" s="32"/>
      <c r="HO318" s="32"/>
      <c r="HP318" s="32"/>
      <c r="HQ318" s="32"/>
      <c r="HR318" s="32"/>
      <c r="HS318" s="32"/>
      <c r="HT318" s="32"/>
      <c r="HU318" s="32"/>
      <c r="HV318" s="32"/>
      <c r="HW318" s="32"/>
      <c r="HX318" s="32"/>
      <c r="HY318" s="32"/>
      <c r="HZ318" s="32"/>
      <c r="IA318" s="32"/>
      <c r="IB318" s="32"/>
      <c r="IC318" s="32"/>
      <c r="ID318" s="32"/>
    </row>
    <row r="319" spans="1:238" ht="12.75" customHeight="1">
      <c r="A319" s="199">
        <f t="shared" si="45"/>
        <v>930</v>
      </c>
      <c r="B319" s="57" t="s">
        <v>211</v>
      </c>
      <c r="C319" s="350"/>
      <c r="D319" s="688" t="s">
        <v>1058</v>
      </c>
      <c r="E319" s="56" t="s">
        <v>182</v>
      </c>
      <c r="F319" s="56" t="str">
        <f t="shared" si="40"/>
        <v>nee</v>
      </c>
      <c r="G319" s="351"/>
      <c r="H319" s="352"/>
      <c r="I319" s="465">
        <f t="shared" si="41"/>
        <v>0</v>
      </c>
      <c r="K319" s="562" t="str">
        <f t="shared" si="42"/>
        <v>PQH140</v>
      </c>
      <c r="L319" s="562" t="str">
        <f t="shared" si="43"/>
        <v>PH140</v>
      </c>
      <c r="M319" s="607">
        <f t="shared" si="44"/>
        <v>0</v>
      </c>
      <c r="N319" s="356">
        <v>0</v>
      </c>
      <c r="O319" s="357">
        <v>77.43</v>
      </c>
      <c r="P319" s="33"/>
      <c r="R319" s="32"/>
      <c r="S319" s="32"/>
      <c r="T319" s="32"/>
      <c r="U319" s="32"/>
      <c r="V319" s="32"/>
      <c r="W319" s="32"/>
      <c r="X319" s="32"/>
      <c r="Y319" s="32"/>
      <c r="Z319" s="32"/>
      <c r="AA319" s="32"/>
      <c r="AB319" s="32"/>
      <c r="AC319" s="32"/>
      <c r="AD319" s="32"/>
      <c r="AE319" s="32"/>
      <c r="AF319" s="32"/>
      <c r="AG319" s="32"/>
      <c r="AH319" s="32"/>
      <c r="AI319" s="32"/>
      <c r="AJ319" s="32"/>
      <c r="AK319" s="32"/>
      <c r="AL319" s="32"/>
      <c r="AM319" s="12"/>
      <c r="AN319" s="1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c r="HN319" s="32"/>
      <c r="HO319" s="32"/>
      <c r="HP319" s="32"/>
      <c r="HQ319" s="32"/>
      <c r="HR319" s="32"/>
      <c r="HS319" s="32"/>
      <c r="HT319" s="32"/>
      <c r="HU319" s="32"/>
      <c r="HV319" s="32"/>
      <c r="HW319" s="32"/>
      <c r="HX319" s="32"/>
      <c r="HY319" s="32"/>
      <c r="HZ319" s="32"/>
      <c r="IA319" s="32"/>
      <c r="IB319" s="32"/>
      <c r="IC319" s="32"/>
      <c r="ID319" s="32"/>
    </row>
    <row r="320" spans="1:238" ht="12.75" customHeight="1">
      <c r="A320" s="199">
        <f t="shared" si="45"/>
        <v>931</v>
      </c>
      <c r="B320" s="57" t="s">
        <v>1296</v>
      </c>
      <c r="C320" s="350"/>
      <c r="D320" s="688" t="s">
        <v>663</v>
      </c>
      <c r="E320" s="56" t="s">
        <v>182</v>
      </c>
      <c r="F320" s="56" t="str">
        <f t="shared" si="40"/>
        <v>nee</v>
      </c>
      <c r="G320" s="351"/>
      <c r="H320" s="352"/>
      <c r="I320" s="465">
        <f t="shared" si="41"/>
        <v>0</v>
      </c>
      <c r="K320" s="562" t="str">
        <f t="shared" si="42"/>
        <v>PQF123</v>
      </c>
      <c r="L320" s="562" t="str">
        <f t="shared" si="43"/>
        <v>PF123</v>
      </c>
      <c r="M320" s="610">
        <f t="shared" si="44"/>
        <v>0</v>
      </c>
      <c r="N320" s="358">
        <v>0</v>
      </c>
      <c r="O320" s="383">
        <v>81.91</v>
      </c>
      <c r="P320" s="33"/>
      <c r="R320" s="32"/>
      <c r="S320" s="32"/>
      <c r="T320" s="32"/>
      <c r="U320" s="32"/>
      <c r="V320" s="32"/>
      <c r="W320" s="32"/>
      <c r="X320" s="32"/>
      <c r="Y320" s="32"/>
      <c r="Z320" s="32"/>
      <c r="AA320" s="32"/>
      <c r="AB320" s="32"/>
      <c r="AC320" s="32"/>
      <c r="AD320" s="32"/>
      <c r="AE320" s="32"/>
      <c r="AF320" s="32"/>
      <c r="AG320" s="32"/>
      <c r="AH320" s="32"/>
      <c r="AI320" s="32"/>
      <c r="AJ320" s="32"/>
      <c r="AK320" s="32"/>
      <c r="AL320" s="32"/>
      <c r="AM320" s="12"/>
      <c r="AN320" s="1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c r="HN320" s="32"/>
      <c r="HO320" s="32"/>
      <c r="HP320" s="32"/>
      <c r="HQ320" s="32"/>
      <c r="HR320" s="32"/>
      <c r="HS320" s="32"/>
      <c r="HT320" s="32"/>
      <c r="HU320" s="32"/>
      <c r="HV320" s="32"/>
      <c r="HW320" s="32"/>
      <c r="HX320" s="32"/>
      <c r="HY320" s="32"/>
      <c r="HZ320" s="32"/>
      <c r="IA320" s="32"/>
      <c r="IB320" s="32"/>
      <c r="IC320" s="32"/>
      <c r="ID320" s="32"/>
    </row>
    <row r="321" spans="1:238" ht="12.75" customHeight="1">
      <c r="A321" s="199">
        <f t="shared" si="45"/>
        <v>932</v>
      </c>
      <c r="B321" s="57" t="s">
        <v>212</v>
      </c>
      <c r="C321" s="350"/>
      <c r="D321" s="688" t="s">
        <v>1297</v>
      </c>
      <c r="E321" s="56" t="s">
        <v>182</v>
      </c>
      <c r="F321" s="56" t="str">
        <f t="shared" si="40"/>
        <v>nee</v>
      </c>
      <c r="G321" s="351"/>
      <c r="H321" s="352"/>
      <c r="I321" s="465">
        <f t="shared" si="41"/>
        <v>0</v>
      </c>
      <c r="K321" s="613" t="str">
        <f t="shared" si="42"/>
        <v>PQH162</v>
      </c>
      <c r="L321" s="562" t="str">
        <f t="shared" si="43"/>
        <v>PH162</v>
      </c>
      <c r="M321" s="604">
        <f t="shared" si="44"/>
        <v>0</v>
      </c>
      <c r="N321" s="353">
        <v>0</v>
      </c>
      <c r="O321" s="354">
        <v>37.55</v>
      </c>
      <c r="P321" s="33"/>
      <c r="R321" s="32"/>
      <c r="S321" s="32"/>
      <c r="T321" s="32"/>
      <c r="U321" s="32"/>
      <c r="V321" s="32"/>
      <c r="W321" s="32"/>
      <c r="X321" s="32"/>
      <c r="Y321" s="32"/>
      <c r="Z321" s="32"/>
      <c r="AA321" s="32"/>
      <c r="AB321" s="32"/>
      <c r="AC321" s="32"/>
      <c r="AD321" s="32"/>
      <c r="AE321" s="32"/>
      <c r="AF321" s="32"/>
      <c r="AG321" s="32"/>
      <c r="AH321" s="32"/>
      <c r="AI321" s="32"/>
      <c r="AJ321" s="32"/>
      <c r="AK321" s="32"/>
      <c r="AL321" s="32"/>
      <c r="AM321" s="12"/>
      <c r="AN321" s="1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row>
    <row r="322" spans="1:238" ht="12.75" customHeight="1" thickBot="1">
      <c r="A322" s="199">
        <f t="shared" si="45"/>
        <v>933</v>
      </c>
      <c r="B322" s="57" t="s">
        <v>213</v>
      </c>
      <c r="C322" s="350"/>
      <c r="D322" s="688" t="s">
        <v>1298</v>
      </c>
      <c r="E322" s="56" t="s">
        <v>182</v>
      </c>
      <c r="F322" s="56" t="str">
        <f t="shared" si="40"/>
        <v>nee</v>
      </c>
      <c r="G322" s="351"/>
      <c r="H322" s="352"/>
      <c r="I322" s="465">
        <f t="shared" si="41"/>
        <v>0</v>
      </c>
      <c r="K322" s="613" t="str">
        <f t="shared" si="42"/>
        <v>PQH163</v>
      </c>
      <c r="L322" s="562" t="str">
        <f t="shared" si="43"/>
        <v>PH163</v>
      </c>
      <c r="M322" s="610">
        <f t="shared" si="44"/>
        <v>0</v>
      </c>
      <c r="N322" s="358">
        <v>0</v>
      </c>
      <c r="O322" s="383">
        <v>40.22</v>
      </c>
      <c r="P322" s="33"/>
      <c r="R322" s="32"/>
      <c r="S322" s="32"/>
      <c r="T322" s="32"/>
      <c r="U322" s="32"/>
      <c r="V322" s="32"/>
      <c r="W322" s="32"/>
      <c r="X322" s="32"/>
      <c r="Y322" s="32"/>
      <c r="Z322" s="32"/>
      <c r="AA322" s="32"/>
      <c r="AB322" s="32"/>
      <c r="AC322" s="32"/>
      <c r="AD322" s="32"/>
      <c r="AE322" s="32"/>
      <c r="AF322" s="32"/>
      <c r="AG322" s="32"/>
      <c r="AH322" s="32"/>
      <c r="AI322" s="32"/>
      <c r="AJ322" s="32"/>
      <c r="AK322" s="32"/>
      <c r="AL322" s="32"/>
      <c r="AM322" s="12"/>
      <c r="AN322" s="1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row>
    <row r="323" spans="1:238" ht="12.75" customHeight="1" thickBot="1">
      <c r="A323" s="199">
        <f t="shared" si="45"/>
        <v>934</v>
      </c>
      <c r="B323" s="869" t="s">
        <v>944</v>
      </c>
      <c r="C323" s="198"/>
      <c r="D323" s="682"/>
      <c r="E323" s="198"/>
      <c r="F323" s="198"/>
      <c r="G323" s="198"/>
      <c r="H323" s="198"/>
      <c r="I323" s="474">
        <f>SUM(I317:I322)</f>
        <v>0</v>
      </c>
      <c r="K323" s="613"/>
      <c r="L323" s="562"/>
      <c r="M323" s="594"/>
      <c r="N323" s="371"/>
      <c r="O323" s="372"/>
      <c r="P323" s="33"/>
      <c r="R323" s="32"/>
      <c r="S323" s="32"/>
      <c r="T323" s="32"/>
      <c r="U323" s="32"/>
      <c r="V323" s="32"/>
      <c r="W323" s="32"/>
      <c r="X323" s="32"/>
      <c r="Y323" s="32"/>
      <c r="Z323" s="32"/>
      <c r="AA323" s="32"/>
      <c r="AB323" s="32"/>
      <c r="AC323" s="32"/>
      <c r="AD323" s="32"/>
      <c r="AE323" s="32"/>
      <c r="AF323" s="32"/>
      <c r="AG323" s="32"/>
      <c r="AH323" s="32"/>
      <c r="AI323" s="32"/>
      <c r="AJ323" s="32"/>
      <c r="AK323" s="32"/>
      <c r="AL323" s="32"/>
      <c r="AM323" s="12"/>
      <c r="AN323" s="1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row>
    <row r="324" spans="1:238" ht="12.75" customHeight="1">
      <c r="A324" s="369"/>
      <c r="B324" s="33"/>
      <c r="C324" s="45"/>
      <c r="D324" s="81"/>
      <c r="E324" s="362"/>
      <c r="F324" s="46"/>
      <c r="G324" s="695"/>
      <c r="H324" s="696"/>
      <c r="I324" s="59" t="s">
        <v>1435</v>
      </c>
      <c r="K324" s="613"/>
      <c r="L324" s="562"/>
      <c r="N324" s="371"/>
      <c r="O324" s="372"/>
      <c r="P324" s="33"/>
      <c r="R324" s="32"/>
      <c r="S324" s="32"/>
      <c r="T324" s="32"/>
      <c r="U324" s="32"/>
      <c r="V324" s="32"/>
      <c r="W324" s="32"/>
      <c r="X324" s="32"/>
      <c r="Y324" s="32"/>
      <c r="Z324" s="32"/>
      <c r="AA324" s="32"/>
      <c r="AB324" s="32"/>
      <c r="AC324" s="32"/>
      <c r="AD324" s="32"/>
      <c r="AE324" s="32"/>
      <c r="AF324" s="32"/>
      <c r="AG324" s="32"/>
      <c r="AH324" s="32"/>
      <c r="AI324" s="32"/>
      <c r="AJ324" s="32"/>
      <c r="AK324" s="32"/>
      <c r="AL324" s="32"/>
      <c r="AM324" s="12"/>
      <c r="AN324" s="1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row>
    <row r="325" spans="1:238" ht="12.75" customHeight="1">
      <c r="A325" s="369"/>
      <c r="B325" s="33"/>
      <c r="C325" s="45"/>
      <c r="D325" s="81"/>
      <c r="E325" s="362"/>
      <c r="F325" s="46"/>
      <c r="G325" s="695"/>
      <c r="H325" s="696"/>
      <c r="I325" s="59" t="str">
        <f>$I$6</f>
        <v>120 / </v>
      </c>
      <c r="K325" s="613"/>
      <c r="L325" s="562"/>
      <c r="N325" s="371"/>
      <c r="O325" s="372"/>
      <c r="P325" s="33"/>
      <c r="R325" s="32"/>
      <c r="S325" s="32"/>
      <c r="T325" s="32"/>
      <c r="U325" s="32"/>
      <c r="V325" s="32"/>
      <c r="W325" s="32"/>
      <c r="X325" s="32"/>
      <c r="Y325" s="32"/>
      <c r="Z325" s="32"/>
      <c r="AA325" s="32"/>
      <c r="AB325" s="32"/>
      <c r="AC325" s="32"/>
      <c r="AD325" s="32"/>
      <c r="AE325" s="32"/>
      <c r="AF325" s="32"/>
      <c r="AG325" s="32"/>
      <c r="AH325" s="32"/>
      <c r="AI325" s="32"/>
      <c r="AJ325" s="32"/>
      <c r="AK325" s="32"/>
      <c r="AL325" s="32"/>
      <c r="AM325" s="12"/>
      <c r="AN325" s="1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row>
    <row r="326" spans="1:238" ht="12.75" customHeight="1">
      <c r="A326" s="44" t="s">
        <v>738</v>
      </c>
      <c r="B326" s="367" t="s">
        <v>865</v>
      </c>
      <c r="C326" s="33"/>
      <c r="D326" s="46"/>
      <c r="E326" s="697" t="s">
        <v>1172</v>
      </c>
      <c r="F326" s="698" t="s">
        <v>567</v>
      </c>
      <c r="G326" s="699" t="s">
        <v>468</v>
      </c>
      <c r="H326" s="697" t="s">
        <v>1173</v>
      </c>
      <c r="I326" s="698" t="s">
        <v>987</v>
      </c>
      <c r="J326" s="361"/>
      <c r="K326" s="613"/>
      <c r="L326" s="562"/>
      <c r="N326" s="371"/>
      <c r="O326" s="372"/>
      <c r="P326" s="33"/>
      <c r="R326" s="32"/>
      <c r="S326" s="32"/>
      <c r="T326" s="32"/>
      <c r="U326" s="32"/>
      <c r="V326" s="32"/>
      <c r="W326" s="32"/>
      <c r="X326" s="32"/>
      <c r="Y326" s="32"/>
      <c r="Z326" s="32"/>
      <c r="AA326" s="32"/>
      <c r="AB326" s="32"/>
      <c r="AC326" s="32"/>
      <c r="AD326" s="32"/>
      <c r="AE326" s="32"/>
      <c r="AF326" s="32"/>
      <c r="AG326" s="32"/>
      <c r="AH326" s="32"/>
      <c r="AI326" s="32"/>
      <c r="AJ326" s="32"/>
      <c r="AK326" s="32"/>
      <c r="AL326" s="32"/>
      <c r="AM326" s="12"/>
      <c r="AN326" s="1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row>
    <row r="327" spans="1:238" s="90" customFormat="1" ht="12.75" customHeight="1">
      <c r="A327" s="61"/>
      <c r="B327" s="31" t="s">
        <v>209</v>
      </c>
      <c r="C327" s="32"/>
      <c r="D327" s="61"/>
      <c r="E327" s="700" t="s">
        <v>1175</v>
      </c>
      <c r="F327" s="701" t="s">
        <v>1176</v>
      </c>
      <c r="G327" s="700" t="s">
        <v>489</v>
      </c>
      <c r="H327" s="700" t="s">
        <v>1177</v>
      </c>
      <c r="I327" s="701" t="s">
        <v>179</v>
      </c>
      <c r="J327" s="370"/>
      <c r="K327" s="562"/>
      <c r="L327" s="562"/>
      <c r="M327" s="414"/>
      <c r="N327" s="61"/>
      <c r="O327" s="380"/>
      <c r="P327" s="33"/>
      <c r="Q327" s="61"/>
      <c r="R327" s="32"/>
      <c r="S327" s="32"/>
      <c r="T327" s="32"/>
      <c r="U327" s="32"/>
      <c r="V327" s="32"/>
      <c r="W327" s="32"/>
      <c r="X327" s="16"/>
      <c r="Y327" s="16"/>
      <c r="Z327" s="16"/>
      <c r="AA327" s="16"/>
      <c r="AB327" s="16"/>
      <c r="AC327" s="16"/>
      <c r="AD327" s="16"/>
      <c r="AE327" s="16"/>
      <c r="AF327" s="16"/>
      <c r="AG327" s="16"/>
      <c r="AH327" s="16"/>
      <c r="AI327" s="16"/>
      <c r="AJ327" s="16"/>
      <c r="AK327" s="16"/>
      <c r="AL327" s="16"/>
      <c r="AM327" s="12"/>
      <c r="AN327" s="12"/>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c r="FM327" s="16"/>
      <c r="FN327" s="16"/>
      <c r="FO327" s="16"/>
      <c r="FP327" s="16"/>
      <c r="FQ327" s="16"/>
      <c r="FR327" s="16"/>
      <c r="FS327" s="16"/>
      <c r="FT327" s="16"/>
      <c r="FU327" s="16"/>
      <c r="FV327" s="16"/>
      <c r="FW327" s="16"/>
      <c r="FX327" s="16"/>
      <c r="FY327" s="16"/>
      <c r="FZ327" s="16"/>
      <c r="GA327" s="16"/>
      <c r="GB327" s="16"/>
      <c r="GC327" s="16"/>
      <c r="GD327" s="16"/>
      <c r="GE327" s="16"/>
      <c r="GF327" s="16"/>
      <c r="GG327" s="16"/>
      <c r="GH327" s="16"/>
      <c r="GI327" s="16"/>
      <c r="GJ327" s="16"/>
      <c r="GK327" s="16"/>
      <c r="GL327" s="16"/>
      <c r="GM327" s="16"/>
      <c r="GN327" s="16"/>
      <c r="GO327" s="16"/>
      <c r="GP327" s="16"/>
      <c r="GQ327" s="16"/>
      <c r="GR327" s="16"/>
      <c r="GS327" s="16"/>
      <c r="GT327" s="16"/>
      <c r="GU327" s="16"/>
      <c r="GV327" s="16"/>
      <c r="GW327" s="16"/>
      <c r="GX327" s="16"/>
      <c r="GY327" s="16"/>
      <c r="GZ327" s="16"/>
      <c r="HA327" s="16"/>
      <c r="HB327" s="16"/>
      <c r="HC327" s="16"/>
      <c r="HD327" s="16"/>
      <c r="HE327" s="16"/>
      <c r="HF327" s="16"/>
      <c r="HG327" s="16"/>
      <c r="HH327" s="16"/>
      <c r="HI327" s="16"/>
      <c r="HJ327" s="16"/>
      <c r="HK327" s="16"/>
      <c r="HL327" s="16"/>
      <c r="HM327" s="16"/>
      <c r="HN327" s="16"/>
      <c r="HO327" s="16"/>
      <c r="HP327" s="16"/>
      <c r="HQ327" s="16"/>
      <c r="HR327" s="16"/>
      <c r="HS327" s="16"/>
      <c r="HT327" s="16"/>
      <c r="HU327" s="16"/>
      <c r="HV327" s="16"/>
      <c r="HW327" s="16"/>
      <c r="HX327" s="16"/>
      <c r="HY327" s="16"/>
      <c r="HZ327" s="16"/>
      <c r="IA327" s="16"/>
      <c r="IB327" s="16"/>
      <c r="IC327" s="16"/>
      <c r="ID327" s="16"/>
    </row>
    <row r="328" spans="1:238" s="90" customFormat="1" ht="12.75" customHeight="1">
      <c r="A328" s="199">
        <v>1001</v>
      </c>
      <c r="B328" s="57" t="s">
        <v>447</v>
      </c>
      <c r="C328" s="350"/>
      <c r="D328" s="376" t="s">
        <v>619</v>
      </c>
      <c r="E328" s="56" t="s">
        <v>182</v>
      </c>
      <c r="F328" s="56" t="str">
        <f>IF($E$29="ja","ja","nee")</f>
        <v>nee</v>
      </c>
      <c r="G328" s="351"/>
      <c r="H328" s="352"/>
      <c r="I328" s="465">
        <f>IF(F328="ja",ROUND(G328*H328,0),0)</f>
        <v>0</v>
      </c>
      <c r="K328" s="562" t="str">
        <f>CONCATENATE("PQ",D328)</f>
        <v>PQH130</v>
      </c>
      <c r="L328" s="562" t="str">
        <f>CONCATENATE("P",D328)</f>
        <v>PH130</v>
      </c>
      <c r="M328" s="604">
        <f>I328*A328</f>
        <v>0</v>
      </c>
      <c r="N328" s="448">
        <v>0</v>
      </c>
      <c r="O328" s="354">
        <v>50.84</v>
      </c>
      <c r="P328" s="33"/>
      <c r="Q328" s="61"/>
      <c r="R328" s="32"/>
      <c r="S328" s="32"/>
      <c r="T328" s="32"/>
      <c r="U328" s="32"/>
      <c r="V328" s="32"/>
      <c r="W328" s="32"/>
      <c r="X328" s="16"/>
      <c r="Y328" s="16"/>
      <c r="Z328" s="16"/>
      <c r="AA328" s="16"/>
      <c r="AB328" s="16"/>
      <c r="AC328" s="16"/>
      <c r="AD328" s="16"/>
      <c r="AE328" s="16"/>
      <c r="AF328" s="16"/>
      <c r="AG328" s="16"/>
      <c r="AH328" s="16"/>
      <c r="AI328" s="16"/>
      <c r="AJ328" s="16"/>
      <c r="AK328" s="16"/>
      <c r="AL328" s="16"/>
      <c r="AM328" s="12"/>
      <c r="AN328" s="12"/>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6"/>
      <c r="FK328" s="16"/>
      <c r="FL328" s="16"/>
      <c r="FM328" s="16"/>
      <c r="FN328" s="16"/>
      <c r="FO328" s="16"/>
      <c r="FP328" s="16"/>
      <c r="FQ328" s="16"/>
      <c r="FR328" s="16"/>
      <c r="FS328" s="16"/>
      <c r="FT328" s="16"/>
      <c r="FU328" s="16"/>
      <c r="FV328" s="16"/>
      <c r="FW328" s="16"/>
      <c r="FX328" s="16"/>
      <c r="FY328" s="16"/>
      <c r="FZ328" s="16"/>
      <c r="GA328" s="16"/>
      <c r="GB328" s="16"/>
      <c r="GC328" s="16"/>
      <c r="GD328" s="16"/>
      <c r="GE328" s="16"/>
      <c r="GF328" s="16"/>
      <c r="GG328" s="16"/>
      <c r="GH328" s="16"/>
      <c r="GI328" s="16"/>
      <c r="GJ328" s="16"/>
      <c r="GK328" s="16"/>
      <c r="GL328" s="16"/>
      <c r="GM328" s="16"/>
      <c r="GN328" s="16"/>
      <c r="GO328" s="16"/>
      <c r="GP328" s="16"/>
      <c r="GQ328" s="16"/>
      <c r="GR328" s="16"/>
      <c r="GS328" s="16"/>
      <c r="GT328" s="16"/>
      <c r="GU328" s="16"/>
      <c r="GV328" s="16"/>
      <c r="GW328" s="16"/>
      <c r="GX328" s="16"/>
      <c r="GY328" s="16"/>
      <c r="GZ328" s="16"/>
      <c r="HA328" s="16"/>
      <c r="HB328" s="16"/>
      <c r="HC328" s="16"/>
      <c r="HD328" s="16"/>
      <c r="HE328" s="16"/>
      <c r="HF328" s="16"/>
      <c r="HG328" s="16"/>
      <c r="HH328" s="16"/>
      <c r="HI328" s="16"/>
      <c r="HJ328" s="16"/>
      <c r="HK328" s="16"/>
      <c r="HL328" s="16"/>
      <c r="HM328" s="16"/>
      <c r="HN328" s="16"/>
      <c r="HO328" s="16"/>
      <c r="HP328" s="16"/>
      <c r="HQ328" s="16"/>
      <c r="HR328" s="16"/>
      <c r="HS328" s="16"/>
      <c r="HT328" s="16"/>
      <c r="HU328" s="16"/>
      <c r="HV328" s="16"/>
      <c r="HW328" s="16"/>
      <c r="HX328" s="16"/>
      <c r="HY328" s="16"/>
      <c r="HZ328" s="16"/>
      <c r="IA328" s="16"/>
      <c r="IB328" s="16"/>
      <c r="IC328" s="16"/>
      <c r="ID328" s="16"/>
    </row>
    <row r="329" spans="1:238" s="90" customFormat="1" ht="12.75" customHeight="1">
      <c r="A329" s="199">
        <f>A328+1</f>
        <v>1002</v>
      </c>
      <c r="B329" s="57" t="s">
        <v>1299</v>
      </c>
      <c r="C329" s="350"/>
      <c r="D329" s="376" t="s">
        <v>620</v>
      </c>
      <c r="E329" s="56" t="s">
        <v>182</v>
      </c>
      <c r="F329" s="56" t="str">
        <f>IF($E$29="ja","ja","nee")</f>
        <v>nee</v>
      </c>
      <c r="G329" s="351"/>
      <c r="H329" s="352"/>
      <c r="I329" s="465">
        <f>IF(F329="ja",ROUND(G329*H329,0),0)</f>
        <v>0</v>
      </c>
      <c r="K329" s="562" t="str">
        <f>CONCATENATE("PQ",D329)</f>
        <v>PQH147</v>
      </c>
      <c r="L329" s="562" t="str">
        <f>CONCATENATE("P",D329)</f>
        <v>PH147</v>
      </c>
      <c r="M329" s="607">
        <f>I329*A329</f>
        <v>0</v>
      </c>
      <c r="N329" s="449">
        <v>0</v>
      </c>
      <c r="O329" s="357">
        <v>92.81</v>
      </c>
      <c r="P329" s="33"/>
      <c r="Q329" s="61"/>
      <c r="R329" s="32"/>
      <c r="S329" s="32"/>
      <c r="T329" s="32"/>
      <c r="U329" s="32"/>
      <c r="V329" s="32"/>
      <c r="W329" s="32"/>
      <c r="X329" s="16"/>
      <c r="Y329" s="16"/>
      <c r="Z329" s="16"/>
      <c r="AA329" s="16"/>
      <c r="AB329" s="16"/>
      <c r="AC329" s="16"/>
      <c r="AD329" s="16"/>
      <c r="AE329" s="16"/>
      <c r="AF329" s="16"/>
      <c r="AG329" s="16"/>
      <c r="AH329" s="16"/>
      <c r="AI329" s="16"/>
      <c r="AJ329" s="16"/>
      <c r="AK329" s="16"/>
      <c r="AL329" s="16"/>
      <c r="AM329" s="12"/>
      <c r="AN329" s="12"/>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6"/>
      <c r="FK329" s="16"/>
      <c r="FL329" s="16"/>
      <c r="FM329" s="16"/>
      <c r="FN329" s="16"/>
      <c r="FO329" s="16"/>
      <c r="FP329" s="16"/>
      <c r="FQ329" s="16"/>
      <c r="FR329" s="16"/>
      <c r="FS329" s="16"/>
      <c r="FT329" s="16"/>
      <c r="FU329" s="16"/>
      <c r="FV329" s="16"/>
      <c r="FW329" s="16"/>
      <c r="FX329" s="16"/>
      <c r="FY329" s="16"/>
      <c r="FZ329" s="16"/>
      <c r="GA329" s="16"/>
      <c r="GB329" s="16"/>
      <c r="GC329" s="16"/>
      <c r="GD329" s="16"/>
      <c r="GE329" s="16"/>
      <c r="GF329" s="16"/>
      <c r="GG329" s="16"/>
      <c r="GH329" s="16"/>
      <c r="GI329" s="16"/>
      <c r="GJ329" s="16"/>
      <c r="GK329" s="16"/>
      <c r="GL329" s="16"/>
      <c r="GM329" s="16"/>
      <c r="GN329" s="16"/>
      <c r="GO329" s="16"/>
      <c r="GP329" s="16"/>
      <c r="GQ329" s="16"/>
      <c r="GR329" s="16"/>
      <c r="GS329" s="16"/>
      <c r="GT329" s="16"/>
      <c r="GU329" s="16"/>
      <c r="GV329" s="16"/>
      <c r="GW329" s="16"/>
      <c r="GX329" s="16"/>
      <c r="GY329" s="16"/>
      <c r="GZ329" s="16"/>
      <c r="HA329" s="16"/>
      <c r="HB329" s="16"/>
      <c r="HC329" s="16"/>
      <c r="HD329" s="16"/>
      <c r="HE329" s="16"/>
      <c r="HF329" s="16"/>
      <c r="HG329" s="16"/>
      <c r="HH329" s="16"/>
      <c r="HI329" s="16"/>
      <c r="HJ329" s="16"/>
      <c r="HK329" s="16"/>
      <c r="HL329" s="16"/>
      <c r="HM329" s="16"/>
      <c r="HN329" s="16"/>
      <c r="HO329" s="16"/>
      <c r="HP329" s="16"/>
      <c r="HQ329" s="16"/>
      <c r="HR329" s="16"/>
      <c r="HS329" s="16"/>
      <c r="HT329" s="16"/>
      <c r="HU329" s="16"/>
      <c r="HV329" s="16"/>
      <c r="HW329" s="16"/>
      <c r="HX329" s="16"/>
      <c r="HY329" s="16"/>
      <c r="HZ329" s="16"/>
      <c r="IA329" s="16"/>
      <c r="IB329" s="16"/>
      <c r="IC329" s="16"/>
      <c r="ID329" s="16"/>
    </row>
    <row r="330" spans="1:238" s="90" customFormat="1" ht="12.75" customHeight="1">
      <c r="A330" s="199">
        <f>A329+1</f>
        <v>1003</v>
      </c>
      <c r="B330" s="57" t="s">
        <v>1300</v>
      </c>
      <c r="C330" s="350"/>
      <c r="D330" s="376" t="s">
        <v>1107</v>
      </c>
      <c r="E330" s="56" t="s">
        <v>182</v>
      </c>
      <c r="F330" s="56" t="str">
        <f>IF($E$29="ja","ja","nee")</f>
        <v>nee</v>
      </c>
      <c r="G330" s="351"/>
      <c r="H330" s="352"/>
      <c r="I330" s="465">
        <f>IF(F330="ja",ROUND(G330*H330,0),0)</f>
        <v>0</v>
      </c>
      <c r="K330" s="562" t="str">
        <f>CONCATENATE("PQ",D330)</f>
        <v>PQH142</v>
      </c>
      <c r="L330" s="562" t="str">
        <f>CONCATENATE("P",D330)</f>
        <v>PH142</v>
      </c>
      <c r="M330" s="638">
        <f>I330*A330</f>
        <v>0</v>
      </c>
      <c r="N330" s="529">
        <v>0</v>
      </c>
      <c r="O330" s="530">
        <v>106.73</v>
      </c>
      <c r="P330" s="12"/>
      <c r="R330" s="16"/>
      <c r="S330" s="16"/>
      <c r="T330" s="16"/>
      <c r="U330" s="16"/>
      <c r="V330" s="16"/>
      <c r="W330" s="16"/>
      <c r="X330" s="16"/>
      <c r="Y330" s="16"/>
      <c r="Z330" s="16"/>
      <c r="AA330" s="16"/>
      <c r="AB330" s="16"/>
      <c r="AC330" s="16"/>
      <c r="AD330" s="16"/>
      <c r="AE330" s="16"/>
      <c r="AF330" s="16"/>
      <c r="AG330" s="16"/>
      <c r="AH330" s="16"/>
      <c r="AI330" s="16"/>
      <c r="AJ330" s="16"/>
      <c r="AK330" s="16"/>
      <c r="AL330" s="16"/>
      <c r="AM330" s="12"/>
      <c r="AN330" s="12"/>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c r="ES330" s="16"/>
      <c r="ET330" s="16"/>
      <c r="EU330" s="16"/>
      <c r="EV330" s="16"/>
      <c r="EW330" s="16"/>
      <c r="EX330" s="16"/>
      <c r="EY330" s="16"/>
      <c r="EZ330" s="16"/>
      <c r="FA330" s="16"/>
      <c r="FB330" s="16"/>
      <c r="FC330" s="16"/>
      <c r="FD330" s="16"/>
      <c r="FE330" s="16"/>
      <c r="FF330" s="16"/>
      <c r="FG330" s="16"/>
      <c r="FH330" s="16"/>
      <c r="FI330" s="16"/>
      <c r="FJ330" s="16"/>
      <c r="FK330" s="16"/>
      <c r="FL330" s="16"/>
      <c r="FM330" s="16"/>
      <c r="FN330" s="16"/>
      <c r="FO330" s="16"/>
      <c r="FP330" s="16"/>
      <c r="FQ330" s="16"/>
      <c r="FR330" s="16"/>
      <c r="FS330" s="16"/>
      <c r="FT330" s="16"/>
      <c r="FU330" s="16"/>
      <c r="FV330" s="16"/>
      <c r="FW330" s="16"/>
      <c r="FX330" s="16"/>
      <c r="FY330" s="16"/>
      <c r="FZ330" s="16"/>
      <c r="GA330" s="16"/>
      <c r="GB330" s="16"/>
      <c r="GC330" s="16"/>
      <c r="GD330" s="16"/>
      <c r="GE330" s="16"/>
      <c r="GF330" s="16"/>
      <c r="GG330" s="16"/>
      <c r="GH330" s="16"/>
      <c r="GI330" s="16"/>
      <c r="GJ330" s="16"/>
      <c r="GK330" s="16"/>
      <c r="GL330" s="16"/>
      <c r="GM330" s="16"/>
      <c r="GN330" s="16"/>
      <c r="GO330" s="16"/>
      <c r="GP330" s="16"/>
      <c r="GQ330" s="16"/>
      <c r="GR330" s="16"/>
      <c r="GS330" s="16"/>
      <c r="GT330" s="16"/>
      <c r="GU330" s="16"/>
      <c r="GV330" s="16"/>
      <c r="GW330" s="16"/>
      <c r="GX330" s="16"/>
      <c r="GY330" s="16"/>
      <c r="GZ330" s="16"/>
      <c r="HA330" s="16"/>
      <c r="HB330" s="16"/>
      <c r="HC330" s="16"/>
      <c r="HD330" s="16"/>
      <c r="HE330" s="16"/>
      <c r="HF330" s="16"/>
      <c r="HG330" s="16"/>
      <c r="HH330" s="16"/>
      <c r="HI330" s="16"/>
      <c r="HJ330" s="16"/>
      <c r="HK330" s="16"/>
      <c r="HL330" s="16"/>
      <c r="HM330" s="16"/>
      <c r="HN330" s="16"/>
      <c r="HO330" s="16"/>
      <c r="HP330" s="16"/>
      <c r="HQ330" s="16"/>
      <c r="HR330" s="16"/>
      <c r="HS330" s="16"/>
      <c r="HT330" s="16"/>
      <c r="HU330" s="16"/>
      <c r="HV330" s="16"/>
      <c r="HW330" s="16"/>
      <c r="HX330" s="16"/>
      <c r="HY330" s="16"/>
      <c r="HZ330" s="16"/>
      <c r="IA330" s="16"/>
      <c r="IB330" s="16"/>
      <c r="IC330" s="16"/>
      <c r="ID330" s="16"/>
    </row>
    <row r="331" spans="1:238" s="90" customFormat="1" ht="12.75" customHeight="1" thickBot="1">
      <c r="A331" s="199">
        <f>A330+1</f>
        <v>1004</v>
      </c>
      <c r="B331" s="57" t="s">
        <v>1301</v>
      </c>
      <c r="C331" s="350"/>
      <c r="D331" s="376" t="s">
        <v>1108</v>
      </c>
      <c r="E331" s="56" t="s">
        <v>182</v>
      </c>
      <c r="F331" s="56" t="str">
        <f>IF($E$29="ja","ja","nee")</f>
        <v>nee</v>
      </c>
      <c r="G331" s="351"/>
      <c r="H331" s="352"/>
      <c r="I331" s="465">
        <f>IF(F331="ja",ROUND(G331*H331,0),0)</f>
        <v>0</v>
      </c>
      <c r="K331" s="562" t="str">
        <f>CONCATENATE("PQ",D331)</f>
        <v>PQH143</v>
      </c>
      <c r="L331" s="562" t="str">
        <f>CONCATENATE("P",D331)</f>
        <v>PH143</v>
      </c>
      <c r="M331" s="639">
        <f>I331*A331</f>
        <v>0</v>
      </c>
      <c r="N331" s="531">
        <v>0</v>
      </c>
      <c r="O331" s="359">
        <v>110.3</v>
      </c>
      <c r="P331" s="12"/>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2"/>
      <c r="AN331" s="12"/>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c r="ES331" s="16"/>
      <c r="ET331" s="16"/>
      <c r="EU331" s="16"/>
      <c r="EV331" s="16"/>
      <c r="EW331" s="16"/>
      <c r="EX331" s="16"/>
      <c r="EY331" s="16"/>
      <c r="EZ331" s="16"/>
      <c r="FA331" s="16"/>
      <c r="FB331" s="16"/>
      <c r="FC331" s="16"/>
      <c r="FD331" s="16"/>
      <c r="FE331" s="16"/>
      <c r="FF331" s="16"/>
      <c r="FG331" s="16"/>
      <c r="FH331" s="16"/>
      <c r="FI331" s="16"/>
      <c r="FJ331" s="16"/>
      <c r="FK331" s="16"/>
      <c r="FL331" s="16"/>
      <c r="FM331" s="16"/>
      <c r="FN331" s="16"/>
      <c r="FO331" s="16"/>
      <c r="FP331" s="16"/>
      <c r="FQ331" s="16"/>
      <c r="FR331" s="16"/>
      <c r="FS331" s="16"/>
      <c r="FT331" s="16"/>
      <c r="FU331" s="16"/>
      <c r="FV331" s="16"/>
      <c r="FW331" s="16"/>
      <c r="FX331" s="16"/>
      <c r="FY331" s="16"/>
      <c r="FZ331" s="16"/>
      <c r="GA331" s="16"/>
      <c r="GB331" s="16"/>
      <c r="GC331" s="16"/>
      <c r="GD331" s="16"/>
      <c r="GE331" s="16"/>
      <c r="GF331" s="16"/>
      <c r="GG331" s="16"/>
      <c r="GH331" s="16"/>
      <c r="GI331" s="16"/>
      <c r="GJ331" s="16"/>
      <c r="GK331" s="16"/>
      <c r="GL331" s="16"/>
      <c r="GM331" s="16"/>
      <c r="GN331" s="16"/>
      <c r="GO331" s="16"/>
      <c r="GP331" s="16"/>
      <c r="GQ331" s="16"/>
      <c r="GR331" s="16"/>
      <c r="GS331" s="16"/>
      <c r="GT331" s="16"/>
      <c r="GU331" s="16"/>
      <c r="GV331" s="16"/>
      <c r="GW331" s="16"/>
      <c r="GX331" s="16"/>
      <c r="GY331" s="16"/>
      <c r="GZ331" s="16"/>
      <c r="HA331" s="16"/>
      <c r="HB331" s="16"/>
      <c r="HC331" s="16"/>
      <c r="HD331" s="16"/>
      <c r="HE331" s="16"/>
      <c r="HF331" s="16"/>
      <c r="HG331" s="16"/>
      <c r="HH331" s="16"/>
      <c r="HI331" s="16"/>
      <c r="HJ331" s="16"/>
      <c r="HK331" s="16"/>
      <c r="HL331" s="16"/>
      <c r="HM331" s="16"/>
      <c r="HN331" s="16"/>
      <c r="HO331" s="16"/>
      <c r="HP331" s="16"/>
      <c r="HQ331" s="16"/>
      <c r="HR331" s="16"/>
      <c r="HS331" s="16"/>
      <c r="HT331" s="16"/>
      <c r="HU331" s="16"/>
      <c r="HV331" s="16"/>
      <c r="HW331" s="16"/>
      <c r="HX331" s="16"/>
      <c r="HY331" s="16"/>
      <c r="HZ331" s="16"/>
      <c r="IA331" s="16"/>
      <c r="IB331" s="16"/>
      <c r="IC331" s="16"/>
      <c r="ID331" s="16"/>
    </row>
    <row r="332" spans="1:238" s="90" customFormat="1" ht="12.75" customHeight="1" thickBot="1">
      <c r="A332" s="199">
        <f>A331+1</f>
        <v>1005</v>
      </c>
      <c r="B332" s="869" t="s">
        <v>945</v>
      </c>
      <c r="C332" s="198"/>
      <c r="D332" s="682"/>
      <c r="E332" s="198"/>
      <c r="F332" s="198"/>
      <c r="G332" s="198"/>
      <c r="H332" s="198"/>
      <c r="I332" s="474">
        <f>SUM(I328:I331)</f>
        <v>0</v>
      </c>
      <c r="K332" s="562"/>
      <c r="L332" s="562"/>
      <c r="M332" s="629"/>
      <c r="N332" s="532"/>
      <c r="O332" s="533"/>
      <c r="P332" s="12"/>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2"/>
      <c r="AN332" s="12"/>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c r="ES332" s="16"/>
      <c r="ET332" s="16"/>
      <c r="EU332" s="16"/>
      <c r="EV332" s="16"/>
      <c r="EW332" s="16"/>
      <c r="EX332" s="16"/>
      <c r="EY332" s="16"/>
      <c r="EZ332" s="16"/>
      <c r="FA332" s="16"/>
      <c r="FB332" s="16"/>
      <c r="FC332" s="16"/>
      <c r="FD332" s="16"/>
      <c r="FE332" s="16"/>
      <c r="FF332" s="16"/>
      <c r="FG332" s="16"/>
      <c r="FH332" s="16"/>
      <c r="FI332" s="16"/>
      <c r="FJ332" s="16"/>
      <c r="FK332" s="16"/>
      <c r="FL332" s="16"/>
      <c r="FM332" s="16"/>
      <c r="FN332" s="16"/>
      <c r="FO332" s="16"/>
      <c r="FP332" s="16"/>
      <c r="FQ332" s="16"/>
      <c r="FR332" s="16"/>
      <c r="FS332" s="16"/>
      <c r="FT332" s="16"/>
      <c r="FU332" s="16"/>
      <c r="FV332" s="16"/>
      <c r="FW332" s="16"/>
      <c r="FX332" s="16"/>
      <c r="FY332" s="16"/>
      <c r="FZ332" s="16"/>
      <c r="GA332" s="16"/>
      <c r="GB332" s="16"/>
      <c r="GC332" s="16"/>
      <c r="GD332" s="16"/>
      <c r="GE332" s="16"/>
      <c r="GF332" s="16"/>
      <c r="GG332" s="16"/>
      <c r="GH332" s="16"/>
      <c r="GI332" s="16"/>
      <c r="GJ332" s="16"/>
      <c r="GK332" s="16"/>
      <c r="GL332" s="16"/>
      <c r="GM332" s="16"/>
      <c r="GN332" s="16"/>
      <c r="GO332" s="16"/>
      <c r="GP332" s="16"/>
      <c r="GQ332" s="16"/>
      <c r="GR332" s="16"/>
      <c r="GS332" s="16"/>
      <c r="GT332" s="16"/>
      <c r="GU332" s="16"/>
      <c r="GV332" s="16"/>
      <c r="GW332" s="16"/>
      <c r="GX332" s="16"/>
      <c r="GY332" s="16"/>
      <c r="GZ332" s="16"/>
      <c r="HA332" s="16"/>
      <c r="HB332" s="16"/>
      <c r="HC332" s="16"/>
      <c r="HD332" s="16"/>
      <c r="HE332" s="16"/>
      <c r="HF332" s="16"/>
      <c r="HG332" s="16"/>
      <c r="HH332" s="16"/>
      <c r="HI332" s="16"/>
      <c r="HJ332" s="16"/>
      <c r="HK332" s="16"/>
      <c r="HL332" s="16"/>
      <c r="HM332" s="16"/>
      <c r="HN332" s="16"/>
      <c r="HO332" s="16"/>
      <c r="HP332" s="16"/>
      <c r="HQ332" s="16"/>
      <c r="HR332" s="16"/>
      <c r="HS332" s="16"/>
      <c r="HT332" s="16"/>
      <c r="HU332" s="16"/>
      <c r="HV332" s="16"/>
      <c r="HW332" s="16"/>
      <c r="HX332" s="16"/>
      <c r="HY332" s="16"/>
      <c r="HZ332" s="16"/>
      <c r="IA332" s="16"/>
      <c r="IB332" s="16"/>
      <c r="IC332" s="16"/>
      <c r="ID332" s="16"/>
    </row>
    <row r="333" spans="1:238" s="90" customFormat="1" ht="12.75" customHeight="1">
      <c r="A333" s="360"/>
      <c r="B333" s="12"/>
      <c r="C333" s="12"/>
      <c r="D333" s="360"/>
      <c r="E333" s="360"/>
      <c r="F333" s="360"/>
      <c r="G333" s="361"/>
      <c r="H333" s="685"/>
      <c r="I333" s="59"/>
      <c r="K333" s="562"/>
      <c r="L333" s="562"/>
      <c r="M333" s="629"/>
      <c r="N333" s="532"/>
      <c r="O333" s="533"/>
      <c r="P333" s="12"/>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2"/>
      <c r="AN333" s="12"/>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c r="ES333" s="16"/>
      <c r="ET333" s="16"/>
      <c r="EU333" s="16"/>
      <c r="EV333" s="16"/>
      <c r="EW333" s="16"/>
      <c r="EX333" s="16"/>
      <c r="EY333" s="16"/>
      <c r="EZ333" s="16"/>
      <c r="FA333" s="16"/>
      <c r="FB333" s="16"/>
      <c r="FC333" s="16"/>
      <c r="FD333" s="16"/>
      <c r="FE333" s="16"/>
      <c r="FF333" s="16"/>
      <c r="FG333" s="16"/>
      <c r="FH333" s="16"/>
      <c r="FI333" s="16"/>
      <c r="FJ333" s="16"/>
      <c r="FK333" s="16"/>
      <c r="FL333" s="16"/>
      <c r="FM333" s="16"/>
      <c r="FN333" s="16"/>
      <c r="FO333" s="16"/>
      <c r="FP333" s="16"/>
      <c r="FQ333" s="16"/>
      <c r="FR333" s="16"/>
      <c r="FS333" s="16"/>
      <c r="FT333" s="16"/>
      <c r="FU333" s="16"/>
      <c r="FV333" s="16"/>
      <c r="FW333" s="16"/>
      <c r="FX333" s="16"/>
      <c r="FY333" s="16"/>
      <c r="FZ333" s="16"/>
      <c r="GA333" s="16"/>
      <c r="GB333" s="16"/>
      <c r="GC333" s="16"/>
      <c r="GD333" s="16"/>
      <c r="GE333" s="16"/>
      <c r="GF333" s="16"/>
      <c r="GG333" s="16"/>
      <c r="GH333" s="16"/>
      <c r="GI333" s="16"/>
      <c r="GJ333" s="16"/>
      <c r="GK333" s="16"/>
      <c r="GL333" s="16"/>
      <c r="GM333" s="16"/>
      <c r="GN333" s="16"/>
      <c r="GO333" s="16"/>
      <c r="GP333" s="16"/>
      <c r="GQ333" s="16"/>
      <c r="GR333" s="16"/>
      <c r="GS333" s="16"/>
      <c r="GT333" s="16"/>
      <c r="GU333" s="16"/>
      <c r="GV333" s="16"/>
      <c r="GW333" s="16"/>
      <c r="GX333" s="16"/>
      <c r="GY333" s="16"/>
      <c r="GZ333" s="16"/>
      <c r="HA333" s="16"/>
      <c r="HB333" s="16"/>
      <c r="HC333" s="16"/>
      <c r="HD333" s="16"/>
      <c r="HE333" s="16"/>
      <c r="HF333" s="16"/>
      <c r="HG333" s="16"/>
      <c r="HH333" s="16"/>
      <c r="HI333" s="16"/>
      <c r="HJ333" s="16"/>
      <c r="HK333" s="16"/>
      <c r="HL333" s="16"/>
      <c r="HM333" s="16"/>
      <c r="HN333" s="16"/>
      <c r="HO333" s="16"/>
      <c r="HP333" s="16"/>
      <c r="HQ333" s="16"/>
      <c r="HR333" s="16"/>
      <c r="HS333" s="16"/>
      <c r="HT333" s="16"/>
      <c r="HU333" s="16"/>
      <c r="HV333" s="16"/>
      <c r="HW333" s="16"/>
      <c r="HX333" s="16"/>
      <c r="HY333" s="16"/>
      <c r="HZ333" s="16"/>
      <c r="IA333" s="16"/>
      <c r="IB333" s="16"/>
      <c r="IC333" s="16"/>
      <c r="ID333" s="16"/>
    </row>
    <row r="334" spans="1:238" s="90" customFormat="1" ht="12.75" customHeight="1">
      <c r="A334" s="360"/>
      <c r="B334" s="12"/>
      <c r="C334" s="12"/>
      <c r="D334" s="360"/>
      <c r="E334" s="360"/>
      <c r="F334" s="360"/>
      <c r="G334" s="361"/>
      <c r="H334" s="685"/>
      <c r="I334" s="59"/>
      <c r="K334" s="562"/>
      <c r="L334" s="562"/>
      <c r="M334" s="629"/>
      <c r="N334" s="532"/>
      <c r="O334" s="533"/>
      <c r="P334" s="12"/>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2"/>
      <c r="AN334" s="12"/>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c r="ES334" s="16"/>
      <c r="ET334" s="16"/>
      <c r="EU334" s="16"/>
      <c r="EV334" s="16"/>
      <c r="EW334" s="16"/>
      <c r="EX334" s="16"/>
      <c r="EY334" s="16"/>
      <c r="EZ334" s="16"/>
      <c r="FA334" s="16"/>
      <c r="FB334" s="16"/>
      <c r="FC334" s="16"/>
      <c r="FD334" s="16"/>
      <c r="FE334" s="16"/>
      <c r="FF334" s="16"/>
      <c r="FG334" s="16"/>
      <c r="FH334" s="16"/>
      <c r="FI334" s="16"/>
      <c r="FJ334" s="16"/>
      <c r="FK334" s="16"/>
      <c r="FL334" s="16"/>
      <c r="FM334" s="16"/>
      <c r="FN334" s="16"/>
      <c r="FO334" s="16"/>
      <c r="FP334" s="16"/>
      <c r="FQ334" s="16"/>
      <c r="FR334" s="16"/>
      <c r="FS334" s="16"/>
      <c r="FT334" s="16"/>
      <c r="FU334" s="16"/>
      <c r="FV334" s="16"/>
      <c r="FW334" s="16"/>
      <c r="FX334" s="16"/>
      <c r="FY334" s="16"/>
      <c r="FZ334" s="16"/>
      <c r="GA334" s="16"/>
      <c r="GB334" s="16"/>
      <c r="GC334" s="16"/>
      <c r="GD334" s="16"/>
      <c r="GE334" s="16"/>
      <c r="GF334" s="16"/>
      <c r="GG334" s="16"/>
      <c r="GH334" s="16"/>
      <c r="GI334" s="16"/>
      <c r="GJ334" s="16"/>
      <c r="GK334" s="16"/>
      <c r="GL334" s="16"/>
      <c r="GM334" s="16"/>
      <c r="GN334" s="16"/>
      <c r="GO334" s="16"/>
      <c r="GP334" s="16"/>
      <c r="GQ334" s="16"/>
      <c r="GR334" s="16"/>
      <c r="GS334" s="16"/>
      <c r="GT334" s="16"/>
      <c r="GU334" s="16"/>
      <c r="GV334" s="16"/>
      <c r="GW334" s="16"/>
      <c r="GX334" s="16"/>
      <c r="GY334" s="16"/>
      <c r="GZ334" s="16"/>
      <c r="HA334" s="16"/>
      <c r="HB334" s="16"/>
      <c r="HC334" s="16"/>
      <c r="HD334" s="16"/>
      <c r="HE334" s="16"/>
      <c r="HF334" s="16"/>
      <c r="HG334" s="16"/>
      <c r="HH334" s="16"/>
      <c r="HI334" s="16"/>
      <c r="HJ334" s="16"/>
      <c r="HK334" s="16"/>
      <c r="HL334" s="16"/>
      <c r="HM334" s="16"/>
      <c r="HN334" s="16"/>
      <c r="HO334" s="16"/>
      <c r="HP334" s="16"/>
      <c r="HQ334" s="16"/>
      <c r="HR334" s="16"/>
      <c r="HS334" s="16"/>
      <c r="HT334" s="16"/>
      <c r="HU334" s="16"/>
      <c r="HV334" s="16"/>
      <c r="HW334" s="16"/>
      <c r="HX334" s="16"/>
      <c r="HY334" s="16"/>
      <c r="HZ334" s="16"/>
      <c r="IA334" s="16"/>
      <c r="IB334" s="16"/>
      <c r="IC334" s="16"/>
      <c r="ID334" s="16"/>
    </row>
    <row r="335" spans="1:238" s="90" customFormat="1" ht="12.75" customHeight="1">
      <c r="A335" s="44" t="s">
        <v>739</v>
      </c>
      <c r="B335" s="30" t="s">
        <v>863</v>
      </c>
      <c r="C335" s="33"/>
      <c r="D335" s="46"/>
      <c r="E335" s="697" t="s">
        <v>1172</v>
      </c>
      <c r="F335" s="698" t="s">
        <v>567</v>
      </c>
      <c r="G335" s="699" t="s">
        <v>468</v>
      </c>
      <c r="H335" s="697" t="s">
        <v>1173</v>
      </c>
      <c r="I335" s="698" t="s">
        <v>987</v>
      </c>
      <c r="J335" s="526"/>
      <c r="K335" s="613"/>
      <c r="L335" s="562"/>
      <c r="M335" s="415"/>
      <c r="N335" s="532"/>
      <c r="O335" s="533"/>
      <c r="P335" s="12"/>
      <c r="Q335" s="534" t="s">
        <v>884</v>
      </c>
      <c r="R335" s="16"/>
      <c r="S335" s="16"/>
      <c r="T335" s="16"/>
      <c r="U335" s="16"/>
      <c r="V335" s="16"/>
      <c r="W335" s="16"/>
      <c r="X335" s="16"/>
      <c r="Y335" s="16"/>
      <c r="Z335" s="16"/>
      <c r="AA335" s="16"/>
      <c r="AB335" s="16"/>
      <c r="AC335" s="16"/>
      <c r="AD335" s="16"/>
      <c r="AE335" s="16"/>
      <c r="AF335" s="16"/>
      <c r="AG335" s="16"/>
      <c r="AH335" s="16"/>
      <c r="AI335" s="16"/>
      <c r="AJ335" s="16"/>
      <c r="AK335" s="16"/>
      <c r="AL335" s="16"/>
      <c r="AM335" s="12"/>
      <c r="AN335" s="12"/>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c r="ES335" s="16"/>
      <c r="ET335" s="16"/>
      <c r="EU335" s="16"/>
      <c r="EV335" s="16"/>
      <c r="EW335" s="16"/>
      <c r="EX335" s="16"/>
      <c r="EY335" s="16"/>
      <c r="EZ335" s="16"/>
      <c r="FA335" s="16"/>
      <c r="FB335" s="16"/>
      <c r="FC335" s="16"/>
      <c r="FD335" s="16"/>
      <c r="FE335" s="16"/>
      <c r="FF335" s="16"/>
      <c r="FG335" s="16"/>
      <c r="FH335" s="16"/>
      <c r="FI335" s="16"/>
      <c r="FJ335" s="16"/>
      <c r="FK335" s="16"/>
      <c r="FL335" s="16"/>
      <c r="FM335" s="16"/>
      <c r="FN335" s="16"/>
      <c r="FO335" s="16"/>
      <c r="FP335" s="16"/>
      <c r="FQ335" s="16"/>
      <c r="FR335" s="16"/>
      <c r="FS335" s="16"/>
      <c r="FT335" s="16"/>
      <c r="FU335" s="16"/>
      <c r="FV335" s="16"/>
      <c r="FW335" s="16"/>
      <c r="FX335" s="16"/>
      <c r="FY335" s="16"/>
      <c r="FZ335" s="16"/>
      <c r="GA335" s="16"/>
      <c r="GB335" s="16"/>
      <c r="GC335" s="16"/>
      <c r="GD335" s="16"/>
      <c r="GE335" s="16"/>
      <c r="GF335" s="16"/>
      <c r="GG335" s="16"/>
      <c r="GH335" s="16"/>
      <c r="GI335" s="16"/>
      <c r="GJ335" s="16"/>
      <c r="GK335" s="16"/>
      <c r="GL335" s="16"/>
      <c r="GM335" s="16"/>
      <c r="GN335" s="16"/>
      <c r="GO335" s="16"/>
      <c r="GP335" s="16"/>
      <c r="GQ335" s="16"/>
      <c r="GR335" s="16"/>
      <c r="GS335" s="16"/>
      <c r="GT335" s="16"/>
      <c r="GU335" s="16"/>
      <c r="GV335" s="16"/>
      <c r="GW335" s="16"/>
      <c r="GX335" s="16"/>
      <c r="GY335" s="16"/>
      <c r="GZ335" s="16"/>
      <c r="HA335" s="16"/>
      <c r="HB335" s="16"/>
      <c r="HC335" s="16"/>
      <c r="HD335" s="16"/>
      <c r="HE335" s="16"/>
      <c r="HF335" s="16"/>
      <c r="HG335" s="16"/>
      <c r="HH335" s="16"/>
      <c r="HI335" s="16"/>
      <c r="HJ335" s="16"/>
      <c r="HK335" s="16"/>
      <c r="HL335" s="16"/>
      <c r="HM335" s="16"/>
      <c r="HN335" s="16"/>
      <c r="HO335" s="16"/>
      <c r="HP335" s="16"/>
      <c r="HQ335" s="16"/>
      <c r="HR335" s="16"/>
      <c r="HS335" s="16"/>
      <c r="HT335" s="16"/>
      <c r="HU335" s="16"/>
      <c r="HV335" s="16"/>
      <c r="HW335" s="16"/>
      <c r="HX335" s="16"/>
      <c r="HY335" s="16"/>
      <c r="HZ335" s="16"/>
      <c r="IA335" s="16"/>
      <c r="IB335" s="16"/>
      <c r="IC335" s="16"/>
      <c r="ID335" s="16"/>
    </row>
    <row r="336" spans="1:238" s="90" customFormat="1" ht="12.75" customHeight="1">
      <c r="A336" s="61"/>
      <c r="B336" s="31" t="s">
        <v>209</v>
      </c>
      <c r="C336" s="32"/>
      <c r="D336" s="32"/>
      <c r="E336" s="700" t="s">
        <v>1175</v>
      </c>
      <c r="F336" s="701" t="s">
        <v>1176</v>
      </c>
      <c r="G336" s="700" t="s">
        <v>489</v>
      </c>
      <c r="H336" s="700" t="s">
        <v>1177</v>
      </c>
      <c r="I336" s="701" t="s">
        <v>179</v>
      </c>
      <c r="J336" s="526"/>
      <c r="K336" s="562"/>
      <c r="L336" s="562"/>
      <c r="M336" s="415"/>
      <c r="O336" s="422"/>
      <c r="P336" s="12"/>
      <c r="Q336" s="389" t="s">
        <v>885</v>
      </c>
      <c r="R336" s="16"/>
      <c r="S336" s="16"/>
      <c r="T336" s="16"/>
      <c r="U336" s="16"/>
      <c r="V336" s="16"/>
      <c r="W336" s="16"/>
      <c r="X336" s="16"/>
      <c r="Y336" s="16"/>
      <c r="Z336" s="16"/>
      <c r="AA336" s="16"/>
      <c r="AB336" s="16"/>
      <c r="AC336" s="16"/>
      <c r="AD336" s="16"/>
      <c r="AE336" s="16"/>
      <c r="AF336" s="16"/>
      <c r="AG336" s="16"/>
      <c r="AH336" s="16"/>
      <c r="AI336" s="16"/>
      <c r="AJ336" s="16"/>
      <c r="AK336" s="16"/>
      <c r="AL336" s="16"/>
      <c r="AM336" s="12"/>
      <c r="AN336" s="12"/>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6"/>
      <c r="EV336" s="16"/>
      <c r="EW336" s="16"/>
      <c r="EX336" s="16"/>
      <c r="EY336" s="16"/>
      <c r="EZ336" s="16"/>
      <c r="FA336" s="16"/>
      <c r="FB336" s="16"/>
      <c r="FC336" s="16"/>
      <c r="FD336" s="16"/>
      <c r="FE336" s="16"/>
      <c r="FF336" s="16"/>
      <c r="FG336" s="16"/>
      <c r="FH336" s="16"/>
      <c r="FI336" s="16"/>
      <c r="FJ336" s="16"/>
      <c r="FK336" s="16"/>
      <c r="FL336" s="16"/>
      <c r="FM336" s="16"/>
      <c r="FN336" s="16"/>
      <c r="FO336" s="16"/>
      <c r="FP336" s="16"/>
      <c r="FQ336" s="16"/>
      <c r="FR336" s="16"/>
      <c r="FS336" s="16"/>
      <c r="FT336" s="16"/>
      <c r="FU336" s="16"/>
      <c r="FV336" s="16"/>
      <c r="FW336" s="16"/>
      <c r="FX336" s="16"/>
      <c r="FY336" s="16"/>
      <c r="FZ336" s="16"/>
      <c r="GA336" s="16"/>
      <c r="GB336" s="16"/>
      <c r="GC336" s="16"/>
      <c r="GD336" s="16"/>
      <c r="GE336" s="16"/>
      <c r="GF336" s="16"/>
      <c r="GG336" s="16"/>
      <c r="GH336" s="16"/>
      <c r="GI336" s="16"/>
      <c r="GJ336" s="16"/>
      <c r="GK336" s="16"/>
      <c r="GL336" s="16"/>
      <c r="GM336" s="16"/>
      <c r="GN336" s="16"/>
      <c r="GO336" s="16"/>
      <c r="GP336" s="16"/>
      <c r="GQ336" s="16"/>
      <c r="GR336" s="16"/>
      <c r="GS336" s="16"/>
      <c r="GT336" s="16"/>
      <c r="GU336" s="16"/>
      <c r="GV336" s="16"/>
      <c r="GW336" s="16"/>
      <c r="GX336" s="16"/>
      <c r="GY336" s="16"/>
      <c r="GZ336" s="16"/>
      <c r="HA336" s="16"/>
      <c r="HB336" s="16"/>
      <c r="HC336" s="16"/>
      <c r="HD336" s="16"/>
      <c r="HE336" s="16"/>
      <c r="HF336" s="16"/>
      <c r="HG336" s="16"/>
      <c r="HH336" s="16"/>
      <c r="HI336" s="16"/>
      <c r="HJ336" s="16"/>
      <c r="HK336" s="16"/>
      <c r="HL336" s="16"/>
      <c r="HM336" s="16"/>
      <c r="HN336" s="16"/>
      <c r="HO336" s="16"/>
      <c r="HP336" s="16"/>
      <c r="HQ336" s="16"/>
      <c r="HR336" s="16"/>
      <c r="HS336" s="16"/>
      <c r="HT336" s="16"/>
      <c r="HU336" s="16"/>
      <c r="HV336" s="16"/>
      <c r="HW336" s="16"/>
      <c r="HX336" s="16"/>
      <c r="HY336" s="16"/>
      <c r="HZ336" s="16"/>
      <c r="IA336" s="16"/>
      <c r="IB336" s="16"/>
      <c r="IC336" s="16"/>
      <c r="ID336" s="16"/>
    </row>
    <row r="337" spans="1:238" s="90" customFormat="1" ht="12.75" customHeight="1">
      <c r="A337" s="199">
        <f>A332+1</f>
        <v>1006</v>
      </c>
      <c r="B337" s="57" t="s">
        <v>1302</v>
      </c>
      <c r="C337" s="350"/>
      <c r="D337" s="376" t="s">
        <v>1205</v>
      </c>
      <c r="E337" s="56" t="s">
        <v>195</v>
      </c>
      <c r="F337" s="56" t="str">
        <f>IF(OR($E$28="ja",$E$29="ja"),"ja","nee")</f>
        <v>nee</v>
      </c>
      <c r="G337" s="351"/>
      <c r="H337" s="352"/>
      <c r="I337" s="465">
        <f>IF(F337="ja",ROUND(G337*H337,0),0)</f>
        <v>0</v>
      </c>
      <c r="J337" s="377"/>
      <c r="K337" s="562" t="str">
        <f aca="true" t="shared" si="46" ref="K337:K343">CONCATENATE("PQ",D337)</f>
        <v>PQH113</v>
      </c>
      <c r="L337" s="562" t="str">
        <f aca="true" t="shared" si="47" ref="L337:L343">CONCATENATE("P",D337)</f>
        <v>PH113</v>
      </c>
      <c r="M337" s="637">
        <f aca="true" t="shared" si="48" ref="M337:M345">I337*A337</f>
        <v>0</v>
      </c>
      <c r="N337" s="535">
        <v>0</v>
      </c>
      <c r="O337" s="536">
        <v>32.05</v>
      </c>
      <c r="P337" s="12"/>
      <c r="Q337" s="390">
        <f aca="true" t="shared" si="49" ref="Q337:Q343">IF(I337&gt;0,G337,0)</f>
        <v>0</v>
      </c>
      <c r="R337" s="16"/>
      <c r="S337" s="16"/>
      <c r="T337" s="16"/>
      <c r="U337" s="16"/>
      <c r="V337" s="16"/>
      <c r="W337" s="16"/>
      <c r="X337" s="16"/>
      <c r="Y337" s="16"/>
      <c r="Z337" s="16"/>
      <c r="AA337" s="16"/>
      <c r="AB337" s="16"/>
      <c r="AC337" s="16"/>
      <c r="AD337" s="16"/>
      <c r="AE337" s="16"/>
      <c r="AF337" s="16"/>
      <c r="AG337" s="16"/>
      <c r="AH337" s="16"/>
      <c r="AI337" s="16"/>
      <c r="AJ337" s="16"/>
      <c r="AK337" s="16"/>
      <c r="AL337" s="16"/>
      <c r="AM337" s="12"/>
      <c r="AN337" s="12"/>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c r="ES337" s="16"/>
      <c r="ET337" s="16"/>
      <c r="EU337" s="16"/>
      <c r="EV337" s="16"/>
      <c r="EW337" s="16"/>
      <c r="EX337" s="16"/>
      <c r="EY337" s="16"/>
      <c r="EZ337" s="16"/>
      <c r="FA337" s="16"/>
      <c r="FB337" s="16"/>
      <c r="FC337" s="16"/>
      <c r="FD337" s="16"/>
      <c r="FE337" s="16"/>
      <c r="FF337" s="16"/>
      <c r="FG337" s="16"/>
      <c r="FH337" s="16"/>
      <c r="FI337" s="16"/>
      <c r="FJ337" s="16"/>
      <c r="FK337" s="16"/>
      <c r="FL337" s="16"/>
      <c r="FM337" s="16"/>
      <c r="FN337" s="16"/>
      <c r="FO337" s="16"/>
      <c r="FP337" s="16"/>
      <c r="FQ337" s="16"/>
      <c r="FR337" s="16"/>
      <c r="FS337" s="16"/>
      <c r="FT337" s="16"/>
      <c r="FU337" s="16"/>
      <c r="FV337" s="16"/>
      <c r="FW337" s="16"/>
      <c r="FX337" s="16"/>
      <c r="FY337" s="16"/>
      <c r="FZ337" s="16"/>
      <c r="GA337" s="16"/>
      <c r="GB337" s="16"/>
      <c r="GC337" s="16"/>
      <c r="GD337" s="16"/>
      <c r="GE337" s="16"/>
      <c r="GF337" s="16"/>
      <c r="GG337" s="16"/>
      <c r="GH337" s="16"/>
      <c r="GI337" s="16"/>
      <c r="GJ337" s="16"/>
      <c r="GK337" s="16"/>
      <c r="GL337" s="16"/>
      <c r="GM337" s="16"/>
      <c r="GN337" s="16"/>
      <c r="GO337" s="16"/>
      <c r="GP337" s="16"/>
      <c r="GQ337" s="16"/>
      <c r="GR337" s="16"/>
      <c r="GS337" s="16"/>
      <c r="GT337" s="16"/>
      <c r="GU337" s="16"/>
      <c r="GV337" s="16"/>
      <c r="GW337" s="16"/>
      <c r="GX337" s="16"/>
      <c r="GY337" s="16"/>
      <c r="GZ337" s="16"/>
      <c r="HA337" s="16"/>
      <c r="HB337" s="16"/>
      <c r="HC337" s="16"/>
      <c r="HD337" s="16"/>
      <c r="HE337" s="16"/>
      <c r="HF337" s="16"/>
      <c r="HG337" s="16"/>
      <c r="HH337" s="16"/>
      <c r="HI337" s="16"/>
      <c r="HJ337" s="16"/>
      <c r="HK337" s="16"/>
      <c r="HL337" s="16"/>
      <c r="HM337" s="16"/>
      <c r="HN337" s="16"/>
      <c r="HO337" s="16"/>
      <c r="HP337" s="16"/>
      <c r="HQ337" s="16"/>
      <c r="HR337" s="16"/>
      <c r="HS337" s="16"/>
      <c r="HT337" s="16"/>
      <c r="HU337" s="16"/>
      <c r="HV337" s="16"/>
      <c r="HW337" s="16"/>
      <c r="HX337" s="16"/>
      <c r="HY337" s="16"/>
      <c r="HZ337" s="16"/>
      <c r="IA337" s="16"/>
      <c r="IB337" s="16"/>
      <c r="IC337" s="16"/>
      <c r="ID337" s="16"/>
    </row>
    <row r="338" spans="1:238" s="90" customFormat="1" ht="12.75" customHeight="1">
      <c r="A338" s="199">
        <f>A337+1</f>
        <v>1007</v>
      </c>
      <c r="B338" s="57" t="s">
        <v>1303</v>
      </c>
      <c r="C338" s="350"/>
      <c r="D338" s="376" t="s">
        <v>1206</v>
      </c>
      <c r="E338" s="56" t="s">
        <v>195</v>
      </c>
      <c r="F338" s="56" t="str">
        <f>IF(AND($E$30="ja",OR($E$28="ja",$E$29="ja")),"ja","nee")</f>
        <v>nee</v>
      </c>
      <c r="G338" s="351"/>
      <c r="H338" s="352"/>
      <c r="I338" s="465">
        <f aca="true" t="shared" si="50" ref="I338:I343">IF(F338="ja",ROUND(G338*H338,0),0)</f>
        <v>0</v>
      </c>
      <c r="J338" s="377"/>
      <c r="K338" s="613" t="str">
        <f t="shared" si="46"/>
        <v>PQH172</v>
      </c>
      <c r="L338" s="562" t="str">
        <f t="shared" si="47"/>
        <v>PH172</v>
      </c>
      <c r="M338" s="638">
        <f t="shared" si="48"/>
        <v>0</v>
      </c>
      <c r="N338" s="537">
        <v>0</v>
      </c>
      <c r="O338" s="530">
        <v>58.46</v>
      </c>
      <c r="P338" s="12"/>
      <c r="Q338" s="391">
        <f t="shared" si="49"/>
        <v>0</v>
      </c>
      <c r="R338" s="16"/>
      <c r="S338" s="16"/>
      <c r="T338" s="16"/>
      <c r="U338" s="16"/>
      <c r="V338" s="16"/>
      <c r="W338" s="16"/>
      <c r="X338" s="16"/>
      <c r="Y338" s="16"/>
      <c r="Z338" s="16"/>
      <c r="AA338" s="16"/>
      <c r="AB338" s="16"/>
      <c r="AC338" s="16"/>
      <c r="AD338" s="16"/>
      <c r="AE338" s="16"/>
      <c r="AF338" s="16"/>
      <c r="AG338" s="16"/>
      <c r="AH338" s="16"/>
      <c r="AI338" s="16"/>
      <c r="AJ338" s="16"/>
      <c r="AK338" s="16"/>
      <c r="AL338" s="16"/>
      <c r="AM338" s="12"/>
      <c r="AN338" s="12"/>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c r="ES338" s="16"/>
      <c r="ET338" s="16"/>
      <c r="EU338" s="16"/>
      <c r="EV338" s="16"/>
      <c r="EW338" s="16"/>
      <c r="EX338" s="16"/>
      <c r="EY338" s="16"/>
      <c r="EZ338" s="16"/>
      <c r="FA338" s="16"/>
      <c r="FB338" s="16"/>
      <c r="FC338" s="16"/>
      <c r="FD338" s="16"/>
      <c r="FE338" s="16"/>
      <c r="FF338" s="16"/>
      <c r="FG338" s="16"/>
      <c r="FH338" s="16"/>
      <c r="FI338" s="16"/>
      <c r="FJ338" s="16"/>
      <c r="FK338" s="16"/>
      <c r="FL338" s="16"/>
      <c r="FM338" s="16"/>
      <c r="FN338" s="16"/>
      <c r="FO338" s="16"/>
      <c r="FP338" s="16"/>
      <c r="FQ338" s="16"/>
      <c r="FR338" s="16"/>
      <c r="FS338" s="16"/>
      <c r="FT338" s="16"/>
      <c r="FU338" s="16"/>
      <c r="FV338" s="16"/>
      <c r="FW338" s="16"/>
      <c r="FX338" s="16"/>
      <c r="FY338" s="16"/>
      <c r="FZ338" s="16"/>
      <c r="GA338" s="16"/>
      <c r="GB338" s="16"/>
      <c r="GC338" s="16"/>
      <c r="GD338" s="16"/>
      <c r="GE338" s="16"/>
      <c r="GF338" s="16"/>
      <c r="GG338" s="16"/>
      <c r="GH338" s="16"/>
      <c r="GI338" s="16"/>
      <c r="GJ338" s="16"/>
      <c r="GK338" s="16"/>
      <c r="GL338" s="16"/>
      <c r="GM338" s="16"/>
      <c r="GN338" s="16"/>
      <c r="GO338" s="16"/>
      <c r="GP338" s="16"/>
      <c r="GQ338" s="16"/>
      <c r="GR338" s="16"/>
      <c r="GS338" s="16"/>
      <c r="GT338" s="16"/>
      <c r="GU338" s="16"/>
      <c r="GV338" s="16"/>
      <c r="GW338" s="16"/>
      <c r="GX338" s="16"/>
      <c r="GY338" s="16"/>
      <c r="GZ338" s="16"/>
      <c r="HA338" s="16"/>
      <c r="HB338" s="16"/>
      <c r="HC338" s="16"/>
      <c r="HD338" s="16"/>
      <c r="HE338" s="16"/>
      <c r="HF338" s="16"/>
      <c r="HG338" s="16"/>
      <c r="HH338" s="16"/>
      <c r="HI338" s="16"/>
      <c r="HJ338" s="16"/>
      <c r="HK338" s="16"/>
      <c r="HL338" s="16"/>
      <c r="HM338" s="16"/>
      <c r="HN338" s="16"/>
      <c r="HO338" s="16"/>
      <c r="HP338" s="16"/>
      <c r="HQ338" s="16"/>
      <c r="HR338" s="16"/>
      <c r="HS338" s="16"/>
      <c r="HT338" s="16"/>
      <c r="HU338" s="16"/>
      <c r="HV338" s="16"/>
      <c r="HW338" s="16"/>
      <c r="HX338" s="16"/>
      <c r="HY338" s="16"/>
      <c r="HZ338" s="16"/>
      <c r="IA338" s="16"/>
      <c r="IB338" s="16"/>
      <c r="IC338" s="16"/>
      <c r="ID338" s="16"/>
    </row>
    <row r="339" spans="1:238" s="90" customFormat="1" ht="12.75" customHeight="1">
      <c r="A339" s="199">
        <f aca="true" t="shared" si="51" ref="A339:A345">A338+1</f>
        <v>1008</v>
      </c>
      <c r="B339" s="57" t="s">
        <v>1304</v>
      </c>
      <c r="C339" s="350"/>
      <c r="D339" s="376" t="s">
        <v>621</v>
      </c>
      <c r="E339" s="56" t="s">
        <v>195</v>
      </c>
      <c r="F339" s="56" t="str">
        <f>IF(AND($E$30="ja",OR($E$28="ja",$E$29="ja")),"ja","nee")</f>
        <v>nee</v>
      </c>
      <c r="G339" s="351"/>
      <c r="H339" s="352"/>
      <c r="I339" s="465">
        <f t="shared" si="50"/>
        <v>0</v>
      </c>
      <c r="J339" s="377"/>
      <c r="K339" s="562" t="str">
        <f t="shared" si="46"/>
        <v>PQH173</v>
      </c>
      <c r="L339" s="562" t="str">
        <f t="shared" si="47"/>
        <v>PH173</v>
      </c>
      <c r="M339" s="638">
        <f t="shared" si="48"/>
        <v>0</v>
      </c>
      <c r="N339" s="537">
        <v>0</v>
      </c>
      <c r="O339" s="530">
        <v>58.46</v>
      </c>
      <c r="P339" s="12"/>
      <c r="Q339" s="391">
        <f t="shared" si="49"/>
        <v>0</v>
      </c>
      <c r="R339" s="16"/>
      <c r="S339" s="16"/>
      <c r="T339" s="16"/>
      <c r="U339" s="16"/>
      <c r="V339" s="16"/>
      <c r="W339" s="16"/>
      <c r="X339" s="16"/>
      <c r="Y339" s="16"/>
      <c r="Z339" s="16"/>
      <c r="AA339" s="16"/>
      <c r="AB339" s="16"/>
      <c r="AC339" s="16"/>
      <c r="AD339" s="16"/>
      <c r="AE339" s="16"/>
      <c r="AF339" s="16"/>
      <c r="AG339" s="16"/>
      <c r="AH339" s="16"/>
      <c r="AI339" s="16"/>
      <c r="AJ339" s="16"/>
      <c r="AK339" s="16"/>
      <c r="AL339" s="16"/>
      <c r="AM339" s="12"/>
      <c r="AN339" s="12"/>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c r="ES339" s="16"/>
      <c r="ET339" s="16"/>
      <c r="EU339" s="16"/>
      <c r="EV339" s="16"/>
      <c r="EW339" s="16"/>
      <c r="EX339" s="16"/>
      <c r="EY339" s="16"/>
      <c r="EZ339" s="16"/>
      <c r="FA339" s="16"/>
      <c r="FB339" s="16"/>
      <c r="FC339" s="16"/>
      <c r="FD339" s="16"/>
      <c r="FE339" s="16"/>
      <c r="FF339" s="16"/>
      <c r="FG339" s="16"/>
      <c r="FH339" s="16"/>
      <c r="FI339" s="16"/>
      <c r="FJ339" s="16"/>
      <c r="FK339" s="16"/>
      <c r="FL339" s="16"/>
      <c r="FM339" s="16"/>
      <c r="FN339" s="16"/>
      <c r="FO339" s="16"/>
      <c r="FP339" s="16"/>
      <c r="FQ339" s="16"/>
      <c r="FR339" s="16"/>
      <c r="FS339" s="16"/>
      <c r="FT339" s="16"/>
      <c r="FU339" s="16"/>
      <c r="FV339" s="16"/>
      <c r="FW339" s="16"/>
      <c r="FX339" s="16"/>
      <c r="FY339" s="16"/>
      <c r="FZ339" s="16"/>
      <c r="GA339" s="16"/>
      <c r="GB339" s="16"/>
      <c r="GC339" s="16"/>
      <c r="GD339" s="16"/>
      <c r="GE339" s="16"/>
      <c r="GF339" s="16"/>
      <c r="GG339" s="16"/>
      <c r="GH339" s="16"/>
      <c r="GI339" s="16"/>
      <c r="GJ339" s="16"/>
      <c r="GK339" s="16"/>
      <c r="GL339" s="16"/>
      <c r="GM339" s="16"/>
      <c r="GN339" s="16"/>
      <c r="GO339" s="16"/>
      <c r="GP339" s="16"/>
      <c r="GQ339" s="16"/>
      <c r="GR339" s="16"/>
      <c r="GS339" s="16"/>
      <c r="GT339" s="16"/>
      <c r="GU339" s="16"/>
      <c r="GV339" s="16"/>
      <c r="GW339" s="16"/>
      <c r="GX339" s="16"/>
      <c r="GY339" s="16"/>
      <c r="GZ339" s="16"/>
      <c r="HA339" s="16"/>
      <c r="HB339" s="16"/>
      <c r="HC339" s="16"/>
      <c r="HD339" s="16"/>
      <c r="HE339" s="16"/>
      <c r="HF339" s="16"/>
      <c r="HG339" s="16"/>
      <c r="HH339" s="16"/>
      <c r="HI339" s="16"/>
      <c r="HJ339" s="16"/>
      <c r="HK339" s="16"/>
      <c r="HL339" s="16"/>
      <c r="HM339" s="16"/>
      <c r="HN339" s="16"/>
      <c r="HO339" s="16"/>
      <c r="HP339" s="16"/>
      <c r="HQ339" s="16"/>
      <c r="HR339" s="16"/>
      <c r="HS339" s="16"/>
      <c r="HT339" s="16"/>
      <c r="HU339" s="16"/>
      <c r="HV339" s="16"/>
      <c r="HW339" s="16"/>
      <c r="HX339" s="16"/>
      <c r="HY339" s="16"/>
      <c r="HZ339" s="16"/>
      <c r="IA339" s="16"/>
      <c r="IB339" s="16"/>
      <c r="IC339" s="16"/>
      <c r="ID339" s="16"/>
    </row>
    <row r="340" spans="1:238" s="90" customFormat="1" ht="12.75" customHeight="1">
      <c r="A340" s="199">
        <f t="shared" si="51"/>
        <v>1009</v>
      </c>
      <c r="B340" s="57" t="s">
        <v>1215</v>
      </c>
      <c r="C340" s="350"/>
      <c r="D340" s="376" t="s">
        <v>1207</v>
      </c>
      <c r="E340" s="56" t="s">
        <v>195</v>
      </c>
      <c r="F340" s="56" t="str">
        <f>IF(OR($E$28="ja",$E$29="ja"),"ja","nee")</f>
        <v>nee</v>
      </c>
      <c r="G340" s="351"/>
      <c r="H340" s="352"/>
      <c r="I340" s="465">
        <f t="shared" si="50"/>
        <v>0</v>
      </c>
      <c r="J340" s="377"/>
      <c r="K340" s="562" t="str">
        <f t="shared" si="46"/>
        <v>PQH518</v>
      </c>
      <c r="L340" s="562" t="str">
        <f t="shared" si="47"/>
        <v>PH518</v>
      </c>
      <c r="M340" s="638">
        <f t="shared" si="48"/>
        <v>0</v>
      </c>
      <c r="N340" s="537">
        <v>0</v>
      </c>
      <c r="O340" s="530">
        <v>59.56</v>
      </c>
      <c r="P340" s="12"/>
      <c r="Q340" s="391">
        <f t="shared" si="49"/>
        <v>0</v>
      </c>
      <c r="R340" s="16"/>
      <c r="S340" s="16"/>
      <c r="T340" s="16"/>
      <c r="U340" s="16"/>
      <c r="V340" s="16"/>
      <c r="W340" s="16"/>
      <c r="X340" s="16"/>
      <c r="Y340" s="16"/>
      <c r="Z340" s="16"/>
      <c r="AA340" s="16"/>
      <c r="AB340" s="16"/>
      <c r="AC340" s="16"/>
      <c r="AD340" s="16"/>
      <c r="AE340" s="16"/>
      <c r="AF340" s="16"/>
      <c r="AG340" s="16"/>
      <c r="AH340" s="16"/>
      <c r="AI340" s="16"/>
      <c r="AJ340" s="16"/>
      <c r="AK340" s="16"/>
      <c r="AL340" s="16"/>
      <c r="AM340" s="12"/>
      <c r="AN340" s="12"/>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c r="ES340" s="16"/>
      <c r="ET340" s="16"/>
      <c r="EU340" s="16"/>
      <c r="EV340" s="16"/>
      <c r="EW340" s="16"/>
      <c r="EX340" s="16"/>
      <c r="EY340" s="16"/>
      <c r="EZ340" s="16"/>
      <c r="FA340" s="16"/>
      <c r="FB340" s="16"/>
      <c r="FC340" s="16"/>
      <c r="FD340" s="16"/>
      <c r="FE340" s="16"/>
      <c r="FF340" s="16"/>
      <c r="FG340" s="16"/>
      <c r="FH340" s="16"/>
      <c r="FI340" s="16"/>
      <c r="FJ340" s="16"/>
      <c r="FK340" s="16"/>
      <c r="FL340" s="16"/>
      <c r="FM340" s="16"/>
      <c r="FN340" s="16"/>
      <c r="FO340" s="16"/>
      <c r="FP340" s="16"/>
      <c r="FQ340" s="16"/>
      <c r="FR340" s="16"/>
      <c r="FS340" s="16"/>
      <c r="FT340" s="16"/>
      <c r="FU340" s="16"/>
      <c r="FV340" s="16"/>
      <c r="FW340" s="16"/>
      <c r="FX340" s="16"/>
      <c r="FY340" s="16"/>
      <c r="FZ340" s="16"/>
      <c r="GA340" s="16"/>
      <c r="GB340" s="16"/>
      <c r="GC340" s="16"/>
      <c r="GD340" s="16"/>
      <c r="GE340" s="16"/>
      <c r="GF340" s="16"/>
      <c r="GG340" s="16"/>
      <c r="GH340" s="16"/>
      <c r="GI340" s="16"/>
      <c r="GJ340" s="16"/>
      <c r="GK340" s="16"/>
      <c r="GL340" s="16"/>
      <c r="GM340" s="16"/>
      <c r="GN340" s="16"/>
      <c r="GO340" s="16"/>
      <c r="GP340" s="16"/>
      <c r="GQ340" s="16"/>
      <c r="GR340" s="16"/>
      <c r="GS340" s="16"/>
      <c r="GT340" s="16"/>
      <c r="GU340" s="16"/>
      <c r="GV340" s="16"/>
      <c r="GW340" s="16"/>
      <c r="GX340" s="16"/>
      <c r="GY340" s="16"/>
      <c r="GZ340" s="16"/>
      <c r="HA340" s="16"/>
      <c r="HB340" s="16"/>
      <c r="HC340" s="16"/>
      <c r="HD340" s="16"/>
      <c r="HE340" s="16"/>
      <c r="HF340" s="16"/>
      <c r="HG340" s="16"/>
      <c r="HH340" s="16"/>
      <c r="HI340" s="16"/>
      <c r="HJ340" s="16"/>
      <c r="HK340" s="16"/>
      <c r="HL340" s="16"/>
      <c r="HM340" s="16"/>
      <c r="HN340" s="16"/>
      <c r="HO340" s="16"/>
      <c r="HP340" s="16"/>
      <c r="HQ340" s="16"/>
      <c r="HR340" s="16"/>
      <c r="HS340" s="16"/>
      <c r="HT340" s="16"/>
      <c r="HU340" s="16"/>
      <c r="HV340" s="16"/>
      <c r="HW340" s="16"/>
      <c r="HX340" s="16"/>
      <c r="HY340" s="16"/>
      <c r="HZ340" s="16"/>
      <c r="IA340" s="16"/>
      <c r="IB340" s="16"/>
      <c r="IC340" s="16"/>
      <c r="ID340" s="16"/>
    </row>
    <row r="341" spans="1:238" s="90" customFormat="1" ht="12.75" customHeight="1">
      <c r="A341" s="199">
        <f t="shared" si="51"/>
        <v>1010</v>
      </c>
      <c r="B341" s="57" t="s">
        <v>1305</v>
      </c>
      <c r="C341" s="350"/>
      <c r="D341" s="376" t="s">
        <v>1208</v>
      </c>
      <c r="E341" s="56" t="s">
        <v>195</v>
      </c>
      <c r="F341" s="56" t="str">
        <f>IF(OR($E$28="ja",$E$29="ja"),"ja","nee")</f>
        <v>nee</v>
      </c>
      <c r="G341" s="351"/>
      <c r="H341" s="352"/>
      <c r="I341" s="465">
        <f t="shared" si="50"/>
        <v>0</v>
      </c>
      <c r="J341" s="377"/>
      <c r="K341" s="562" t="str">
        <f t="shared" si="46"/>
        <v>PQH519</v>
      </c>
      <c r="L341" s="562" t="str">
        <f t="shared" si="47"/>
        <v>PH519</v>
      </c>
      <c r="M341" s="638">
        <f t="shared" si="48"/>
        <v>0</v>
      </c>
      <c r="N341" s="537">
        <v>0</v>
      </c>
      <c r="O341" s="530">
        <v>40.44</v>
      </c>
      <c r="P341" s="12"/>
      <c r="Q341" s="391">
        <f t="shared" si="49"/>
        <v>0</v>
      </c>
      <c r="R341" s="16"/>
      <c r="S341" s="16"/>
      <c r="T341" s="16"/>
      <c r="U341" s="16"/>
      <c r="V341" s="16"/>
      <c r="W341" s="16"/>
      <c r="X341" s="16"/>
      <c r="Y341" s="16"/>
      <c r="Z341" s="16"/>
      <c r="AA341" s="16"/>
      <c r="AB341" s="16"/>
      <c r="AC341" s="16"/>
      <c r="AD341" s="16"/>
      <c r="AE341" s="16"/>
      <c r="AF341" s="16"/>
      <c r="AG341" s="16"/>
      <c r="AH341" s="16"/>
      <c r="AI341" s="16"/>
      <c r="AJ341" s="16"/>
      <c r="AK341" s="16"/>
      <c r="AL341" s="16"/>
      <c r="AM341" s="12"/>
      <c r="AN341" s="12"/>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c r="ES341" s="16"/>
      <c r="ET341" s="16"/>
      <c r="EU341" s="16"/>
      <c r="EV341" s="16"/>
      <c r="EW341" s="16"/>
      <c r="EX341" s="16"/>
      <c r="EY341" s="16"/>
      <c r="EZ341" s="16"/>
      <c r="FA341" s="16"/>
      <c r="FB341" s="16"/>
      <c r="FC341" s="16"/>
      <c r="FD341" s="16"/>
      <c r="FE341" s="16"/>
      <c r="FF341" s="16"/>
      <c r="FG341" s="16"/>
      <c r="FH341" s="16"/>
      <c r="FI341" s="16"/>
      <c r="FJ341" s="16"/>
      <c r="FK341" s="16"/>
      <c r="FL341" s="16"/>
      <c r="FM341" s="16"/>
      <c r="FN341" s="16"/>
      <c r="FO341" s="16"/>
      <c r="FP341" s="16"/>
      <c r="FQ341" s="16"/>
      <c r="FR341" s="16"/>
      <c r="FS341" s="16"/>
      <c r="FT341" s="16"/>
      <c r="FU341" s="16"/>
      <c r="FV341" s="16"/>
      <c r="FW341" s="16"/>
      <c r="FX341" s="16"/>
      <c r="FY341" s="16"/>
      <c r="FZ341" s="16"/>
      <c r="GA341" s="16"/>
      <c r="GB341" s="16"/>
      <c r="GC341" s="16"/>
      <c r="GD341" s="16"/>
      <c r="GE341" s="16"/>
      <c r="GF341" s="16"/>
      <c r="GG341" s="16"/>
      <c r="GH341" s="16"/>
      <c r="GI341" s="16"/>
      <c r="GJ341" s="16"/>
      <c r="GK341" s="16"/>
      <c r="GL341" s="16"/>
      <c r="GM341" s="16"/>
      <c r="GN341" s="16"/>
      <c r="GO341" s="16"/>
      <c r="GP341" s="16"/>
      <c r="GQ341" s="16"/>
      <c r="GR341" s="16"/>
      <c r="GS341" s="16"/>
      <c r="GT341" s="16"/>
      <c r="GU341" s="16"/>
      <c r="GV341" s="16"/>
      <c r="GW341" s="16"/>
      <c r="GX341" s="16"/>
      <c r="GY341" s="16"/>
      <c r="GZ341" s="16"/>
      <c r="HA341" s="16"/>
      <c r="HB341" s="16"/>
      <c r="HC341" s="16"/>
      <c r="HD341" s="16"/>
      <c r="HE341" s="16"/>
      <c r="HF341" s="16"/>
      <c r="HG341" s="16"/>
      <c r="HH341" s="16"/>
      <c r="HI341" s="16"/>
      <c r="HJ341" s="16"/>
      <c r="HK341" s="16"/>
      <c r="HL341" s="16"/>
      <c r="HM341" s="16"/>
      <c r="HN341" s="16"/>
      <c r="HO341" s="16"/>
      <c r="HP341" s="16"/>
      <c r="HQ341" s="16"/>
      <c r="HR341" s="16"/>
      <c r="HS341" s="16"/>
      <c r="HT341" s="16"/>
      <c r="HU341" s="16"/>
      <c r="HV341" s="16"/>
      <c r="HW341" s="16"/>
      <c r="HX341" s="16"/>
      <c r="HY341" s="16"/>
      <c r="HZ341" s="16"/>
      <c r="IA341" s="16"/>
      <c r="IB341" s="16"/>
      <c r="IC341" s="16"/>
      <c r="ID341" s="16"/>
    </row>
    <row r="342" spans="1:238" s="90" customFormat="1" ht="12.75" customHeight="1">
      <c r="A342" s="199">
        <f t="shared" si="51"/>
        <v>1011</v>
      </c>
      <c r="B342" s="57" t="s">
        <v>1095</v>
      </c>
      <c r="C342" s="350"/>
      <c r="D342" s="376" t="s">
        <v>1210</v>
      </c>
      <c r="E342" s="56" t="s">
        <v>195</v>
      </c>
      <c r="F342" s="56" t="str">
        <f>IF(OR($E$28="ja",$E$29="ja"),"ja","nee")</f>
        <v>nee</v>
      </c>
      <c r="G342" s="351"/>
      <c r="H342" s="352"/>
      <c r="I342" s="465">
        <f t="shared" si="50"/>
        <v>0</v>
      </c>
      <c r="J342" s="377"/>
      <c r="K342" s="562" t="str">
        <f t="shared" si="46"/>
        <v>PQH521</v>
      </c>
      <c r="L342" s="562" t="str">
        <f t="shared" si="47"/>
        <v>PH521</v>
      </c>
      <c r="M342" s="638">
        <f t="shared" si="48"/>
        <v>0</v>
      </c>
      <c r="N342" s="537">
        <v>0</v>
      </c>
      <c r="O342" s="530">
        <v>45.02</v>
      </c>
      <c r="P342" s="12"/>
      <c r="Q342" s="391">
        <f t="shared" si="49"/>
        <v>0</v>
      </c>
      <c r="R342" s="16"/>
      <c r="S342" s="16"/>
      <c r="T342" s="16"/>
      <c r="U342" s="16"/>
      <c r="V342" s="16"/>
      <c r="W342" s="16"/>
      <c r="X342" s="16"/>
      <c r="Y342" s="16"/>
      <c r="Z342" s="16"/>
      <c r="AA342" s="16"/>
      <c r="AB342" s="16"/>
      <c r="AC342" s="16"/>
      <c r="AD342" s="16"/>
      <c r="AE342" s="16"/>
      <c r="AF342" s="16"/>
      <c r="AG342" s="16"/>
      <c r="AH342" s="16"/>
      <c r="AI342" s="16"/>
      <c r="AJ342" s="16"/>
      <c r="AK342" s="16"/>
      <c r="AL342" s="16"/>
      <c r="AM342" s="12"/>
      <c r="AN342" s="12"/>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c r="EZ342" s="16"/>
      <c r="FA342" s="16"/>
      <c r="FB342" s="16"/>
      <c r="FC342" s="16"/>
      <c r="FD342" s="16"/>
      <c r="FE342" s="16"/>
      <c r="FF342" s="16"/>
      <c r="FG342" s="16"/>
      <c r="FH342" s="16"/>
      <c r="FI342" s="16"/>
      <c r="FJ342" s="16"/>
      <c r="FK342" s="16"/>
      <c r="FL342" s="16"/>
      <c r="FM342" s="16"/>
      <c r="FN342" s="16"/>
      <c r="FO342" s="16"/>
      <c r="FP342" s="16"/>
      <c r="FQ342" s="16"/>
      <c r="FR342" s="16"/>
      <c r="FS342" s="16"/>
      <c r="FT342" s="16"/>
      <c r="FU342" s="16"/>
      <c r="FV342" s="16"/>
      <c r="FW342" s="16"/>
      <c r="FX342" s="16"/>
      <c r="FY342" s="16"/>
      <c r="FZ342" s="16"/>
      <c r="GA342" s="16"/>
      <c r="GB342" s="16"/>
      <c r="GC342" s="16"/>
      <c r="GD342" s="16"/>
      <c r="GE342" s="16"/>
      <c r="GF342" s="16"/>
      <c r="GG342" s="16"/>
      <c r="GH342" s="16"/>
      <c r="GI342" s="16"/>
      <c r="GJ342" s="16"/>
      <c r="GK342" s="16"/>
      <c r="GL342" s="16"/>
      <c r="GM342" s="16"/>
      <c r="GN342" s="16"/>
      <c r="GO342" s="16"/>
      <c r="GP342" s="16"/>
      <c r="GQ342" s="16"/>
      <c r="GR342" s="16"/>
      <c r="GS342" s="16"/>
      <c r="GT342" s="16"/>
      <c r="GU342" s="16"/>
      <c r="GV342" s="16"/>
      <c r="GW342" s="16"/>
      <c r="GX342" s="16"/>
      <c r="GY342" s="16"/>
      <c r="GZ342" s="16"/>
      <c r="HA342" s="16"/>
      <c r="HB342" s="16"/>
      <c r="HC342" s="16"/>
      <c r="HD342" s="16"/>
      <c r="HE342" s="16"/>
      <c r="HF342" s="16"/>
      <c r="HG342" s="16"/>
      <c r="HH342" s="16"/>
      <c r="HI342" s="16"/>
      <c r="HJ342" s="16"/>
      <c r="HK342" s="16"/>
      <c r="HL342" s="16"/>
      <c r="HM342" s="16"/>
      <c r="HN342" s="16"/>
      <c r="HO342" s="16"/>
      <c r="HP342" s="16"/>
      <c r="HQ342" s="16"/>
      <c r="HR342" s="16"/>
      <c r="HS342" s="16"/>
      <c r="HT342" s="16"/>
      <c r="HU342" s="16"/>
      <c r="HV342" s="16"/>
      <c r="HW342" s="16"/>
      <c r="HX342" s="16"/>
      <c r="HY342" s="16"/>
      <c r="HZ342" s="16"/>
      <c r="IA342" s="16"/>
      <c r="IB342" s="16"/>
      <c r="IC342" s="16"/>
      <c r="ID342" s="16"/>
    </row>
    <row r="343" spans="1:238" s="90" customFormat="1" ht="12.75" customHeight="1">
      <c r="A343" s="199">
        <f t="shared" si="51"/>
        <v>1012</v>
      </c>
      <c r="B343" s="57" t="s">
        <v>1098</v>
      </c>
      <c r="C343" s="350"/>
      <c r="D343" s="376" t="s">
        <v>1214</v>
      </c>
      <c r="E343" s="56" t="s">
        <v>195</v>
      </c>
      <c r="F343" s="56" t="str">
        <f>IF(OR($E$28="ja",$E$29="ja"),"ja","nee")</f>
        <v>nee</v>
      </c>
      <c r="G343" s="351"/>
      <c r="H343" s="352"/>
      <c r="I343" s="465">
        <f t="shared" si="50"/>
        <v>0</v>
      </c>
      <c r="J343" s="377"/>
      <c r="K343" s="613" t="str">
        <f t="shared" si="46"/>
        <v>PQH523</v>
      </c>
      <c r="L343" s="562" t="str">
        <f t="shared" si="47"/>
        <v>PH523</v>
      </c>
      <c r="M343" s="638">
        <f t="shared" si="48"/>
        <v>0</v>
      </c>
      <c r="N343" s="537">
        <v>0</v>
      </c>
      <c r="O343" s="357">
        <v>48.09</v>
      </c>
      <c r="P343" s="12"/>
      <c r="Q343" s="391">
        <f t="shared" si="49"/>
        <v>0</v>
      </c>
      <c r="R343" s="16"/>
      <c r="S343" s="16"/>
      <c r="T343" s="16"/>
      <c r="U343" s="16"/>
      <c r="V343" s="16"/>
      <c r="W343" s="16"/>
      <c r="X343" s="16"/>
      <c r="Y343" s="16"/>
      <c r="Z343" s="16"/>
      <c r="AA343" s="16"/>
      <c r="AB343" s="16"/>
      <c r="AC343" s="16"/>
      <c r="AD343" s="16"/>
      <c r="AE343" s="16"/>
      <c r="AF343" s="16"/>
      <c r="AG343" s="16"/>
      <c r="AH343" s="16"/>
      <c r="AI343" s="16"/>
      <c r="AJ343" s="16"/>
      <c r="AK343" s="16"/>
      <c r="AL343" s="16"/>
      <c r="AM343" s="12"/>
      <c r="AN343" s="12"/>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c r="ES343" s="16"/>
      <c r="ET343" s="16"/>
      <c r="EU343" s="16"/>
      <c r="EV343" s="16"/>
      <c r="EW343" s="16"/>
      <c r="EX343" s="16"/>
      <c r="EY343" s="16"/>
      <c r="EZ343" s="16"/>
      <c r="FA343" s="16"/>
      <c r="FB343" s="16"/>
      <c r="FC343" s="16"/>
      <c r="FD343" s="16"/>
      <c r="FE343" s="16"/>
      <c r="FF343" s="16"/>
      <c r="FG343" s="16"/>
      <c r="FH343" s="16"/>
      <c r="FI343" s="16"/>
      <c r="FJ343" s="16"/>
      <c r="FK343" s="16"/>
      <c r="FL343" s="16"/>
      <c r="FM343" s="16"/>
      <c r="FN343" s="16"/>
      <c r="FO343" s="16"/>
      <c r="FP343" s="16"/>
      <c r="FQ343" s="16"/>
      <c r="FR343" s="16"/>
      <c r="FS343" s="16"/>
      <c r="FT343" s="16"/>
      <c r="FU343" s="16"/>
      <c r="FV343" s="16"/>
      <c r="FW343" s="16"/>
      <c r="FX343" s="16"/>
      <c r="FY343" s="16"/>
      <c r="FZ343" s="16"/>
      <c r="GA343" s="16"/>
      <c r="GB343" s="16"/>
      <c r="GC343" s="16"/>
      <c r="GD343" s="16"/>
      <c r="GE343" s="16"/>
      <c r="GF343" s="16"/>
      <c r="GG343" s="16"/>
      <c r="GH343" s="16"/>
      <c r="GI343" s="16"/>
      <c r="GJ343" s="16"/>
      <c r="GK343" s="16"/>
      <c r="GL343" s="16"/>
      <c r="GM343" s="16"/>
      <c r="GN343" s="16"/>
      <c r="GO343" s="16"/>
      <c r="GP343" s="16"/>
      <c r="GQ343" s="16"/>
      <c r="GR343" s="16"/>
      <c r="GS343" s="16"/>
      <c r="GT343" s="16"/>
      <c r="GU343" s="16"/>
      <c r="GV343" s="16"/>
      <c r="GW343" s="16"/>
      <c r="GX343" s="16"/>
      <c r="GY343" s="16"/>
      <c r="GZ343" s="16"/>
      <c r="HA343" s="16"/>
      <c r="HB343" s="16"/>
      <c r="HC343" s="16"/>
      <c r="HD343" s="16"/>
      <c r="HE343" s="16"/>
      <c r="HF343" s="16"/>
      <c r="HG343" s="16"/>
      <c r="HH343" s="16"/>
      <c r="HI343" s="16"/>
      <c r="HJ343" s="16"/>
      <c r="HK343" s="16"/>
      <c r="HL343" s="16"/>
      <c r="HM343" s="16"/>
      <c r="HN343" s="16"/>
      <c r="HO343" s="16"/>
      <c r="HP343" s="16"/>
      <c r="HQ343" s="16"/>
      <c r="HR343" s="16"/>
      <c r="HS343" s="16"/>
      <c r="HT343" s="16"/>
      <c r="HU343" s="16"/>
      <c r="HV343" s="16"/>
      <c r="HW343" s="16"/>
      <c r="HX343" s="16"/>
      <c r="HY343" s="16"/>
      <c r="HZ343" s="16"/>
      <c r="IA343" s="16"/>
      <c r="IB343" s="16"/>
      <c r="IC343" s="16"/>
      <c r="ID343" s="16"/>
    </row>
    <row r="344" spans="1:238" s="90" customFormat="1" ht="12.75" customHeight="1" thickBot="1">
      <c r="A344" s="199">
        <f>A343+1</f>
        <v>1013</v>
      </c>
      <c r="B344" s="57" t="s">
        <v>1284</v>
      </c>
      <c r="C344" s="350"/>
      <c r="D344" s="376" t="s">
        <v>990</v>
      </c>
      <c r="E344" s="56" t="s">
        <v>195</v>
      </c>
      <c r="F344" s="56" t="str">
        <f>IF(OR($E$28="ja",$E$29="ja"),"ja","nee")</f>
        <v>nee</v>
      </c>
      <c r="G344" s="351"/>
      <c r="H344" s="352"/>
      <c r="I344" s="465">
        <f>IF(F344="ja",ROUND(G344*H344,0),0)</f>
        <v>0</v>
      </c>
      <c r="J344" s="377"/>
      <c r="K344" s="613" t="str">
        <f>CONCATENATE("PQ",D344)</f>
        <v>PQH538</v>
      </c>
      <c r="L344" s="562" t="str">
        <f>CONCATENATE("P",D344)</f>
        <v>PH538</v>
      </c>
      <c r="M344" s="639">
        <f>I344*A344</f>
        <v>0</v>
      </c>
      <c r="N344" s="538">
        <v>0</v>
      </c>
      <c r="O344" s="359">
        <v>64.44</v>
      </c>
      <c r="P344" s="12"/>
      <c r="Q344" s="392">
        <f>IF(I344&gt;0,G344,0)</f>
        <v>0</v>
      </c>
      <c r="R344" s="16"/>
      <c r="S344" s="16"/>
      <c r="T344" s="16"/>
      <c r="U344" s="16"/>
      <c r="V344" s="16"/>
      <c r="W344" s="16"/>
      <c r="X344" s="16"/>
      <c r="Y344" s="16"/>
      <c r="Z344" s="16"/>
      <c r="AA344" s="16"/>
      <c r="AB344" s="16"/>
      <c r="AC344" s="16"/>
      <c r="AD344" s="16"/>
      <c r="AE344" s="16"/>
      <c r="AF344" s="16"/>
      <c r="AG344" s="16"/>
      <c r="AH344" s="16"/>
      <c r="AI344" s="16"/>
      <c r="AJ344" s="16"/>
      <c r="AK344" s="16"/>
      <c r="AL344" s="16"/>
      <c r="AM344" s="12"/>
      <c r="AN344" s="12"/>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c r="FM344" s="16"/>
      <c r="FN344" s="16"/>
      <c r="FO344" s="16"/>
      <c r="FP344" s="16"/>
      <c r="FQ344" s="16"/>
      <c r="FR344" s="16"/>
      <c r="FS344" s="16"/>
      <c r="FT344" s="16"/>
      <c r="FU344" s="16"/>
      <c r="FV344" s="16"/>
      <c r="FW344" s="16"/>
      <c r="FX344" s="16"/>
      <c r="FY344" s="16"/>
      <c r="FZ344" s="16"/>
      <c r="GA344" s="16"/>
      <c r="GB344" s="16"/>
      <c r="GC344" s="16"/>
      <c r="GD344" s="16"/>
      <c r="GE344" s="16"/>
      <c r="GF344" s="16"/>
      <c r="GG344" s="16"/>
      <c r="GH344" s="16"/>
      <c r="GI344" s="16"/>
      <c r="GJ344" s="16"/>
      <c r="GK344" s="16"/>
      <c r="GL344" s="16"/>
      <c r="GM344" s="16"/>
      <c r="GN344" s="16"/>
      <c r="GO344" s="16"/>
      <c r="GP344" s="16"/>
      <c r="GQ344" s="16"/>
      <c r="GR344" s="16"/>
      <c r="GS344" s="16"/>
      <c r="GT344" s="16"/>
      <c r="GU344" s="16"/>
      <c r="GV344" s="16"/>
      <c r="GW344" s="16"/>
      <c r="GX344" s="16"/>
      <c r="GY344" s="16"/>
      <c r="GZ344" s="16"/>
      <c r="HA344" s="16"/>
      <c r="HB344" s="16"/>
      <c r="HC344" s="16"/>
      <c r="HD344" s="16"/>
      <c r="HE344" s="16"/>
      <c r="HF344" s="16"/>
      <c r="HG344" s="16"/>
      <c r="HH344" s="16"/>
      <c r="HI344" s="16"/>
      <c r="HJ344" s="16"/>
      <c r="HK344" s="16"/>
      <c r="HL344" s="16"/>
      <c r="HM344" s="16"/>
      <c r="HN344" s="16"/>
      <c r="HO344" s="16"/>
      <c r="HP344" s="16"/>
      <c r="HQ344" s="16"/>
      <c r="HR344" s="16"/>
      <c r="HS344" s="16"/>
      <c r="HT344" s="16"/>
      <c r="HU344" s="16"/>
      <c r="HV344" s="16"/>
      <c r="HW344" s="16"/>
      <c r="HX344" s="16"/>
      <c r="HY344" s="16"/>
      <c r="HZ344" s="16"/>
      <c r="IA344" s="16"/>
      <c r="IB344" s="16"/>
      <c r="IC344" s="16"/>
      <c r="ID344" s="16"/>
    </row>
    <row r="345" spans="1:238" s="90" customFormat="1" ht="12.75" customHeight="1" thickBot="1">
      <c r="A345" s="199">
        <f t="shared" si="51"/>
        <v>1014</v>
      </c>
      <c r="B345" s="365" t="s">
        <v>1269</v>
      </c>
      <c r="C345" s="198"/>
      <c r="D345" s="221"/>
      <c r="E345" s="198"/>
      <c r="F345" s="198"/>
      <c r="G345" s="198"/>
      <c r="H345" s="198"/>
      <c r="I345" s="474">
        <f>SUM(I337:I344)</f>
        <v>0</v>
      </c>
      <c r="J345" s="12"/>
      <c r="K345" s="613"/>
      <c r="L345" s="562"/>
      <c r="M345" s="415">
        <f t="shared" si="48"/>
        <v>0</v>
      </c>
      <c r="O345" s="422"/>
      <c r="P345" s="12"/>
      <c r="Q345" s="418"/>
      <c r="R345" s="16"/>
      <c r="S345" s="16"/>
      <c r="T345" s="16"/>
      <c r="U345" s="16"/>
      <c r="V345" s="16"/>
      <c r="W345" s="16"/>
      <c r="X345" s="16"/>
      <c r="Y345" s="16"/>
      <c r="Z345" s="16"/>
      <c r="AA345" s="16"/>
      <c r="AB345" s="16"/>
      <c r="AC345" s="16"/>
      <c r="AD345" s="16"/>
      <c r="AE345" s="16"/>
      <c r="AF345" s="16"/>
      <c r="AG345" s="16"/>
      <c r="AH345" s="16"/>
      <c r="AI345" s="16"/>
      <c r="AJ345" s="16"/>
      <c r="AK345" s="16"/>
      <c r="AL345" s="16"/>
      <c r="AM345" s="12"/>
      <c r="AN345" s="12"/>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c r="EZ345" s="16"/>
      <c r="FA345" s="16"/>
      <c r="FB345" s="16"/>
      <c r="FC345" s="16"/>
      <c r="FD345" s="16"/>
      <c r="FE345" s="16"/>
      <c r="FF345" s="16"/>
      <c r="FG345" s="16"/>
      <c r="FH345" s="16"/>
      <c r="FI345" s="16"/>
      <c r="FJ345" s="16"/>
      <c r="FK345" s="16"/>
      <c r="FL345" s="16"/>
      <c r="FM345" s="16"/>
      <c r="FN345" s="16"/>
      <c r="FO345" s="16"/>
      <c r="FP345" s="16"/>
      <c r="FQ345" s="16"/>
      <c r="FR345" s="16"/>
      <c r="FS345" s="16"/>
      <c r="FT345" s="16"/>
      <c r="FU345" s="16"/>
      <c r="FV345" s="16"/>
      <c r="FW345" s="16"/>
      <c r="FX345" s="16"/>
      <c r="FY345" s="16"/>
      <c r="FZ345" s="16"/>
      <c r="GA345" s="16"/>
      <c r="GB345" s="16"/>
      <c r="GC345" s="16"/>
      <c r="GD345" s="16"/>
      <c r="GE345" s="16"/>
      <c r="GF345" s="16"/>
      <c r="GG345" s="16"/>
      <c r="GH345" s="16"/>
      <c r="GI345" s="16"/>
      <c r="GJ345" s="16"/>
      <c r="GK345" s="16"/>
      <c r="GL345" s="16"/>
      <c r="GM345" s="16"/>
      <c r="GN345" s="16"/>
      <c r="GO345" s="16"/>
      <c r="GP345" s="16"/>
      <c r="GQ345" s="16"/>
      <c r="GR345" s="16"/>
      <c r="GS345" s="16"/>
      <c r="GT345" s="16"/>
      <c r="GU345" s="16"/>
      <c r="GV345" s="16"/>
      <c r="GW345" s="16"/>
      <c r="GX345" s="16"/>
      <c r="GY345" s="16"/>
      <c r="GZ345" s="16"/>
      <c r="HA345" s="16"/>
      <c r="HB345" s="16"/>
      <c r="HC345" s="16"/>
      <c r="HD345" s="16"/>
      <c r="HE345" s="16"/>
      <c r="HF345" s="16"/>
      <c r="HG345" s="16"/>
      <c r="HH345" s="16"/>
      <c r="HI345" s="16"/>
      <c r="HJ345" s="16"/>
      <c r="HK345" s="16"/>
      <c r="HL345" s="16"/>
      <c r="HM345" s="16"/>
      <c r="HN345" s="16"/>
      <c r="HO345" s="16"/>
      <c r="HP345" s="16"/>
      <c r="HQ345" s="16"/>
      <c r="HR345" s="16"/>
      <c r="HS345" s="16"/>
      <c r="HT345" s="16"/>
      <c r="HU345" s="16"/>
      <c r="HV345" s="16"/>
      <c r="HW345" s="16"/>
      <c r="HX345" s="16"/>
      <c r="HY345" s="16"/>
      <c r="HZ345" s="16"/>
      <c r="IA345" s="16"/>
      <c r="IB345" s="16"/>
      <c r="IC345" s="16"/>
      <c r="ID345" s="16"/>
    </row>
    <row r="346" spans="1:238" s="90" customFormat="1" ht="12.75" customHeight="1">
      <c r="A346" s="80"/>
      <c r="B346" s="32"/>
      <c r="C346" s="32"/>
      <c r="D346" s="32"/>
      <c r="E346" s="32"/>
      <c r="F346" s="33"/>
      <c r="G346" s="32"/>
      <c r="H346" s="32"/>
      <c r="I346" s="469"/>
      <c r="J346" s="16"/>
      <c r="K346" s="562"/>
      <c r="L346" s="562"/>
      <c r="M346" s="415"/>
      <c r="O346" s="422"/>
      <c r="P346" s="12"/>
      <c r="Q346" s="397"/>
      <c r="R346" s="16"/>
      <c r="S346" s="16"/>
      <c r="T346" s="16"/>
      <c r="U346" s="16"/>
      <c r="V346" s="16"/>
      <c r="W346" s="16"/>
      <c r="X346" s="16"/>
      <c r="Y346" s="16"/>
      <c r="Z346" s="16"/>
      <c r="AA346" s="16"/>
      <c r="AB346" s="16"/>
      <c r="AC346" s="16"/>
      <c r="AD346" s="16"/>
      <c r="AE346" s="16"/>
      <c r="AF346" s="16"/>
      <c r="AG346" s="16"/>
      <c r="AH346" s="16"/>
      <c r="AI346" s="16"/>
      <c r="AJ346" s="16"/>
      <c r="AK346" s="16"/>
      <c r="AL346" s="16"/>
      <c r="AM346" s="12"/>
      <c r="AN346" s="12"/>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c r="EZ346" s="16"/>
      <c r="FA346" s="16"/>
      <c r="FB346" s="16"/>
      <c r="FC346" s="16"/>
      <c r="FD346" s="16"/>
      <c r="FE346" s="16"/>
      <c r="FF346" s="16"/>
      <c r="FG346" s="16"/>
      <c r="FH346" s="16"/>
      <c r="FI346" s="16"/>
      <c r="FJ346" s="16"/>
      <c r="FK346" s="16"/>
      <c r="FL346" s="16"/>
      <c r="FM346" s="16"/>
      <c r="FN346" s="16"/>
      <c r="FO346" s="16"/>
      <c r="FP346" s="16"/>
      <c r="FQ346" s="16"/>
      <c r="FR346" s="16"/>
      <c r="FS346" s="16"/>
      <c r="FT346" s="16"/>
      <c r="FU346" s="16"/>
      <c r="FV346" s="16"/>
      <c r="FW346" s="16"/>
      <c r="FX346" s="16"/>
      <c r="FY346" s="16"/>
      <c r="FZ346" s="16"/>
      <c r="GA346" s="16"/>
      <c r="GB346" s="16"/>
      <c r="GC346" s="16"/>
      <c r="GD346" s="16"/>
      <c r="GE346" s="16"/>
      <c r="GF346" s="16"/>
      <c r="GG346" s="16"/>
      <c r="GH346" s="16"/>
      <c r="GI346" s="16"/>
      <c r="GJ346" s="16"/>
      <c r="GK346" s="16"/>
      <c r="GL346" s="16"/>
      <c r="GM346" s="16"/>
      <c r="GN346" s="16"/>
      <c r="GO346" s="16"/>
      <c r="GP346" s="16"/>
      <c r="GQ346" s="16"/>
      <c r="GR346" s="16"/>
      <c r="GS346" s="16"/>
      <c r="GT346" s="16"/>
      <c r="GU346" s="16"/>
      <c r="GV346" s="16"/>
      <c r="GW346" s="16"/>
      <c r="GX346" s="16"/>
      <c r="GY346" s="16"/>
      <c r="GZ346" s="16"/>
      <c r="HA346" s="16"/>
      <c r="HB346" s="16"/>
      <c r="HC346" s="16"/>
      <c r="HD346" s="16"/>
      <c r="HE346" s="16"/>
      <c r="HF346" s="16"/>
      <c r="HG346" s="16"/>
      <c r="HH346" s="16"/>
      <c r="HI346" s="16"/>
      <c r="HJ346" s="16"/>
      <c r="HK346" s="16"/>
      <c r="HL346" s="16"/>
      <c r="HM346" s="16"/>
      <c r="HN346" s="16"/>
      <c r="HO346" s="16"/>
      <c r="HP346" s="16"/>
      <c r="HQ346" s="16"/>
      <c r="HR346" s="16"/>
      <c r="HS346" s="16"/>
      <c r="HT346" s="16"/>
      <c r="HU346" s="16"/>
      <c r="HV346" s="16"/>
      <c r="HW346" s="16"/>
      <c r="HX346" s="16"/>
      <c r="HY346" s="16"/>
      <c r="HZ346" s="16"/>
      <c r="IA346" s="16"/>
      <c r="IB346" s="16"/>
      <c r="IC346" s="16"/>
      <c r="ID346" s="16"/>
    </row>
    <row r="347" spans="1:238" s="90" customFormat="1" ht="12.75" customHeight="1">
      <c r="A347" s="44" t="s">
        <v>740</v>
      </c>
      <c r="B347" s="32"/>
      <c r="C347" s="32"/>
      <c r="D347" s="32"/>
      <c r="E347" s="697" t="s">
        <v>1172</v>
      </c>
      <c r="F347" s="698" t="s">
        <v>567</v>
      </c>
      <c r="G347" s="699" t="s">
        <v>468</v>
      </c>
      <c r="H347" s="697" t="s">
        <v>1173</v>
      </c>
      <c r="I347" s="698" t="s">
        <v>987</v>
      </c>
      <c r="J347" s="16"/>
      <c r="K347" s="562"/>
      <c r="L347" s="562"/>
      <c r="M347" s="415"/>
      <c r="O347" s="422"/>
      <c r="P347" s="12"/>
      <c r="Q347" s="397"/>
      <c r="R347" s="16"/>
      <c r="S347" s="16"/>
      <c r="T347" s="16"/>
      <c r="U347" s="16"/>
      <c r="V347" s="16"/>
      <c r="W347" s="16"/>
      <c r="X347" s="16"/>
      <c r="Y347" s="16"/>
      <c r="Z347" s="16"/>
      <c r="AA347" s="16"/>
      <c r="AB347" s="16"/>
      <c r="AC347" s="16"/>
      <c r="AD347" s="16"/>
      <c r="AE347" s="16"/>
      <c r="AF347" s="16"/>
      <c r="AG347" s="16"/>
      <c r="AH347" s="16"/>
      <c r="AI347" s="16"/>
      <c r="AJ347" s="16"/>
      <c r="AK347" s="16"/>
      <c r="AL347" s="16"/>
      <c r="AM347" s="12"/>
      <c r="AN347" s="12"/>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c r="EZ347" s="16"/>
      <c r="FA347" s="16"/>
      <c r="FB347" s="16"/>
      <c r="FC347" s="16"/>
      <c r="FD347" s="16"/>
      <c r="FE347" s="16"/>
      <c r="FF347" s="16"/>
      <c r="FG347" s="16"/>
      <c r="FH347" s="16"/>
      <c r="FI347" s="16"/>
      <c r="FJ347" s="16"/>
      <c r="FK347" s="16"/>
      <c r="FL347" s="16"/>
      <c r="FM347" s="16"/>
      <c r="FN347" s="16"/>
      <c r="FO347" s="16"/>
      <c r="FP347" s="16"/>
      <c r="FQ347" s="16"/>
      <c r="FR347" s="16"/>
      <c r="FS347" s="16"/>
      <c r="FT347" s="16"/>
      <c r="FU347" s="16"/>
      <c r="FV347" s="16"/>
      <c r="FW347" s="16"/>
      <c r="FX347" s="16"/>
      <c r="FY347" s="16"/>
      <c r="FZ347" s="16"/>
      <c r="GA347" s="16"/>
      <c r="GB347" s="16"/>
      <c r="GC347" s="16"/>
      <c r="GD347" s="16"/>
      <c r="GE347" s="16"/>
      <c r="GF347" s="16"/>
      <c r="GG347" s="16"/>
      <c r="GH347" s="16"/>
      <c r="GI347" s="16"/>
      <c r="GJ347" s="16"/>
      <c r="GK347" s="16"/>
      <c r="GL347" s="16"/>
      <c r="GM347" s="16"/>
      <c r="GN347" s="16"/>
      <c r="GO347" s="16"/>
      <c r="GP347" s="16"/>
      <c r="GQ347" s="16"/>
      <c r="GR347" s="16"/>
      <c r="GS347" s="16"/>
      <c r="GT347" s="16"/>
      <c r="GU347" s="16"/>
      <c r="GV347" s="16"/>
      <c r="GW347" s="16"/>
      <c r="GX347" s="16"/>
      <c r="GY347" s="16"/>
      <c r="GZ347" s="16"/>
      <c r="HA347" s="16"/>
      <c r="HB347" s="16"/>
      <c r="HC347" s="16"/>
      <c r="HD347" s="16"/>
      <c r="HE347" s="16"/>
      <c r="HF347" s="16"/>
      <c r="HG347" s="16"/>
      <c r="HH347" s="16"/>
      <c r="HI347" s="16"/>
      <c r="HJ347" s="16"/>
      <c r="HK347" s="16"/>
      <c r="HL347" s="16"/>
      <c r="HM347" s="16"/>
      <c r="HN347" s="16"/>
      <c r="HO347" s="16"/>
      <c r="HP347" s="16"/>
      <c r="HQ347" s="16"/>
      <c r="HR347" s="16"/>
      <c r="HS347" s="16"/>
      <c r="HT347" s="16"/>
      <c r="HU347" s="16"/>
      <c r="HV347" s="16"/>
      <c r="HW347" s="16"/>
      <c r="HX347" s="16"/>
      <c r="HY347" s="16"/>
      <c r="HZ347" s="16"/>
      <c r="IA347" s="16"/>
      <c r="IB347" s="16"/>
      <c r="IC347" s="16"/>
      <c r="ID347" s="16"/>
    </row>
    <row r="348" spans="1:238" s="90" customFormat="1" ht="12.75" customHeight="1">
      <c r="A348" s="44" t="s">
        <v>864</v>
      </c>
      <c r="B348" s="31" t="s">
        <v>564</v>
      </c>
      <c r="C348" s="32"/>
      <c r="D348" s="32"/>
      <c r="E348" s="700" t="s">
        <v>1175</v>
      </c>
      <c r="F348" s="701" t="s">
        <v>1176</v>
      </c>
      <c r="G348" s="700" t="s">
        <v>489</v>
      </c>
      <c r="H348" s="700" t="s">
        <v>1177</v>
      </c>
      <c r="I348" s="701" t="s">
        <v>179</v>
      </c>
      <c r="J348" s="16"/>
      <c r="K348" s="562"/>
      <c r="L348" s="562"/>
      <c r="M348" s="415"/>
      <c r="O348" s="422"/>
      <c r="P348" s="12"/>
      <c r="Q348" s="12"/>
      <c r="R348" s="16"/>
      <c r="S348" s="16"/>
      <c r="T348" s="16"/>
      <c r="U348" s="16"/>
      <c r="V348" s="16"/>
      <c r="W348" s="16"/>
      <c r="X348" s="16"/>
      <c r="Y348" s="16"/>
      <c r="Z348" s="16"/>
      <c r="AA348" s="16"/>
      <c r="AB348" s="16"/>
      <c r="AC348" s="16"/>
      <c r="AD348" s="16"/>
      <c r="AE348" s="16"/>
      <c r="AF348" s="16"/>
      <c r="AG348" s="16"/>
      <c r="AH348" s="16"/>
      <c r="AI348" s="16"/>
      <c r="AJ348" s="16"/>
      <c r="AK348" s="16"/>
      <c r="AL348" s="16"/>
      <c r="AM348" s="12"/>
      <c r="AN348" s="12"/>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c r="EZ348" s="16"/>
      <c r="FA348" s="16"/>
      <c r="FB348" s="16"/>
      <c r="FC348" s="16"/>
      <c r="FD348" s="16"/>
      <c r="FE348" s="16"/>
      <c r="FF348" s="16"/>
      <c r="FG348" s="16"/>
      <c r="FH348" s="16"/>
      <c r="FI348" s="16"/>
      <c r="FJ348" s="16"/>
      <c r="FK348" s="16"/>
      <c r="FL348" s="16"/>
      <c r="FM348" s="16"/>
      <c r="FN348" s="16"/>
      <c r="FO348" s="16"/>
      <c r="FP348" s="16"/>
      <c r="FQ348" s="16"/>
      <c r="FR348" s="16"/>
      <c r="FS348" s="16"/>
      <c r="FT348" s="16"/>
      <c r="FU348" s="16"/>
      <c r="FV348" s="16"/>
      <c r="FW348" s="16"/>
      <c r="FX348" s="16"/>
      <c r="FY348" s="16"/>
      <c r="FZ348" s="16"/>
      <c r="GA348" s="16"/>
      <c r="GB348" s="16"/>
      <c r="GC348" s="16"/>
      <c r="GD348" s="16"/>
      <c r="GE348" s="16"/>
      <c r="GF348" s="16"/>
      <c r="GG348" s="16"/>
      <c r="GH348" s="16"/>
      <c r="GI348" s="16"/>
      <c r="GJ348" s="16"/>
      <c r="GK348" s="16"/>
      <c r="GL348" s="16"/>
      <c r="GM348" s="16"/>
      <c r="GN348" s="16"/>
      <c r="GO348" s="16"/>
      <c r="GP348" s="16"/>
      <c r="GQ348" s="16"/>
      <c r="GR348" s="16"/>
      <c r="GS348" s="16"/>
      <c r="GT348" s="16"/>
      <c r="GU348" s="16"/>
      <c r="GV348" s="16"/>
      <c r="GW348" s="16"/>
      <c r="GX348" s="16"/>
      <c r="GY348" s="16"/>
      <c r="GZ348" s="16"/>
      <c r="HA348" s="16"/>
      <c r="HB348" s="16"/>
      <c r="HC348" s="16"/>
      <c r="HD348" s="16"/>
      <c r="HE348" s="16"/>
      <c r="HF348" s="16"/>
      <c r="HG348" s="16"/>
      <c r="HH348" s="16"/>
      <c r="HI348" s="16"/>
      <c r="HJ348" s="16"/>
      <c r="HK348" s="16"/>
      <c r="HL348" s="16"/>
      <c r="HM348" s="16"/>
      <c r="HN348" s="16"/>
      <c r="HO348" s="16"/>
      <c r="HP348" s="16"/>
      <c r="HQ348" s="16"/>
      <c r="HR348" s="16"/>
      <c r="HS348" s="16"/>
      <c r="HT348" s="16"/>
      <c r="HU348" s="16"/>
      <c r="HV348" s="16"/>
      <c r="HW348" s="16"/>
      <c r="HX348" s="16"/>
      <c r="HY348" s="16"/>
      <c r="HZ348" s="16"/>
      <c r="IA348" s="16"/>
      <c r="IB348" s="16"/>
      <c r="IC348" s="16"/>
      <c r="ID348" s="16"/>
    </row>
    <row r="349" spans="1:238" s="90" customFormat="1" ht="12.75" customHeight="1">
      <c r="A349" s="199">
        <f>A345+1</f>
        <v>1015</v>
      </c>
      <c r="B349" s="57" t="s">
        <v>1410</v>
      </c>
      <c r="C349" s="350"/>
      <c r="D349" s="376" t="s">
        <v>1109</v>
      </c>
      <c r="E349" s="56" t="s">
        <v>214</v>
      </c>
      <c r="F349" s="56" t="str">
        <f>IF($E$32="ja","ja","nee")</f>
        <v>nee</v>
      </c>
      <c r="G349" s="351"/>
      <c r="H349" s="352"/>
      <c r="I349" s="465">
        <f>IF(F349="ja",ROUND(G349*H349,0),0)</f>
        <v>0</v>
      </c>
      <c r="K349" s="562" t="str">
        <f>CONCATENATE("PQ",D349)</f>
        <v>PQH109</v>
      </c>
      <c r="L349" s="562" t="str">
        <f>CONCATENATE("P",D349)</f>
        <v>PH109</v>
      </c>
      <c r="M349" s="637">
        <f aca="true" t="shared" si="52" ref="M349:M354">I349*A349</f>
        <v>0</v>
      </c>
      <c r="N349" s="535">
        <v>0</v>
      </c>
      <c r="O349" s="536">
        <v>25.06</v>
      </c>
      <c r="P349" s="12"/>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2"/>
      <c r="AN349" s="12"/>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c r="EZ349" s="16"/>
      <c r="FA349" s="16"/>
      <c r="FB349" s="16"/>
      <c r="FC349" s="16"/>
      <c r="FD349" s="16"/>
      <c r="FE349" s="16"/>
      <c r="FF349" s="16"/>
      <c r="FG349" s="16"/>
      <c r="FH349" s="16"/>
      <c r="FI349" s="16"/>
      <c r="FJ349" s="16"/>
      <c r="FK349" s="16"/>
      <c r="FL349" s="16"/>
      <c r="FM349" s="16"/>
      <c r="FN349" s="16"/>
      <c r="FO349" s="16"/>
      <c r="FP349" s="16"/>
      <c r="FQ349" s="16"/>
      <c r="FR349" s="16"/>
      <c r="FS349" s="16"/>
      <c r="FT349" s="16"/>
      <c r="FU349" s="16"/>
      <c r="FV349" s="16"/>
      <c r="FW349" s="16"/>
      <c r="FX349" s="16"/>
      <c r="FY349" s="16"/>
      <c r="FZ349" s="16"/>
      <c r="GA349" s="16"/>
      <c r="GB349" s="16"/>
      <c r="GC349" s="16"/>
      <c r="GD349" s="16"/>
      <c r="GE349" s="16"/>
      <c r="GF349" s="16"/>
      <c r="GG349" s="16"/>
      <c r="GH349" s="16"/>
      <c r="GI349" s="16"/>
      <c r="GJ349" s="16"/>
      <c r="GK349" s="16"/>
      <c r="GL349" s="16"/>
      <c r="GM349" s="16"/>
      <c r="GN349" s="16"/>
      <c r="GO349" s="16"/>
      <c r="GP349" s="16"/>
      <c r="GQ349" s="16"/>
      <c r="GR349" s="16"/>
      <c r="GS349" s="16"/>
      <c r="GT349" s="16"/>
      <c r="GU349" s="16"/>
      <c r="GV349" s="16"/>
      <c r="GW349" s="16"/>
      <c r="GX349" s="16"/>
      <c r="GY349" s="16"/>
      <c r="GZ349" s="16"/>
      <c r="HA349" s="16"/>
      <c r="HB349" s="16"/>
      <c r="HC349" s="16"/>
      <c r="HD349" s="16"/>
      <c r="HE349" s="16"/>
      <c r="HF349" s="16"/>
      <c r="HG349" s="16"/>
      <c r="HH349" s="16"/>
      <c r="HI349" s="16"/>
      <c r="HJ349" s="16"/>
      <c r="HK349" s="16"/>
      <c r="HL349" s="16"/>
      <c r="HM349" s="16"/>
      <c r="HN349" s="16"/>
      <c r="HO349" s="16"/>
      <c r="HP349" s="16"/>
      <c r="HQ349" s="16"/>
      <c r="HR349" s="16"/>
      <c r="HS349" s="16"/>
      <c r="HT349" s="16"/>
      <c r="HU349" s="16"/>
      <c r="HV349" s="16"/>
      <c r="HW349" s="16"/>
      <c r="HX349" s="16"/>
      <c r="HY349" s="16"/>
      <c r="HZ349" s="16"/>
      <c r="IA349" s="16"/>
      <c r="IB349" s="16"/>
      <c r="IC349" s="16"/>
      <c r="ID349" s="16"/>
    </row>
    <row r="350" spans="1:238" s="90" customFormat="1" ht="12.75" customHeight="1">
      <c r="A350" s="199">
        <f>A349+1</f>
        <v>1016</v>
      </c>
      <c r="B350" s="57" t="s">
        <v>1123</v>
      </c>
      <c r="C350" s="350"/>
      <c r="D350" s="376" t="s">
        <v>1110</v>
      </c>
      <c r="E350" s="56" t="s">
        <v>215</v>
      </c>
      <c r="F350" s="56" t="str">
        <f>IF($E$32="ja","ja","nee")</f>
        <v>nee</v>
      </c>
      <c r="G350" s="351"/>
      <c r="H350" s="352"/>
      <c r="I350" s="465">
        <f>IF(F350="ja",ROUND(G350*H350,0),0)</f>
        <v>0</v>
      </c>
      <c r="K350" s="562" t="str">
        <f>CONCATENATE("PQ",D350)</f>
        <v>PQH701</v>
      </c>
      <c r="L350" s="562" t="str">
        <f>CONCATENATE("P",D350)</f>
        <v>PH701</v>
      </c>
      <c r="M350" s="638">
        <f t="shared" si="52"/>
        <v>0</v>
      </c>
      <c r="N350" s="537">
        <v>0</v>
      </c>
      <c r="O350" s="530">
        <v>28.63</v>
      </c>
      <c r="P350" s="12"/>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2"/>
      <c r="AN350" s="12"/>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c r="ES350" s="16"/>
      <c r="ET350" s="16"/>
      <c r="EU350" s="16"/>
      <c r="EV350" s="16"/>
      <c r="EW350" s="16"/>
      <c r="EX350" s="16"/>
      <c r="EY350" s="16"/>
      <c r="EZ350" s="16"/>
      <c r="FA350" s="16"/>
      <c r="FB350" s="16"/>
      <c r="FC350" s="16"/>
      <c r="FD350" s="16"/>
      <c r="FE350" s="16"/>
      <c r="FF350" s="16"/>
      <c r="FG350" s="16"/>
      <c r="FH350" s="16"/>
      <c r="FI350" s="16"/>
      <c r="FJ350" s="16"/>
      <c r="FK350" s="16"/>
      <c r="FL350" s="16"/>
      <c r="FM350" s="16"/>
      <c r="FN350" s="16"/>
      <c r="FO350" s="16"/>
      <c r="FP350" s="16"/>
      <c r="FQ350" s="16"/>
      <c r="FR350" s="16"/>
      <c r="FS350" s="16"/>
      <c r="FT350" s="16"/>
      <c r="FU350" s="16"/>
      <c r="FV350" s="16"/>
      <c r="FW350" s="16"/>
      <c r="FX350" s="16"/>
      <c r="FY350" s="16"/>
      <c r="FZ350" s="16"/>
      <c r="GA350" s="16"/>
      <c r="GB350" s="16"/>
      <c r="GC350" s="16"/>
      <c r="GD350" s="16"/>
      <c r="GE350" s="16"/>
      <c r="GF350" s="16"/>
      <c r="GG350" s="16"/>
      <c r="GH350" s="16"/>
      <c r="GI350" s="16"/>
      <c r="GJ350" s="16"/>
      <c r="GK350" s="16"/>
      <c r="GL350" s="16"/>
      <c r="GM350" s="16"/>
      <c r="GN350" s="16"/>
      <c r="GO350" s="16"/>
      <c r="GP350" s="16"/>
      <c r="GQ350" s="16"/>
      <c r="GR350" s="16"/>
      <c r="GS350" s="16"/>
      <c r="GT350" s="16"/>
      <c r="GU350" s="16"/>
      <c r="GV350" s="16"/>
      <c r="GW350" s="16"/>
      <c r="GX350" s="16"/>
      <c r="GY350" s="16"/>
      <c r="GZ350" s="16"/>
      <c r="HA350" s="16"/>
      <c r="HB350" s="16"/>
      <c r="HC350" s="16"/>
      <c r="HD350" s="16"/>
      <c r="HE350" s="16"/>
      <c r="HF350" s="16"/>
      <c r="HG350" s="16"/>
      <c r="HH350" s="16"/>
      <c r="HI350" s="16"/>
      <c r="HJ350" s="16"/>
      <c r="HK350" s="16"/>
      <c r="HL350" s="16"/>
      <c r="HM350" s="16"/>
      <c r="HN350" s="16"/>
      <c r="HO350" s="16"/>
      <c r="HP350" s="16"/>
      <c r="HQ350" s="16"/>
      <c r="HR350" s="16"/>
      <c r="HS350" s="16"/>
      <c r="HT350" s="16"/>
      <c r="HU350" s="16"/>
      <c r="HV350" s="16"/>
      <c r="HW350" s="16"/>
      <c r="HX350" s="16"/>
      <c r="HY350" s="16"/>
      <c r="HZ350" s="16"/>
      <c r="IA350" s="16"/>
      <c r="IB350" s="16"/>
      <c r="IC350" s="16"/>
      <c r="ID350" s="16"/>
    </row>
    <row r="351" spans="1:238" s="90" customFormat="1" ht="12.75" customHeight="1">
      <c r="A351" s="199">
        <f>A350+1</f>
        <v>1017</v>
      </c>
      <c r="B351" s="57" t="s">
        <v>1194</v>
      </c>
      <c r="C351" s="350"/>
      <c r="D351" s="376" t="s">
        <v>1111</v>
      </c>
      <c r="E351" s="56" t="s">
        <v>215</v>
      </c>
      <c r="F351" s="56" t="str">
        <f>IF($E$32="ja","ja","nee")</f>
        <v>nee</v>
      </c>
      <c r="G351" s="351"/>
      <c r="H351" s="352"/>
      <c r="I351" s="465">
        <f>IF(F351="ja",ROUND(G351*H351,0),0)</f>
        <v>0</v>
      </c>
      <c r="K351" s="562" t="str">
        <f>CONCATENATE("PQ",D351)</f>
        <v>PQH702</v>
      </c>
      <c r="L351" s="562" t="str">
        <f>CONCATENATE("P",D351)</f>
        <v>PH702</v>
      </c>
      <c r="M351" s="638">
        <f t="shared" si="52"/>
        <v>0</v>
      </c>
      <c r="N351" s="537">
        <v>0</v>
      </c>
      <c r="O351" s="530">
        <v>50.08</v>
      </c>
      <c r="P351" s="12"/>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2"/>
      <c r="AN351" s="12"/>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c r="ES351" s="16"/>
      <c r="ET351" s="16"/>
      <c r="EU351" s="16"/>
      <c r="EV351" s="16"/>
      <c r="EW351" s="16"/>
      <c r="EX351" s="16"/>
      <c r="EY351" s="16"/>
      <c r="EZ351" s="16"/>
      <c r="FA351" s="16"/>
      <c r="FB351" s="16"/>
      <c r="FC351" s="16"/>
      <c r="FD351" s="16"/>
      <c r="FE351" s="16"/>
      <c r="FF351" s="16"/>
      <c r="FG351" s="16"/>
      <c r="FH351" s="16"/>
      <c r="FI351" s="16"/>
      <c r="FJ351" s="16"/>
      <c r="FK351" s="16"/>
      <c r="FL351" s="16"/>
      <c r="FM351" s="16"/>
      <c r="FN351" s="16"/>
      <c r="FO351" s="16"/>
      <c r="FP351" s="16"/>
      <c r="FQ351" s="16"/>
      <c r="FR351" s="16"/>
      <c r="FS351" s="16"/>
      <c r="FT351" s="16"/>
      <c r="FU351" s="16"/>
      <c r="FV351" s="16"/>
      <c r="FW351" s="16"/>
      <c r="FX351" s="16"/>
      <c r="FY351" s="16"/>
      <c r="FZ351" s="16"/>
      <c r="GA351" s="16"/>
      <c r="GB351" s="16"/>
      <c r="GC351" s="16"/>
      <c r="GD351" s="16"/>
      <c r="GE351" s="16"/>
      <c r="GF351" s="16"/>
      <c r="GG351" s="16"/>
      <c r="GH351" s="16"/>
      <c r="GI351" s="16"/>
      <c r="GJ351" s="16"/>
      <c r="GK351" s="16"/>
      <c r="GL351" s="16"/>
      <c r="GM351" s="16"/>
      <c r="GN351" s="16"/>
      <c r="GO351" s="16"/>
      <c r="GP351" s="16"/>
      <c r="GQ351" s="16"/>
      <c r="GR351" s="16"/>
      <c r="GS351" s="16"/>
      <c r="GT351" s="16"/>
      <c r="GU351" s="16"/>
      <c r="GV351" s="16"/>
      <c r="GW351" s="16"/>
      <c r="GX351" s="16"/>
      <c r="GY351" s="16"/>
      <c r="GZ351" s="16"/>
      <c r="HA351" s="16"/>
      <c r="HB351" s="16"/>
      <c r="HC351" s="16"/>
      <c r="HD351" s="16"/>
      <c r="HE351" s="16"/>
      <c r="HF351" s="16"/>
      <c r="HG351" s="16"/>
      <c r="HH351" s="16"/>
      <c r="HI351" s="16"/>
      <c r="HJ351" s="16"/>
      <c r="HK351" s="16"/>
      <c r="HL351" s="16"/>
      <c r="HM351" s="16"/>
      <c r="HN351" s="16"/>
      <c r="HO351" s="16"/>
      <c r="HP351" s="16"/>
      <c r="HQ351" s="16"/>
      <c r="HR351" s="16"/>
      <c r="HS351" s="16"/>
      <c r="HT351" s="16"/>
      <c r="HU351" s="16"/>
      <c r="HV351" s="16"/>
      <c r="HW351" s="16"/>
      <c r="HX351" s="16"/>
      <c r="HY351" s="16"/>
      <c r="HZ351" s="16"/>
      <c r="IA351" s="16"/>
      <c r="IB351" s="16"/>
      <c r="IC351" s="16"/>
      <c r="ID351" s="16"/>
    </row>
    <row r="352" spans="1:238" s="90" customFormat="1" ht="12.75" customHeight="1">
      <c r="A352" s="199">
        <f>A351+1</f>
        <v>1018</v>
      </c>
      <c r="B352" s="57" t="s">
        <v>1195</v>
      </c>
      <c r="C352" s="350"/>
      <c r="D352" s="376" t="s">
        <v>1112</v>
      </c>
      <c r="E352" s="56" t="s">
        <v>215</v>
      </c>
      <c r="F352" s="56" t="str">
        <f>IF($E$32="ja","ja","nee")</f>
        <v>nee</v>
      </c>
      <c r="G352" s="351"/>
      <c r="H352" s="352"/>
      <c r="I352" s="465">
        <f>IF(F352="ja",ROUND(G352*H352,0),0)</f>
        <v>0</v>
      </c>
      <c r="K352" s="562" t="str">
        <f>CONCATENATE("PQ",D352)</f>
        <v>PQH703</v>
      </c>
      <c r="L352" s="562" t="str">
        <f>CONCATENATE("P",D352)</f>
        <v>PH703</v>
      </c>
      <c r="M352" s="638">
        <f t="shared" si="52"/>
        <v>0</v>
      </c>
      <c r="N352" s="537">
        <v>0</v>
      </c>
      <c r="O352" s="530">
        <v>85.79</v>
      </c>
      <c r="P352" s="12"/>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2"/>
      <c r="AN352" s="12"/>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c r="EZ352" s="16"/>
      <c r="FA352" s="16"/>
      <c r="FB352" s="16"/>
      <c r="FC352" s="16"/>
      <c r="FD352" s="16"/>
      <c r="FE352" s="16"/>
      <c r="FF352" s="16"/>
      <c r="FG352" s="16"/>
      <c r="FH352" s="16"/>
      <c r="FI352" s="16"/>
      <c r="FJ352" s="16"/>
      <c r="FK352" s="16"/>
      <c r="FL352" s="16"/>
      <c r="FM352" s="16"/>
      <c r="FN352" s="16"/>
      <c r="FO352" s="16"/>
      <c r="FP352" s="16"/>
      <c r="FQ352" s="16"/>
      <c r="FR352" s="16"/>
      <c r="FS352" s="16"/>
      <c r="FT352" s="16"/>
      <c r="FU352" s="16"/>
      <c r="FV352" s="16"/>
      <c r="FW352" s="16"/>
      <c r="FX352" s="16"/>
      <c r="FY352" s="16"/>
      <c r="FZ352" s="16"/>
      <c r="GA352" s="16"/>
      <c r="GB352" s="16"/>
      <c r="GC352" s="16"/>
      <c r="GD352" s="16"/>
      <c r="GE352" s="16"/>
      <c r="GF352" s="16"/>
      <c r="GG352" s="16"/>
      <c r="GH352" s="16"/>
      <c r="GI352" s="16"/>
      <c r="GJ352" s="16"/>
      <c r="GK352" s="16"/>
      <c r="GL352" s="16"/>
      <c r="GM352" s="16"/>
      <c r="GN352" s="16"/>
      <c r="GO352" s="16"/>
      <c r="GP352" s="16"/>
      <c r="GQ352" s="16"/>
      <c r="GR352" s="16"/>
      <c r="GS352" s="16"/>
      <c r="GT352" s="16"/>
      <c r="GU352" s="16"/>
      <c r="GV352" s="16"/>
      <c r="GW352" s="16"/>
      <c r="GX352" s="16"/>
      <c r="GY352" s="16"/>
      <c r="GZ352" s="16"/>
      <c r="HA352" s="16"/>
      <c r="HB352" s="16"/>
      <c r="HC352" s="16"/>
      <c r="HD352" s="16"/>
      <c r="HE352" s="16"/>
      <c r="HF352" s="16"/>
      <c r="HG352" s="16"/>
      <c r="HH352" s="16"/>
      <c r="HI352" s="16"/>
      <c r="HJ352" s="16"/>
      <c r="HK352" s="16"/>
      <c r="HL352" s="16"/>
      <c r="HM352" s="16"/>
      <c r="HN352" s="16"/>
      <c r="HO352" s="16"/>
      <c r="HP352" s="16"/>
      <c r="HQ352" s="16"/>
      <c r="HR352" s="16"/>
      <c r="HS352" s="16"/>
      <c r="HT352" s="16"/>
      <c r="HU352" s="16"/>
      <c r="HV352" s="16"/>
      <c r="HW352" s="16"/>
      <c r="HX352" s="16"/>
      <c r="HY352" s="16"/>
      <c r="HZ352" s="16"/>
      <c r="IA352" s="16"/>
      <c r="IB352" s="16"/>
      <c r="IC352" s="16"/>
      <c r="ID352" s="16"/>
    </row>
    <row r="353" spans="1:238" s="90" customFormat="1" ht="12.75" customHeight="1" thickBot="1">
      <c r="A353" s="199">
        <f>A352+1</f>
        <v>1019</v>
      </c>
      <c r="B353" s="57" t="s">
        <v>1411</v>
      </c>
      <c r="C353" s="350"/>
      <c r="D353" s="376" t="s">
        <v>1113</v>
      </c>
      <c r="E353" s="56" t="s">
        <v>216</v>
      </c>
      <c r="F353" s="56" t="str">
        <f>IF($E$32="ja","ja","nee")</f>
        <v>nee</v>
      </c>
      <c r="G353" s="351"/>
      <c r="H353" s="352"/>
      <c r="I353" s="465">
        <f>IF(F353="ja",ROUND(G353*H353,0),0)</f>
        <v>0</v>
      </c>
      <c r="K353" s="613" t="str">
        <f>CONCATENATE("PQ",D353)</f>
        <v>PQH110</v>
      </c>
      <c r="L353" s="562" t="str">
        <f>CONCATENATE("P",D353)</f>
        <v>PH110</v>
      </c>
      <c r="M353" s="639">
        <f t="shared" si="52"/>
        <v>0</v>
      </c>
      <c r="N353" s="538">
        <v>0</v>
      </c>
      <c r="O353" s="539">
        <v>21.92</v>
      </c>
      <c r="P353" s="12"/>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2"/>
      <c r="AN353" s="12"/>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c r="EZ353" s="16"/>
      <c r="FA353" s="16"/>
      <c r="FB353" s="16"/>
      <c r="FC353" s="16"/>
      <c r="FD353" s="16"/>
      <c r="FE353" s="16"/>
      <c r="FF353" s="16"/>
      <c r="FG353" s="16"/>
      <c r="FH353" s="16"/>
      <c r="FI353" s="16"/>
      <c r="FJ353" s="16"/>
      <c r="FK353" s="16"/>
      <c r="FL353" s="16"/>
      <c r="FM353" s="16"/>
      <c r="FN353" s="16"/>
      <c r="FO353" s="16"/>
      <c r="FP353" s="16"/>
      <c r="FQ353" s="16"/>
      <c r="FR353" s="16"/>
      <c r="FS353" s="16"/>
      <c r="FT353" s="16"/>
      <c r="FU353" s="16"/>
      <c r="FV353" s="16"/>
      <c r="FW353" s="16"/>
      <c r="FX353" s="16"/>
      <c r="FY353" s="16"/>
      <c r="FZ353" s="16"/>
      <c r="GA353" s="16"/>
      <c r="GB353" s="16"/>
      <c r="GC353" s="16"/>
      <c r="GD353" s="16"/>
      <c r="GE353" s="16"/>
      <c r="GF353" s="16"/>
      <c r="GG353" s="16"/>
      <c r="GH353" s="16"/>
      <c r="GI353" s="16"/>
      <c r="GJ353" s="16"/>
      <c r="GK353" s="16"/>
      <c r="GL353" s="16"/>
      <c r="GM353" s="16"/>
      <c r="GN353" s="16"/>
      <c r="GO353" s="16"/>
      <c r="GP353" s="16"/>
      <c r="GQ353" s="16"/>
      <c r="GR353" s="16"/>
      <c r="GS353" s="16"/>
      <c r="GT353" s="16"/>
      <c r="GU353" s="16"/>
      <c r="GV353" s="16"/>
      <c r="GW353" s="16"/>
      <c r="GX353" s="16"/>
      <c r="GY353" s="16"/>
      <c r="GZ353" s="16"/>
      <c r="HA353" s="16"/>
      <c r="HB353" s="16"/>
      <c r="HC353" s="16"/>
      <c r="HD353" s="16"/>
      <c r="HE353" s="16"/>
      <c r="HF353" s="16"/>
      <c r="HG353" s="16"/>
      <c r="HH353" s="16"/>
      <c r="HI353" s="16"/>
      <c r="HJ353" s="16"/>
      <c r="HK353" s="16"/>
      <c r="HL353" s="16"/>
      <c r="HM353" s="16"/>
      <c r="HN353" s="16"/>
      <c r="HO353" s="16"/>
      <c r="HP353" s="16"/>
      <c r="HQ353" s="16"/>
      <c r="HR353" s="16"/>
      <c r="HS353" s="16"/>
      <c r="HT353" s="16"/>
      <c r="HU353" s="16"/>
      <c r="HV353" s="16"/>
      <c r="HW353" s="16"/>
      <c r="HX353" s="16"/>
      <c r="HY353" s="16"/>
      <c r="HZ353" s="16"/>
      <c r="IA353" s="16"/>
      <c r="IB353" s="16"/>
      <c r="IC353" s="16"/>
      <c r="ID353" s="16"/>
    </row>
    <row r="354" spans="1:238" s="90" customFormat="1" ht="12.75" customHeight="1" thickBot="1">
      <c r="A354" s="199">
        <f>A353+1</f>
        <v>1020</v>
      </c>
      <c r="B354" s="365" t="s">
        <v>1153</v>
      </c>
      <c r="C354" s="198"/>
      <c r="D354" s="221"/>
      <c r="E354" s="198"/>
      <c r="F354" s="198"/>
      <c r="G354" s="198"/>
      <c r="H354" s="198"/>
      <c r="I354" s="474">
        <f>SUM(I349:I353)</f>
        <v>0</v>
      </c>
      <c r="J354" s="12"/>
      <c r="K354" s="613"/>
      <c r="L354" s="562"/>
      <c r="M354" s="415">
        <f t="shared" si="52"/>
        <v>0</v>
      </c>
      <c r="O354" s="422"/>
      <c r="P354" s="12"/>
      <c r="Q354" s="418"/>
      <c r="R354" s="16"/>
      <c r="S354" s="16"/>
      <c r="T354" s="16"/>
      <c r="U354" s="16"/>
      <c r="V354" s="16"/>
      <c r="W354" s="16"/>
      <c r="X354" s="16"/>
      <c r="Y354" s="16"/>
      <c r="Z354" s="16"/>
      <c r="AA354" s="16"/>
      <c r="AB354" s="16"/>
      <c r="AC354" s="16"/>
      <c r="AD354" s="16"/>
      <c r="AE354" s="16"/>
      <c r="AF354" s="16"/>
      <c r="AG354" s="16"/>
      <c r="AH354" s="16"/>
      <c r="AI354" s="16"/>
      <c r="AJ354" s="16"/>
      <c r="AK354" s="16"/>
      <c r="AL354" s="16"/>
      <c r="AM354" s="12"/>
      <c r="AN354" s="12"/>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c r="ES354" s="16"/>
      <c r="ET354" s="16"/>
      <c r="EU354" s="16"/>
      <c r="EV354" s="16"/>
      <c r="EW354" s="16"/>
      <c r="EX354" s="16"/>
      <c r="EY354" s="16"/>
      <c r="EZ354" s="16"/>
      <c r="FA354" s="16"/>
      <c r="FB354" s="16"/>
      <c r="FC354" s="16"/>
      <c r="FD354" s="16"/>
      <c r="FE354" s="16"/>
      <c r="FF354" s="16"/>
      <c r="FG354" s="16"/>
      <c r="FH354" s="16"/>
      <c r="FI354" s="16"/>
      <c r="FJ354" s="16"/>
      <c r="FK354" s="16"/>
      <c r="FL354" s="16"/>
      <c r="FM354" s="16"/>
      <c r="FN354" s="16"/>
      <c r="FO354" s="16"/>
      <c r="FP354" s="16"/>
      <c r="FQ354" s="16"/>
      <c r="FR354" s="16"/>
      <c r="FS354" s="16"/>
      <c r="FT354" s="16"/>
      <c r="FU354" s="16"/>
      <c r="FV354" s="16"/>
      <c r="FW354" s="16"/>
      <c r="FX354" s="16"/>
      <c r="FY354" s="16"/>
      <c r="FZ354" s="16"/>
      <c r="GA354" s="16"/>
      <c r="GB354" s="16"/>
      <c r="GC354" s="16"/>
      <c r="GD354" s="16"/>
      <c r="GE354" s="16"/>
      <c r="GF354" s="16"/>
      <c r="GG354" s="16"/>
      <c r="GH354" s="16"/>
      <c r="GI354" s="16"/>
      <c r="GJ354" s="16"/>
      <c r="GK354" s="16"/>
      <c r="GL354" s="16"/>
      <c r="GM354" s="16"/>
      <c r="GN354" s="16"/>
      <c r="GO354" s="16"/>
      <c r="GP354" s="16"/>
      <c r="GQ354" s="16"/>
      <c r="GR354" s="16"/>
      <c r="GS354" s="16"/>
      <c r="GT354" s="16"/>
      <c r="GU354" s="16"/>
      <c r="GV354" s="16"/>
      <c r="GW354" s="16"/>
      <c r="GX354" s="16"/>
      <c r="GY354" s="16"/>
      <c r="GZ354" s="16"/>
      <c r="HA354" s="16"/>
      <c r="HB354" s="16"/>
      <c r="HC354" s="16"/>
      <c r="HD354" s="16"/>
      <c r="HE354" s="16"/>
      <c r="HF354" s="16"/>
      <c r="HG354" s="16"/>
      <c r="HH354" s="16"/>
      <c r="HI354" s="16"/>
      <c r="HJ354" s="16"/>
      <c r="HK354" s="16"/>
      <c r="HL354" s="16"/>
      <c r="HM354" s="16"/>
      <c r="HN354" s="16"/>
      <c r="HO354" s="16"/>
      <c r="HP354" s="16"/>
      <c r="HQ354" s="16"/>
      <c r="HR354" s="16"/>
      <c r="HS354" s="16"/>
      <c r="HT354" s="16"/>
      <c r="HU354" s="16"/>
      <c r="HV354" s="16"/>
      <c r="HW354" s="16"/>
      <c r="HX354" s="16"/>
      <c r="HY354" s="16"/>
      <c r="HZ354" s="16"/>
      <c r="IA354" s="16"/>
      <c r="IB354" s="16"/>
      <c r="IC354" s="16"/>
      <c r="ID354" s="16"/>
    </row>
    <row r="355" spans="1:238" s="90" customFormat="1" ht="12.75" customHeight="1">
      <c r="A355" s="366"/>
      <c r="B355" s="367"/>
      <c r="C355" s="12"/>
      <c r="E355" s="378"/>
      <c r="F355" s="378"/>
      <c r="G355" s="378"/>
      <c r="H355" s="378"/>
      <c r="I355" s="473"/>
      <c r="J355" s="12"/>
      <c r="K355" s="613"/>
      <c r="L355" s="562"/>
      <c r="M355" s="415"/>
      <c r="O355" s="422"/>
      <c r="P355" s="12"/>
      <c r="Q355" s="418"/>
      <c r="R355" s="16"/>
      <c r="S355" s="16"/>
      <c r="T355" s="16"/>
      <c r="U355" s="16"/>
      <c r="V355" s="16"/>
      <c r="W355" s="16"/>
      <c r="X355" s="16"/>
      <c r="Y355" s="16"/>
      <c r="Z355" s="16"/>
      <c r="AA355" s="16"/>
      <c r="AB355" s="16"/>
      <c r="AC355" s="16"/>
      <c r="AD355" s="16"/>
      <c r="AE355" s="16"/>
      <c r="AF355" s="16"/>
      <c r="AG355" s="16"/>
      <c r="AH355" s="16"/>
      <c r="AI355" s="16"/>
      <c r="AJ355" s="16"/>
      <c r="AK355" s="16"/>
      <c r="AL355" s="16"/>
      <c r="AM355" s="12"/>
      <c r="AN355" s="12"/>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c r="ES355" s="16"/>
      <c r="ET355" s="16"/>
      <c r="EU355" s="16"/>
      <c r="EV355" s="16"/>
      <c r="EW355" s="16"/>
      <c r="EX355" s="16"/>
      <c r="EY355" s="16"/>
      <c r="EZ355" s="16"/>
      <c r="FA355" s="16"/>
      <c r="FB355" s="16"/>
      <c r="FC355" s="16"/>
      <c r="FD355" s="16"/>
      <c r="FE355" s="16"/>
      <c r="FF355" s="16"/>
      <c r="FG355" s="16"/>
      <c r="FH355" s="16"/>
      <c r="FI355" s="16"/>
      <c r="FJ355" s="16"/>
      <c r="FK355" s="16"/>
      <c r="FL355" s="16"/>
      <c r="FM355" s="16"/>
      <c r="FN355" s="16"/>
      <c r="FO355" s="16"/>
      <c r="FP355" s="16"/>
      <c r="FQ355" s="16"/>
      <c r="FR355" s="16"/>
      <c r="FS355" s="16"/>
      <c r="FT355" s="16"/>
      <c r="FU355" s="16"/>
      <c r="FV355" s="16"/>
      <c r="FW355" s="16"/>
      <c r="FX355" s="16"/>
      <c r="FY355" s="16"/>
      <c r="FZ355" s="16"/>
      <c r="GA355" s="16"/>
      <c r="GB355" s="16"/>
      <c r="GC355" s="16"/>
      <c r="GD355" s="16"/>
      <c r="GE355" s="16"/>
      <c r="GF355" s="16"/>
      <c r="GG355" s="16"/>
      <c r="GH355" s="16"/>
      <c r="GI355" s="16"/>
      <c r="GJ355" s="16"/>
      <c r="GK355" s="16"/>
      <c r="GL355" s="16"/>
      <c r="GM355" s="16"/>
      <c r="GN355" s="16"/>
      <c r="GO355" s="16"/>
      <c r="GP355" s="16"/>
      <c r="GQ355" s="16"/>
      <c r="GR355" s="16"/>
      <c r="GS355" s="16"/>
      <c r="GT355" s="16"/>
      <c r="GU355" s="16"/>
      <c r="GV355" s="16"/>
      <c r="GW355" s="16"/>
      <c r="GX355" s="16"/>
      <c r="GY355" s="16"/>
      <c r="GZ355" s="16"/>
      <c r="HA355" s="16"/>
      <c r="HB355" s="16"/>
      <c r="HC355" s="16"/>
      <c r="HD355" s="16"/>
      <c r="HE355" s="16"/>
      <c r="HF355" s="16"/>
      <c r="HG355" s="16"/>
      <c r="HH355" s="16"/>
      <c r="HI355" s="16"/>
      <c r="HJ355" s="16"/>
      <c r="HK355" s="16"/>
      <c r="HL355" s="16"/>
      <c r="HM355" s="16"/>
      <c r="HN355" s="16"/>
      <c r="HO355" s="16"/>
      <c r="HP355" s="16"/>
      <c r="HQ355" s="16"/>
      <c r="HR355" s="16"/>
      <c r="HS355" s="16"/>
      <c r="HT355" s="16"/>
      <c r="HU355" s="16"/>
      <c r="HV355" s="16"/>
      <c r="HW355" s="16"/>
      <c r="HX355" s="16"/>
      <c r="HY355" s="16"/>
      <c r="HZ355" s="16"/>
      <c r="IA355" s="16"/>
      <c r="IB355" s="16"/>
      <c r="IC355" s="16"/>
      <c r="ID355" s="16"/>
    </row>
    <row r="356" spans="1:238" s="90" customFormat="1" ht="12.75" customHeight="1">
      <c r="A356" s="80"/>
      <c r="B356" s="32"/>
      <c r="C356" s="32"/>
      <c r="D356" s="32"/>
      <c r="E356" s="697" t="s">
        <v>1172</v>
      </c>
      <c r="F356" s="698" t="s">
        <v>567</v>
      </c>
      <c r="G356" s="699" t="s">
        <v>468</v>
      </c>
      <c r="H356" s="697" t="s">
        <v>1173</v>
      </c>
      <c r="I356" s="698" t="s">
        <v>987</v>
      </c>
      <c r="J356" s="440"/>
      <c r="K356" s="613"/>
      <c r="L356" s="562"/>
      <c r="M356" s="415"/>
      <c r="O356" s="422"/>
      <c r="P356" s="12"/>
      <c r="Q356" s="534" t="s">
        <v>884</v>
      </c>
      <c r="R356" s="16"/>
      <c r="S356" s="16"/>
      <c r="T356" s="16"/>
      <c r="U356" s="16"/>
      <c r="V356" s="16"/>
      <c r="W356" s="16"/>
      <c r="X356" s="16"/>
      <c r="Y356" s="16"/>
      <c r="Z356" s="16"/>
      <c r="AA356" s="16"/>
      <c r="AB356" s="16"/>
      <c r="AC356" s="16"/>
      <c r="AD356" s="16"/>
      <c r="AE356" s="16"/>
      <c r="AF356" s="16"/>
      <c r="AG356" s="16"/>
      <c r="AH356" s="16"/>
      <c r="AI356" s="16"/>
      <c r="AJ356" s="16"/>
      <c r="AK356" s="16"/>
      <c r="AL356" s="16"/>
      <c r="AM356" s="12"/>
      <c r="AN356" s="12"/>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6"/>
      <c r="EV356" s="16"/>
      <c r="EW356" s="16"/>
      <c r="EX356" s="16"/>
      <c r="EY356" s="16"/>
      <c r="EZ356" s="16"/>
      <c r="FA356" s="16"/>
      <c r="FB356" s="16"/>
      <c r="FC356" s="16"/>
      <c r="FD356" s="16"/>
      <c r="FE356" s="16"/>
      <c r="FF356" s="16"/>
      <c r="FG356" s="16"/>
      <c r="FH356" s="16"/>
      <c r="FI356" s="16"/>
      <c r="FJ356" s="16"/>
      <c r="FK356" s="16"/>
      <c r="FL356" s="16"/>
      <c r="FM356" s="16"/>
      <c r="FN356" s="16"/>
      <c r="FO356" s="16"/>
      <c r="FP356" s="16"/>
      <c r="FQ356" s="16"/>
      <c r="FR356" s="16"/>
      <c r="FS356" s="16"/>
      <c r="FT356" s="16"/>
      <c r="FU356" s="16"/>
      <c r="FV356" s="16"/>
      <c r="FW356" s="16"/>
      <c r="FX356" s="16"/>
      <c r="FY356" s="16"/>
      <c r="FZ356" s="16"/>
      <c r="GA356" s="16"/>
      <c r="GB356" s="16"/>
      <c r="GC356" s="16"/>
      <c r="GD356" s="16"/>
      <c r="GE356" s="16"/>
      <c r="GF356" s="16"/>
      <c r="GG356" s="16"/>
      <c r="GH356" s="16"/>
      <c r="GI356" s="16"/>
      <c r="GJ356" s="16"/>
      <c r="GK356" s="16"/>
      <c r="GL356" s="16"/>
      <c r="GM356" s="16"/>
      <c r="GN356" s="16"/>
      <c r="GO356" s="16"/>
      <c r="GP356" s="16"/>
      <c r="GQ356" s="16"/>
      <c r="GR356" s="16"/>
      <c r="GS356" s="16"/>
      <c r="GT356" s="16"/>
      <c r="GU356" s="16"/>
      <c r="GV356" s="16"/>
      <c r="GW356" s="16"/>
      <c r="GX356" s="16"/>
      <c r="GY356" s="16"/>
      <c r="GZ356" s="16"/>
      <c r="HA356" s="16"/>
      <c r="HB356" s="16"/>
      <c r="HC356" s="16"/>
      <c r="HD356" s="16"/>
      <c r="HE356" s="16"/>
      <c r="HF356" s="16"/>
      <c r="HG356" s="16"/>
      <c r="HH356" s="16"/>
      <c r="HI356" s="16"/>
      <c r="HJ356" s="16"/>
      <c r="HK356" s="16"/>
      <c r="HL356" s="16"/>
      <c r="HM356" s="16"/>
      <c r="HN356" s="16"/>
      <c r="HO356" s="16"/>
      <c r="HP356" s="16"/>
      <c r="HQ356" s="16"/>
      <c r="HR356" s="16"/>
      <c r="HS356" s="16"/>
      <c r="HT356" s="16"/>
      <c r="HU356" s="16"/>
      <c r="HV356" s="16"/>
      <c r="HW356" s="16"/>
      <c r="HX356" s="16"/>
      <c r="HY356" s="16"/>
      <c r="HZ356" s="16"/>
      <c r="IA356" s="16"/>
      <c r="IB356" s="16"/>
      <c r="IC356" s="16"/>
      <c r="ID356" s="16"/>
    </row>
    <row r="357" spans="1:238" s="90" customFormat="1" ht="12.75" customHeight="1">
      <c r="A357" s="44" t="s">
        <v>741</v>
      </c>
      <c r="B357" s="32"/>
      <c r="C357" s="32"/>
      <c r="D357" s="32"/>
      <c r="E357" s="700"/>
      <c r="F357" s="701" t="s">
        <v>1176</v>
      </c>
      <c r="G357" s="700" t="s">
        <v>489</v>
      </c>
      <c r="H357" s="700" t="s">
        <v>1177</v>
      </c>
      <c r="I357" s="701" t="s">
        <v>179</v>
      </c>
      <c r="J357" s="440"/>
      <c r="K357" s="562"/>
      <c r="L357" s="562"/>
      <c r="M357" s="415"/>
      <c r="O357" s="422"/>
      <c r="P357" s="12"/>
      <c r="Q357" s="389" t="s">
        <v>885</v>
      </c>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c r="FM357" s="16"/>
      <c r="FN357" s="16"/>
      <c r="FO357" s="16"/>
      <c r="FP357" s="16"/>
      <c r="FQ357" s="16"/>
      <c r="FR357" s="16"/>
      <c r="FS357" s="16"/>
      <c r="FT357" s="16"/>
      <c r="FU357" s="16"/>
      <c r="FV357" s="16"/>
      <c r="FW357" s="16"/>
      <c r="FX357" s="16"/>
      <c r="FY357" s="16"/>
      <c r="FZ357" s="16"/>
      <c r="GA357" s="16"/>
      <c r="GB357" s="16"/>
      <c r="GC357" s="16"/>
      <c r="GD357" s="16"/>
      <c r="GE357" s="16"/>
      <c r="GF357" s="16"/>
      <c r="GG357" s="16"/>
      <c r="GH357" s="16"/>
      <c r="GI357" s="16"/>
      <c r="GJ357" s="16"/>
      <c r="GK357" s="16"/>
      <c r="GL357" s="16"/>
      <c r="GM357" s="16"/>
      <c r="GN357" s="16"/>
      <c r="GO357" s="16"/>
      <c r="GP357" s="16"/>
      <c r="GQ357" s="16"/>
      <c r="GR357" s="16"/>
      <c r="GS357" s="16"/>
      <c r="GT357" s="16"/>
      <c r="GU357" s="16"/>
      <c r="GV357" s="16"/>
      <c r="GW357" s="16"/>
      <c r="GX357" s="16"/>
      <c r="GY357" s="16"/>
      <c r="GZ357" s="16"/>
      <c r="HA357" s="16"/>
      <c r="HB357" s="16"/>
      <c r="HC357" s="16"/>
      <c r="HD357" s="16"/>
      <c r="HE357" s="16"/>
      <c r="HF357" s="16"/>
      <c r="HG357" s="16"/>
      <c r="HH357" s="16"/>
      <c r="HI357" s="16"/>
      <c r="HJ357" s="16"/>
      <c r="HK357" s="16"/>
      <c r="HL357" s="16"/>
      <c r="HM357" s="16"/>
      <c r="HN357" s="16"/>
      <c r="HO357" s="16"/>
      <c r="HP357" s="16"/>
      <c r="HQ357" s="16"/>
      <c r="HR357" s="16"/>
      <c r="HS357" s="16"/>
      <c r="HT357" s="16"/>
      <c r="HU357" s="16"/>
      <c r="HV357" s="16"/>
      <c r="HW357" s="16"/>
      <c r="HX357" s="16"/>
      <c r="HY357" s="16"/>
      <c r="HZ357" s="16"/>
      <c r="IA357" s="16"/>
      <c r="IB357" s="16"/>
      <c r="IC357" s="16"/>
      <c r="ID357" s="16"/>
    </row>
    <row r="358" spans="1:238" s="90" customFormat="1" ht="12.75" customHeight="1">
      <c r="A358" s="199">
        <f>A354+1</f>
        <v>1021</v>
      </c>
      <c r="B358" s="57" t="s">
        <v>284</v>
      </c>
      <c r="C358" s="350"/>
      <c r="D358" s="376" t="s">
        <v>1496</v>
      </c>
      <c r="E358" s="56" t="s">
        <v>969</v>
      </c>
      <c r="F358" s="56" t="str">
        <f>IF($E$28="ja","ja","nee")</f>
        <v>nee</v>
      </c>
      <c r="G358" s="351"/>
      <c r="H358" s="352"/>
      <c r="I358" s="465">
        <f>IF(F358="ja",ROUND(G358*H358,0),0)</f>
        <v>0</v>
      </c>
      <c r="J358" s="440"/>
      <c r="K358" s="562" t="str">
        <f>CONCATENATE("PQ",D358)</f>
        <v>PQF125</v>
      </c>
      <c r="L358" s="562" t="str">
        <f>CONCATENATE("P",D358)</f>
        <v>PF125</v>
      </c>
      <c r="M358" s="637">
        <f>I358*A358</f>
        <v>0</v>
      </c>
      <c r="N358" s="540">
        <v>0</v>
      </c>
      <c r="O358" s="541">
        <v>9.74</v>
      </c>
      <c r="P358" s="12"/>
      <c r="Q358" s="398">
        <f>G358</f>
        <v>0</v>
      </c>
      <c r="R358" s="16"/>
      <c r="S358" s="16"/>
      <c r="T358" s="16"/>
      <c r="U358" s="16"/>
      <c r="V358" s="16"/>
      <c r="W358" s="16"/>
      <c r="X358" s="16"/>
      <c r="Y358" s="16"/>
      <c r="Z358" s="16"/>
      <c r="AA358" s="16"/>
      <c r="AB358" s="16"/>
      <c r="AC358" s="16"/>
      <c r="AD358" s="16"/>
      <c r="AE358" s="16"/>
      <c r="AF358" s="16"/>
      <c r="AG358" s="16"/>
      <c r="AH358" s="16"/>
      <c r="AI358" s="16"/>
      <c r="AJ358" s="16"/>
      <c r="AK358" s="16"/>
      <c r="AL358" s="16"/>
      <c r="AM358" s="12"/>
      <c r="AN358" s="12"/>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c r="ES358" s="16"/>
      <c r="ET358" s="16"/>
      <c r="EU358" s="16"/>
      <c r="EV358" s="16"/>
      <c r="EW358" s="16"/>
      <c r="EX358" s="16"/>
      <c r="EY358" s="16"/>
      <c r="EZ358" s="16"/>
      <c r="FA358" s="16"/>
      <c r="FB358" s="16"/>
      <c r="FC358" s="16"/>
      <c r="FD358" s="16"/>
      <c r="FE358" s="16"/>
      <c r="FF358" s="16"/>
      <c r="FG358" s="16"/>
      <c r="FH358" s="16"/>
      <c r="FI358" s="16"/>
      <c r="FJ358" s="16"/>
      <c r="FK358" s="16"/>
      <c r="FL358" s="16"/>
      <c r="FM358" s="16"/>
      <c r="FN358" s="16"/>
      <c r="FO358" s="16"/>
      <c r="FP358" s="16"/>
      <c r="FQ358" s="16"/>
      <c r="FR358" s="16"/>
      <c r="FS358" s="16"/>
      <c r="FT358" s="16"/>
      <c r="FU358" s="16"/>
      <c r="FV358" s="16"/>
      <c r="FW358" s="16"/>
      <c r="FX358" s="16"/>
      <c r="FY358" s="16"/>
      <c r="FZ358" s="16"/>
      <c r="GA358" s="16"/>
      <c r="GB358" s="16"/>
      <c r="GC358" s="16"/>
      <c r="GD358" s="16"/>
      <c r="GE358" s="16"/>
      <c r="GF358" s="16"/>
      <c r="GG358" s="16"/>
      <c r="GH358" s="16"/>
      <c r="GI358" s="16"/>
      <c r="GJ358" s="16"/>
      <c r="GK358" s="16"/>
      <c r="GL358" s="16"/>
      <c r="GM358" s="16"/>
      <c r="GN358" s="16"/>
      <c r="GO358" s="16"/>
      <c r="GP358" s="16"/>
      <c r="GQ358" s="16"/>
      <c r="GR358" s="16"/>
      <c r="GS358" s="16"/>
      <c r="GT358" s="16"/>
      <c r="GU358" s="16"/>
      <c r="GV358" s="16"/>
      <c r="GW358" s="16"/>
      <c r="GX358" s="16"/>
      <c r="GY358" s="16"/>
      <c r="GZ358" s="16"/>
      <c r="HA358" s="16"/>
      <c r="HB358" s="16"/>
      <c r="HC358" s="16"/>
      <c r="HD358" s="16"/>
      <c r="HE358" s="16"/>
      <c r="HF358" s="16"/>
      <c r="HG358" s="16"/>
      <c r="HH358" s="16"/>
      <c r="HI358" s="16"/>
      <c r="HJ358" s="16"/>
      <c r="HK358" s="16"/>
      <c r="HL358" s="16"/>
      <c r="HM358" s="16"/>
      <c r="HN358" s="16"/>
      <c r="HO358" s="16"/>
      <c r="HP358" s="16"/>
      <c r="HQ358" s="16"/>
      <c r="HR358" s="16"/>
      <c r="HS358" s="16"/>
      <c r="HT358" s="16"/>
      <c r="HU358" s="16"/>
      <c r="HV358" s="16"/>
      <c r="HW358" s="16"/>
      <c r="HX358" s="16"/>
      <c r="HY358" s="16"/>
      <c r="HZ358" s="16"/>
      <c r="IA358" s="16"/>
      <c r="IB358" s="16"/>
      <c r="IC358" s="16"/>
      <c r="ID358" s="16"/>
    </row>
    <row r="359" spans="1:238" s="90" customFormat="1" ht="12.75" customHeight="1">
      <c r="A359" s="199">
        <f>A358+1</f>
        <v>1022</v>
      </c>
      <c r="B359" s="57" t="s">
        <v>1307</v>
      </c>
      <c r="C359" s="350"/>
      <c r="D359" s="342" t="s">
        <v>631</v>
      </c>
      <c r="E359" s="375" t="s">
        <v>970</v>
      </c>
      <c r="F359" s="375" t="str">
        <f>IF($E$28="ja","ja","nee")</f>
        <v>nee</v>
      </c>
      <c r="G359" s="351"/>
      <c r="H359" s="352"/>
      <c r="I359" s="465">
        <f>IF(F359="ja",ROUND(G359*H359,0),0)</f>
        <v>0</v>
      </c>
      <c r="J359" s="440"/>
      <c r="K359" s="562" t="str">
        <f>CONCATENATE("PQ",D359)</f>
        <v>PQF129</v>
      </c>
      <c r="L359" s="562" t="str">
        <f>CONCATENATE("P",D359)</f>
        <v>PF129</v>
      </c>
      <c r="M359" s="638">
        <f>I359*A359</f>
        <v>0</v>
      </c>
      <c r="N359" s="531">
        <v>0</v>
      </c>
      <c r="O359" s="542">
        <v>3382.92</v>
      </c>
      <c r="P359" s="12"/>
      <c r="Q359" s="693"/>
      <c r="R359" s="16"/>
      <c r="S359" s="16"/>
      <c r="T359" s="16"/>
      <c r="U359" s="16"/>
      <c r="V359" s="16"/>
      <c r="W359" s="16"/>
      <c r="X359" s="16"/>
      <c r="Y359" s="16"/>
      <c r="Z359" s="16"/>
      <c r="AA359" s="16"/>
      <c r="AB359" s="16"/>
      <c r="AC359" s="16"/>
      <c r="AD359" s="16"/>
      <c r="AE359" s="16"/>
      <c r="AF359" s="16"/>
      <c r="AG359" s="16"/>
      <c r="AH359" s="16"/>
      <c r="AI359" s="16"/>
      <c r="AJ359" s="16"/>
      <c r="AK359" s="16"/>
      <c r="AL359" s="16"/>
      <c r="AM359" s="12"/>
      <c r="AN359" s="12"/>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c r="EZ359" s="16"/>
      <c r="FA359" s="16"/>
      <c r="FB359" s="16"/>
      <c r="FC359" s="16"/>
      <c r="FD359" s="16"/>
      <c r="FE359" s="16"/>
      <c r="FF359" s="16"/>
      <c r="FG359" s="16"/>
      <c r="FH359" s="16"/>
      <c r="FI359" s="16"/>
      <c r="FJ359" s="16"/>
      <c r="FK359" s="16"/>
      <c r="FL359" s="16"/>
      <c r="FM359" s="16"/>
      <c r="FN359" s="16"/>
      <c r="FO359" s="16"/>
      <c r="FP359" s="16"/>
      <c r="FQ359" s="16"/>
      <c r="FR359" s="16"/>
      <c r="FS359" s="16"/>
      <c r="FT359" s="16"/>
      <c r="FU359" s="16"/>
      <c r="FV359" s="16"/>
      <c r="FW359" s="16"/>
      <c r="FX359" s="16"/>
      <c r="FY359" s="16"/>
      <c r="FZ359" s="16"/>
      <c r="GA359" s="16"/>
      <c r="GB359" s="16"/>
      <c r="GC359" s="16"/>
      <c r="GD359" s="16"/>
      <c r="GE359" s="16"/>
      <c r="GF359" s="16"/>
      <c r="GG359" s="16"/>
      <c r="GH359" s="16"/>
      <c r="GI359" s="16"/>
      <c r="GJ359" s="16"/>
      <c r="GK359" s="16"/>
      <c r="GL359" s="16"/>
      <c r="GM359" s="16"/>
      <c r="GN359" s="16"/>
      <c r="GO359" s="16"/>
      <c r="GP359" s="16"/>
      <c r="GQ359" s="16"/>
      <c r="GR359" s="16"/>
      <c r="GS359" s="16"/>
      <c r="GT359" s="16"/>
      <c r="GU359" s="16"/>
      <c r="GV359" s="16"/>
      <c r="GW359" s="16"/>
      <c r="GX359" s="16"/>
      <c r="GY359" s="16"/>
      <c r="GZ359" s="16"/>
      <c r="HA359" s="16"/>
      <c r="HB359" s="16"/>
      <c r="HC359" s="16"/>
      <c r="HD359" s="16"/>
      <c r="HE359" s="16"/>
      <c r="HF359" s="16"/>
      <c r="HG359" s="16"/>
      <c r="HH359" s="16"/>
      <c r="HI359" s="16"/>
      <c r="HJ359" s="16"/>
      <c r="HK359" s="16"/>
      <c r="HL359" s="16"/>
      <c r="HM359" s="16"/>
      <c r="HN359" s="16"/>
      <c r="HO359" s="16"/>
      <c r="HP359" s="16"/>
      <c r="HQ359" s="16"/>
      <c r="HR359" s="16"/>
      <c r="HS359" s="16"/>
      <c r="HT359" s="16"/>
      <c r="HU359" s="16"/>
      <c r="HV359" s="16"/>
      <c r="HW359" s="16"/>
      <c r="HX359" s="16"/>
      <c r="HY359" s="16"/>
      <c r="HZ359" s="16"/>
      <c r="IA359" s="16"/>
      <c r="IB359" s="16"/>
      <c r="IC359" s="16"/>
      <c r="ID359" s="16"/>
    </row>
    <row r="360" spans="1:238" s="90" customFormat="1" ht="12.75" customHeight="1" thickBot="1">
      <c r="A360" s="199">
        <f>A359+1</f>
        <v>1023</v>
      </c>
      <c r="B360" s="413" t="s">
        <v>983</v>
      </c>
      <c r="C360" s="350"/>
      <c r="D360" s="342" t="s">
        <v>1496</v>
      </c>
      <c r="E360" s="56" t="s">
        <v>969</v>
      </c>
      <c r="F360" s="56" t="str">
        <f>F358</f>
        <v>nee</v>
      </c>
      <c r="G360" s="351"/>
      <c r="H360" s="877"/>
      <c r="I360" s="878"/>
      <c r="J360" s="603"/>
      <c r="K360" s="661"/>
      <c r="L360" s="562"/>
      <c r="M360" s="702"/>
      <c r="N360" s="662"/>
      <c r="O360" s="662"/>
      <c r="P360" s="662"/>
      <c r="Q360" s="400">
        <f>G360</f>
        <v>0</v>
      </c>
      <c r="R360" s="662"/>
      <c r="S360" s="662"/>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c r="FM360" s="16"/>
      <c r="FN360" s="16"/>
      <c r="FO360" s="16"/>
      <c r="FP360" s="16"/>
      <c r="FQ360" s="16"/>
      <c r="FR360" s="16"/>
      <c r="FS360" s="16"/>
      <c r="FT360" s="16"/>
      <c r="FU360" s="16"/>
      <c r="FV360" s="16"/>
      <c r="FW360" s="16"/>
      <c r="FX360" s="16"/>
      <c r="FY360" s="16"/>
      <c r="FZ360" s="16"/>
      <c r="GA360" s="16"/>
      <c r="GB360" s="16"/>
      <c r="GC360" s="16"/>
      <c r="GD360" s="16"/>
      <c r="GE360" s="16"/>
      <c r="GF360" s="16"/>
      <c r="GG360" s="16"/>
      <c r="GH360" s="16"/>
      <c r="GI360" s="16"/>
      <c r="GJ360" s="16"/>
      <c r="GK360" s="16"/>
      <c r="GL360" s="16"/>
      <c r="GM360" s="16"/>
      <c r="GN360" s="16"/>
      <c r="GO360" s="16"/>
      <c r="GP360" s="16"/>
      <c r="GQ360" s="16"/>
      <c r="GR360" s="16"/>
      <c r="GS360" s="16"/>
      <c r="GT360" s="16"/>
      <c r="GU360" s="16"/>
      <c r="GV360" s="16"/>
      <c r="GW360" s="16"/>
      <c r="GX360" s="16"/>
      <c r="GY360" s="16"/>
      <c r="GZ360" s="16"/>
      <c r="HA360" s="16"/>
      <c r="HB360" s="16"/>
      <c r="HC360" s="16"/>
      <c r="HD360" s="16"/>
      <c r="HE360" s="16"/>
      <c r="HF360" s="16"/>
      <c r="HG360" s="16"/>
      <c r="HH360" s="16"/>
      <c r="HI360" s="16"/>
      <c r="HJ360" s="16"/>
      <c r="HK360" s="16"/>
      <c r="HL360" s="16"/>
      <c r="HM360" s="16"/>
      <c r="HN360" s="16"/>
      <c r="HO360" s="16"/>
      <c r="HP360" s="16"/>
      <c r="HQ360" s="16"/>
      <c r="HR360" s="16"/>
      <c r="HS360" s="16"/>
      <c r="HT360" s="16"/>
      <c r="HU360" s="16"/>
      <c r="HV360" s="16"/>
      <c r="HW360" s="16"/>
      <c r="HX360" s="16"/>
      <c r="HY360" s="16"/>
      <c r="HZ360" s="16"/>
      <c r="IA360" s="16"/>
      <c r="IB360" s="16"/>
      <c r="IC360" s="16"/>
      <c r="ID360" s="16"/>
    </row>
    <row r="361" spans="1:238" s="90" customFormat="1" ht="12.75" customHeight="1" thickBot="1">
      <c r="A361" s="199">
        <f>A360+1</f>
        <v>1024</v>
      </c>
      <c r="B361" s="365" t="s">
        <v>1154</v>
      </c>
      <c r="C361" s="198"/>
      <c r="D361" s="682"/>
      <c r="E361" s="198"/>
      <c r="F361" s="198"/>
      <c r="G361" s="198"/>
      <c r="H361" s="198"/>
      <c r="I361" s="474">
        <f>SUM(I358:I359)</f>
        <v>0</v>
      </c>
      <c r="J361" s="12"/>
      <c r="K361" s="613"/>
      <c r="L361" s="562"/>
      <c r="M361" s="415">
        <f>I361*A361</f>
        <v>0</v>
      </c>
      <c r="O361" s="422"/>
      <c r="P361" s="12"/>
      <c r="Q361" s="418"/>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c r="ES361" s="16"/>
      <c r="ET361" s="16"/>
      <c r="EU361" s="16"/>
      <c r="EV361" s="16"/>
      <c r="EW361" s="16"/>
      <c r="EX361" s="16"/>
      <c r="EY361" s="16"/>
      <c r="EZ361" s="16"/>
      <c r="FA361" s="16"/>
      <c r="FB361" s="16"/>
      <c r="FC361" s="16"/>
      <c r="FD361" s="16"/>
      <c r="FE361" s="16"/>
      <c r="FF361" s="16"/>
      <c r="FG361" s="16"/>
      <c r="FH361" s="16"/>
      <c r="FI361" s="16"/>
      <c r="FJ361" s="16"/>
      <c r="FK361" s="16"/>
      <c r="FL361" s="16"/>
      <c r="FM361" s="16"/>
      <c r="FN361" s="16"/>
      <c r="FO361" s="16"/>
      <c r="FP361" s="16"/>
      <c r="FQ361" s="16"/>
      <c r="FR361" s="16"/>
      <c r="FS361" s="16"/>
      <c r="FT361" s="16"/>
      <c r="FU361" s="16"/>
      <c r="FV361" s="16"/>
      <c r="FW361" s="16"/>
      <c r="FX361" s="16"/>
      <c r="FY361" s="16"/>
      <c r="FZ361" s="16"/>
      <c r="GA361" s="16"/>
      <c r="GB361" s="16"/>
      <c r="GC361" s="16"/>
      <c r="GD361" s="16"/>
      <c r="GE361" s="16"/>
      <c r="GF361" s="16"/>
      <c r="GG361" s="16"/>
      <c r="GH361" s="16"/>
      <c r="GI361" s="16"/>
      <c r="GJ361" s="16"/>
      <c r="GK361" s="16"/>
      <c r="GL361" s="16"/>
      <c r="GM361" s="16"/>
      <c r="GN361" s="16"/>
      <c r="GO361" s="16"/>
      <c r="GP361" s="16"/>
      <c r="GQ361" s="16"/>
      <c r="GR361" s="16"/>
      <c r="GS361" s="16"/>
      <c r="GT361" s="16"/>
      <c r="GU361" s="16"/>
      <c r="GV361" s="16"/>
      <c r="GW361" s="16"/>
      <c r="GX361" s="16"/>
      <c r="GY361" s="16"/>
      <c r="GZ361" s="16"/>
      <c r="HA361" s="16"/>
      <c r="HB361" s="16"/>
      <c r="HC361" s="16"/>
      <c r="HD361" s="16"/>
      <c r="HE361" s="16"/>
      <c r="HF361" s="16"/>
      <c r="HG361" s="16"/>
      <c r="HH361" s="16"/>
      <c r="HI361" s="16"/>
      <c r="HJ361" s="16"/>
      <c r="HK361" s="16"/>
      <c r="HL361" s="16"/>
      <c r="HM361" s="16"/>
      <c r="HN361" s="16"/>
      <c r="HO361" s="16"/>
      <c r="HP361" s="16"/>
      <c r="HQ361" s="16"/>
      <c r="HR361" s="16"/>
      <c r="HS361" s="16"/>
      <c r="HT361" s="16"/>
      <c r="HU361" s="16"/>
      <c r="HV361" s="16"/>
      <c r="HW361" s="16"/>
      <c r="HX361" s="16"/>
      <c r="HY361" s="16"/>
      <c r="HZ361" s="16"/>
      <c r="IA361" s="16"/>
      <c r="IB361" s="16"/>
      <c r="IC361" s="16"/>
      <c r="ID361" s="16"/>
    </row>
    <row r="362" spans="1:238" s="90" customFormat="1" ht="12.75" customHeight="1">
      <c r="A362" s="367"/>
      <c r="B362" s="367"/>
      <c r="C362" s="367"/>
      <c r="D362" s="367"/>
      <c r="E362" s="367"/>
      <c r="F362" s="367"/>
      <c r="G362" s="367"/>
      <c r="H362" s="367"/>
      <c r="I362" s="59" t="s">
        <v>1425</v>
      </c>
      <c r="J362" s="12"/>
      <c r="K362" s="613"/>
      <c r="L362" s="562"/>
      <c r="M362" s="415"/>
      <c r="O362" s="422"/>
      <c r="P362" s="12"/>
      <c r="Q362" s="418"/>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c r="EZ362" s="16"/>
      <c r="FA362" s="16"/>
      <c r="FB362" s="16"/>
      <c r="FC362" s="16"/>
      <c r="FD362" s="16"/>
      <c r="FE362" s="16"/>
      <c r="FF362" s="16"/>
      <c r="FG362" s="16"/>
      <c r="FH362" s="16"/>
      <c r="FI362" s="16"/>
      <c r="FJ362" s="16"/>
      <c r="FK362" s="16"/>
      <c r="FL362" s="16"/>
      <c r="FM362" s="16"/>
      <c r="FN362" s="16"/>
      <c r="FO362" s="16"/>
      <c r="FP362" s="16"/>
      <c r="FQ362" s="16"/>
      <c r="FR362" s="16"/>
      <c r="FS362" s="16"/>
      <c r="FT362" s="16"/>
      <c r="FU362" s="16"/>
      <c r="FV362" s="16"/>
      <c r="FW362" s="16"/>
      <c r="FX362" s="16"/>
      <c r="FY362" s="16"/>
      <c r="FZ362" s="16"/>
      <c r="GA362" s="16"/>
      <c r="GB362" s="16"/>
      <c r="GC362" s="16"/>
      <c r="GD362" s="16"/>
      <c r="GE362" s="16"/>
      <c r="GF362" s="16"/>
      <c r="GG362" s="16"/>
      <c r="GH362" s="16"/>
      <c r="GI362" s="16"/>
      <c r="GJ362" s="16"/>
      <c r="GK362" s="16"/>
      <c r="GL362" s="16"/>
      <c r="GM362" s="16"/>
      <c r="GN362" s="16"/>
      <c r="GO362" s="16"/>
      <c r="GP362" s="16"/>
      <c r="GQ362" s="16"/>
      <c r="GR362" s="16"/>
      <c r="GS362" s="16"/>
      <c r="GT362" s="16"/>
      <c r="GU362" s="16"/>
      <c r="GV362" s="16"/>
      <c r="GW362" s="16"/>
      <c r="GX362" s="16"/>
      <c r="GY362" s="16"/>
      <c r="GZ362" s="16"/>
      <c r="HA362" s="16"/>
      <c r="HB362" s="16"/>
      <c r="HC362" s="16"/>
      <c r="HD362" s="16"/>
      <c r="HE362" s="16"/>
      <c r="HF362" s="16"/>
      <c r="HG362" s="16"/>
      <c r="HH362" s="16"/>
      <c r="HI362" s="16"/>
      <c r="HJ362" s="16"/>
      <c r="HK362" s="16"/>
      <c r="HL362" s="16"/>
      <c r="HM362" s="16"/>
      <c r="HN362" s="16"/>
      <c r="HO362" s="16"/>
      <c r="HP362" s="16"/>
      <c r="HQ362" s="16"/>
      <c r="HR362" s="16"/>
      <c r="HS362" s="16"/>
      <c r="HT362" s="16"/>
      <c r="HU362" s="16"/>
      <c r="HV362" s="16"/>
      <c r="HW362" s="16"/>
      <c r="HX362" s="16"/>
      <c r="HY362" s="16"/>
      <c r="HZ362" s="16"/>
      <c r="IA362" s="16"/>
      <c r="IB362" s="16"/>
      <c r="IC362" s="16"/>
      <c r="ID362" s="16"/>
    </row>
    <row r="363" spans="1:238" s="90" customFormat="1" ht="12.75" customHeight="1">
      <c r="A363" s="366"/>
      <c r="B363" s="367"/>
      <c r="C363" s="12"/>
      <c r="E363" s="871"/>
      <c r="F363" s="871"/>
      <c r="G363" s="871"/>
      <c r="H363" s="871"/>
      <c r="I363" s="59" t="str">
        <f>$I$6</f>
        <v>120 / </v>
      </c>
      <c r="J363" s="12"/>
      <c r="K363" s="613"/>
      <c r="L363" s="562"/>
      <c r="M363" s="415"/>
      <c r="O363" s="422"/>
      <c r="P363" s="12"/>
      <c r="Q363" s="418"/>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c r="ES363" s="16"/>
      <c r="ET363" s="16"/>
      <c r="EU363" s="16"/>
      <c r="EV363" s="16"/>
      <c r="EW363" s="16"/>
      <c r="EX363" s="16"/>
      <c r="EY363" s="16"/>
      <c r="EZ363" s="16"/>
      <c r="FA363" s="16"/>
      <c r="FB363" s="16"/>
      <c r="FC363" s="16"/>
      <c r="FD363" s="16"/>
      <c r="FE363" s="16"/>
      <c r="FF363" s="16"/>
      <c r="FG363" s="16"/>
      <c r="FH363" s="16"/>
      <c r="FI363" s="16"/>
      <c r="FJ363" s="16"/>
      <c r="FK363" s="16"/>
      <c r="FL363" s="16"/>
      <c r="FM363" s="16"/>
      <c r="FN363" s="16"/>
      <c r="FO363" s="16"/>
      <c r="FP363" s="16"/>
      <c r="FQ363" s="16"/>
      <c r="FR363" s="16"/>
      <c r="FS363" s="16"/>
      <c r="FT363" s="16"/>
      <c r="FU363" s="16"/>
      <c r="FV363" s="16"/>
      <c r="FW363" s="16"/>
      <c r="FX363" s="16"/>
      <c r="FY363" s="16"/>
      <c r="FZ363" s="16"/>
      <c r="GA363" s="16"/>
      <c r="GB363" s="16"/>
      <c r="GC363" s="16"/>
      <c r="GD363" s="16"/>
      <c r="GE363" s="16"/>
      <c r="GF363" s="16"/>
      <c r="GG363" s="16"/>
      <c r="GH363" s="16"/>
      <c r="GI363" s="16"/>
      <c r="GJ363" s="16"/>
      <c r="GK363" s="16"/>
      <c r="GL363" s="16"/>
      <c r="GM363" s="16"/>
      <c r="GN363" s="16"/>
      <c r="GO363" s="16"/>
      <c r="GP363" s="16"/>
      <c r="GQ363" s="16"/>
      <c r="GR363" s="16"/>
      <c r="GS363" s="16"/>
      <c r="GT363" s="16"/>
      <c r="GU363" s="16"/>
      <c r="GV363" s="16"/>
      <c r="GW363" s="16"/>
      <c r="GX363" s="16"/>
      <c r="GY363" s="16"/>
      <c r="GZ363" s="16"/>
      <c r="HA363" s="16"/>
      <c r="HB363" s="16"/>
      <c r="HC363" s="16"/>
      <c r="HD363" s="16"/>
      <c r="HE363" s="16"/>
      <c r="HF363" s="16"/>
      <c r="HG363" s="16"/>
      <c r="HH363" s="16"/>
      <c r="HI363" s="16"/>
      <c r="HJ363" s="16"/>
      <c r="HK363" s="16"/>
      <c r="HL363" s="16"/>
      <c r="HM363" s="16"/>
      <c r="HN363" s="16"/>
      <c r="HO363" s="16"/>
      <c r="HP363" s="16"/>
      <c r="HQ363" s="16"/>
      <c r="HR363" s="16"/>
      <c r="HS363" s="16"/>
      <c r="HT363" s="16"/>
      <c r="HU363" s="16"/>
      <c r="HV363" s="16"/>
      <c r="HW363" s="16"/>
      <c r="HX363" s="16"/>
      <c r="HY363" s="16"/>
      <c r="HZ363" s="16"/>
      <c r="IA363" s="16"/>
      <c r="IB363" s="16"/>
      <c r="IC363" s="16"/>
      <c r="ID363" s="16"/>
    </row>
    <row r="364" spans="1:238" s="90" customFormat="1" ht="12.75" customHeight="1">
      <c r="A364" s="44" t="s">
        <v>742</v>
      </c>
      <c r="B364" s="31" t="s">
        <v>226</v>
      </c>
      <c r="C364" s="32"/>
      <c r="D364" s="32"/>
      <c r="E364" s="697" t="s">
        <v>1172</v>
      </c>
      <c r="F364" s="698" t="s">
        <v>567</v>
      </c>
      <c r="G364" s="699" t="s">
        <v>468</v>
      </c>
      <c r="H364" s="697" t="s">
        <v>1173</v>
      </c>
      <c r="I364" s="698" t="s">
        <v>987</v>
      </c>
      <c r="J364" s="366"/>
      <c r="K364" s="647"/>
      <c r="L364" s="562"/>
      <c r="M364" s="415"/>
      <c r="N364" s="653"/>
      <c r="O364" s="630"/>
      <c r="P364" s="12"/>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c r="ES364" s="16"/>
      <c r="ET364" s="16"/>
      <c r="EU364" s="16"/>
      <c r="EV364" s="16"/>
      <c r="EW364" s="16"/>
      <c r="EX364" s="16"/>
      <c r="EY364" s="16"/>
      <c r="EZ364" s="16"/>
      <c r="FA364" s="16"/>
      <c r="FB364" s="16"/>
      <c r="FC364" s="16"/>
      <c r="FD364" s="16"/>
      <c r="FE364" s="16"/>
      <c r="FF364" s="16"/>
      <c r="FG364" s="16"/>
      <c r="FH364" s="16"/>
      <c r="FI364" s="16"/>
      <c r="FJ364" s="16"/>
      <c r="FK364" s="16"/>
      <c r="FL364" s="16"/>
      <c r="FM364" s="16"/>
      <c r="FN364" s="16"/>
      <c r="FO364" s="16"/>
      <c r="FP364" s="16"/>
      <c r="FQ364" s="16"/>
      <c r="FR364" s="16"/>
      <c r="FS364" s="16"/>
      <c r="FT364" s="16"/>
      <c r="FU364" s="16"/>
      <c r="FV364" s="16"/>
      <c r="FW364" s="16"/>
      <c r="FX364" s="16"/>
      <c r="FY364" s="16"/>
      <c r="FZ364" s="16"/>
      <c r="GA364" s="16"/>
      <c r="GB364" s="16"/>
      <c r="GC364" s="16"/>
      <c r="GD364" s="16"/>
      <c r="GE364" s="16"/>
      <c r="GF364" s="16"/>
      <c r="GG364" s="16"/>
      <c r="GH364" s="16"/>
      <c r="GI364" s="16"/>
      <c r="GJ364" s="16"/>
      <c r="GK364" s="16"/>
      <c r="GL364" s="16"/>
      <c r="GM364" s="16"/>
      <c r="GN364" s="16"/>
      <c r="GO364" s="16"/>
      <c r="GP364" s="16"/>
      <c r="GQ364" s="16"/>
      <c r="GR364" s="16"/>
      <c r="GS364" s="16"/>
      <c r="GT364" s="16"/>
      <c r="GU364" s="16"/>
      <c r="GV364" s="16"/>
      <c r="GW364" s="16"/>
      <c r="GX364" s="16"/>
      <c r="GY364" s="16"/>
      <c r="GZ364" s="16"/>
      <c r="HA364" s="16"/>
      <c r="HB364" s="16"/>
      <c r="HC364" s="16"/>
      <c r="HD364" s="16"/>
      <c r="HE364" s="16"/>
      <c r="HF364" s="16"/>
      <c r="HG364" s="16"/>
      <c r="HH364" s="16"/>
      <c r="HI364" s="16"/>
      <c r="HJ364" s="16"/>
      <c r="HK364" s="16"/>
      <c r="HL364" s="16"/>
      <c r="HM364" s="16"/>
      <c r="HN364" s="16"/>
      <c r="HO364" s="16"/>
      <c r="HP364" s="16"/>
      <c r="HQ364" s="16"/>
      <c r="HR364" s="16"/>
      <c r="HS364" s="16"/>
      <c r="HT364" s="16"/>
      <c r="HU364" s="16"/>
      <c r="HV364" s="16"/>
      <c r="HW364" s="16"/>
      <c r="HX364" s="16"/>
      <c r="HY364" s="16"/>
      <c r="HZ364" s="16"/>
      <c r="IA364" s="16"/>
      <c r="IB364" s="16"/>
      <c r="IC364" s="16"/>
      <c r="ID364" s="16"/>
    </row>
    <row r="365" spans="1:238" s="90" customFormat="1" ht="12.75" customHeight="1">
      <c r="A365" s="61"/>
      <c r="B365" s="31" t="s">
        <v>227</v>
      </c>
      <c r="C365" s="12"/>
      <c r="D365" s="347"/>
      <c r="E365" s="700" t="s">
        <v>1175</v>
      </c>
      <c r="F365" s="701" t="s">
        <v>1176</v>
      </c>
      <c r="G365" s="700" t="s">
        <v>489</v>
      </c>
      <c r="H365" s="700" t="s">
        <v>1177</v>
      </c>
      <c r="I365" s="701" t="s">
        <v>179</v>
      </c>
      <c r="J365" s="366"/>
      <c r="K365" s="562"/>
      <c r="L365" s="562"/>
      <c r="M365" s="415"/>
      <c r="N365" s="653"/>
      <c r="O365" s="630"/>
      <c r="P365" s="12"/>
      <c r="Q365" s="389" t="s">
        <v>886</v>
      </c>
      <c r="R365" s="389" t="s">
        <v>887</v>
      </c>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c r="ES365" s="16"/>
      <c r="ET365" s="16"/>
      <c r="EU365" s="16"/>
      <c r="EV365" s="16"/>
      <c r="EW365" s="16"/>
      <c r="EX365" s="16"/>
      <c r="EY365" s="16"/>
      <c r="EZ365" s="16"/>
      <c r="FA365" s="16"/>
      <c r="FB365" s="16"/>
      <c r="FC365" s="16"/>
      <c r="FD365" s="16"/>
      <c r="FE365" s="16"/>
      <c r="FF365" s="16"/>
      <c r="FG365" s="16"/>
      <c r="FH365" s="16"/>
      <c r="FI365" s="16"/>
      <c r="FJ365" s="16"/>
      <c r="FK365" s="16"/>
      <c r="FL365" s="16"/>
      <c r="FM365" s="16"/>
      <c r="FN365" s="16"/>
      <c r="FO365" s="16"/>
      <c r="FP365" s="16"/>
      <c r="FQ365" s="16"/>
      <c r="FR365" s="16"/>
      <c r="FS365" s="16"/>
      <c r="FT365" s="16"/>
      <c r="FU365" s="16"/>
      <c r="FV365" s="16"/>
      <c r="FW365" s="16"/>
      <c r="FX365" s="16"/>
      <c r="FY365" s="16"/>
      <c r="FZ365" s="16"/>
      <c r="GA365" s="16"/>
      <c r="GB365" s="16"/>
      <c r="GC365" s="16"/>
      <c r="GD365" s="16"/>
      <c r="GE365" s="16"/>
      <c r="GF365" s="16"/>
      <c r="GG365" s="16"/>
      <c r="GH365" s="16"/>
      <c r="GI365" s="16"/>
      <c r="GJ365" s="16"/>
      <c r="GK365" s="16"/>
      <c r="GL365" s="16"/>
      <c r="GM365" s="16"/>
      <c r="GN365" s="16"/>
      <c r="GO365" s="16"/>
      <c r="GP365" s="16"/>
      <c r="GQ365" s="16"/>
      <c r="GR365" s="16"/>
      <c r="GS365" s="16"/>
      <c r="GT365" s="16"/>
      <c r="GU365" s="16"/>
      <c r="GV365" s="16"/>
      <c r="GW365" s="16"/>
      <c r="GX365" s="16"/>
      <c r="GY365" s="16"/>
      <c r="GZ365" s="16"/>
      <c r="HA365" s="16"/>
      <c r="HB365" s="16"/>
      <c r="HC365" s="16"/>
      <c r="HD365" s="16"/>
      <c r="HE365" s="16"/>
      <c r="HF365" s="16"/>
      <c r="HG365" s="16"/>
      <c r="HH365" s="16"/>
      <c r="HI365" s="16"/>
      <c r="HJ365" s="16"/>
      <c r="HK365" s="16"/>
      <c r="HL365" s="16"/>
      <c r="HM365" s="16"/>
      <c r="HN365" s="16"/>
      <c r="HO365" s="16"/>
      <c r="HP365" s="16"/>
      <c r="HQ365" s="16"/>
      <c r="HR365" s="16"/>
      <c r="HS365" s="16"/>
      <c r="HT365" s="16"/>
      <c r="HU365" s="16"/>
      <c r="HV365" s="16"/>
      <c r="HW365" s="16"/>
      <c r="HX365" s="16"/>
      <c r="HY365" s="16"/>
      <c r="HZ365" s="16"/>
      <c r="IA365" s="16"/>
      <c r="IB365" s="16"/>
      <c r="IC365" s="16"/>
      <c r="ID365" s="16"/>
    </row>
    <row r="366" spans="1:238" s="90" customFormat="1" ht="12.75" customHeight="1">
      <c r="A366" s="199">
        <v>1101</v>
      </c>
      <c r="B366" s="57" t="s">
        <v>1285</v>
      </c>
      <c r="C366" s="703"/>
      <c r="D366" s="402" t="s">
        <v>1099</v>
      </c>
      <c r="E366" s="56" t="s">
        <v>217</v>
      </c>
      <c r="F366" s="401" t="str">
        <f aca="true" t="shared" si="53" ref="F366:F373">IF(R366&gt;0,"ja","nee")</f>
        <v>nee</v>
      </c>
      <c r="G366" s="351"/>
      <c r="H366" s="352"/>
      <c r="I366" s="465">
        <f aca="true" t="shared" si="54" ref="I366:I373">IF(F366="ja",ROUND(G366*H366,0),0)</f>
        <v>0</v>
      </c>
      <c r="K366" s="562" t="str">
        <f aca="true" t="shared" si="55" ref="K366:K373">CONCATENATE("PQ",D366)</f>
        <v>PQH620</v>
      </c>
      <c r="L366" s="562" t="str">
        <f aca="true" t="shared" si="56" ref="L366:L373">CONCATENATE("P",D366)</f>
        <v>PH620</v>
      </c>
      <c r="M366" s="637">
        <f aca="true" t="shared" si="57" ref="M366:M373">I366*A366</f>
        <v>0</v>
      </c>
      <c r="N366" s="535">
        <v>0</v>
      </c>
      <c r="O366" s="536">
        <v>11.06</v>
      </c>
      <c r="P366" s="89"/>
      <c r="Q366" s="390">
        <v>0</v>
      </c>
      <c r="R366" s="398">
        <f>(Q341+Q302+Q298+Q344)</f>
        <v>0</v>
      </c>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6"/>
      <c r="EV366" s="16"/>
      <c r="EW366" s="16"/>
      <c r="EX366" s="16"/>
      <c r="EY366" s="16"/>
      <c r="EZ366" s="16"/>
      <c r="FA366" s="16"/>
      <c r="FB366" s="16"/>
      <c r="FC366" s="16"/>
      <c r="FD366" s="16"/>
      <c r="FE366" s="16"/>
      <c r="FF366" s="16"/>
      <c r="FG366" s="16"/>
      <c r="FH366" s="16"/>
      <c r="FI366" s="16"/>
      <c r="FJ366" s="16"/>
      <c r="FK366" s="16"/>
      <c r="FL366" s="16"/>
      <c r="FM366" s="16"/>
      <c r="FN366" s="16"/>
      <c r="FO366" s="16"/>
      <c r="FP366" s="16"/>
      <c r="FQ366" s="16"/>
      <c r="FR366" s="16"/>
      <c r="FS366" s="16"/>
      <c r="FT366" s="16"/>
      <c r="FU366" s="16"/>
      <c r="FV366" s="16"/>
      <c r="FW366" s="16"/>
      <c r="FX366" s="16"/>
      <c r="FY366" s="16"/>
      <c r="FZ366" s="16"/>
      <c r="GA366" s="16"/>
      <c r="GB366" s="16"/>
      <c r="GC366" s="16"/>
      <c r="GD366" s="16"/>
      <c r="GE366" s="16"/>
      <c r="GF366" s="16"/>
      <c r="GG366" s="16"/>
      <c r="GH366" s="16"/>
      <c r="GI366" s="16"/>
      <c r="GJ366" s="16"/>
      <c r="GK366" s="16"/>
      <c r="GL366" s="16"/>
      <c r="GM366" s="16"/>
      <c r="GN366" s="16"/>
      <c r="GO366" s="16"/>
      <c r="GP366" s="16"/>
      <c r="GQ366" s="16"/>
      <c r="GR366" s="16"/>
      <c r="GS366" s="16"/>
      <c r="GT366" s="16"/>
      <c r="GU366" s="16"/>
      <c r="GV366" s="16"/>
      <c r="GW366" s="16"/>
      <c r="GX366" s="16"/>
      <c r="GY366" s="16"/>
      <c r="GZ366" s="16"/>
      <c r="HA366" s="16"/>
      <c r="HB366" s="16"/>
      <c r="HC366" s="16"/>
      <c r="HD366" s="16"/>
      <c r="HE366" s="16"/>
      <c r="HF366" s="16"/>
      <c r="HG366" s="16"/>
      <c r="HH366" s="16"/>
      <c r="HI366" s="16"/>
      <c r="HJ366" s="16"/>
      <c r="HK366" s="16"/>
      <c r="HL366" s="16"/>
      <c r="HM366" s="16"/>
      <c r="HN366" s="16"/>
      <c r="HO366" s="16"/>
      <c r="HP366" s="16"/>
      <c r="HQ366" s="16"/>
      <c r="HR366" s="16"/>
      <c r="HS366" s="16"/>
      <c r="HT366" s="16"/>
      <c r="HU366" s="16"/>
      <c r="HV366" s="16"/>
      <c r="HW366" s="16"/>
      <c r="HX366" s="16"/>
      <c r="HY366" s="16"/>
      <c r="HZ366" s="16"/>
      <c r="IA366" s="16"/>
      <c r="IB366" s="16"/>
      <c r="IC366" s="16"/>
      <c r="ID366" s="16"/>
    </row>
    <row r="367" spans="1:238" s="90" customFormat="1" ht="12.75" customHeight="1">
      <c r="A367" s="199">
        <f aca="true" t="shared" si="58" ref="A367:A373">A366+1</f>
        <v>1102</v>
      </c>
      <c r="B367" s="403" t="s">
        <v>218</v>
      </c>
      <c r="C367" s="61"/>
      <c r="D367" s="376" t="s">
        <v>1100</v>
      </c>
      <c r="E367" s="56" t="s">
        <v>217</v>
      </c>
      <c r="F367" s="401" t="str">
        <f t="shared" si="53"/>
        <v>nee</v>
      </c>
      <c r="G367" s="351"/>
      <c r="H367" s="352"/>
      <c r="I367" s="465">
        <f t="shared" si="54"/>
        <v>0</v>
      </c>
      <c r="K367" s="562" t="str">
        <f t="shared" si="55"/>
        <v>PQH621</v>
      </c>
      <c r="L367" s="562" t="str">
        <f t="shared" si="56"/>
        <v>PH621</v>
      </c>
      <c r="M367" s="638">
        <f t="shared" si="57"/>
        <v>0</v>
      </c>
      <c r="N367" s="537">
        <v>0</v>
      </c>
      <c r="O367" s="543">
        <v>18.51</v>
      </c>
      <c r="P367" s="89"/>
      <c r="Q367" s="391">
        <v>0</v>
      </c>
      <c r="R367" s="399">
        <f>Q299</f>
        <v>0</v>
      </c>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c r="ES367" s="16"/>
      <c r="ET367" s="16"/>
      <c r="EU367" s="16"/>
      <c r="EV367" s="16"/>
      <c r="EW367" s="16"/>
      <c r="EX367" s="16"/>
      <c r="EY367" s="16"/>
      <c r="EZ367" s="16"/>
      <c r="FA367" s="16"/>
      <c r="FB367" s="16"/>
      <c r="FC367" s="16"/>
      <c r="FD367" s="16"/>
      <c r="FE367" s="16"/>
      <c r="FF367" s="16"/>
      <c r="FG367" s="16"/>
      <c r="FH367" s="16"/>
      <c r="FI367" s="16"/>
      <c r="FJ367" s="16"/>
      <c r="FK367" s="16"/>
      <c r="FL367" s="16"/>
      <c r="FM367" s="16"/>
      <c r="FN367" s="16"/>
      <c r="FO367" s="16"/>
      <c r="FP367" s="16"/>
      <c r="FQ367" s="16"/>
      <c r="FR367" s="16"/>
      <c r="FS367" s="16"/>
      <c r="FT367" s="16"/>
      <c r="FU367" s="16"/>
      <c r="FV367" s="16"/>
      <c r="FW367" s="16"/>
      <c r="FX367" s="16"/>
      <c r="FY367" s="16"/>
      <c r="FZ367" s="16"/>
      <c r="GA367" s="16"/>
      <c r="GB367" s="16"/>
      <c r="GC367" s="16"/>
      <c r="GD367" s="16"/>
      <c r="GE367" s="16"/>
      <c r="GF367" s="16"/>
      <c r="GG367" s="16"/>
      <c r="GH367" s="16"/>
      <c r="GI367" s="16"/>
      <c r="GJ367" s="16"/>
      <c r="GK367" s="16"/>
      <c r="GL367" s="16"/>
      <c r="GM367" s="16"/>
      <c r="GN367" s="16"/>
      <c r="GO367" s="16"/>
      <c r="GP367" s="16"/>
      <c r="GQ367" s="16"/>
      <c r="GR367" s="16"/>
      <c r="GS367" s="16"/>
      <c r="GT367" s="16"/>
      <c r="GU367" s="16"/>
      <c r="GV367" s="16"/>
      <c r="GW367" s="16"/>
      <c r="GX367" s="16"/>
      <c r="GY367" s="16"/>
      <c r="GZ367" s="16"/>
      <c r="HA367" s="16"/>
      <c r="HB367" s="16"/>
      <c r="HC367" s="16"/>
      <c r="HD367" s="16"/>
      <c r="HE367" s="16"/>
      <c r="HF367" s="16"/>
      <c r="HG367" s="16"/>
      <c r="HH367" s="16"/>
      <c r="HI367" s="16"/>
      <c r="HJ367" s="16"/>
      <c r="HK367" s="16"/>
      <c r="HL367" s="16"/>
      <c r="HM367" s="16"/>
      <c r="HN367" s="16"/>
      <c r="HO367" s="16"/>
      <c r="HP367" s="16"/>
      <c r="HQ367" s="16"/>
      <c r="HR367" s="16"/>
      <c r="HS367" s="16"/>
      <c r="HT367" s="16"/>
      <c r="HU367" s="16"/>
      <c r="HV367" s="16"/>
      <c r="HW367" s="16"/>
      <c r="HX367" s="16"/>
      <c r="HY367" s="16"/>
      <c r="HZ367" s="16"/>
      <c r="IA367" s="16"/>
      <c r="IB367" s="16"/>
      <c r="IC367" s="16"/>
      <c r="ID367" s="16"/>
    </row>
    <row r="368" spans="1:238" s="90" customFormat="1" ht="12.75" customHeight="1">
      <c r="A368" s="199">
        <f t="shared" si="58"/>
        <v>1103</v>
      </c>
      <c r="B368" s="57" t="s">
        <v>219</v>
      </c>
      <c r="C368" s="703"/>
      <c r="D368" s="376" t="s">
        <v>1101</v>
      </c>
      <c r="E368" s="56" t="s">
        <v>217</v>
      </c>
      <c r="F368" s="401" t="str">
        <f t="shared" si="53"/>
        <v>nee</v>
      </c>
      <c r="G368" s="351"/>
      <c r="H368" s="352"/>
      <c r="I368" s="465">
        <f t="shared" si="54"/>
        <v>0</v>
      </c>
      <c r="K368" s="562" t="str">
        <f t="shared" si="55"/>
        <v>PQH622</v>
      </c>
      <c r="L368" s="562" t="str">
        <f t="shared" si="56"/>
        <v>PH622</v>
      </c>
      <c r="M368" s="638">
        <f t="shared" si="57"/>
        <v>0</v>
      </c>
      <c r="N368" s="537">
        <v>0</v>
      </c>
      <c r="O368" s="543">
        <v>10.65</v>
      </c>
      <c r="P368" s="704"/>
      <c r="Q368" s="391">
        <v>0</v>
      </c>
      <c r="R368" s="399">
        <f>(Q342+Q300)</f>
        <v>0</v>
      </c>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c r="ES368" s="16"/>
      <c r="ET368" s="16"/>
      <c r="EU368" s="16"/>
      <c r="EV368" s="16"/>
      <c r="EW368" s="16"/>
      <c r="EX368" s="16"/>
      <c r="EY368" s="16"/>
      <c r="EZ368" s="16"/>
      <c r="FA368" s="16"/>
      <c r="FB368" s="16"/>
      <c r="FC368" s="16"/>
      <c r="FD368" s="16"/>
      <c r="FE368" s="16"/>
      <c r="FF368" s="16"/>
      <c r="FG368" s="16"/>
      <c r="FH368" s="16"/>
      <c r="FI368" s="16"/>
      <c r="FJ368" s="16"/>
      <c r="FK368" s="16"/>
      <c r="FL368" s="16"/>
      <c r="FM368" s="16"/>
      <c r="FN368" s="16"/>
      <c r="FO368" s="16"/>
      <c r="FP368" s="16"/>
      <c r="FQ368" s="16"/>
      <c r="FR368" s="16"/>
      <c r="FS368" s="16"/>
      <c r="FT368" s="16"/>
      <c r="FU368" s="16"/>
      <c r="FV368" s="16"/>
      <c r="FW368" s="16"/>
      <c r="FX368" s="16"/>
      <c r="FY368" s="16"/>
      <c r="FZ368" s="16"/>
      <c r="GA368" s="16"/>
      <c r="GB368" s="16"/>
      <c r="GC368" s="16"/>
      <c r="GD368" s="16"/>
      <c r="GE368" s="16"/>
      <c r="GF368" s="16"/>
      <c r="GG368" s="16"/>
      <c r="GH368" s="16"/>
      <c r="GI368" s="16"/>
      <c r="GJ368" s="16"/>
      <c r="GK368" s="16"/>
      <c r="GL368" s="16"/>
      <c r="GM368" s="16"/>
      <c r="GN368" s="16"/>
      <c r="GO368" s="16"/>
      <c r="GP368" s="16"/>
      <c r="GQ368" s="16"/>
      <c r="GR368" s="16"/>
      <c r="GS368" s="16"/>
      <c r="GT368" s="16"/>
      <c r="GU368" s="16"/>
      <c r="GV368" s="16"/>
      <c r="GW368" s="16"/>
      <c r="GX368" s="16"/>
      <c r="GY368" s="16"/>
      <c r="GZ368" s="16"/>
      <c r="HA368" s="16"/>
      <c r="HB368" s="16"/>
      <c r="HC368" s="16"/>
      <c r="HD368" s="16"/>
      <c r="HE368" s="16"/>
      <c r="HF368" s="16"/>
      <c r="HG368" s="16"/>
      <c r="HH368" s="16"/>
      <c r="HI368" s="16"/>
      <c r="HJ368" s="16"/>
      <c r="HK368" s="16"/>
      <c r="HL368" s="16"/>
      <c r="HM368" s="16"/>
      <c r="HN368" s="16"/>
      <c r="HO368" s="16"/>
      <c r="HP368" s="16"/>
      <c r="HQ368" s="16"/>
      <c r="HR368" s="16"/>
      <c r="HS368" s="16"/>
      <c r="HT368" s="16"/>
      <c r="HU368" s="16"/>
      <c r="HV368" s="16"/>
      <c r="HW368" s="16"/>
      <c r="HX368" s="16"/>
      <c r="HY368" s="16"/>
      <c r="HZ368" s="16"/>
      <c r="IA368" s="16"/>
      <c r="IB368" s="16"/>
      <c r="IC368" s="16"/>
      <c r="ID368" s="16"/>
    </row>
    <row r="369" spans="1:238" s="90" customFormat="1" ht="12.75" customHeight="1">
      <c r="A369" s="199">
        <f t="shared" si="58"/>
        <v>1104</v>
      </c>
      <c r="B369" s="57" t="s">
        <v>971</v>
      </c>
      <c r="C369" s="703"/>
      <c r="D369" s="376" t="s">
        <v>1102</v>
      </c>
      <c r="E369" s="56" t="s">
        <v>217</v>
      </c>
      <c r="F369" s="401" t="str">
        <f t="shared" si="53"/>
        <v>nee</v>
      </c>
      <c r="G369" s="351"/>
      <c r="H369" s="352"/>
      <c r="I369" s="465">
        <f t="shared" si="54"/>
        <v>0</v>
      </c>
      <c r="K369" s="562" t="str">
        <f t="shared" si="55"/>
        <v>PQH628</v>
      </c>
      <c r="L369" s="562" t="str">
        <f t="shared" si="56"/>
        <v>PH628</v>
      </c>
      <c r="M369" s="638">
        <f t="shared" si="57"/>
        <v>0</v>
      </c>
      <c r="N369" s="537">
        <v>0</v>
      </c>
      <c r="O369" s="543">
        <v>22.64</v>
      </c>
      <c r="P369" s="704"/>
      <c r="Q369" s="391">
        <v>0</v>
      </c>
      <c r="R369" s="399">
        <f>(Q303+Q305+Q304)</f>
        <v>0</v>
      </c>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c r="ES369" s="16"/>
      <c r="ET369" s="16"/>
      <c r="EU369" s="16"/>
      <c r="EV369" s="16"/>
      <c r="EW369" s="16"/>
      <c r="EX369" s="16"/>
      <c r="EY369" s="16"/>
      <c r="EZ369" s="16"/>
      <c r="FA369" s="16"/>
      <c r="FB369" s="16"/>
      <c r="FC369" s="16"/>
      <c r="FD369" s="16"/>
      <c r="FE369" s="16"/>
      <c r="FF369" s="16"/>
      <c r="FG369" s="16"/>
      <c r="FH369" s="16"/>
      <c r="FI369" s="16"/>
      <c r="FJ369" s="16"/>
      <c r="FK369" s="16"/>
      <c r="FL369" s="16"/>
      <c r="FM369" s="16"/>
      <c r="FN369" s="16"/>
      <c r="FO369" s="16"/>
      <c r="FP369" s="16"/>
      <c r="FQ369" s="16"/>
      <c r="FR369" s="16"/>
      <c r="FS369" s="16"/>
      <c r="FT369" s="16"/>
      <c r="FU369" s="16"/>
      <c r="FV369" s="16"/>
      <c r="FW369" s="16"/>
      <c r="FX369" s="16"/>
      <c r="FY369" s="16"/>
      <c r="FZ369" s="16"/>
      <c r="GA369" s="16"/>
      <c r="GB369" s="16"/>
      <c r="GC369" s="16"/>
      <c r="GD369" s="16"/>
      <c r="GE369" s="16"/>
      <c r="GF369" s="16"/>
      <c r="GG369" s="16"/>
      <c r="GH369" s="16"/>
      <c r="GI369" s="16"/>
      <c r="GJ369" s="16"/>
      <c r="GK369" s="16"/>
      <c r="GL369" s="16"/>
      <c r="GM369" s="16"/>
      <c r="GN369" s="16"/>
      <c r="GO369" s="16"/>
      <c r="GP369" s="16"/>
      <c r="GQ369" s="16"/>
      <c r="GR369" s="16"/>
      <c r="GS369" s="16"/>
      <c r="GT369" s="16"/>
      <c r="GU369" s="16"/>
      <c r="GV369" s="16"/>
      <c r="GW369" s="16"/>
      <c r="GX369" s="16"/>
      <c r="GY369" s="16"/>
      <c r="GZ369" s="16"/>
      <c r="HA369" s="16"/>
      <c r="HB369" s="16"/>
      <c r="HC369" s="16"/>
      <c r="HD369" s="16"/>
      <c r="HE369" s="16"/>
      <c r="HF369" s="16"/>
      <c r="HG369" s="16"/>
      <c r="HH369" s="16"/>
      <c r="HI369" s="16"/>
      <c r="HJ369" s="16"/>
      <c r="HK369" s="16"/>
      <c r="HL369" s="16"/>
      <c r="HM369" s="16"/>
      <c r="HN369" s="16"/>
      <c r="HO369" s="16"/>
      <c r="HP369" s="16"/>
      <c r="HQ369" s="16"/>
      <c r="HR369" s="16"/>
      <c r="HS369" s="16"/>
      <c r="HT369" s="16"/>
      <c r="HU369" s="16"/>
      <c r="HV369" s="16"/>
      <c r="HW369" s="16"/>
      <c r="HX369" s="16"/>
      <c r="HY369" s="16"/>
      <c r="HZ369" s="16"/>
      <c r="IA369" s="16"/>
      <c r="IB369" s="16"/>
      <c r="IC369" s="16"/>
      <c r="ID369" s="16"/>
    </row>
    <row r="370" spans="1:238" s="90" customFormat="1" ht="12.75" customHeight="1">
      <c r="A370" s="199">
        <f t="shared" si="58"/>
        <v>1105</v>
      </c>
      <c r="B370" s="57" t="s">
        <v>220</v>
      </c>
      <c r="C370" s="703"/>
      <c r="D370" s="376" t="s">
        <v>1103</v>
      </c>
      <c r="E370" s="56" t="s">
        <v>217</v>
      </c>
      <c r="F370" s="401" t="str">
        <f t="shared" si="53"/>
        <v>nee</v>
      </c>
      <c r="G370" s="351"/>
      <c r="H370" s="352"/>
      <c r="I370" s="465">
        <f t="shared" si="54"/>
        <v>0</v>
      </c>
      <c r="K370" s="562" t="str">
        <f t="shared" si="55"/>
        <v>PQH624</v>
      </c>
      <c r="L370" s="562" t="str">
        <f t="shared" si="56"/>
        <v>PH624</v>
      </c>
      <c r="M370" s="638">
        <f t="shared" si="57"/>
        <v>0</v>
      </c>
      <c r="N370" s="537">
        <v>0</v>
      </c>
      <c r="O370" s="543">
        <v>19.75</v>
      </c>
      <c r="P370" s="704"/>
      <c r="Q370" s="391">
        <v>0</v>
      </c>
      <c r="R370" s="399">
        <f>(Q340+Q297)</f>
        <v>0</v>
      </c>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c r="EZ370" s="16"/>
      <c r="FA370" s="16"/>
      <c r="FB370" s="16"/>
      <c r="FC370" s="16"/>
      <c r="FD370" s="16"/>
      <c r="FE370" s="16"/>
      <c r="FF370" s="16"/>
      <c r="FG370" s="16"/>
      <c r="FH370" s="16"/>
      <c r="FI370" s="16"/>
      <c r="FJ370" s="16"/>
      <c r="FK370" s="16"/>
      <c r="FL370" s="16"/>
      <c r="FM370" s="16"/>
      <c r="FN370" s="16"/>
      <c r="FO370" s="16"/>
      <c r="FP370" s="16"/>
      <c r="FQ370" s="16"/>
      <c r="FR370" s="16"/>
      <c r="FS370" s="16"/>
      <c r="FT370" s="16"/>
      <c r="FU370" s="16"/>
      <c r="FV370" s="16"/>
      <c r="FW370" s="16"/>
      <c r="FX370" s="16"/>
      <c r="FY370" s="16"/>
      <c r="FZ370" s="16"/>
      <c r="GA370" s="16"/>
      <c r="GB370" s="16"/>
      <c r="GC370" s="16"/>
      <c r="GD370" s="16"/>
      <c r="GE370" s="16"/>
      <c r="GF370" s="16"/>
      <c r="GG370" s="16"/>
      <c r="GH370" s="16"/>
      <c r="GI370" s="16"/>
      <c r="GJ370" s="16"/>
      <c r="GK370" s="16"/>
      <c r="GL370" s="16"/>
      <c r="GM370" s="16"/>
      <c r="GN370" s="16"/>
      <c r="GO370" s="16"/>
      <c r="GP370" s="16"/>
      <c r="GQ370" s="16"/>
      <c r="GR370" s="16"/>
      <c r="GS370" s="16"/>
      <c r="GT370" s="16"/>
      <c r="GU370" s="16"/>
      <c r="GV370" s="16"/>
      <c r="GW370" s="16"/>
      <c r="GX370" s="16"/>
      <c r="GY370" s="16"/>
      <c r="GZ370" s="16"/>
      <c r="HA370" s="16"/>
      <c r="HB370" s="16"/>
      <c r="HC370" s="16"/>
      <c r="HD370" s="16"/>
      <c r="HE370" s="16"/>
      <c r="HF370" s="16"/>
      <c r="HG370" s="16"/>
      <c r="HH370" s="16"/>
      <c r="HI370" s="16"/>
      <c r="HJ370" s="16"/>
      <c r="HK370" s="16"/>
      <c r="HL370" s="16"/>
      <c r="HM370" s="16"/>
      <c r="HN370" s="16"/>
      <c r="HO370" s="16"/>
      <c r="HP370" s="16"/>
      <c r="HQ370" s="16"/>
      <c r="HR370" s="16"/>
      <c r="HS370" s="16"/>
      <c r="HT370" s="16"/>
      <c r="HU370" s="16"/>
      <c r="HV370" s="16"/>
      <c r="HW370" s="16"/>
      <c r="HX370" s="16"/>
      <c r="HY370" s="16"/>
      <c r="HZ370" s="16"/>
      <c r="IA370" s="16"/>
      <c r="IB370" s="16"/>
      <c r="IC370" s="16"/>
      <c r="ID370" s="16"/>
    </row>
    <row r="371" spans="1:238" s="90" customFormat="1" ht="12.75" customHeight="1">
      <c r="A371" s="199">
        <f t="shared" si="58"/>
        <v>1106</v>
      </c>
      <c r="B371" s="57" t="s">
        <v>221</v>
      </c>
      <c r="C371" s="703"/>
      <c r="D371" s="376" t="s">
        <v>303</v>
      </c>
      <c r="E371" s="56" t="s">
        <v>217</v>
      </c>
      <c r="F371" s="401" t="str">
        <f t="shared" si="53"/>
        <v>nee</v>
      </c>
      <c r="G371" s="351"/>
      <c r="H371" s="352"/>
      <c r="I371" s="465">
        <f t="shared" si="54"/>
        <v>0</v>
      </c>
      <c r="K371" s="562" t="str">
        <f t="shared" si="55"/>
        <v>PQH607</v>
      </c>
      <c r="L371" s="562" t="str">
        <f t="shared" si="56"/>
        <v>PH607</v>
      </c>
      <c r="M371" s="638">
        <f t="shared" si="57"/>
        <v>0</v>
      </c>
      <c r="N371" s="537">
        <v>0</v>
      </c>
      <c r="O371" s="382">
        <v>10.65</v>
      </c>
      <c r="P371" s="704"/>
      <c r="Q371" s="391">
        <v>0</v>
      </c>
      <c r="R371" s="399">
        <f>(Q343+Q301)</f>
        <v>0</v>
      </c>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c r="ES371" s="16"/>
      <c r="ET371" s="16"/>
      <c r="EU371" s="16"/>
      <c r="EV371" s="16"/>
      <c r="EW371" s="16"/>
      <c r="EX371" s="16"/>
      <c r="EY371" s="16"/>
      <c r="EZ371" s="16"/>
      <c r="FA371" s="16"/>
      <c r="FB371" s="16"/>
      <c r="FC371" s="16"/>
      <c r="FD371" s="16"/>
      <c r="FE371" s="16"/>
      <c r="FF371" s="16"/>
      <c r="FG371" s="16"/>
      <c r="FH371" s="16"/>
      <c r="FI371" s="16"/>
      <c r="FJ371" s="16"/>
      <c r="FK371" s="16"/>
      <c r="FL371" s="16"/>
      <c r="FM371" s="16"/>
      <c r="FN371" s="16"/>
      <c r="FO371" s="16"/>
      <c r="FP371" s="16"/>
      <c r="FQ371" s="16"/>
      <c r="FR371" s="16"/>
      <c r="FS371" s="16"/>
      <c r="FT371" s="16"/>
      <c r="FU371" s="16"/>
      <c r="FV371" s="16"/>
      <c r="FW371" s="16"/>
      <c r="FX371" s="16"/>
      <c r="FY371" s="16"/>
      <c r="FZ371" s="16"/>
      <c r="GA371" s="16"/>
      <c r="GB371" s="16"/>
      <c r="GC371" s="16"/>
      <c r="GD371" s="16"/>
      <c r="GE371" s="16"/>
      <c r="GF371" s="16"/>
      <c r="GG371" s="16"/>
      <c r="GH371" s="16"/>
      <c r="GI371" s="16"/>
      <c r="GJ371" s="16"/>
      <c r="GK371" s="16"/>
      <c r="GL371" s="16"/>
      <c r="GM371" s="16"/>
      <c r="GN371" s="16"/>
      <c r="GO371" s="16"/>
      <c r="GP371" s="16"/>
      <c r="GQ371" s="16"/>
      <c r="GR371" s="16"/>
      <c r="GS371" s="16"/>
      <c r="GT371" s="16"/>
      <c r="GU371" s="16"/>
      <c r="GV371" s="16"/>
      <c r="GW371" s="16"/>
      <c r="GX371" s="16"/>
      <c r="GY371" s="16"/>
      <c r="GZ371" s="16"/>
      <c r="HA371" s="16"/>
      <c r="HB371" s="16"/>
      <c r="HC371" s="16"/>
      <c r="HD371" s="16"/>
      <c r="HE371" s="16"/>
      <c r="HF371" s="16"/>
      <c r="HG371" s="16"/>
      <c r="HH371" s="16"/>
      <c r="HI371" s="16"/>
      <c r="HJ371" s="16"/>
      <c r="HK371" s="16"/>
      <c r="HL371" s="16"/>
      <c r="HM371" s="16"/>
      <c r="HN371" s="16"/>
      <c r="HO371" s="16"/>
      <c r="HP371" s="16"/>
      <c r="HQ371" s="16"/>
      <c r="HR371" s="16"/>
      <c r="HS371" s="16"/>
      <c r="HT371" s="16"/>
      <c r="HU371" s="16"/>
      <c r="HV371" s="16"/>
      <c r="HW371" s="16"/>
      <c r="HX371" s="16"/>
      <c r="HY371" s="16"/>
      <c r="HZ371" s="16"/>
      <c r="IA371" s="16"/>
      <c r="IB371" s="16"/>
      <c r="IC371" s="16"/>
      <c r="ID371" s="16"/>
    </row>
    <row r="372" spans="1:238" s="90" customFormat="1" ht="12.75" customHeight="1">
      <c r="A372" s="199">
        <f t="shared" si="58"/>
        <v>1107</v>
      </c>
      <c r="B372" s="57" t="s">
        <v>972</v>
      </c>
      <c r="C372" s="703"/>
      <c r="D372" s="376" t="s">
        <v>622</v>
      </c>
      <c r="E372" s="56" t="s">
        <v>217</v>
      </c>
      <c r="F372" s="401" t="str">
        <f t="shared" si="53"/>
        <v>nee</v>
      </c>
      <c r="G372" s="351"/>
      <c r="H372" s="352"/>
      <c r="I372" s="465">
        <f t="shared" si="54"/>
        <v>0</v>
      </c>
      <c r="J372" s="440"/>
      <c r="K372" s="562" t="str">
        <f t="shared" si="55"/>
        <v>PQH625</v>
      </c>
      <c r="L372" s="562" t="str">
        <f t="shared" si="56"/>
        <v>PH625</v>
      </c>
      <c r="M372" s="638">
        <f t="shared" si="57"/>
        <v>0</v>
      </c>
      <c r="N372" s="537">
        <v>0</v>
      </c>
      <c r="O372" s="543">
        <v>15.49</v>
      </c>
      <c r="P372" s="704"/>
      <c r="Q372" s="391">
        <v>0</v>
      </c>
      <c r="R372" s="399">
        <f>(Q337+Q338+Q339+Q294+Q295+Q296)</f>
        <v>0</v>
      </c>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c r="ES372" s="16"/>
      <c r="ET372" s="16"/>
      <c r="EU372" s="16"/>
      <c r="EV372" s="16"/>
      <c r="EW372" s="16"/>
      <c r="EX372" s="16"/>
      <c r="EY372" s="16"/>
      <c r="EZ372" s="16"/>
      <c r="FA372" s="16"/>
      <c r="FB372" s="16"/>
      <c r="FC372" s="16"/>
      <c r="FD372" s="16"/>
      <c r="FE372" s="16"/>
      <c r="FF372" s="16"/>
      <c r="FG372" s="16"/>
      <c r="FH372" s="16"/>
      <c r="FI372" s="16"/>
      <c r="FJ372" s="16"/>
      <c r="FK372" s="16"/>
      <c r="FL372" s="16"/>
      <c r="FM372" s="16"/>
      <c r="FN372" s="16"/>
      <c r="FO372" s="16"/>
      <c r="FP372" s="16"/>
      <c r="FQ372" s="16"/>
      <c r="FR372" s="16"/>
      <c r="FS372" s="16"/>
      <c r="FT372" s="16"/>
      <c r="FU372" s="16"/>
      <c r="FV372" s="16"/>
      <c r="FW372" s="16"/>
      <c r="FX372" s="16"/>
      <c r="FY372" s="16"/>
      <c r="FZ372" s="16"/>
      <c r="GA372" s="16"/>
      <c r="GB372" s="16"/>
      <c r="GC372" s="16"/>
      <c r="GD372" s="16"/>
      <c r="GE372" s="16"/>
      <c r="GF372" s="16"/>
      <c r="GG372" s="16"/>
      <c r="GH372" s="16"/>
      <c r="GI372" s="16"/>
      <c r="GJ372" s="16"/>
      <c r="GK372" s="16"/>
      <c r="GL372" s="16"/>
      <c r="GM372" s="16"/>
      <c r="GN372" s="16"/>
      <c r="GO372" s="16"/>
      <c r="GP372" s="16"/>
      <c r="GQ372" s="16"/>
      <c r="GR372" s="16"/>
      <c r="GS372" s="16"/>
      <c r="GT372" s="16"/>
      <c r="GU372" s="16"/>
      <c r="GV372" s="16"/>
      <c r="GW372" s="16"/>
      <c r="GX372" s="16"/>
      <c r="GY372" s="16"/>
      <c r="GZ372" s="16"/>
      <c r="HA372" s="16"/>
      <c r="HB372" s="16"/>
      <c r="HC372" s="16"/>
      <c r="HD372" s="16"/>
      <c r="HE372" s="16"/>
      <c r="HF372" s="16"/>
      <c r="HG372" s="16"/>
      <c r="HH372" s="16"/>
      <c r="HI372" s="16"/>
      <c r="HJ372" s="16"/>
      <c r="HK372" s="16"/>
      <c r="HL372" s="16"/>
      <c r="HM372" s="16"/>
      <c r="HN372" s="16"/>
      <c r="HO372" s="16"/>
      <c r="HP372" s="16"/>
      <c r="HQ372" s="16"/>
      <c r="HR372" s="16"/>
      <c r="HS372" s="16"/>
      <c r="HT372" s="16"/>
      <c r="HU372" s="16"/>
      <c r="HV372" s="16"/>
      <c r="HW372" s="16"/>
      <c r="HX372" s="16"/>
      <c r="HY372" s="16"/>
      <c r="HZ372" s="16"/>
      <c r="IA372" s="16"/>
      <c r="IB372" s="16"/>
      <c r="IC372" s="16"/>
      <c r="ID372" s="16"/>
    </row>
    <row r="373" spans="1:238" s="90" customFormat="1" ht="12.75" customHeight="1" thickBot="1">
      <c r="A373" s="199">
        <f t="shared" si="58"/>
        <v>1108</v>
      </c>
      <c r="B373" s="57" t="s">
        <v>222</v>
      </c>
      <c r="C373" s="703"/>
      <c r="D373" s="376" t="s">
        <v>687</v>
      </c>
      <c r="E373" s="56" t="s">
        <v>217</v>
      </c>
      <c r="F373" s="401" t="str">
        <f t="shared" si="53"/>
        <v>nee</v>
      </c>
      <c r="G373" s="351"/>
      <c r="H373" s="352"/>
      <c r="I373" s="465">
        <f t="shared" si="54"/>
        <v>0</v>
      </c>
      <c r="J373" s="440"/>
      <c r="K373" s="562" t="str">
        <f t="shared" si="55"/>
        <v>PQF126</v>
      </c>
      <c r="L373" s="562" t="str">
        <f t="shared" si="56"/>
        <v>PF126</v>
      </c>
      <c r="M373" s="639">
        <f t="shared" si="57"/>
        <v>0</v>
      </c>
      <c r="N373" s="538">
        <v>0</v>
      </c>
      <c r="O373" s="542">
        <v>15.77</v>
      </c>
      <c r="P373" s="704"/>
      <c r="Q373" s="392">
        <v>0</v>
      </c>
      <c r="R373" s="400">
        <f>Q358</f>
        <v>0</v>
      </c>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c r="ES373" s="16"/>
      <c r="ET373" s="16"/>
      <c r="EU373" s="16"/>
      <c r="EV373" s="16"/>
      <c r="EW373" s="16"/>
      <c r="EX373" s="16"/>
      <c r="EY373" s="16"/>
      <c r="EZ373" s="16"/>
      <c r="FA373" s="16"/>
      <c r="FB373" s="16"/>
      <c r="FC373" s="16"/>
      <c r="FD373" s="16"/>
      <c r="FE373" s="16"/>
      <c r="FF373" s="16"/>
      <c r="FG373" s="16"/>
      <c r="FH373" s="16"/>
      <c r="FI373" s="16"/>
      <c r="FJ373" s="16"/>
      <c r="FK373" s="16"/>
      <c r="FL373" s="16"/>
      <c r="FM373" s="16"/>
      <c r="FN373" s="16"/>
      <c r="FO373" s="16"/>
      <c r="FP373" s="16"/>
      <c r="FQ373" s="16"/>
      <c r="FR373" s="16"/>
      <c r="FS373" s="16"/>
      <c r="FT373" s="16"/>
      <c r="FU373" s="16"/>
      <c r="FV373" s="16"/>
      <c r="FW373" s="16"/>
      <c r="FX373" s="16"/>
      <c r="FY373" s="16"/>
      <c r="FZ373" s="16"/>
      <c r="GA373" s="16"/>
      <c r="GB373" s="16"/>
      <c r="GC373" s="16"/>
      <c r="GD373" s="16"/>
      <c r="GE373" s="16"/>
      <c r="GF373" s="16"/>
      <c r="GG373" s="16"/>
      <c r="GH373" s="16"/>
      <c r="GI373" s="16"/>
      <c r="GJ373" s="16"/>
      <c r="GK373" s="16"/>
      <c r="GL373" s="16"/>
      <c r="GM373" s="16"/>
      <c r="GN373" s="16"/>
      <c r="GO373" s="16"/>
      <c r="GP373" s="16"/>
      <c r="GQ373" s="16"/>
      <c r="GR373" s="16"/>
      <c r="GS373" s="16"/>
      <c r="GT373" s="16"/>
      <c r="GU373" s="16"/>
      <c r="GV373" s="16"/>
      <c r="GW373" s="16"/>
      <c r="GX373" s="16"/>
      <c r="GY373" s="16"/>
      <c r="GZ373" s="16"/>
      <c r="HA373" s="16"/>
      <c r="HB373" s="16"/>
      <c r="HC373" s="16"/>
      <c r="HD373" s="16"/>
      <c r="HE373" s="16"/>
      <c r="HF373" s="16"/>
      <c r="HG373" s="16"/>
      <c r="HH373" s="16"/>
      <c r="HI373" s="16"/>
      <c r="HJ373" s="16"/>
      <c r="HK373" s="16"/>
      <c r="HL373" s="16"/>
      <c r="HM373" s="16"/>
      <c r="HN373" s="16"/>
      <c r="HO373" s="16"/>
      <c r="HP373" s="16"/>
      <c r="HQ373" s="16"/>
      <c r="HR373" s="16"/>
      <c r="HS373" s="16"/>
      <c r="HT373" s="16"/>
      <c r="HU373" s="16"/>
      <c r="HV373" s="16"/>
      <c r="HW373" s="16"/>
      <c r="HX373" s="16"/>
      <c r="HY373" s="16"/>
      <c r="HZ373" s="16"/>
      <c r="IA373" s="16"/>
      <c r="IB373" s="16"/>
      <c r="IC373" s="16"/>
      <c r="ID373" s="16"/>
    </row>
    <row r="374" spans="1:238" s="90" customFormat="1" ht="12.75" customHeight="1" thickBot="1">
      <c r="A374" s="199">
        <f>A373+1</f>
        <v>1109</v>
      </c>
      <c r="B374" s="365" t="s">
        <v>223</v>
      </c>
      <c r="C374" s="198"/>
      <c r="D374" s="198"/>
      <c r="E374" s="198"/>
      <c r="F374" s="198"/>
      <c r="G374" s="198"/>
      <c r="H374" s="198"/>
      <c r="I374" s="474">
        <f>SUM(I366:I373)</f>
        <v>0</v>
      </c>
      <c r="J374" s="379"/>
      <c r="K374" s="569"/>
      <c r="L374" s="562"/>
      <c r="M374" s="415"/>
      <c r="O374" s="422"/>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c r="ES374" s="16"/>
      <c r="ET374" s="16"/>
      <c r="EU374" s="16"/>
      <c r="EV374" s="16"/>
      <c r="EW374" s="16"/>
      <c r="EX374" s="16"/>
      <c r="EY374" s="16"/>
      <c r="EZ374" s="16"/>
      <c r="FA374" s="16"/>
      <c r="FB374" s="16"/>
      <c r="FC374" s="16"/>
      <c r="FD374" s="16"/>
      <c r="FE374" s="16"/>
      <c r="FF374" s="16"/>
      <c r="FG374" s="16"/>
      <c r="FH374" s="16"/>
      <c r="FI374" s="16"/>
      <c r="FJ374" s="16"/>
      <c r="FK374" s="16"/>
      <c r="FL374" s="16"/>
      <c r="FM374" s="16"/>
      <c r="FN374" s="16"/>
      <c r="FO374" s="16"/>
      <c r="FP374" s="16"/>
      <c r="FQ374" s="16"/>
      <c r="FR374" s="16"/>
      <c r="FS374" s="16"/>
      <c r="FT374" s="16"/>
      <c r="FU374" s="16"/>
      <c r="FV374" s="16"/>
      <c r="FW374" s="16"/>
      <c r="FX374" s="16"/>
      <c r="FY374" s="16"/>
      <c r="FZ374" s="16"/>
      <c r="GA374" s="16"/>
      <c r="GB374" s="16"/>
      <c r="GC374" s="16"/>
      <c r="GD374" s="16"/>
      <c r="GE374" s="16"/>
      <c r="GF374" s="16"/>
      <c r="GG374" s="16"/>
      <c r="GH374" s="16"/>
      <c r="GI374" s="16"/>
      <c r="GJ374" s="16"/>
      <c r="GK374" s="16"/>
      <c r="GL374" s="16"/>
      <c r="GM374" s="16"/>
      <c r="GN374" s="16"/>
      <c r="GO374" s="16"/>
      <c r="GP374" s="16"/>
      <c r="GQ374" s="16"/>
      <c r="GR374" s="16"/>
      <c r="GS374" s="16"/>
      <c r="GT374" s="16"/>
      <c r="GU374" s="16"/>
      <c r="GV374" s="16"/>
      <c r="GW374" s="16"/>
      <c r="GX374" s="16"/>
      <c r="GY374" s="16"/>
      <c r="GZ374" s="16"/>
      <c r="HA374" s="16"/>
      <c r="HB374" s="16"/>
      <c r="HC374" s="16"/>
      <c r="HD374" s="16"/>
      <c r="HE374" s="16"/>
      <c r="HF374" s="16"/>
      <c r="HG374" s="16"/>
      <c r="HH374" s="16"/>
      <c r="HI374" s="16"/>
      <c r="HJ374" s="16"/>
      <c r="HK374" s="16"/>
      <c r="HL374" s="16"/>
      <c r="HM374" s="16"/>
      <c r="HN374" s="16"/>
      <c r="HO374" s="16"/>
      <c r="HP374" s="16"/>
      <c r="HQ374" s="16"/>
      <c r="HR374" s="16"/>
      <c r="HS374" s="16"/>
      <c r="HT374" s="16"/>
      <c r="HU374" s="16"/>
      <c r="HV374" s="16"/>
      <c r="HW374" s="16"/>
      <c r="HX374" s="16"/>
      <c r="HY374" s="16"/>
      <c r="HZ374" s="16"/>
      <c r="IA374" s="16"/>
      <c r="IB374" s="16"/>
      <c r="IC374" s="16"/>
      <c r="ID374" s="16"/>
    </row>
    <row r="375" spans="1:238" s="90" customFormat="1" ht="12.75" customHeight="1">
      <c r="A375" s="80"/>
      <c r="B375" s="32"/>
      <c r="C375" s="61"/>
      <c r="D375" s="32"/>
      <c r="E375" s="32"/>
      <c r="F375" s="33"/>
      <c r="G375" s="32"/>
      <c r="H375" s="32"/>
      <c r="I375" s="475"/>
      <c r="J375" s="12"/>
      <c r="K375" s="569"/>
      <c r="L375" s="562"/>
      <c r="M375" s="415"/>
      <c r="O375" s="422"/>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c r="EK375" s="16"/>
      <c r="EL375" s="16"/>
      <c r="EM375" s="16"/>
      <c r="EN375" s="16"/>
      <c r="EO375" s="16"/>
      <c r="EP375" s="16"/>
      <c r="EQ375" s="16"/>
      <c r="ER375" s="16"/>
      <c r="ES375" s="16"/>
      <c r="ET375" s="16"/>
      <c r="EU375" s="16"/>
      <c r="EV375" s="16"/>
      <c r="EW375" s="16"/>
      <c r="EX375" s="16"/>
      <c r="EY375" s="16"/>
      <c r="EZ375" s="16"/>
      <c r="FA375" s="16"/>
      <c r="FB375" s="16"/>
      <c r="FC375" s="16"/>
      <c r="FD375" s="16"/>
      <c r="FE375" s="16"/>
      <c r="FF375" s="16"/>
      <c r="FG375" s="16"/>
      <c r="FH375" s="16"/>
      <c r="FI375" s="16"/>
      <c r="FJ375" s="16"/>
      <c r="FK375" s="16"/>
      <c r="FL375" s="16"/>
      <c r="FM375" s="16"/>
      <c r="FN375" s="16"/>
      <c r="FO375" s="16"/>
      <c r="FP375" s="16"/>
      <c r="FQ375" s="16"/>
      <c r="FR375" s="16"/>
      <c r="FS375" s="16"/>
      <c r="FT375" s="16"/>
      <c r="FU375" s="16"/>
      <c r="FV375" s="16"/>
      <c r="FW375" s="16"/>
      <c r="FX375" s="16"/>
      <c r="FY375" s="16"/>
      <c r="FZ375" s="16"/>
      <c r="GA375" s="16"/>
      <c r="GB375" s="16"/>
      <c r="GC375" s="16"/>
      <c r="GD375" s="16"/>
      <c r="GE375" s="16"/>
      <c r="GF375" s="16"/>
      <c r="GG375" s="16"/>
      <c r="GH375" s="16"/>
      <c r="GI375" s="16"/>
      <c r="GJ375" s="16"/>
      <c r="GK375" s="16"/>
      <c r="GL375" s="16"/>
      <c r="GM375" s="16"/>
      <c r="GN375" s="16"/>
      <c r="GO375" s="16"/>
      <c r="GP375" s="16"/>
      <c r="GQ375" s="16"/>
      <c r="GR375" s="16"/>
      <c r="GS375" s="16"/>
      <c r="GT375" s="16"/>
      <c r="GU375" s="16"/>
      <c r="GV375" s="16"/>
      <c r="GW375" s="16"/>
      <c r="GX375" s="16"/>
      <c r="GY375" s="16"/>
      <c r="GZ375" s="16"/>
      <c r="HA375" s="16"/>
      <c r="HB375" s="16"/>
      <c r="HC375" s="16"/>
      <c r="HD375" s="16"/>
      <c r="HE375" s="16"/>
      <c r="HF375" s="16"/>
      <c r="HG375" s="16"/>
      <c r="HH375" s="16"/>
      <c r="HI375" s="16"/>
      <c r="HJ375" s="16"/>
      <c r="HK375" s="16"/>
      <c r="HL375" s="16"/>
      <c r="HM375" s="16"/>
      <c r="HN375" s="16"/>
      <c r="HO375" s="16"/>
      <c r="HP375" s="16"/>
      <c r="HQ375" s="16"/>
      <c r="HR375" s="16"/>
      <c r="HS375" s="16"/>
      <c r="HT375" s="16"/>
      <c r="HU375" s="16"/>
      <c r="HV375" s="16"/>
      <c r="HW375" s="16"/>
      <c r="HX375" s="16"/>
      <c r="HY375" s="16"/>
      <c r="HZ375" s="16"/>
      <c r="IA375" s="16"/>
      <c r="IB375" s="16"/>
      <c r="IC375" s="16"/>
      <c r="ID375" s="16"/>
    </row>
    <row r="376" spans="1:238" s="90" customFormat="1" ht="12.75" customHeight="1">
      <c r="A376" s="80"/>
      <c r="B376" s="32"/>
      <c r="C376" s="61"/>
      <c r="D376" s="32"/>
      <c r="E376" s="697" t="s">
        <v>1172</v>
      </c>
      <c r="F376" s="698" t="s">
        <v>567</v>
      </c>
      <c r="G376" s="699" t="s">
        <v>468</v>
      </c>
      <c r="H376" s="697" t="s">
        <v>1173</v>
      </c>
      <c r="I376" s="698" t="s">
        <v>987</v>
      </c>
      <c r="J376" s="12"/>
      <c r="K376" s="569"/>
      <c r="L376" s="562"/>
      <c r="M376" s="415"/>
      <c r="O376" s="422"/>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6"/>
      <c r="EV376" s="16"/>
      <c r="EW376" s="16"/>
      <c r="EX376" s="16"/>
      <c r="EY376" s="16"/>
      <c r="EZ376" s="16"/>
      <c r="FA376" s="16"/>
      <c r="FB376" s="16"/>
      <c r="FC376" s="16"/>
      <c r="FD376" s="16"/>
      <c r="FE376" s="16"/>
      <c r="FF376" s="16"/>
      <c r="FG376" s="16"/>
      <c r="FH376" s="16"/>
      <c r="FI376" s="16"/>
      <c r="FJ376" s="16"/>
      <c r="FK376" s="16"/>
      <c r="FL376" s="16"/>
      <c r="FM376" s="16"/>
      <c r="FN376" s="16"/>
      <c r="FO376" s="16"/>
      <c r="FP376" s="16"/>
      <c r="FQ376" s="16"/>
      <c r="FR376" s="16"/>
      <c r="FS376" s="16"/>
      <c r="FT376" s="16"/>
      <c r="FU376" s="16"/>
      <c r="FV376" s="16"/>
      <c r="FW376" s="16"/>
      <c r="FX376" s="16"/>
      <c r="FY376" s="16"/>
      <c r="FZ376" s="16"/>
      <c r="GA376" s="16"/>
      <c r="GB376" s="16"/>
      <c r="GC376" s="16"/>
      <c r="GD376" s="16"/>
      <c r="GE376" s="16"/>
      <c r="GF376" s="16"/>
      <c r="GG376" s="16"/>
      <c r="GH376" s="16"/>
      <c r="GI376" s="16"/>
      <c r="GJ376" s="16"/>
      <c r="GK376" s="16"/>
      <c r="GL376" s="16"/>
      <c r="GM376" s="16"/>
      <c r="GN376" s="16"/>
      <c r="GO376" s="16"/>
      <c r="GP376" s="16"/>
      <c r="GQ376" s="16"/>
      <c r="GR376" s="16"/>
      <c r="GS376" s="16"/>
      <c r="GT376" s="16"/>
      <c r="GU376" s="16"/>
      <c r="GV376" s="16"/>
      <c r="GW376" s="16"/>
      <c r="GX376" s="16"/>
      <c r="GY376" s="16"/>
      <c r="GZ376" s="16"/>
      <c r="HA376" s="16"/>
      <c r="HB376" s="16"/>
      <c r="HC376" s="16"/>
      <c r="HD376" s="16"/>
      <c r="HE376" s="16"/>
      <c r="HF376" s="16"/>
      <c r="HG376" s="16"/>
      <c r="HH376" s="16"/>
      <c r="HI376" s="16"/>
      <c r="HJ376" s="16"/>
      <c r="HK376" s="16"/>
      <c r="HL376" s="16"/>
      <c r="HM376" s="16"/>
      <c r="HN376" s="16"/>
      <c r="HO376" s="16"/>
      <c r="HP376" s="16"/>
      <c r="HQ376" s="16"/>
      <c r="HR376" s="16"/>
      <c r="HS376" s="16"/>
      <c r="HT376" s="16"/>
      <c r="HU376" s="16"/>
      <c r="HV376" s="16"/>
      <c r="HW376" s="16"/>
      <c r="HX376" s="16"/>
      <c r="HY376" s="16"/>
      <c r="HZ376" s="16"/>
      <c r="IA376" s="16"/>
      <c r="IB376" s="16"/>
      <c r="IC376" s="16"/>
      <c r="ID376" s="16"/>
    </row>
    <row r="377" spans="1:238" s="90" customFormat="1" ht="12.75" customHeight="1">
      <c r="A377" s="421" t="s">
        <v>743</v>
      </c>
      <c r="B377" s="16"/>
      <c r="C377" s="16"/>
      <c r="D377" s="16"/>
      <c r="E377" s="700" t="s">
        <v>1175</v>
      </c>
      <c r="F377" s="701" t="s">
        <v>1176</v>
      </c>
      <c r="G377" s="700" t="s">
        <v>489</v>
      </c>
      <c r="H377" s="700" t="s">
        <v>1177</v>
      </c>
      <c r="I377" s="701" t="s">
        <v>179</v>
      </c>
      <c r="J377" s="16"/>
      <c r="K377" s="569"/>
      <c r="L377" s="562"/>
      <c r="M377" s="415"/>
      <c r="O377" s="422"/>
      <c r="P377" s="16"/>
      <c r="Q377" s="389" t="s">
        <v>886</v>
      </c>
      <c r="R377" s="389" t="s">
        <v>887</v>
      </c>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c r="ES377" s="16"/>
      <c r="ET377" s="16"/>
      <c r="EU377" s="16"/>
      <c r="EV377" s="16"/>
      <c r="EW377" s="16"/>
      <c r="EX377" s="16"/>
      <c r="EY377" s="16"/>
      <c r="EZ377" s="16"/>
      <c r="FA377" s="16"/>
      <c r="FB377" s="16"/>
      <c r="FC377" s="16"/>
      <c r="FD377" s="16"/>
      <c r="FE377" s="16"/>
      <c r="FF377" s="16"/>
      <c r="FG377" s="16"/>
      <c r="FH377" s="16"/>
      <c r="FI377" s="16"/>
      <c r="FJ377" s="16"/>
      <c r="FK377" s="16"/>
      <c r="FL377" s="16"/>
      <c r="FM377" s="16"/>
      <c r="FN377" s="16"/>
      <c r="FO377" s="16"/>
      <c r="FP377" s="16"/>
      <c r="FQ377" s="16"/>
      <c r="FR377" s="16"/>
      <c r="FS377" s="16"/>
      <c r="FT377" s="16"/>
      <c r="FU377" s="16"/>
      <c r="FV377" s="16"/>
      <c r="FW377" s="16"/>
      <c r="FX377" s="16"/>
      <c r="FY377" s="16"/>
      <c r="FZ377" s="16"/>
      <c r="GA377" s="16"/>
      <c r="GB377" s="16"/>
      <c r="GC377" s="16"/>
      <c r="GD377" s="16"/>
      <c r="GE377" s="16"/>
      <c r="GF377" s="16"/>
      <c r="GG377" s="16"/>
      <c r="GH377" s="16"/>
      <c r="GI377" s="16"/>
      <c r="GJ377" s="16"/>
      <c r="GK377" s="16"/>
      <c r="GL377" s="16"/>
      <c r="GM377" s="16"/>
      <c r="GN377" s="16"/>
      <c r="GO377" s="16"/>
      <c r="GP377" s="16"/>
      <c r="GQ377" s="16"/>
      <c r="GR377" s="16"/>
      <c r="GS377" s="16"/>
      <c r="GT377" s="16"/>
      <c r="GU377" s="16"/>
      <c r="GV377" s="16"/>
      <c r="GW377" s="16"/>
      <c r="GX377" s="16"/>
      <c r="GY377" s="16"/>
      <c r="GZ377" s="16"/>
      <c r="HA377" s="16"/>
      <c r="HB377" s="16"/>
      <c r="HC377" s="16"/>
      <c r="HD377" s="16"/>
      <c r="HE377" s="16"/>
      <c r="HF377" s="16"/>
      <c r="HG377" s="16"/>
      <c r="HH377" s="16"/>
      <c r="HI377" s="16"/>
      <c r="HJ377" s="16"/>
      <c r="HK377" s="16"/>
      <c r="HL377" s="16"/>
      <c r="HM377" s="16"/>
      <c r="HN377" s="16"/>
      <c r="HO377" s="16"/>
      <c r="HP377" s="16"/>
      <c r="HQ377" s="16"/>
      <c r="HR377" s="16"/>
      <c r="HS377" s="16"/>
      <c r="HT377" s="16"/>
      <c r="HU377" s="16"/>
      <c r="HV377" s="16"/>
      <c r="HW377" s="16"/>
      <c r="HX377" s="16"/>
      <c r="HY377" s="16"/>
      <c r="HZ377" s="16"/>
      <c r="IA377" s="16"/>
      <c r="IB377" s="16"/>
      <c r="IC377" s="16"/>
      <c r="ID377" s="16"/>
    </row>
    <row r="378" spans="1:23" s="90" customFormat="1" ht="12.75" customHeight="1" thickBot="1">
      <c r="A378" s="199">
        <f>A374+1</f>
        <v>1110</v>
      </c>
      <c r="B378" s="57" t="s">
        <v>224</v>
      </c>
      <c r="C378" s="703"/>
      <c r="D378" s="376" t="s">
        <v>302</v>
      </c>
      <c r="E378" s="56" t="s">
        <v>225</v>
      </c>
      <c r="F378" s="401" t="str">
        <f>IF(R378&gt;0,"ja","nee")</f>
        <v>nee</v>
      </c>
      <c r="G378" s="351"/>
      <c r="H378" s="352"/>
      <c r="I378" s="465">
        <f>IF(F378="ja",ROUND(G378*H378,0),0)</f>
        <v>0</v>
      </c>
      <c r="K378" s="562" t="str">
        <f>CONCATENATE("PQ",D378)</f>
        <v>PQH321</v>
      </c>
      <c r="L378" s="562" t="str">
        <f>CONCATENATE("P",D378)</f>
        <v>PH321</v>
      </c>
      <c r="M378" s="590">
        <f>I378*A378</f>
        <v>0</v>
      </c>
      <c r="N378" s="544">
        <v>0</v>
      </c>
      <c r="O378" s="545">
        <v>23.4</v>
      </c>
      <c r="P378" s="89"/>
      <c r="Q378" s="419">
        <v>0</v>
      </c>
      <c r="R378" s="420">
        <f>SUM(Q282:Q288)</f>
        <v>0</v>
      </c>
      <c r="S378" s="16"/>
      <c r="T378" s="16"/>
      <c r="U378" s="16"/>
      <c r="V378" s="16"/>
      <c r="W378" s="16"/>
    </row>
    <row r="379" spans="1:23" s="90" customFormat="1" ht="12.75" customHeight="1" thickBot="1">
      <c r="A379" s="199">
        <f>A378+1</f>
        <v>1111</v>
      </c>
      <c r="B379" s="365" t="s">
        <v>1286</v>
      </c>
      <c r="C379" s="198"/>
      <c r="D379" s="198"/>
      <c r="E379" s="198"/>
      <c r="F379" s="198"/>
      <c r="G379" s="198"/>
      <c r="H379" s="198"/>
      <c r="I379" s="471">
        <f>I378</f>
        <v>0</v>
      </c>
      <c r="J379" s="379"/>
      <c r="K379" s="569"/>
      <c r="L379" s="562"/>
      <c r="M379" s="415"/>
      <c r="O379" s="422"/>
      <c r="P379" s="16"/>
      <c r="Q379" s="16"/>
      <c r="R379" s="16"/>
      <c r="S379" s="16"/>
      <c r="T379" s="16"/>
      <c r="U379" s="16"/>
      <c r="V379" s="16"/>
      <c r="W379" s="16"/>
    </row>
    <row r="380" spans="1:23" s="90" customFormat="1" ht="12.75" customHeight="1">
      <c r="A380" s="367"/>
      <c r="B380" s="5"/>
      <c r="C380" s="5"/>
      <c r="D380" s="5"/>
      <c r="E380" s="11"/>
      <c r="F380" s="627"/>
      <c r="G380" s="10"/>
      <c r="H380" s="88"/>
      <c r="I380" s="59"/>
      <c r="J380" s="88"/>
      <c r="K380" s="661"/>
      <c r="L380" s="562"/>
      <c r="M380" s="629"/>
      <c r="N380" s="662"/>
      <c r="O380" s="662"/>
      <c r="P380" s="662"/>
      <c r="Q380" s="662"/>
      <c r="R380" s="662"/>
      <c r="S380" s="662"/>
      <c r="T380" s="16"/>
      <c r="U380" s="16"/>
      <c r="V380" s="16"/>
      <c r="W380" s="16"/>
    </row>
    <row r="381" spans="1:13" s="90" customFormat="1" ht="12.75" customHeight="1">
      <c r="A381" s="443" t="s">
        <v>1440</v>
      </c>
      <c r="B381" s="5" t="s">
        <v>973</v>
      </c>
      <c r="C381" s="32"/>
      <c r="D381" s="32"/>
      <c r="E381" s="32"/>
      <c r="F381" s="643"/>
      <c r="G381" s="61"/>
      <c r="H381" s="992" t="s">
        <v>974</v>
      </c>
      <c r="I381" s="705"/>
      <c r="J381" s="705"/>
      <c r="K381" s="221"/>
      <c r="L381" s="221"/>
      <c r="M381" s="415"/>
    </row>
    <row r="382" spans="1:13" s="90" customFormat="1" ht="12.75" customHeight="1">
      <c r="A382" s="421"/>
      <c r="B382" s="5"/>
      <c r="C382" s="32"/>
      <c r="D382" s="32"/>
      <c r="E382" s="32"/>
      <c r="F382" s="643"/>
      <c r="G382" s="61"/>
      <c r="H382" s="993" t="s">
        <v>975</v>
      </c>
      <c r="I382" s="705"/>
      <c r="J382" s="705"/>
      <c r="K382" s="221"/>
      <c r="L382" s="221"/>
      <c r="M382" s="415"/>
    </row>
    <row r="383" spans="1:13" s="90" customFormat="1" ht="12.75" customHeight="1">
      <c r="A383" s="199">
        <f>A379+1</f>
        <v>1112</v>
      </c>
      <c r="B383" s="223" t="str">
        <f>CONCATENATE(B49," (regel ",A51,")")</f>
        <v>Bedden Verslavingszorg  (regel 206)</v>
      </c>
      <c r="C383" s="224"/>
      <c r="D383" s="651"/>
      <c r="E383" s="200"/>
      <c r="F383" s="706"/>
      <c r="G383" s="703"/>
      <c r="H383" s="84">
        <f>G51</f>
        <v>0</v>
      </c>
      <c r="I383" s="705"/>
      <c r="J383" s="705"/>
      <c r="K383" s="221"/>
      <c r="L383" s="221"/>
      <c r="M383" s="415"/>
    </row>
    <row r="384" spans="1:13" s="90" customFormat="1" ht="12.75" customHeight="1">
      <c r="A384" s="199">
        <f aca="true" t="shared" si="59" ref="A384:A401">A383+1</f>
        <v>1113</v>
      </c>
      <c r="B384" s="223" t="str">
        <f>CONCATENATE(B53," (regel ",A60,")")</f>
        <v>Dagen verslavingszorg (regel 213)</v>
      </c>
      <c r="C384" s="224"/>
      <c r="D384" s="651"/>
      <c r="E384" s="200"/>
      <c r="F384" s="706"/>
      <c r="G384" s="703"/>
      <c r="H384" s="84">
        <f>G60</f>
        <v>0</v>
      </c>
      <c r="I384" s="705"/>
      <c r="J384" s="705"/>
      <c r="K384" s="221"/>
      <c r="L384" s="221"/>
      <c r="M384" s="415"/>
    </row>
    <row r="385" spans="1:13" s="90" customFormat="1" ht="12.75" customHeight="1">
      <c r="A385" s="199">
        <f t="shared" si="59"/>
        <v>1114</v>
      </c>
      <c r="B385" s="223" t="str">
        <f>CONCATENATE(B78," (regel ",A84,")")</f>
        <v>Afspraken bedden kinderen en jeugd 2009 (regel 314)</v>
      </c>
      <c r="C385" s="224"/>
      <c r="D385" s="651"/>
      <c r="E385" s="200"/>
      <c r="F385" s="706"/>
      <c r="G385" s="703"/>
      <c r="H385" s="84">
        <f>G84</f>
        <v>0</v>
      </c>
      <c r="I385" s="705"/>
      <c r="J385" s="705"/>
      <c r="K385" s="221"/>
      <c r="L385" s="221"/>
      <c r="M385" s="415"/>
    </row>
    <row r="386" spans="1:13" s="90" customFormat="1" ht="12.75" customHeight="1">
      <c r="A386" s="199">
        <f t="shared" si="59"/>
        <v>1115</v>
      </c>
      <c r="B386" s="223" t="str">
        <f>CONCATENATE(B86," (regel ",A89,")")</f>
        <v>Afspraken logeerplaatsen kinderen en jeugd 2009 (regel 317)</v>
      </c>
      <c r="C386" s="224"/>
      <c r="D386" s="651"/>
      <c r="E386" s="200"/>
      <c r="F386" s="706"/>
      <c r="G386" s="703"/>
      <c r="H386" s="84">
        <f>G89</f>
        <v>0</v>
      </c>
      <c r="I386" s="705"/>
      <c r="J386" s="705"/>
      <c r="K386" s="221"/>
      <c r="L386" s="221"/>
      <c r="M386" s="415"/>
    </row>
    <row r="387" spans="1:13" s="90" customFormat="1" ht="12.75" customHeight="1">
      <c r="A387" s="199">
        <f t="shared" si="59"/>
        <v>1116</v>
      </c>
      <c r="B387" s="223" t="str">
        <f>CONCATENATE(B91," (regel ",A99,")")</f>
        <v>Dagen kinderen en jeugd (regel 325)</v>
      </c>
      <c r="C387" s="224"/>
      <c r="D387" s="651"/>
      <c r="E387" s="200"/>
      <c r="F387" s="706"/>
      <c r="G387" s="703"/>
      <c r="H387" s="84">
        <f>G99</f>
        <v>0</v>
      </c>
      <c r="I387" s="705"/>
      <c r="J387" s="705"/>
      <c r="K387" s="221"/>
      <c r="L387" s="221"/>
      <c r="M387" s="415"/>
    </row>
    <row r="388" spans="1:13" s="90" customFormat="1" ht="12.75" customHeight="1">
      <c r="A388" s="199">
        <f t="shared" si="59"/>
        <v>1117</v>
      </c>
      <c r="B388" s="223" t="str">
        <f>CONCATENATE(B112," ( regel ",A115,")")</f>
        <v>Bedden Volwassenen ( regel 408)</v>
      </c>
      <c r="C388" s="224"/>
      <c r="D388" s="651"/>
      <c r="E388" s="200"/>
      <c r="F388" s="706"/>
      <c r="G388" s="703"/>
      <c r="H388" s="84">
        <f>G115</f>
        <v>0</v>
      </c>
      <c r="I388" s="705"/>
      <c r="J388" s="705"/>
      <c r="K388" s="221"/>
      <c r="L388" s="221"/>
      <c r="M388" s="415"/>
    </row>
    <row r="389" spans="1:13" s="90" customFormat="1" ht="12.75" customHeight="1">
      <c r="A389" s="199">
        <f t="shared" si="59"/>
        <v>1118</v>
      </c>
      <c r="B389" s="223" t="str">
        <f>CONCATENATE(B117," (regel ",A127,")")</f>
        <v>Dagen volwassenen en ouderen (regel 418)</v>
      </c>
      <c r="C389" s="224"/>
      <c r="D389" s="651"/>
      <c r="E389" s="200"/>
      <c r="F389" s="706"/>
      <c r="G389" s="703"/>
      <c r="H389" s="84">
        <f>G127</f>
        <v>0</v>
      </c>
      <c r="I389" s="705"/>
      <c r="J389" s="705"/>
      <c r="K389" s="221"/>
      <c r="L389" s="221"/>
      <c r="M389" s="415"/>
    </row>
    <row r="390" spans="1:13" s="90" customFormat="1" ht="12.75" customHeight="1">
      <c r="A390" s="199">
        <f t="shared" si="59"/>
        <v>1119</v>
      </c>
      <c r="B390" s="223" t="str">
        <f>CONCATENATE(B144," (regel ",A147,")")</f>
        <v>Bedden forensische afdeling 2009 (regel 510)</v>
      </c>
      <c r="C390" s="224"/>
      <c r="D390" s="651"/>
      <c r="E390" s="200"/>
      <c r="F390" s="706"/>
      <c r="G390" s="703"/>
      <c r="H390" s="84">
        <f>G147</f>
        <v>0</v>
      </c>
      <c r="I390" s="705"/>
      <c r="J390" s="705"/>
      <c r="K390" s="221"/>
      <c r="L390" s="221"/>
      <c r="M390" s="415"/>
    </row>
    <row r="391" spans="1:13" s="90" customFormat="1" ht="12.75" customHeight="1">
      <c r="A391" s="199">
        <f>A390+1</f>
        <v>1120</v>
      </c>
      <c r="B391" s="223" t="str">
        <f>CONCATENATE(B149," (regel ",A154,")")</f>
        <v>Bedden forensische kliniek 2009 (regel 515)</v>
      </c>
      <c r="C391" s="224"/>
      <c r="D391" s="651"/>
      <c r="E391" s="200"/>
      <c r="F391" s="706"/>
      <c r="G391" s="703"/>
      <c r="H391" s="84">
        <f>G154</f>
        <v>0</v>
      </c>
      <c r="I391" s="705"/>
      <c r="J391" s="705"/>
      <c r="K391" s="221"/>
      <c r="L391" s="221"/>
      <c r="M391" s="415"/>
    </row>
    <row r="392" spans="1:13" s="90" customFormat="1" ht="12.75" customHeight="1">
      <c r="A392" s="199">
        <f>A391+1</f>
        <v>1121</v>
      </c>
      <c r="B392" s="223" t="str">
        <f>CONCATENATE(B162," (regel ",A169," )")</f>
        <v>Dagen forensisische psychiatrie (regel 526 )</v>
      </c>
      <c r="C392" s="224"/>
      <c r="D392" s="651"/>
      <c r="E392" s="200"/>
      <c r="F392" s="706"/>
      <c r="G392" s="703"/>
      <c r="H392" s="84">
        <f>G169</f>
        <v>0</v>
      </c>
      <c r="I392" s="705"/>
      <c r="J392" s="705"/>
      <c r="K392" s="221"/>
      <c r="L392" s="221"/>
      <c r="M392" s="415"/>
    </row>
    <row r="393" spans="1:13" s="90" customFormat="1" ht="12.75" customHeight="1">
      <c r="A393" s="199">
        <f>A392+1</f>
        <v>1122</v>
      </c>
      <c r="B393" s="223" t="str">
        <f>CONCATENATE(B190," (regel ",A190," )")</f>
        <v>Bedden KIB (regel 611 )</v>
      </c>
      <c r="C393" s="224"/>
      <c r="D393" s="651"/>
      <c r="E393" s="200"/>
      <c r="F393" s="706"/>
      <c r="G393" s="703"/>
      <c r="H393" s="84">
        <f>G190</f>
        <v>0</v>
      </c>
      <c r="I393" s="705"/>
      <c r="J393" s="705"/>
      <c r="K393" s="221"/>
      <c r="L393" s="221"/>
      <c r="M393" s="415"/>
    </row>
    <row r="394" spans="1:13" s="90" customFormat="1" ht="12.75" customHeight="1">
      <c r="A394" s="199">
        <f t="shared" si="59"/>
        <v>1123</v>
      </c>
      <c r="B394" s="223" t="str">
        <f>CONCATENATE(B194," (regel ",A195," )")</f>
        <v>Dagen klinisch Intensieve Behandeling (regel 614 )</v>
      </c>
      <c r="C394" s="224"/>
      <c r="D394" s="651"/>
      <c r="E394" s="200"/>
      <c r="F394" s="706"/>
      <c r="G394" s="703"/>
      <c r="H394" s="84">
        <f>G195</f>
        <v>0</v>
      </c>
      <c r="I394" s="705"/>
      <c r="J394" s="705"/>
      <c r="K394" s="221"/>
      <c r="L394" s="221"/>
      <c r="M394" s="415"/>
    </row>
    <row r="395" spans="1:13" s="90" customFormat="1" ht="12.75" customHeight="1">
      <c r="A395" s="199">
        <f t="shared" si="59"/>
        <v>1124</v>
      </c>
      <c r="B395" s="223" t="str">
        <f>CONCATENATE(B212," (regel ",A217,")")</f>
        <v>Plaatsen kleinschalig wonen (regel 709)</v>
      </c>
      <c r="C395" s="224"/>
      <c r="D395" s="651"/>
      <c r="E395" s="200"/>
      <c r="F395" s="706"/>
      <c r="G395" s="703"/>
      <c r="H395" s="84">
        <f>G217</f>
        <v>0</v>
      </c>
      <c r="I395" s="705"/>
      <c r="J395" s="705"/>
      <c r="K395" s="221"/>
      <c r="L395" s="221"/>
      <c r="M395" s="415"/>
    </row>
    <row r="396" spans="1:13" s="90" customFormat="1" ht="12.75" customHeight="1">
      <c r="A396" s="199">
        <f t="shared" si="59"/>
        <v>1125</v>
      </c>
      <c r="B396" s="223" t="str">
        <f>CONCATENATE(B225," (regel ",A231," )")</f>
        <v>Verzorgingsdagen kleinschalig wonen (regel 719 )</v>
      </c>
      <c r="C396" s="224"/>
      <c r="D396" s="651"/>
      <c r="E396" s="200"/>
      <c r="F396" s="706"/>
      <c r="G396" s="703"/>
      <c r="H396" s="84">
        <f>G231</f>
        <v>0</v>
      </c>
      <c r="I396" s="705"/>
      <c r="J396" s="705"/>
      <c r="K396" s="221"/>
      <c r="L396" s="221"/>
      <c r="M396" s="415"/>
    </row>
    <row r="397" spans="1:13" s="90" customFormat="1" ht="12.75" customHeight="1">
      <c r="A397" s="199">
        <f t="shared" si="59"/>
        <v>1126</v>
      </c>
      <c r="B397" s="223" t="str">
        <f>CONCATENATE(B245," (regel ",A246," )")</f>
        <v>Correctie intramurale zorg in verband met prijsafspraak (regel 805 )</v>
      </c>
      <c r="C397" s="224"/>
      <c r="D397" s="651"/>
      <c r="E397" s="200"/>
      <c r="F397" s="706"/>
      <c r="G397" s="703"/>
      <c r="H397" s="84">
        <f>I246</f>
        <v>0</v>
      </c>
      <c r="I397" s="705"/>
      <c r="J397" s="705"/>
      <c r="K397" s="221"/>
      <c r="L397" s="221"/>
      <c r="M397" s="415"/>
    </row>
    <row r="398" spans="1:13" s="90" customFormat="1" ht="12.75" customHeight="1">
      <c r="A398" s="199">
        <f t="shared" si="59"/>
        <v>1127</v>
      </c>
      <c r="B398" s="223" t="str">
        <f>CONCATENATE(B248," (regel ",A252," )")</f>
        <v>Volledig pakket thuis (regel 807 )</v>
      </c>
      <c r="C398" s="224"/>
      <c r="D398" s="651"/>
      <c r="E398" s="200"/>
      <c r="F398" s="706"/>
      <c r="G398" s="703"/>
      <c r="H398" s="84">
        <f>I252</f>
        <v>0</v>
      </c>
      <c r="I398" s="16"/>
      <c r="J398" s="16"/>
      <c r="K398" s="221"/>
      <c r="L398" s="221"/>
      <c r="M398" s="415"/>
    </row>
    <row r="399" spans="1:13" s="90" customFormat="1" ht="12.75" customHeight="1">
      <c r="A399" s="199">
        <f t="shared" si="59"/>
        <v>1128</v>
      </c>
      <c r="B399" s="223" t="str">
        <f>CONCATENATE(B254," ( regel ",A260,", ",A267,", ",A279,", ",A290,", ",A308,", ",A314,", ",A323,", ",A332,", ",A345,", ",A354,", ",A361,", ",A374," en ",A379,")")</f>
        <v>Extramuraal ( regel 811, 816, 825, 909, 924, 927, 934, 1005, 1014, 1020, 1024, 1109 en 1111)</v>
      </c>
      <c r="C399" s="224"/>
      <c r="D399" s="651"/>
      <c r="E399" s="200"/>
      <c r="F399" s="706"/>
      <c r="G399" s="703"/>
      <c r="H399" s="84">
        <f>I260+I267+I279+I290+I308+I314+I323+I332+I345+I354+I361+I374+I379</f>
        <v>0</v>
      </c>
      <c r="I399" s="12"/>
      <c r="J399" s="12"/>
      <c r="K399" s="221"/>
      <c r="L399" s="221"/>
      <c r="M399" s="415"/>
    </row>
    <row r="400" spans="1:13" s="90" customFormat="1" ht="12.75" customHeight="1">
      <c r="A400" s="199">
        <f t="shared" si="59"/>
        <v>1129</v>
      </c>
      <c r="B400" s="223" t="s">
        <v>507</v>
      </c>
      <c r="C400" s="224"/>
      <c r="D400" s="651"/>
      <c r="E400" s="200"/>
      <c r="F400" s="706"/>
      <c r="G400" s="703"/>
      <c r="H400" s="207"/>
      <c r="I400" s="12"/>
      <c r="J400" s="12"/>
      <c r="K400" s="562" t="s">
        <v>503</v>
      </c>
      <c r="L400" s="221"/>
      <c r="M400" s="415"/>
    </row>
    <row r="401" spans="1:13" s="90" customFormat="1" ht="12.75" customHeight="1">
      <c r="A401" s="199">
        <f t="shared" si="59"/>
        <v>1130</v>
      </c>
      <c r="B401" s="1060" t="str">
        <f>CONCATENATE("Totaal (regel ",A383," t/m ",A399," -/- ",A400,")")</f>
        <v>Totaal (regel 1112 t/m 1128 -/- 1129)</v>
      </c>
      <c r="C401" s="1061"/>
      <c r="D401" s="1061"/>
      <c r="E401" s="1061"/>
      <c r="F401" s="707"/>
      <c r="G401" s="708"/>
      <c r="H401" s="82">
        <f>SUM(H383:H399)-H400</f>
        <v>0</v>
      </c>
      <c r="I401" s="16"/>
      <c r="J401" s="16"/>
      <c r="K401" s="221"/>
      <c r="L401" s="221"/>
      <c r="M401" s="415"/>
    </row>
    <row r="402" spans="1:13" s="90" customFormat="1" ht="12.75" customHeight="1">
      <c r="A402" s="367"/>
      <c r="B402" s="367"/>
      <c r="C402" s="367"/>
      <c r="D402" s="367"/>
      <c r="E402" s="367"/>
      <c r="F402" s="367"/>
      <c r="G402" s="675"/>
      <c r="H402" s="12"/>
      <c r="J402" s="12"/>
      <c r="K402" s="221"/>
      <c r="L402" s="221"/>
      <c r="M402" s="415"/>
    </row>
    <row r="403" spans="1:13" s="90" customFormat="1" ht="12.75" customHeight="1">
      <c r="A403" s="367"/>
      <c r="B403" s="367"/>
      <c r="C403" s="367"/>
      <c r="D403" s="367"/>
      <c r="E403" s="367"/>
      <c r="F403" s="367"/>
      <c r="G403" s="675"/>
      <c r="H403" s="12"/>
      <c r="I403" s="59" t="s">
        <v>1436</v>
      </c>
      <c r="J403" s="12"/>
      <c r="K403" s="221"/>
      <c r="L403" s="221"/>
      <c r="M403" s="415"/>
    </row>
    <row r="404" spans="1:13" s="90" customFormat="1" ht="12.75" customHeight="1">
      <c r="A404" s="367"/>
      <c r="B404" s="367"/>
      <c r="C404" s="367"/>
      <c r="D404" s="367"/>
      <c r="E404" s="367"/>
      <c r="F404" s="367"/>
      <c r="G404" s="675"/>
      <c r="H404" s="12"/>
      <c r="I404" s="59" t="str">
        <f>$I$6</f>
        <v>120 / </v>
      </c>
      <c r="J404" s="12"/>
      <c r="K404" s="221"/>
      <c r="L404" s="221"/>
      <c r="M404" s="415"/>
    </row>
    <row r="405" spans="1:13" s="90" customFormat="1" ht="12.75" customHeight="1">
      <c r="A405" s="367"/>
      <c r="B405" s="367"/>
      <c r="C405" s="367"/>
      <c r="D405" s="367"/>
      <c r="E405" s="367"/>
      <c r="F405" s="367"/>
      <c r="G405" s="675"/>
      <c r="H405" s="12"/>
      <c r="I405" s="12"/>
      <c r="J405" s="12"/>
      <c r="K405" s="221"/>
      <c r="L405" s="221"/>
      <c r="M405" s="415"/>
    </row>
    <row r="406" spans="1:13" s="90" customFormat="1" ht="12.75" customHeight="1">
      <c r="A406" s="709" t="s">
        <v>496</v>
      </c>
      <c r="B406" s="710" t="s">
        <v>1202</v>
      </c>
      <c r="C406" s="32"/>
      <c r="D406" s="32"/>
      <c r="E406" s="32"/>
      <c r="F406" s="32"/>
      <c r="G406" s="32"/>
      <c r="H406" s="16"/>
      <c r="I406" s="16"/>
      <c r="J406" s="16"/>
      <c r="K406" s="221"/>
      <c r="L406" s="221"/>
      <c r="M406" s="415"/>
    </row>
    <row r="407" spans="1:13" s="90" customFormat="1" ht="12.75" customHeight="1">
      <c r="A407" s="599"/>
      <c r="B407" s="711"/>
      <c r="C407" s="712"/>
      <c r="D407" s="712"/>
      <c r="E407" s="713"/>
      <c r="F407" s="585" t="s">
        <v>702</v>
      </c>
      <c r="G407" s="585" t="s">
        <v>1083</v>
      </c>
      <c r="H407" s="585" t="s">
        <v>470</v>
      </c>
      <c r="I407" s="16"/>
      <c r="J407" s="16"/>
      <c r="K407" s="221"/>
      <c r="L407" s="221"/>
      <c r="M407" s="415"/>
    </row>
    <row r="408" spans="1:13" s="90" customFormat="1" ht="12.75" customHeight="1">
      <c r="A408" s="3"/>
      <c r="B408" s="714"/>
      <c r="C408" s="715"/>
      <c r="D408" s="715"/>
      <c r="E408" s="716"/>
      <c r="F408" s="588" t="s">
        <v>703</v>
      </c>
      <c r="G408" s="588" t="s">
        <v>1490</v>
      </c>
      <c r="H408" s="588" t="s">
        <v>1083</v>
      </c>
      <c r="I408" s="16"/>
      <c r="J408" s="16"/>
      <c r="K408" s="221"/>
      <c r="L408" s="221"/>
      <c r="M408" s="415"/>
    </row>
    <row r="409" spans="1:13" s="90" customFormat="1" ht="12.75" customHeight="1">
      <c r="A409" s="199">
        <v>1201</v>
      </c>
      <c r="B409" s="223" t="s">
        <v>700</v>
      </c>
      <c r="C409" s="200"/>
      <c r="D409" s="200"/>
      <c r="E409" s="703"/>
      <c r="F409" s="656">
        <f>E51</f>
        <v>0</v>
      </c>
      <c r="G409" s="210">
        <v>60</v>
      </c>
      <c r="H409" s="663">
        <f aca="true" t="shared" si="60" ref="H409:H419">F409*G409</f>
        <v>0</v>
      </c>
      <c r="I409" s="16"/>
      <c r="J409" s="16"/>
      <c r="K409" s="221"/>
      <c r="L409" s="221"/>
      <c r="M409" s="415"/>
    </row>
    <row r="410" spans="1:13" s="90" customFormat="1" ht="12.75" customHeight="1">
      <c r="A410" s="199">
        <f aca="true" t="shared" si="61" ref="A410:A424">A409+1</f>
        <v>1202</v>
      </c>
      <c r="B410" s="223" t="s">
        <v>1470</v>
      </c>
      <c r="C410" s="200"/>
      <c r="D410" s="200"/>
      <c r="E410" s="703"/>
      <c r="F410" s="111">
        <f>E80</f>
        <v>0</v>
      </c>
      <c r="G410" s="717">
        <v>90</v>
      </c>
      <c r="H410" s="718">
        <f t="shared" si="60"/>
        <v>0</v>
      </c>
      <c r="I410" s="16"/>
      <c r="J410" s="16"/>
      <c r="K410" s="221"/>
      <c r="L410" s="221"/>
      <c r="M410" s="415"/>
    </row>
    <row r="411" spans="1:13" s="90" customFormat="1" ht="12.75" customHeight="1">
      <c r="A411" s="199">
        <f t="shared" si="61"/>
        <v>1203</v>
      </c>
      <c r="B411" s="223" t="s">
        <v>1471</v>
      </c>
      <c r="C411" s="200"/>
      <c r="D411" s="200"/>
      <c r="E411" s="703"/>
      <c r="F411" s="111">
        <f>E81</f>
        <v>0</v>
      </c>
      <c r="G411" s="717">
        <v>90</v>
      </c>
      <c r="H411" s="718">
        <f t="shared" si="60"/>
        <v>0</v>
      </c>
      <c r="I411" s="16"/>
      <c r="J411" s="16"/>
      <c r="K411" s="221"/>
      <c r="L411" s="221"/>
      <c r="M411" s="415"/>
    </row>
    <row r="412" spans="1:13" s="90" customFormat="1" ht="12.75" customHeight="1">
      <c r="A412" s="199">
        <f t="shared" si="61"/>
        <v>1204</v>
      </c>
      <c r="B412" s="223" t="s">
        <v>1469</v>
      </c>
      <c r="C412" s="200"/>
      <c r="D412" s="200"/>
      <c r="E412" s="703"/>
      <c r="F412" s="111">
        <f>E82+E83</f>
        <v>0</v>
      </c>
      <c r="G412" s="717">
        <v>90</v>
      </c>
      <c r="H412" s="718">
        <f t="shared" si="60"/>
        <v>0</v>
      </c>
      <c r="I412" s="16"/>
      <c r="J412" s="16"/>
      <c r="K412" s="221"/>
      <c r="L412" s="221"/>
      <c r="M412" s="415"/>
    </row>
    <row r="413" spans="1:13" s="90" customFormat="1" ht="12.75" customHeight="1">
      <c r="A413" s="199">
        <f t="shared" si="61"/>
        <v>1205</v>
      </c>
      <c r="B413" s="223" t="s">
        <v>664</v>
      </c>
      <c r="C413" s="200"/>
      <c r="D413" s="200"/>
      <c r="E413" s="703"/>
      <c r="F413" s="656">
        <f>E89</f>
        <v>0</v>
      </c>
      <c r="G413" s="210">
        <v>44</v>
      </c>
      <c r="H413" s="663">
        <f t="shared" si="60"/>
        <v>0</v>
      </c>
      <c r="I413" s="16"/>
      <c r="J413" s="16"/>
      <c r="K413" s="221"/>
      <c r="L413" s="221"/>
      <c r="M413" s="415"/>
    </row>
    <row r="414" spans="1:13" s="90" customFormat="1" ht="12.75" customHeight="1">
      <c r="A414" s="199">
        <f t="shared" si="61"/>
        <v>1206</v>
      </c>
      <c r="B414" s="223" t="s">
        <v>1472</v>
      </c>
      <c r="C414" s="200"/>
      <c r="D414" s="200"/>
      <c r="E414" s="703"/>
      <c r="F414" s="656">
        <f>E112+E114</f>
        <v>0</v>
      </c>
      <c r="G414" s="210">
        <v>60</v>
      </c>
      <c r="H414" s="663">
        <f t="shared" si="60"/>
        <v>0</v>
      </c>
      <c r="I414" s="16"/>
      <c r="J414" s="16"/>
      <c r="K414" s="221"/>
      <c r="L414" s="221"/>
      <c r="M414" s="415"/>
    </row>
    <row r="415" spans="1:13" s="90" customFormat="1" ht="12.75" customHeight="1">
      <c r="A415" s="199">
        <f t="shared" si="61"/>
        <v>1207</v>
      </c>
      <c r="B415" s="223" t="s">
        <v>1263</v>
      </c>
      <c r="C415" s="200"/>
      <c r="D415" s="200"/>
      <c r="E415" s="703"/>
      <c r="F415" s="656">
        <f>E113</f>
        <v>0</v>
      </c>
      <c r="G415" s="210">
        <v>60</v>
      </c>
      <c r="H415" s="663">
        <f t="shared" si="60"/>
        <v>0</v>
      </c>
      <c r="I415" s="16"/>
      <c r="J415" s="16"/>
      <c r="K415" s="221"/>
      <c r="L415" s="221"/>
      <c r="M415" s="415"/>
    </row>
    <row r="416" spans="1:13" s="90" customFormat="1" ht="12.75" customHeight="1">
      <c r="A416" s="199">
        <f t="shared" si="61"/>
        <v>1208</v>
      </c>
      <c r="B416" s="223" t="s">
        <v>1475</v>
      </c>
      <c r="C416" s="200"/>
      <c r="D416" s="200"/>
      <c r="E416" s="703"/>
      <c r="F416" s="656">
        <f>E151</f>
        <v>0</v>
      </c>
      <c r="G416" s="717">
        <v>140</v>
      </c>
      <c r="H416" s="718">
        <f t="shared" si="60"/>
        <v>0</v>
      </c>
      <c r="I416" s="16"/>
      <c r="J416" s="16"/>
      <c r="K416" s="221"/>
      <c r="L416" s="221"/>
      <c r="M416" s="415"/>
    </row>
    <row r="417" spans="1:13" s="90" customFormat="1" ht="12.75" customHeight="1">
      <c r="A417" s="199">
        <f t="shared" si="61"/>
        <v>1209</v>
      </c>
      <c r="B417" s="223" t="s">
        <v>1476</v>
      </c>
      <c r="C417" s="200"/>
      <c r="D417" s="200"/>
      <c r="E417" s="703"/>
      <c r="F417" s="656">
        <f>E152</f>
        <v>0</v>
      </c>
      <c r="G417" s="717">
        <v>140</v>
      </c>
      <c r="H417" s="718">
        <f t="shared" si="60"/>
        <v>0</v>
      </c>
      <c r="I417" s="16"/>
      <c r="J417" s="16"/>
      <c r="K417" s="221"/>
      <c r="L417" s="221"/>
      <c r="M417" s="415"/>
    </row>
    <row r="418" spans="1:13" s="90" customFormat="1" ht="12.75" customHeight="1">
      <c r="A418" s="199">
        <f t="shared" si="61"/>
        <v>1210</v>
      </c>
      <c r="B418" s="223" t="s">
        <v>1473</v>
      </c>
      <c r="C418" s="200"/>
      <c r="D418" s="200"/>
      <c r="E418" s="703"/>
      <c r="F418" s="656">
        <f>E145+E146</f>
        <v>0</v>
      </c>
      <c r="G418" s="210">
        <v>85</v>
      </c>
      <c r="H418" s="663">
        <f t="shared" si="60"/>
        <v>0</v>
      </c>
      <c r="I418" s="16"/>
      <c r="J418" s="16"/>
      <c r="K418" s="221"/>
      <c r="L418" s="221"/>
      <c r="M418" s="415"/>
    </row>
    <row r="419" spans="1:13" s="90" customFormat="1" ht="12.75" customHeight="1">
      <c r="A419" s="199">
        <f t="shared" si="61"/>
        <v>1211</v>
      </c>
      <c r="B419" s="223" t="s">
        <v>1474</v>
      </c>
      <c r="C419" s="200"/>
      <c r="D419" s="200"/>
      <c r="E419" s="703"/>
      <c r="F419" s="656">
        <f>E190+E191</f>
        <v>0</v>
      </c>
      <c r="G419" s="210">
        <v>85</v>
      </c>
      <c r="H419" s="663">
        <f t="shared" si="60"/>
        <v>0</v>
      </c>
      <c r="I419" s="16"/>
      <c r="J419" s="16"/>
      <c r="K419" s="221"/>
      <c r="L419" s="221"/>
      <c r="M419" s="415"/>
    </row>
    <row r="420" spans="1:13" s="90" customFormat="1" ht="12.75" customHeight="1">
      <c r="A420" s="199">
        <f t="shared" si="61"/>
        <v>1212</v>
      </c>
      <c r="B420" s="223" t="s">
        <v>594</v>
      </c>
      <c r="C420" s="200"/>
      <c r="D420" s="200"/>
      <c r="E420" s="703"/>
      <c r="F420" s="656">
        <f>SUM(E213:E215)</f>
        <v>0</v>
      </c>
      <c r="G420" s="56" t="s">
        <v>1397</v>
      </c>
      <c r="H420" s="56" t="s">
        <v>1397</v>
      </c>
      <c r="I420" s="16"/>
      <c r="J420" s="16"/>
      <c r="K420" s="221"/>
      <c r="L420" s="221"/>
      <c r="M420" s="415"/>
    </row>
    <row r="421" spans="1:13" s="90" customFormat="1" ht="12.75" customHeight="1">
      <c r="A421" s="199">
        <f t="shared" si="61"/>
        <v>1213</v>
      </c>
      <c r="B421" s="719" t="s">
        <v>1287</v>
      </c>
      <c r="C421" s="200"/>
      <c r="D421" s="200"/>
      <c r="E421" s="703"/>
      <c r="F421" s="207">
        <v>10</v>
      </c>
      <c r="G421" s="717">
        <v>140</v>
      </c>
      <c r="H421" s="718">
        <f>F421*G421</f>
        <v>1400</v>
      </c>
      <c r="I421" s="16"/>
      <c r="J421" s="16"/>
      <c r="K421" s="221"/>
      <c r="L421" s="221"/>
      <c r="M421" s="415"/>
    </row>
    <row r="422" spans="1:13" s="90" customFormat="1" ht="12.75" customHeight="1">
      <c r="A422" s="199">
        <f t="shared" si="61"/>
        <v>1214</v>
      </c>
      <c r="B422" s="719" t="s">
        <v>1288</v>
      </c>
      <c r="C422" s="200"/>
      <c r="D422" s="200"/>
      <c r="E422" s="703"/>
      <c r="F422" s="207">
        <v>10</v>
      </c>
      <c r="G422" s="717">
        <v>140</v>
      </c>
      <c r="H422" s="718">
        <f>F422*G422</f>
        <v>1400</v>
      </c>
      <c r="I422" s="16"/>
      <c r="J422" s="16"/>
      <c r="K422" s="221"/>
      <c r="L422" s="221"/>
      <c r="M422" s="415"/>
    </row>
    <row r="423" spans="1:13" s="90" customFormat="1" ht="12.75" customHeight="1">
      <c r="A423" s="199">
        <f t="shared" si="61"/>
        <v>1215</v>
      </c>
      <c r="B423" s="719" t="s">
        <v>1289</v>
      </c>
      <c r="C423" s="200"/>
      <c r="D423" s="200"/>
      <c r="E423" s="703"/>
      <c r="F423" s="207">
        <v>10</v>
      </c>
      <c r="G423" s="210">
        <v>85</v>
      </c>
      <c r="H423" s="718">
        <f>F423*G423</f>
        <v>850</v>
      </c>
      <c r="I423" s="16"/>
      <c r="J423" s="16"/>
      <c r="K423" s="221"/>
      <c r="L423" s="221"/>
      <c r="M423" s="415"/>
    </row>
    <row r="424" spans="1:13" s="90" customFormat="1" ht="12.75">
      <c r="A424" s="199">
        <f t="shared" si="61"/>
        <v>1216</v>
      </c>
      <c r="B424" s="664" t="s">
        <v>468</v>
      </c>
      <c r="C424" s="665"/>
      <c r="D424" s="665"/>
      <c r="E424" s="708"/>
      <c r="F424" s="4">
        <f>SUM(F409:F423)</f>
        <v>30</v>
      </c>
      <c r="G424" s="32"/>
      <c r="H424" s="82">
        <f>SUM(H409:H419)+SUM(H421:H423)</f>
        <v>3650</v>
      </c>
      <c r="I424" s="16"/>
      <c r="J424" s="16"/>
      <c r="K424" s="221"/>
      <c r="L424" s="221"/>
      <c r="M424" s="415"/>
    </row>
    <row r="425" spans="1:13" s="90" customFormat="1" ht="13.5" thickBot="1">
      <c r="A425" s="16"/>
      <c r="B425" s="16"/>
      <c r="C425" s="16"/>
      <c r="D425" s="16"/>
      <c r="E425" s="16"/>
      <c r="F425" s="16"/>
      <c r="G425" s="16"/>
      <c r="H425" s="16"/>
      <c r="I425" s="16"/>
      <c r="J425" s="16"/>
      <c r="K425" s="221"/>
      <c r="L425" s="221"/>
      <c r="M425" s="415"/>
    </row>
    <row r="426" spans="1:13" s="90" customFormat="1" ht="13.5" thickBot="1">
      <c r="A426" s="32"/>
      <c r="B426" s="484"/>
      <c r="C426" s="32"/>
      <c r="D426" s="32"/>
      <c r="E426" s="32"/>
      <c r="F426" s="32"/>
      <c r="G426" s="32"/>
      <c r="H426" s="16"/>
      <c r="I426" s="16"/>
      <c r="J426" s="16"/>
      <c r="M426" s="720">
        <f>ROUND(SUM(M13:M425),0)</f>
        <v>47342085</v>
      </c>
    </row>
    <row r="427" spans="1:13" s="90" customFormat="1" ht="12.75">
      <c r="A427" s="32"/>
      <c r="B427" s="32"/>
      <c r="C427" s="32"/>
      <c r="D427" s="32"/>
      <c r="E427" s="32"/>
      <c r="F427" s="32"/>
      <c r="G427" s="643"/>
      <c r="H427" s="16"/>
      <c r="I427" s="32"/>
      <c r="J427" s="16"/>
      <c r="M427" s="415"/>
    </row>
    <row r="428" spans="1:13" s="90" customFormat="1" ht="12.75" hidden="1">
      <c r="A428" s="32" t="s">
        <v>714</v>
      </c>
      <c r="B428" s="32"/>
      <c r="C428" s="32"/>
      <c r="D428" s="32"/>
      <c r="E428" s="32"/>
      <c r="F428" s="32"/>
      <c r="G428" s="643"/>
      <c r="H428" s="16"/>
      <c r="I428" s="32"/>
      <c r="J428" s="16"/>
      <c r="M428" s="415"/>
    </row>
    <row r="429" spans="1:13" s="90" customFormat="1" ht="16.5" customHeight="1" hidden="1">
      <c r="A429" s="61"/>
      <c r="B429" s="81"/>
      <c r="C429" s="61"/>
      <c r="D429" s="61"/>
      <c r="E429" s="61"/>
      <c r="F429" s="61"/>
      <c r="G429" s="61"/>
      <c r="H429" s="61"/>
      <c r="I429" s="61"/>
      <c r="M429" s="415"/>
    </row>
    <row r="430" spans="1:23" s="732" customFormat="1" ht="12.75" hidden="1">
      <c r="A430" s="721" t="s">
        <v>606</v>
      </c>
      <c r="B430" s="112" t="s">
        <v>1178</v>
      </c>
      <c r="C430" s="722"/>
      <c r="D430" s="722"/>
      <c r="E430" s="722"/>
      <c r="F430" s="722"/>
      <c r="G430" s="722"/>
      <c r="H430" s="722"/>
      <c r="I430" s="722"/>
      <c r="J430" s="722"/>
      <c r="K430" s="90"/>
      <c r="L430" s="90"/>
      <c r="M430" s="415"/>
      <c r="N430" s="90"/>
      <c r="O430" s="90"/>
      <c r="P430" s="90"/>
      <c r="Q430" s="90"/>
      <c r="R430" s="90"/>
      <c r="S430" s="90"/>
      <c r="T430" s="90"/>
      <c r="U430" s="90"/>
      <c r="V430" s="90"/>
      <c r="W430" s="90"/>
    </row>
    <row r="431" spans="1:252" s="90" customFormat="1" ht="12.75" hidden="1">
      <c r="A431" s="128" t="s">
        <v>607</v>
      </c>
      <c r="B431" s="113" t="s">
        <v>608</v>
      </c>
      <c r="C431" s="114"/>
      <c r="D431" s="114"/>
      <c r="E431" s="114"/>
      <c r="F431" s="114"/>
      <c r="G431" s="114"/>
      <c r="H431" s="114"/>
      <c r="I431" s="114"/>
      <c r="J431" s="114"/>
      <c r="K431" s="461"/>
      <c r="L431" s="115"/>
      <c r="M431" s="447"/>
      <c r="N431" s="461" t="s">
        <v>609</v>
      </c>
      <c r="O431" s="723"/>
      <c r="P431" s="723"/>
      <c r="Q431" s="723"/>
      <c r="R431" s="723"/>
      <c r="S431" s="113" t="s">
        <v>1341</v>
      </c>
      <c r="T431" s="723"/>
      <c r="U431" s="900"/>
      <c r="V431" s="723"/>
      <c r="W431" s="723"/>
      <c r="X431" s="723"/>
      <c r="Y431" s="724"/>
      <c r="Z431" s="902" t="s">
        <v>1342</v>
      </c>
      <c r="AA431" s="723"/>
      <c r="AB431" s="723"/>
      <c r="AC431" s="723"/>
      <c r="AD431" s="726"/>
      <c r="AE431" s="723"/>
      <c r="AF431" s="723"/>
      <c r="AG431" s="900"/>
      <c r="AH431" s="723"/>
      <c r="AI431" s="723"/>
      <c r="AJ431" s="555"/>
      <c r="AK431" s="453"/>
      <c r="AL431" s="886" t="s">
        <v>1343</v>
      </c>
      <c r="AM431" s="453"/>
      <c r="AN431" s="453"/>
      <c r="AO431" s="453"/>
      <c r="AP431" s="546"/>
      <c r="AQ431" s="724"/>
      <c r="AR431" s="546"/>
      <c r="AS431" s="453"/>
      <c r="AT431" s="453"/>
      <c r="AU431" s="481"/>
      <c r="AV431" s="453"/>
      <c r="AW431" s="481"/>
      <c r="AX431" s="546"/>
      <c r="AY431" s="453"/>
      <c r="AZ431" s="723"/>
      <c r="BA431" s="723"/>
      <c r="BB431" s="900"/>
      <c r="BC431" s="723"/>
      <c r="BD431" s="723"/>
      <c r="BE431" s="546"/>
      <c r="BF431" s="481"/>
      <c r="BG431" s="113" t="s">
        <v>1351</v>
      </c>
      <c r="BH431" s="453"/>
      <c r="BI431" s="481"/>
      <c r="BJ431" s="546"/>
      <c r="BK431" s="453"/>
      <c r="BL431" s="481"/>
      <c r="BM431" s="546"/>
      <c r="BN431" s="453"/>
      <c r="BO431" s="453"/>
      <c r="BP431" s="453"/>
      <c r="BQ431" s="723"/>
      <c r="BR431" s="723"/>
      <c r="BS431" s="900"/>
      <c r="BT431" s="723"/>
      <c r="BU431" s="724"/>
      <c r="BV431" s="546"/>
      <c r="BW431" s="481"/>
      <c r="BX431" s="113" t="s">
        <v>1357</v>
      </c>
      <c r="BY431" s="481"/>
      <c r="BZ431" s="546"/>
      <c r="CA431" s="453"/>
      <c r="CB431" s="481"/>
      <c r="CC431" s="546"/>
      <c r="CD431" s="481"/>
      <c r="CE431" s="546"/>
      <c r="CF431" s="453"/>
      <c r="CG431" s="481"/>
      <c r="CH431" s="453"/>
      <c r="CI431" s="453"/>
      <c r="CJ431" s="453"/>
      <c r="CK431" s="546"/>
      <c r="CL431" s="453"/>
      <c r="CM431" s="453"/>
      <c r="CN431" s="453"/>
      <c r="CO431" s="453"/>
      <c r="CP431" s="481"/>
      <c r="CQ431" s="547"/>
      <c r="CR431" s="910"/>
      <c r="CS431" s="910"/>
      <c r="CT431" s="527"/>
      <c r="CU431" s="527"/>
      <c r="CV431" s="911"/>
      <c r="CW431" s="726"/>
      <c r="CX431" s="723"/>
      <c r="CY431" s="723"/>
      <c r="CZ431" s="723"/>
      <c r="DA431" s="723"/>
      <c r="DB431" s="724"/>
      <c r="DC431" s="461" t="s">
        <v>1474</v>
      </c>
      <c r="DD431" s="723"/>
      <c r="DE431" s="725"/>
      <c r="DF431" s="936"/>
      <c r="DG431" s="724"/>
      <c r="DH431" s="726"/>
      <c r="DI431" s="481"/>
      <c r="DJ431" s="555"/>
      <c r="DK431" s="886" t="s">
        <v>1363</v>
      </c>
      <c r="DL431" s="917"/>
      <c r="DM431" s="546"/>
      <c r="DN431" s="453"/>
      <c r="DO431" s="453"/>
      <c r="DP431" s="481"/>
      <c r="DQ431" s="546"/>
      <c r="DR431" s="453"/>
      <c r="DS431" s="481"/>
      <c r="DT431" s="546"/>
      <c r="DU431" s="453"/>
      <c r="DV431" s="453"/>
      <c r="DW431" s="453"/>
      <c r="DX431" s="481"/>
      <c r="DY431" s="453"/>
      <c r="DZ431" s="453"/>
      <c r="EA431" s="453"/>
      <c r="EB431" s="546"/>
      <c r="EC431" s="453"/>
      <c r="ED431" s="481"/>
      <c r="EE431" s="546"/>
      <c r="EF431" s="453"/>
      <c r="EG431" s="481"/>
      <c r="EH431" s="919"/>
      <c r="EI431" s="886" t="s">
        <v>1009</v>
      </c>
      <c r="EJ431" s="481"/>
      <c r="EK431" s="921" t="s">
        <v>1364</v>
      </c>
      <c r="EL431" s="547"/>
      <c r="EM431" s="527"/>
      <c r="EN431" s="527"/>
      <c r="EO431" s="527"/>
      <c r="EP431" s="548"/>
      <c r="EQ431" s="547"/>
      <c r="ER431" s="527"/>
      <c r="ES431" s="527"/>
      <c r="ET431" s="527"/>
      <c r="EU431" s="527"/>
      <c r="EV431" s="527"/>
      <c r="EW431" s="527"/>
      <c r="EX431" s="548"/>
      <c r="EY431" s="547"/>
      <c r="EZ431" s="527"/>
      <c r="FA431" s="527"/>
      <c r="FB431" s="527"/>
      <c r="FC431" s="527"/>
      <c r="FD431" s="527"/>
      <c r="FE431" s="527"/>
      <c r="FF431" s="527"/>
      <c r="FG431" s="527"/>
      <c r="FH431" s="527"/>
      <c r="FI431" s="527"/>
      <c r="FJ431" s="527"/>
      <c r="FK431" s="527"/>
      <c r="FL431" s="527"/>
      <c r="FM431" s="527"/>
      <c r="FN431" s="548"/>
      <c r="FO431" s="547"/>
      <c r="FP431" s="527"/>
      <c r="FQ431" s="527"/>
      <c r="FR431" s="527"/>
      <c r="FS431" s="527"/>
      <c r="FT431" s="527"/>
      <c r="FU431" s="527"/>
      <c r="FV431" s="527"/>
      <c r="FW431" s="527"/>
      <c r="FX431" s="527"/>
      <c r="FY431" s="527"/>
      <c r="FZ431" s="527"/>
      <c r="GA431" s="527"/>
      <c r="GB431" s="527"/>
      <c r="GC431" s="527"/>
      <c r="GD431" s="548"/>
      <c r="GE431" s="527"/>
      <c r="GF431" s="527"/>
      <c r="GG431" s="527"/>
      <c r="GH431" s="527"/>
      <c r="GI431" s="527"/>
      <c r="GJ431" s="527"/>
      <c r="GK431" s="527"/>
      <c r="GL431" s="527"/>
      <c r="GM431" s="527"/>
      <c r="GN431" s="527"/>
      <c r="GO431" s="527"/>
      <c r="GP431" s="527"/>
      <c r="GQ431" s="527"/>
      <c r="GR431" s="527"/>
      <c r="GS431" s="527"/>
      <c r="GT431" s="527"/>
      <c r="GU431" s="527"/>
      <c r="GV431" s="527"/>
      <c r="GW431" s="527"/>
      <c r="GX431" s="527"/>
      <c r="GY431" s="527"/>
      <c r="GZ431" s="527"/>
      <c r="HA431" s="527"/>
      <c r="HB431" s="527"/>
      <c r="HC431" s="527"/>
      <c r="HD431" s="527"/>
      <c r="HE431" s="527"/>
      <c r="HF431" s="548"/>
      <c r="HG431" s="929"/>
      <c r="HH431" s="930"/>
      <c r="HI431" s="930"/>
      <c r="HJ431" s="931"/>
      <c r="HK431" s="547"/>
      <c r="HL431" s="527"/>
      <c r="HM431" s="527"/>
      <c r="HN431" s="527"/>
      <c r="HO431" s="527"/>
      <c r="HP431" s="527"/>
      <c r="HQ431" s="527"/>
      <c r="HR431" s="527"/>
      <c r="HS431" s="527"/>
      <c r="HT431" s="527"/>
      <c r="HU431" s="527"/>
      <c r="HV431" s="548"/>
      <c r="HW431" s="547"/>
      <c r="HX431" s="527"/>
      <c r="HY431" s="527"/>
      <c r="HZ431" s="527"/>
      <c r="IA431" s="527"/>
      <c r="IB431" s="527"/>
      <c r="IC431" s="527"/>
      <c r="ID431" s="548"/>
      <c r="IE431" s="547"/>
      <c r="IF431" s="527"/>
      <c r="IG431" s="527"/>
      <c r="IH431" s="527"/>
      <c r="II431" s="527"/>
      <c r="IJ431" s="527"/>
      <c r="IK431" s="527"/>
      <c r="IL431" s="527"/>
      <c r="IM431" s="527"/>
      <c r="IN431" s="527"/>
      <c r="IO431" s="527"/>
      <c r="IP431" s="527"/>
      <c r="IQ431" s="527"/>
      <c r="IR431" s="527"/>
    </row>
    <row r="432" spans="1:252" s="90" customFormat="1" ht="62.25" customHeight="1" hidden="1">
      <c r="A432" s="879" t="s">
        <v>610</v>
      </c>
      <c r="B432" s="430" t="s">
        <v>611</v>
      </c>
      <c r="C432" s="430" t="s">
        <v>612</v>
      </c>
      <c r="D432" s="430" t="s">
        <v>1066</v>
      </c>
      <c r="E432" s="430" t="s">
        <v>1067</v>
      </c>
      <c r="F432" s="430" t="s">
        <v>1068</v>
      </c>
      <c r="G432" s="430" t="s">
        <v>1069</v>
      </c>
      <c r="H432" s="430" t="s">
        <v>1335</v>
      </c>
      <c r="I432" s="430" t="s">
        <v>1336</v>
      </c>
      <c r="J432" s="430" t="s">
        <v>1337</v>
      </c>
      <c r="K432" s="430" t="s">
        <v>1338</v>
      </c>
      <c r="L432" s="430" t="s">
        <v>1339</v>
      </c>
      <c r="M432" s="880" t="s">
        <v>472</v>
      </c>
      <c r="N432" s="429" t="str">
        <f>K8</f>
        <v>A1</v>
      </c>
      <c r="O432" s="430" t="s">
        <v>613</v>
      </c>
      <c r="P432" s="430" t="s">
        <v>614</v>
      </c>
      <c r="Q432" s="881" t="s">
        <v>1340</v>
      </c>
      <c r="R432" s="431" t="s">
        <v>355</v>
      </c>
      <c r="S432" s="429" t="s">
        <v>892</v>
      </c>
      <c r="T432" s="100" t="s">
        <v>893</v>
      </c>
      <c r="U432" s="100" t="s">
        <v>560</v>
      </c>
      <c r="V432" s="100" t="s">
        <v>561</v>
      </c>
      <c r="W432" s="100" t="s">
        <v>562</v>
      </c>
      <c r="X432" s="100" t="s">
        <v>563</v>
      </c>
      <c r="Y432" s="431" t="s">
        <v>564</v>
      </c>
      <c r="Z432" s="431" t="s">
        <v>984</v>
      </c>
      <c r="AA432" s="431" t="s">
        <v>1353</v>
      </c>
      <c r="AB432" s="431" t="s">
        <v>1032</v>
      </c>
      <c r="AC432" s="431" t="s">
        <v>143</v>
      </c>
      <c r="AD432" s="431" t="s">
        <v>1034</v>
      </c>
      <c r="AE432" s="431" t="s">
        <v>1035</v>
      </c>
      <c r="AF432" s="431" t="s">
        <v>1036</v>
      </c>
      <c r="AG432" s="431" t="s">
        <v>1037</v>
      </c>
      <c r="AH432" s="431" t="s">
        <v>1038</v>
      </c>
      <c r="AI432" s="431" t="s">
        <v>1039</v>
      </c>
      <c r="AJ432" s="431" t="s">
        <v>1064</v>
      </c>
      <c r="AK432" s="431" t="s">
        <v>782</v>
      </c>
      <c r="AL432" s="429" t="s">
        <v>1344</v>
      </c>
      <c r="AM432" s="100" t="s">
        <v>1345</v>
      </c>
      <c r="AN432" s="100" t="s">
        <v>1346</v>
      </c>
      <c r="AO432" s="431" t="s">
        <v>1347</v>
      </c>
      <c r="AP432" s="904" t="s">
        <v>1348</v>
      </c>
      <c r="AQ432" s="904" t="s">
        <v>1349</v>
      </c>
      <c r="AR432" s="905" t="str">
        <f>K80</f>
        <v>BKZ</v>
      </c>
      <c r="AS432" s="906" t="s">
        <v>540</v>
      </c>
      <c r="AT432" s="906" t="s">
        <v>541</v>
      </c>
      <c r="AU432" s="907" t="s">
        <v>144</v>
      </c>
      <c r="AV432" s="906" t="s">
        <v>665</v>
      </c>
      <c r="AW432" s="907" t="s">
        <v>915</v>
      </c>
      <c r="AX432" s="904" t="s">
        <v>1045</v>
      </c>
      <c r="AY432" s="904" t="s">
        <v>1040</v>
      </c>
      <c r="AZ432" s="904" t="s">
        <v>1041</v>
      </c>
      <c r="BA432" s="904" t="s">
        <v>1042</v>
      </c>
      <c r="BB432" s="904" t="s">
        <v>1043</v>
      </c>
      <c r="BC432" s="904" t="s">
        <v>1044</v>
      </c>
      <c r="BD432" s="904" t="s">
        <v>1479</v>
      </c>
      <c r="BE432" s="908" t="s">
        <v>599</v>
      </c>
      <c r="BF432" s="907" t="s">
        <v>782</v>
      </c>
      <c r="BG432" s="905" t="s">
        <v>744</v>
      </c>
      <c r="BH432" s="906" t="s">
        <v>1263</v>
      </c>
      <c r="BI432" s="907" t="s">
        <v>1350</v>
      </c>
      <c r="BJ432" s="905" t="s">
        <v>547</v>
      </c>
      <c r="BK432" s="906" t="s">
        <v>546</v>
      </c>
      <c r="BL432" s="907" t="s">
        <v>145</v>
      </c>
      <c r="BM432" s="908" t="s">
        <v>1046</v>
      </c>
      <c r="BN432" s="904" t="s">
        <v>1047</v>
      </c>
      <c r="BO432" s="904" t="s">
        <v>1048</v>
      </c>
      <c r="BP432" s="904" t="s">
        <v>1049</v>
      </c>
      <c r="BQ432" s="904" t="s">
        <v>1050</v>
      </c>
      <c r="BR432" s="904" t="s">
        <v>1051</v>
      </c>
      <c r="BS432" s="904" t="s">
        <v>1052</v>
      </c>
      <c r="BT432" s="904" t="s">
        <v>1021</v>
      </c>
      <c r="BU432" s="909" t="s">
        <v>1022</v>
      </c>
      <c r="BV432" s="908" t="s">
        <v>598</v>
      </c>
      <c r="BW432" s="909" t="s">
        <v>782</v>
      </c>
      <c r="BX432" s="908" t="s">
        <v>1354</v>
      </c>
      <c r="BY432" s="909" t="s">
        <v>1352</v>
      </c>
      <c r="BZ432" s="904" t="s">
        <v>1355</v>
      </c>
      <c r="CA432" s="904" t="s">
        <v>1356</v>
      </c>
      <c r="CB432" s="909" t="s">
        <v>1352</v>
      </c>
      <c r="CC432" s="908" t="s">
        <v>543</v>
      </c>
      <c r="CD432" s="909" t="s">
        <v>1274</v>
      </c>
      <c r="CE432" s="908" t="s">
        <v>544</v>
      </c>
      <c r="CF432" s="904" t="s">
        <v>545</v>
      </c>
      <c r="CG432" s="909" t="str">
        <f>K153</f>
        <v>BNFG</v>
      </c>
      <c r="CH432" s="904" t="s">
        <v>808</v>
      </c>
      <c r="CI432" s="904" t="s">
        <v>809</v>
      </c>
      <c r="CJ432" s="904" t="s">
        <v>810</v>
      </c>
      <c r="CK432" s="905" t="s">
        <v>1028</v>
      </c>
      <c r="CL432" s="906" t="s">
        <v>1023</v>
      </c>
      <c r="CM432" s="906" t="s">
        <v>1024</v>
      </c>
      <c r="CN432" s="906" t="s">
        <v>1025</v>
      </c>
      <c r="CO432" s="906" t="s">
        <v>1026</v>
      </c>
      <c r="CP432" s="907" t="s">
        <v>1027</v>
      </c>
      <c r="CQ432" s="908" t="s">
        <v>904</v>
      </c>
      <c r="CR432" s="904" t="s">
        <v>905</v>
      </c>
      <c r="CS432" s="904" t="s">
        <v>906</v>
      </c>
      <c r="CT432" s="904" t="s">
        <v>907</v>
      </c>
      <c r="CU432" s="904" t="s">
        <v>908</v>
      </c>
      <c r="CV432" s="909" t="s">
        <v>909</v>
      </c>
      <c r="CW432" s="905" t="s">
        <v>1063</v>
      </c>
      <c r="CX432" s="906" t="s">
        <v>1062</v>
      </c>
      <c r="CY432" s="906" t="s">
        <v>1358</v>
      </c>
      <c r="CZ432" s="906" t="s">
        <v>1359</v>
      </c>
      <c r="DA432" s="906" t="s">
        <v>1360</v>
      </c>
      <c r="DB432" s="907" t="s">
        <v>1361</v>
      </c>
      <c r="DC432" s="905" t="s">
        <v>1362</v>
      </c>
      <c r="DD432" s="907" t="s">
        <v>1350</v>
      </c>
      <c r="DE432" s="908" t="s">
        <v>542</v>
      </c>
      <c r="DF432" s="909" t="s">
        <v>912</v>
      </c>
      <c r="DG432" s="909" t="s">
        <v>242</v>
      </c>
      <c r="DH432" s="908" t="s">
        <v>600</v>
      </c>
      <c r="DI432" s="909" t="s">
        <v>782</v>
      </c>
      <c r="DJ432" s="916" t="s">
        <v>745</v>
      </c>
      <c r="DK432" s="908" t="s">
        <v>744</v>
      </c>
      <c r="DL432" s="909" t="s">
        <v>1350</v>
      </c>
      <c r="DM432" s="908" t="s">
        <v>539</v>
      </c>
      <c r="DN432" s="904" t="s">
        <v>540</v>
      </c>
      <c r="DO432" s="904" t="s">
        <v>541</v>
      </c>
      <c r="DP432" s="909" t="s">
        <v>144</v>
      </c>
      <c r="DQ432" s="908" t="s">
        <v>746</v>
      </c>
      <c r="DR432" s="904" t="s">
        <v>1236</v>
      </c>
      <c r="DS432" s="909" t="s">
        <v>1235</v>
      </c>
      <c r="DT432" s="908" t="s">
        <v>588</v>
      </c>
      <c r="DU432" s="904" t="s">
        <v>590</v>
      </c>
      <c r="DV432" s="904" t="s">
        <v>454</v>
      </c>
      <c r="DW432" s="904" t="s">
        <v>1055</v>
      </c>
      <c r="DX432" s="909" t="s">
        <v>682</v>
      </c>
      <c r="DY432" s="904" t="s">
        <v>584</v>
      </c>
      <c r="DZ432" s="904" t="s">
        <v>585</v>
      </c>
      <c r="EA432" s="904" t="s">
        <v>586</v>
      </c>
      <c r="EB432" s="908" t="s">
        <v>1084</v>
      </c>
      <c r="EC432" s="904" t="s">
        <v>782</v>
      </c>
      <c r="ED432" s="907" t="s">
        <v>1361</v>
      </c>
      <c r="EE432" s="908" t="s">
        <v>581</v>
      </c>
      <c r="EF432" s="904" t="s">
        <v>582</v>
      </c>
      <c r="EG432" s="909" t="s">
        <v>583</v>
      </c>
      <c r="EH432" s="916" t="s">
        <v>821</v>
      </c>
      <c r="EI432" s="905" t="s">
        <v>705</v>
      </c>
      <c r="EJ432" s="907" t="s">
        <v>473</v>
      </c>
      <c r="EK432" s="908" t="s">
        <v>357</v>
      </c>
      <c r="EL432" s="904" t="s">
        <v>358</v>
      </c>
      <c r="EM432" s="904" t="s">
        <v>359</v>
      </c>
      <c r="EN432" s="904" t="s">
        <v>360</v>
      </c>
      <c r="EO432" s="904" t="s">
        <v>361</v>
      </c>
      <c r="EP432" s="909" t="s">
        <v>362</v>
      </c>
      <c r="EQ432" s="908" t="s">
        <v>363</v>
      </c>
      <c r="ER432" s="904" t="s">
        <v>364</v>
      </c>
      <c r="ES432" s="904" t="s">
        <v>365</v>
      </c>
      <c r="ET432" s="904" t="s">
        <v>366</v>
      </c>
      <c r="EU432" s="904" t="s">
        <v>367</v>
      </c>
      <c r="EV432" s="904" t="s">
        <v>368</v>
      </c>
      <c r="EW432" s="904" t="s">
        <v>369</v>
      </c>
      <c r="EX432" s="909" t="s">
        <v>370</v>
      </c>
      <c r="EY432" s="908" t="s">
        <v>748</v>
      </c>
      <c r="EZ432" s="904" t="s">
        <v>749</v>
      </c>
      <c r="FA432" s="904" t="s">
        <v>750</v>
      </c>
      <c r="FB432" s="904" t="s">
        <v>374</v>
      </c>
      <c r="FC432" s="904" t="s">
        <v>751</v>
      </c>
      <c r="FD432" s="904" t="s">
        <v>756</v>
      </c>
      <c r="FE432" s="904" t="s">
        <v>757</v>
      </c>
      <c r="FF432" s="904" t="s">
        <v>1155</v>
      </c>
      <c r="FG432" s="904" t="s">
        <v>752</v>
      </c>
      <c r="FH432" s="904" t="s">
        <v>753</v>
      </c>
      <c r="FI432" s="904" t="s">
        <v>754</v>
      </c>
      <c r="FJ432" s="904" t="s">
        <v>381</v>
      </c>
      <c r="FK432" s="904" t="s">
        <v>755</v>
      </c>
      <c r="FL432" s="904" t="s">
        <v>758</v>
      </c>
      <c r="FM432" s="904" t="s">
        <v>759</v>
      </c>
      <c r="FN432" s="909" t="s">
        <v>1156</v>
      </c>
      <c r="FO432" s="908" t="s">
        <v>393</v>
      </c>
      <c r="FP432" s="904" t="s">
        <v>394</v>
      </c>
      <c r="FQ432" s="904" t="s">
        <v>395</v>
      </c>
      <c r="FR432" s="904" t="s">
        <v>396</v>
      </c>
      <c r="FS432" s="904" t="s">
        <v>397</v>
      </c>
      <c r="FT432" s="904" t="s">
        <v>398</v>
      </c>
      <c r="FU432" s="904" t="s">
        <v>399</v>
      </c>
      <c r="FV432" s="904" t="s">
        <v>760</v>
      </c>
      <c r="FW432" s="904" t="s">
        <v>400</v>
      </c>
      <c r="FX432" s="904" t="s">
        <v>401</v>
      </c>
      <c r="FY432" s="904" t="s">
        <v>402</v>
      </c>
      <c r="FZ432" s="904" t="s">
        <v>403</v>
      </c>
      <c r="GA432" s="904" t="s">
        <v>404</v>
      </c>
      <c r="GB432" s="904" t="s">
        <v>405</v>
      </c>
      <c r="GC432" s="904" t="s">
        <v>406</v>
      </c>
      <c r="GD432" s="909" t="s">
        <v>761</v>
      </c>
      <c r="GE432" s="904" t="s">
        <v>762</v>
      </c>
      <c r="GF432" s="904" t="s">
        <v>763</v>
      </c>
      <c r="GG432" s="904" t="s">
        <v>764</v>
      </c>
      <c r="GH432" s="904" t="s">
        <v>765</v>
      </c>
      <c r="GI432" s="904" t="s">
        <v>766</v>
      </c>
      <c r="GJ432" s="904" t="s">
        <v>412</v>
      </c>
      <c r="GK432" s="904" t="s">
        <v>767</v>
      </c>
      <c r="GL432" s="904" t="s">
        <v>768</v>
      </c>
      <c r="GM432" s="904" t="s">
        <v>415</v>
      </c>
      <c r="GN432" s="904" t="s">
        <v>416</v>
      </c>
      <c r="GO432" s="904" t="s">
        <v>417</v>
      </c>
      <c r="GP432" s="904" t="s">
        <v>418</v>
      </c>
      <c r="GQ432" s="904" t="s">
        <v>769</v>
      </c>
      <c r="GR432" s="904" t="s">
        <v>770</v>
      </c>
      <c r="GS432" s="904" t="s">
        <v>771</v>
      </c>
      <c r="GT432" s="904" t="s">
        <v>772</v>
      </c>
      <c r="GU432" s="904" t="s">
        <v>773</v>
      </c>
      <c r="GV432" s="904" t="s">
        <v>774</v>
      </c>
      <c r="GW432" s="904" t="s">
        <v>775</v>
      </c>
      <c r="GX432" s="904" t="s">
        <v>424</v>
      </c>
      <c r="GY432" s="904" t="s">
        <v>776</v>
      </c>
      <c r="GZ432" s="904" t="s">
        <v>777</v>
      </c>
      <c r="HA432" s="904" t="s">
        <v>427</v>
      </c>
      <c r="HB432" s="904" t="s">
        <v>428</v>
      </c>
      <c r="HC432" s="904" t="s">
        <v>429</v>
      </c>
      <c r="HD432" s="904" t="s">
        <v>430</v>
      </c>
      <c r="HE432" s="904" t="s">
        <v>778</v>
      </c>
      <c r="HF432" s="909" t="s">
        <v>779</v>
      </c>
      <c r="HG432" s="926" t="s">
        <v>1365</v>
      </c>
      <c r="HH432" s="927" t="s">
        <v>1366</v>
      </c>
      <c r="HI432" s="927" t="s">
        <v>779</v>
      </c>
      <c r="HJ432" s="928" t="s">
        <v>779</v>
      </c>
      <c r="HK432" s="908" t="s">
        <v>371</v>
      </c>
      <c r="HL432" s="904" t="s">
        <v>372</v>
      </c>
      <c r="HM432" s="904" t="s">
        <v>373</v>
      </c>
      <c r="HN432" s="904" t="s">
        <v>375</v>
      </c>
      <c r="HO432" s="904" t="s">
        <v>376</v>
      </c>
      <c r="HP432" s="904" t="s">
        <v>377</v>
      </c>
      <c r="HQ432" s="904" t="s">
        <v>378</v>
      </c>
      <c r="HR432" s="904" t="s">
        <v>379</v>
      </c>
      <c r="HS432" s="932" t="s">
        <v>380</v>
      </c>
      <c r="HT432" s="904" t="s">
        <v>382</v>
      </c>
      <c r="HU432" s="904" t="s">
        <v>383</v>
      </c>
      <c r="HV432" s="909" t="s">
        <v>384</v>
      </c>
      <c r="HW432" s="908" t="s">
        <v>385</v>
      </c>
      <c r="HX432" s="904" t="s">
        <v>386</v>
      </c>
      <c r="HY432" s="904" t="s">
        <v>387</v>
      </c>
      <c r="HZ432" s="904" t="s">
        <v>388</v>
      </c>
      <c r="IA432" s="904" t="s">
        <v>389</v>
      </c>
      <c r="IB432" s="904" t="s">
        <v>390</v>
      </c>
      <c r="IC432" s="904" t="s">
        <v>391</v>
      </c>
      <c r="ID432" s="909" t="s">
        <v>392</v>
      </c>
      <c r="IE432" s="908" t="s">
        <v>407</v>
      </c>
      <c r="IF432" s="904" t="s">
        <v>408</v>
      </c>
      <c r="IG432" s="904" t="s">
        <v>409</v>
      </c>
      <c r="IH432" s="904" t="s">
        <v>410</v>
      </c>
      <c r="II432" s="904" t="s">
        <v>411</v>
      </c>
      <c r="IJ432" s="904" t="s">
        <v>413</v>
      </c>
      <c r="IK432" s="904" t="s">
        <v>414</v>
      </c>
      <c r="IL432" s="904" t="s">
        <v>1157</v>
      </c>
      <c r="IM432" s="904" t="s">
        <v>419</v>
      </c>
      <c r="IN432" s="904" t="s">
        <v>420</v>
      </c>
      <c r="IO432" s="904" t="s">
        <v>421</v>
      </c>
      <c r="IP432" s="904" t="s">
        <v>422</v>
      </c>
      <c r="IQ432" s="904" t="s">
        <v>423</v>
      </c>
      <c r="IR432" s="904" t="s">
        <v>425</v>
      </c>
    </row>
    <row r="433" spans="1:252" s="75" customFormat="1" ht="12.75" hidden="1">
      <c r="A433" s="117">
        <v>120</v>
      </c>
      <c r="B433" s="426">
        <f>Voorblad!H15</f>
        <v>0</v>
      </c>
      <c r="C433" s="434">
        <f>Voorblad!C18</f>
        <v>0</v>
      </c>
      <c r="D433" s="897">
        <f>Voorblad!C19</f>
        <v>0</v>
      </c>
      <c r="E433" s="897">
        <f>Voorblad!E20</f>
        <v>0</v>
      </c>
      <c r="F433" s="897">
        <f>Voorblad!C21</f>
        <v>0</v>
      </c>
      <c r="G433" s="897">
        <f>Voorblad!C22</f>
        <v>0</v>
      </c>
      <c r="H433" s="897">
        <f>Voorblad!L18</f>
        <v>0</v>
      </c>
      <c r="I433" s="897">
        <f>Voorblad!L19</f>
        <v>0</v>
      </c>
      <c r="J433" s="897">
        <f>Voorblad!N20</f>
        <v>0</v>
      </c>
      <c r="K433" s="897">
        <f>Voorblad!L21</f>
        <v>0</v>
      </c>
      <c r="L433" s="897">
        <f>Voorblad!L22</f>
        <v>0</v>
      </c>
      <c r="M433" s="898" t="str">
        <f>Voorblad!O15</f>
        <v>342085</v>
      </c>
      <c r="N433" s="477">
        <f>H8</f>
        <v>0</v>
      </c>
      <c r="O433" s="118" t="str">
        <f>H10</f>
        <v>n.v.t.</v>
      </c>
      <c r="P433" s="118" t="str">
        <f>H12</f>
        <v>n.v.t.</v>
      </c>
      <c r="Q433" s="899">
        <f>H14</f>
        <v>0</v>
      </c>
      <c r="R433" s="478">
        <f>H16</f>
        <v>0</v>
      </c>
      <c r="S433" s="433" t="str">
        <f>E26</f>
        <v>nee</v>
      </c>
      <c r="T433" s="118" t="str">
        <f>E27</f>
        <v>nee</v>
      </c>
      <c r="U433" s="118" t="str">
        <f>E28</f>
        <v>nee</v>
      </c>
      <c r="V433" s="118" t="str">
        <f>E29</f>
        <v>nee</v>
      </c>
      <c r="W433" s="118" t="str">
        <f>E30</f>
        <v>nee</v>
      </c>
      <c r="X433" s="118" t="str">
        <f>E31</f>
        <v>nee</v>
      </c>
      <c r="Y433" s="432" t="str">
        <f>E32</f>
        <v>nee</v>
      </c>
      <c r="Z433" s="974">
        <f>G43</f>
        <v>0</v>
      </c>
      <c r="AA433" s="975">
        <f>G44</f>
        <v>0</v>
      </c>
      <c r="AB433" s="976">
        <f>E49</f>
        <v>0</v>
      </c>
      <c r="AC433" s="977">
        <f>E50</f>
        <v>0</v>
      </c>
      <c r="AD433" s="727">
        <f>E54</f>
        <v>0</v>
      </c>
      <c r="AE433" s="728">
        <f>E55</f>
        <v>0</v>
      </c>
      <c r="AF433" s="728">
        <f>E56</f>
        <v>0</v>
      </c>
      <c r="AG433" s="728">
        <f>E57</f>
        <v>0</v>
      </c>
      <c r="AH433" s="728">
        <f>E58</f>
        <v>0</v>
      </c>
      <c r="AI433" s="729">
        <f>E59</f>
        <v>0</v>
      </c>
      <c r="AJ433" s="966"/>
      <c r="AK433" s="967"/>
      <c r="AL433" s="978">
        <f>G66</f>
        <v>0</v>
      </c>
      <c r="AM433" s="973">
        <f>G67</f>
        <v>0</v>
      </c>
      <c r="AN433" s="973">
        <f>G68</f>
        <v>0</v>
      </c>
      <c r="AO433" s="979">
        <f>G69</f>
        <v>0</v>
      </c>
      <c r="AP433" s="727">
        <f>G73</f>
        <v>0</v>
      </c>
      <c r="AQ433" s="729">
        <f>G74</f>
        <v>0</v>
      </c>
      <c r="AR433" s="980">
        <f>E80</f>
        <v>0</v>
      </c>
      <c r="AS433" s="973">
        <f>E81</f>
        <v>0</v>
      </c>
      <c r="AT433" s="973">
        <f>E82</f>
        <v>0</v>
      </c>
      <c r="AU433" s="979">
        <f>E83</f>
        <v>0</v>
      </c>
      <c r="AV433" s="981">
        <f>E87</f>
        <v>0</v>
      </c>
      <c r="AW433" s="979">
        <f>E88</f>
        <v>0</v>
      </c>
      <c r="AX433" s="727">
        <f>E92</f>
        <v>0</v>
      </c>
      <c r="AY433" s="728">
        <f>E93</f>
        <v>0</v>
      </c>
      <c r="AZ433" s="728">
        <f>E94</f>
        <v>0</v>
      </c>
      <c r="BA433" s="728">
        <f>E95</f>
        <v>0</v>
      </c>
      <c r="BB433" s="728">
        <f>E96</f>
        <v>0</v>
      </c>
      <c r="BC433" s="728">
        <f>E97</f>
        <v>0</v>
      </c>
      <c r="BD433" s="903">
        <f>E98</f>
        <v>0</v>
      </c>
      <c r="BE433" s="966"/>
      <c r="BF433" s="967"/>
      <c r="BG433" s="727">
        <f>G105</f>
        <v>0</v>
      </c>
      <c r="BH433" s="901">
        <f>+G106</f>
        <v>0</v>
      </c>
      <c r="BI433" s="731">
        <f>G107</f>
        <v>0</v>
      </c>
      <c r="BJ433" s="981">
        <f>E112</f>
        <v>0</v>
      </c>
      <c r="BK433" s="973">
        <f>E113</f>
        <v>0</v>
      </c>
      <c r="BL433" s="979">
        <f>E114</f>
        <v>0</v>
      </c>
      <c r="BM433" s="464">
        <f>E118</f>
        <v>0</v>
      </c>
      <c r="BN433" s="528">
        <f>E119</f>
        <v>0</v>
      </c>
      <c r="BO433" s="528">
        <f>E120</f>
        <v>0</v>
      </c>
      <c r="BP433" s="528">
        <f>E121</f>
        <v>0</v>
      </c>
      <c r="BQ433" s="528">
        <f>E122</f>
        <v>0</v>
      </c>
      <c r="BR433" s="528">
        <f>E123</f>
        <v>0</v>
      </c>
      <c r="BS433" s="528">
        <f>E124</f>
        <v>0</v>
      </c>
      <c r="BT433" s="528">
        <f>E125</f>
        <v>0</v>
      </c>
      <c r="BU433" s="549">
        <f>E126</f>
        <v>0</v>
      </c>
      <c r="BV433" s="966"/>
      <c r="BW433" s="967"/>
      <c r="BX433" s="980">
        <f>G133</f>
        <v>0</v>
      </c>
      <c r="BY433" s="979">
        <f>G134</f>
        <v>0</v>
      </c>
      <c r="BZ433" s="980">
        <f>G138</f>
        <v>0</v>
      </c>
      <c r="CA433" s="973">
        <f>G139</f>
        <v>0</v>
      </c>
      <c r="CB433" s="979">
        <f>G140</f>
        <v>0</v>
      </c>
      <c r="CC433" s="980">
        <f>E145</f>
        <v>0</v>
      </c>
      <c r="CD433" s="979">
        <f>E146</f>
        <v>0</v>
      </c>
      <c r="CE433" s="980">
        <f>E151</f>
        <v>0</v>
      </c>
      <c r="CF433" s="973">
        <f>E152</f>
        <v>0</v>
      </c>
      <c r="CG433" s="982">
        <f>E153</f>
        <v>0</v>
      </c>
      <c r="CH433" s="983">
        <f>E157</f>
        <v>0</v>
      </c>
      <c r="CI433" s="984">
        <f>E158</f>
        <v>0</v>
      </c>
      <c r="CJ433" s="982">
        <f>E159</f>
        <v>0</v>
      </c>
      <c r="CK433" s="464">
        <f>E163</f>
        <v>0</v>
      </c>
      <c r="CL433" s="528">
        <f>E164</f>
        <v>0</v>
      </c>
      <c r="CM433" s="528">
        <f>E165</f>
        <v>0</v>
      </c>
      <c r="CN433" s="528">
        <f>E166</f>
        <v>0</v>
      </c>
      <c r="CO433" s="528">
        <f>E167</f>
        <v>0</v>
      </c>
      <c r="CP433" s="549">
        <f>E168</f>
        <v>0</v>
      </c>
      <c r="CQ433" s="912">
        <f>E173</f>
        <v>0</v>
      </c>
      <c r="CR433" s="913">
        <f>E174</f>
        <v>0</v>
      </c>
      <c r="CS433" s="913">
        <f>E175</f>
        <v>0</v>
      </c>
      <c r="CT433" s="913">
        <f>E176</f>
        <v>0</v>
      </c>
      <c r="CU433" s="913">
        <f>E177</f>
        <v>0</v>
      </c>
      <c r="CV433" s="914">
        <f>E178</f>
        <v>0</v>
      </c>
      <c r="CW433" s="966"/>
      <c r="CX433" s="968"/>
      <c r="CY433" s="968"/>
      <c r="CZ433" s="968"/>
      <c r="DA433" s="968"/>
      <c r="DB433" s="969"/>
      <c r="DC433" s="977">
        <f>G184</f>
        <v>0</v>
      </c>
      <c r="DD433" s="985">
        <f>G185</f>
        <v>0</v>
      </c>
      <c r="DE433" s="986">
        <f>E190</f>
        <v>0</v>
      </c>
      <c r="DF433" s="985">
        <f>E191</f>
        <v>0</v>
      </c>
      <c r="DG433" s="731">
        <f>E195</f>
        <v>0</v>
      </c>
      <c r="DH433" s="968"/>
      <c r="DI433" s="968"/>
      <c r="DJ433" s="730">
        <f>E199</f>
        <v>3650</v>
      </c>
      <c r="DK433" s="980">
        <f>G206</f>
        <v>0</v>
      </c>
      <c r="DL433" s="987">
        <f>G207</f>
        <v>0</v>
      </c>
      <c r="DM433" s="980">
        <f>E213</f>
        <v>0</v>
      </c>
      <c r="DN433" s="973">
        <f>E214</f>
        <v>0</v>
      </c>
      <c r="DO433" s="973">
        <f>E215</f>
        <v>0</v>
      </c>
      <c r="DP433" s="982">
        <f>E216</f>
        <v>0</v>
      </c>
      <c r="DQ433" s="988">
        <f>E220</f>
        <v>0</v>
      </c>
      <c r="DR433" s="984">
        <f>E221</f>
        <v>0</v>
      </c>
      <c r="DS433" s="982">
        <f>E222</f>
        <v>0</v>
      </c>
      <c r="DT433" s="464">
        <f>E226</f>
        <v>0</v>
      </c>
      <c r="DU433" s="528">
        <f>E227</f>
        <v>0</v>
      </c>
      <c r="DV433" s="528">
        <f>E228</f>
        <v>0</v>
      </c>
      <c r="DW433" s="528">
        <f>E229</f>
        <v>0</v>
      </c>
      <c r="DX433" s="549">
        <f>E230</f>
        <v>0</v>
      </c>
      <c r="DY433" s="915">
        <f>E234</f>
        <v>0</v>
      </c>
      <c r="DZ433" s="550">
        <f>E235</f>
        <v>0</v>
      </c>
      <c r="EA433" s="918">
        <f>E236</f>
        <v>0</v>
      </c>
      <c r="EB433" s="966"/>
      <c r="EC433" s="968"/>
      <c r="ED433" s="969"/>
      <c r="EE433" s="989">
        <f>E240</f>
        <v>0</v>
      </c>
      <c r="EF433" s="990">
        <f>E241</f>
        <v>0</v>
      </c>
      <c r="EG433" s="991">
        <f>E242</f>
        <v>0</v>
      </c>
      <c r="EH433" s="551">
        <f>I246</f>
        <v>0</v>
      </c>
      <c r="EI433" s="464">
        <f>G251</f>
        <v>0</v>
      </c>
      <c r="EJ433" s="920">
        <f>H251</f>
        <v>0</v>
      </c>
      <c r="EK433" s="464">
        <f>G257</f>
        <v>0</v>
      </c>
      <c r="EL433" s="528">
        <f>G258</f>
        <v>0</v>
      </c>
      <c r="EM433" s="528">
        <f>G259</f>
        <v>0</v>
      </c>
      <c r="EN433" s="553">
        <f>H257</f>
        <v>0</v>
      </c>
      <c r="EO433" s="553">
        <f>H258</f>
        <v>0</v>
      </c>
      <c r="EP433" s="552">
        <f>H259</f>
        <v>0</v>
      </c>
      <c r="EQ433" s="464">
        <f>G263</f>
        <v>0</v>
      </c>
      <c r="ER433" s="528">
        <f>G264</f>
        <v>0</v>
      </c>
      <c r="ES433" s="528">
        <f>G265</f>
        <v>0</v>
      </c>
      <c r="ET433" s="528">
        <f>G266</f>
        <v>0</v>
      </c>
      <c r="EU433" s="553">
        <f>H263</f>
        <v>0</v>
      </c>
      <c r="EV433" s="553">
        <f>H264</f>
        <v>0</v>
      </c>
      <c r="EW433" s="553">
        <f>H265</f>
        <v>0</v>
      </c>
      <c r="EX433" s="552">
        <f>H266</f>
        <v>0</v>
      </c>
      <c r="EY433" s="464">
        <f>G271</f>
        <v>0</v>
      </c>
      <c r="EZ433" s="528">
        <f>G272</f>
        <v>0</v>
      </c>
      <c r="FA433" s="528">
        <f>G273</f>
        <v>0</v>
      </c>
      <c r="FB433" s="528">
        <f>G274</f>
        <v>0</v>
      </c>
      <c r="FC433" s="528">
        <f>+G275</f>
        <v>0</v>
      </c>
      <c r="FD433" s="560">
        <f>G276</f>
        <v>0</v>
      </c>
      <c r="FE433" s="528">
        <f>G277</f>
        <v>0</v>
      </c>
      <c r="FF433" s="528">
        <f>G278</f>
        <v>0</v>
      </c>
      <c r="FG433" s="553">
        <f>H271</f>
        <v>0</v>
      </c>
      <c r="FH433" s="553">
        <f>H272</f>
        <v>0</v>
      </c>
      <c r="FI433" s="553">
        <f>H273</f>
        <v>0</v>
      </c>
      <c r="FJ433" s="553">
        <f>H274</f>
        <v>0</v>
      </c>
      <c r="FK433" s="553">
        <f>+H275</f>
        <v>0</v>
      </c>
      <c r="FL433" s="553">
        <f>H276</f>
        <v>0</v>
      </c>
      <c r="FM433" s="554">
        <f>H277</f>
        <v>0</v>
      </c>
      <c r="FN433" s="552">
        <f>H278</f>
        <v>0</v>
      </c>
      <c r="FO433" s="464">
        <f>G282</f>
        <v>0</v>
      </c>
      <c r="FP433" s="528">
        <f>G283</f>
        <v>0</v>
      </c>
      <c r="FQ433" s="528">
        <f>G284</f>
        <v>0</v>
      </c>
      <c r="FR433" s="528">
        <f>G285</f>
        <v>0</v>
      </c>
      <c r="FS433" s="528">
        <f>G286</f>
        <v>0</v>
      </c>
      <c r="FT433" s="528">
        <f>G287</f>
        <v>0</v>
      </c>
      <c r="FU433" s="528">
        <f>G288</f>
        <v>0</v>
      </c>
      <c r="FV433" s="528">
        <f>G289</f>
        <v>0</v>
      </c>
      <c r="FW433" s="553">
        <f>H282</f>
        <v>0</v>
      </c>
      <c r="FX433" s="553">
        <f>H283</f>
        <v>0</v>
      </c>
      <c r="FY433" s="553">
        <f>H284</f>
        <v>0</v>
      </c>
      <c r="FZ433" s="553">
        <f>H285</f>
        <v>0</v>
      </c>
      <c r="GA433" s="553">
        <f>H286</f>
        <v>0</v>
      </c>
      <c r="GB433" s="553">
        <f>H287</f>
        <v>0</v>
      </c>
      <c r="GC433" s="553">
        <f>H288</f>
        <v>0</v>
      </c>
      <c r="GD433" s="552">
        <f>H289</f>
        <v>0</v>
      </c>
      <c r="GE433" s="560">
        <f>G294</f>
        <v>0</v>
      </c>
      <c r="GF433" s="528">
        <f>G295</f>
        <v>0</v>
      </c>
      <c r="GG433" s="528">
        <f>G296</f>
        <v>0</v>
      </c>
      <c r="GH433" s="528">
        <f>G297</f>
        <v>0</v>
      </c>
      <c r="GI433" s="528">
        <f>G298</f>
        <v>0</v>
      </c>
      <c r="GJ433" s="528">
        <f>G299</f>
        <v>0</v>
      </c>
      <c r="GK433" s="528">
        <f>G300</f>
        <v>0</v>
      </c>
      <c r="GL433" s="528">
        <f>G301</f>
        <v>0</v>
      </c>
      <c r="GM433" s="528">
        <f>G302</f>
        <v>0</v>
      </c>
      <c r="GN433" s="528">
        <f>G303</f>
        <v>0</v>
      </c>
      <c r="GO433" s="528">
        <f>G304</f>
        <v>0</v>
      </c>
      <c r="GP433" s="528">
        <f>G305</f>
        <v>0</v>
      </c>
      <c r="GQ433" s="528">
        <f>G306</f>
        <v>0</v>
      </c>
      <c r="GR433" s="528">
        <f>G307</f>
        <v>0</v>
      </c>
      <c r="GS433" s="553">
        <f>H294</f>
        <v>0</v>
      </c>
      <c r="GT433" s="553">
        <f>H295</f>
        <v>0</v>
      </c>
      <c r="GU433" s="553">
        <f>H296</f>
        <v>0</v>
      </c>
      <c r="GV433" s="553">
        <f>H297</f>
        <v>0</v>
      </c>
      <c r="GW433" s="553">
        <f>H298</f>
        <v>0</v>
      </c>
      <c r="GX433" s="553">
        <f>H299</f>
        <v>0</v>
      </c>
      <c r="GY433" s="553">
        <f>H300</f>
        <v>0</v>
      </c>
      <c r="GZ433" s="553">
        <f>H301</f>
        <v>0</v>
      </c>
      <c r="HA433" s="553">
        <f>H302</f>
        <v>0</v>
      </c>
      <c r="HB433" s="553">
        <f>H303</f>
        <v>0</v>
      </c>
      <c r="HC433" s="553">
        <f>H304</f>
        <v>0</v>
      </c>
      <c r="HD433" s="553">
        <f>H305</f>
        <v>0</v>
      </c>
      <c r="HE433" s="553">
        <f>H306</f>
        <v>0</v>
      </c>
      <c r="HF433" s="552">
        <f>H307</f>
        <v>0</v>
      </c>
      <c r="HG433" s="922">
        <f>G312</f>
        <v>0</v>
      </c>
      <c r="HH433" s="923">
        <f>G313</f>
        <v>0</v>
      </c>
      <c r="HI433" s="924">
        <f>H312</f>
        <v>0</v>
      </c>
      <c r="HJ433" s="925">
        <f>H313</f>
        <v>0</v>
      </c>
      <c r="HK433" s="464">
        <f>G317</f>
        <v>0</v>
      </c>
      <c r="HL433" s="528">
        <f>G318</f>
        <v>0</v>
      </c>
      <c r="HM433" s="528">
        <f>G319</f>
        <v>0</v>
      </c>
      <c r="HN433" s="940">
        <f>G320</f>
        <v>0</v>
      </c>
      <c r="HO433" s="528">
        <f>G321</f>
        <v>0</v>
      </c>
      <c r="HP433" s="528">
        <f>G322</f>
        <v>0</v>
      </c>
      <c r="HQ433" s="553">
        <f>H317</f>
        <v>0</v>
      </c>
      <c r="HR433" s="553">
        <f>H318</f>
        <v>0</v>
      </c>
      <c r="HS433" s="554">
        <f>H319</f>
        <v>0</v>
      </c>
      <c r="HT433" s="554">
        <f>H320</f>
        <v>0</v>
      </c>
      <c r="HU433" s="553">
        <f>H321</f>
        <v>0</v>
      </c>
      <c r="HV433" s="552">
        <f>H322</f>
        <v>0</v>
      </c>
      <c r="HW433" s="464">
        <f>+G328</f>
        <v>0</v>
      </c>
      <c r="HX433" s="528">
        <f>G329</f>
        <v>0</v>
      </c>
      <c r="HY433" s="528">
        <f>G330</f>
        <v>0</v>
      </c>
      <c r="HZ433" s="528">
        <f>G331</f>
        <v>0</v>
      </c>
      <c r="IA433" s="553">
        <f>+H328</f>
        <v>0</v>
      </c>
      <c r="IB433" s="553">
        <f>H329</f>
        <v>0</v>
      </c>
      <c r="IC433" s="553">
        <f>H330</f>
        <v>0</v>
      </c>
      <c r="ID433" s="552">
        <f>H331</f>
        <v>0</v>
      </c>
      <c r="IE433" s="464">
        <f>G337</f>
        <v>0</v>
      </c>
      <c r="IF433" s="528">
        <f>G338</f>
        <v>0</v>
      </c>
      <c r="IG433" s="528">
        <f>G339</f>
        <v>0</v>
      </c>
      <c r="IH433" s="528">
        <f>G340</f>
        <v>0</v>
      </c>
      <c r="II433" s="528">
        <f>G341</f>
        <v>0</v>
      </c>
      <c r="IJ433" s="528">
        <f>G342</f>
        <v>0</v>
      </c>
      <c r="IK433" s="528">
        <f>G343</f>
        <v>0</v>
      </c>
      <c r="IL433" s="528">
        <f>G344</f>
        <v>0</v>
      </c>
      <c r="IM433" s="553">
        <f>H337</f>
        <v>0</v>
      </c>
      <c r="IN433" s="553">
        <f>H338</f>
        <v>0</v>
      </c>
      <c r="IO433" s="553">
        <f>H339</f>
        <v>0</v>
      </c>
      <c r="IP433" s="553">
        <f>H340</f>
        <v>0</v>
      </c>
      <c r="IQ433" s="553">
        <f>H341</f>
        <v>0</v>
      </c>
      <c r="IR433" s="553">
        <f>H342</f>
        <v>0</v>
      </c>
    </row>
    <row r="434" spans="1:248" s="75" customFormat="1" ht="13.5" customHeight="1" hidden="1">
      <c r="A434" s="119"/>
      <c r="B434" s="120"/>
      <c r="C434" s="120"/>
      <c r="D434" s="121"/>
      <c r="E434" s="121"/>
      <c r="F434" s="121"/>
      <c r="G434" s="121"/>
      <c r="H434" s="120"/>
      <c r="I434" s="120"/>
      <c r="J434" s="120"/>
      <c r="K434" s="120"/>
      <c r="L434" s="120"/>
      <c r="X434" s="444"/>
      <c r="Y434" s="444"/>
      <c r="Z434" s="444"/>
      <c r="AA434" s="444"/>
      <c r="AB434" s="444"/>
      <c r="AC434" s="444"/>
      <c r="AD434" s="444"/>
      <c r="AE434" s="444"/>
      <c r="AF434" s="444"/>
      <c r="AG434" s="444"/>
      <c r="AH434" s="444"/>
      <c r="AI434" s="444"/>
      <c r="AJ434" s="444"/>
      <c r="AK434" s="444"/>
      <c r="AL434" s="444"/>
      <c r="AM434" s="444"/>
      <c r="AN434" s="444"/>
      <c r="AO434" s="444"/>
      <c r="AP434" s="444"/>
      <c r="AQ434" s="444"/>
      <c r="AR434" s="444"/>
      <c r="AS434" s="444"/>
      <c r="AT434" s="444"/>
      <c r="AU434" s="444"/>
      <c r="AV434" s="444"/>
      <c r="AW434" s="444"/>
      <c r="AX434" s="444"/>
      <c r="AY434" s="444"/>
      <c r="AZ434" s="444"/>
      <c r="BA434" s="444"/>
      <c r="BB434" s="444"/>
      <c r="BC434" s="444"/>
      <c r="BD434" s="444"/>
      <c r="BE434" s="444"/>
      <c r="BF434" s="444"/>
      <c r="BG434" s="444"/>
      <c r="BH434" s="444"/>
      <c r="BI434" s="444"/>
      <c r="BJ434" s="444"/>
      <c r="BK434" s="444"/>
      <c r="BL434" s="444"/>
      <c r="BM434" s="444"/>
      <c r="BN434" s="444"/>
      <c r="BO434" s="444"/>
      <c r="BP434" s="444"/>
      <c r="BQ434" s="444"/>
      <c r="BR434" s="444"/>
      <c r="BS434" s="444"/>
      <c r="BT434" s="444"/>
      <c r="BU434" s="444"/>
      <c r="BV434" s="444"/>
      <c r="BW434" s="444"/>
      <c r="BX434" s="444"/>
      <c r="BY434" s="444"/>
      <c r="BZ434" s="444"/>
      <c r="CA434" s="444"/>
      <c r="CB434" s="444"/>
      <c r="CC434" s="444"/>
      <c r="CD434" s="444"/>
      <c r="CE434" s="444"/>
      <c r="CF434" s="444"/>
      <c r="CG434" s="444"/>
      <c r="CH434" s="444"/>
      <c r="CI434" s="444"/>
      <c r="CJ434" s="444"/>
      <c r="CK434" s="444"/>
      <c r="CL434" s="444"/>
      <c r="CM434" s="444"/>
      <c r="CN434" s="444"/>
      <c r="CO434" s="444"/>
      <c r="CP434" s="444"/>
      <c r="CQ434" s="444"/>
      <c r="CR434" s="444"/>
      <c r="CS434" s="444"/>
      <c r="CT434" s="444"/>
      <c r="CU434" s="444"/>
      <c r="CV434" s="444"/>
      <c r="CW434" s="444"/>
      <c r="CX434" s="444"/>
      <c r="CY434" s="444"/>
      <c r="CZ434" s="444"/>
      <c r="DA434" s="444"/>
      <c r="DB434" s="444"/>
      <c r="DC434" s="444"/>
      <c r="DD434" s="444"/>
      <c r="DE434" s="444"/>
      <c r="DF434" s="444"/>
      <c r="DG434" s="444"/>
      <c r="DH434" s="444"/>
      <c r="DI434" s="444"/>
      <c r="DJ434" s="444"/>
      <c r="DK434" s="444"/>
      <c r="DL434" s="444"/>
      <c r="DM434" s="444"/>
      <c r="DN434" s="444"/>
      <c r="DO434" s="444"/>
      <c r="DP434" s="444"/>
      <c r="DQ434" s="444"/>
      <c r="DR434" s="444"/>
      <c r="DS434" s="444"/>
      <c r="DT434" s="444"/>
      <c r="DU434" s="444"/>
      <c r="DV434" s="444"/>
      <c r="DW434" s="444"/>
      <c r="DX434" s="444"/>
      <c r="DY434" s="444"/>
      <c r="DZ434" s="444"/>
      <c r="EA434" s="444"/>
      <c r="EB434" s="444"/>
      <c r="EC434" s="444"/>
      <c r="ED434" s="444"/>
      <c r="EE434" s="444"/>
      <c r="EF434" s="444"/>
      <c r="EG434" s="444"/>
      <c r="EH434" s="444"/>
      <c r="EI434" s="444"/>
      <c r="EJ434" s="444"/>
      <c r="EK434" s="444"/>
      <c r="EL434" s="444"/>
      <c r="EM434" s="444"/>
      <c r="EN434" s="444"/>
      <c r="EO434" s="444"/>
      <c r="EP434" s="444"/>
      <c r="EQ434" s="444"/>
      <c r="ER434" s="444"/>
      <c r="ES434" s="444"/>
      <c r="ET434" s="444"/>
      <c r="EU434" s="444"/>
      <c r="EV434" s="444"/>
      <c r="EW434" s="444"/>
      <c r="EX434" s="444"/>
      <c r="EY434" s="444"/>
      <c r="EZ434" s="444"/>
      <c r="FA434" s="444"/>
      <c r="FB434" s="444"/>
      <c r="FC434" s="444"/>
      <c r="FD434" s="444"/>
      <c r="FE434" s="444"/>
      <c r="FF434" s="444"/>
      <c r="FG434" s="444"/>
      <c r="FH434" s="444"/>
      <c r="FI434" s="444"/>
      <c r="FJ434" s="444"/>
      <c r="FK434" s="444"/>
      <c r="FL434" s="444"/>
      <c r="FM434" s="444"/>
      <c r="FN434" s="444"/>
      <c r="FO434" s="444"/>
      <c r="FP434" s="444"/>
      <c r="FQ434" s="444"/>
      <c r="FR434" s="444"/>
      <c r="FS434" s="444"/>
      <c r="FT434" s="444"/>
      <c r="FU434" s="444"/>
      <c r="FV434" s="444"/>
      <c r="FW434" s="444"/>
      <c r="FX434" s="444"/>
      <c r="FY434" s="444"/>
      <c r="FZ434" s="444"/>
      <c r="GA434" s="444"/>
      <c r="GB434" s="444"/>
      <c r="GC434" s="444"/>
      <c r="GD434" s="444"/>
      <c r="GE434" s="444"/>
      <c r="GF434" s="444"/>
      <c r="GG434" s="444"/>
      <c r="GH434" s="444"/>
      <c r="GI434" s="444"/>
      <c r="GJ434" s="444"/>
      <c r="GK434" s="444"/>
      <c r="GL434" s="444"/>
      <c r="GM434" s="444"/>
      <c r="GN434" s="444"/>
      <c r="GO434" s="444"/>
      <c r="GP434" s="444"/>
      <c r="GQ434" s="444"/>
      <c r="GR434" s="444"/>
      <c r="GS434" s="444"/>
      <c r="GT434" s="444"/>
      <c r="GU434" s="444"/>
      <c r="GV434" s="444"/>
      <c r="GW434" s="444"/>
      <c r="GX434" s="444"/>
      <c r="GY434" s="444"/>
      <c r="GZ434" s="444"/>
      <c r="HA434" s="444"/>
      <c r="HB434" s="444"/>
      <c r="HC434" s="444"/>
      <c r="HD434" s="444"/>
      <c r="HE434" s="444"/>
      <c r="HF434" s="444"/>
      <c r="HG434" s="444"/>
      <c r="HH434" s="444"/>
      <c r="HI434" s="444"/>
      <c r="HJ434" s="444"/>
      <c r="HK434" s="444"/>
      <c r="HL434" s="444"/>
      <c r="HM434" s="444"/>
      <c r="HN434" s="444"/>
      <c r="HO434" s="444"/>
      <c r="HP434" s="444"/>
      <c r="HQ434" s="444"/>
      <c r="HR434" s="444"/>
      <c r="HS434" s="444"/>
      <c r="HT434" s="444"/>
      <c r="HU434" s="444"/>
      <c r="HV434" s="444"/>
      <c r="HW434" s="444"/>
      <c r="HX434" s="444"/>
      <c r="HY434" s="444"/>
      <c r="HZ434" s="444"/>
      <c r="IA434" s="444"/>
      <c r="IB434" s="444"/>
      <c r="IC434" s="444"/>
      <c r="ID434" s="444"/>
      <c r="IE434" s="444"/>
      <c r="IF434" s="444"/>
      <c r="IG434" s="444"/>
      <c r="IH434" s="444"/>
      <c r="II434" s="444"/>
      <c r="IJ434" s="444"/>
      <c r="IK434" s="444"/>
      <c r="IL434" s="444"/>
      <c r="IM434" s="444"/>
      <c r="IN434" s="444"/>
    </row>
    <row r="435" spans="1:248" s="345" customFormat="1" ht="12.75" hidden="1">
      <c r="A435" s="721" t="s">
        <v>1270</v>
      </c>
      <c r="B435" s="112" t="s">
        <v>1178</v>
      </c>
      <c r="C435" s="722"/>
      <c r="D435" s="722"/>
      <c r="E435" s="722"/>
      <c r="F435" s="722"/>
      <c r="G435" s="722"/>
      <c r="H435" s="722"/>
      <c r="I435" s="722"/>
      <c r="J435" s="722"/>
      <c r="K435" s="722"/>
      <c r="L435" s="722"/>
      <c r="X435" s="445"/>
      <c r="Y435" s="445"/>
      <c r="Z435" s="445"/>
      <c r="AA435" s="445"/>
      <c r="AB435" s="445"/>
      <c r="AC435" s="445"/>
      <c r="AD435" s="733"/>
      <c r="AE435" s="733"/>
      <c r="AF435" s="733"/>
      <c r="AG435" s="733"/>
      <c r="AH435" s="733"/>
      <c r="AI435" s="733"/>
      <c r="AJ435" s="733"/>
      <c r="AK435" s="733"/>
      <c r="AL435" s="733"/>
      <c r="AM435" s="733"/>
      <c r="AN435" s="734"/>
      <c r="AO435" s="734"/>
      <c r="AP435" s="733"/>
      <c r="AQ435" s="733"/>
      <c r="AR435" s="733"/>
      <c r="AS435" s="733"/>
      <c r="AT435" s="733"/>
      <c r="AU435" s="733"/>
      <c r="AV435" s="733"/>
      <c r="AW435" s="733"/>
      <c r="AX435" s="733"/>
      <c r="AY435" s="733"/>
      <c r="AZ435" s="733"/>
      <c r="BA435" s="733"/>
      <c r="BB435" s="733"/>
      <c r="BC435" s="734"/>
      <c r="BD435" s="734"/>
      <c r="BE435" s="733"/>
      <c r="BF435" s="733"/>
      <c r="BG435" s="733"/>
      <c r="BH435" s="733"/>
      <c r="BI435" s="556"/>
      <c r="BJ435" s="556"/>
      <c r="BK435" s="556"/>
      <c r="BL435" s="556"/>
      <c r="BM435" s="556"/>
      <c r="BN435" s="556"/>
      <c r="BO435" s="556"/>
      <c r="BP435" s="556"/>
      <c r="BQ435" s="556"/>
      <c r="BR435" s="734"/>
      <c r="BS435" s="734"/>
      <c r="BT435" s="733"/>
      <c r="BU435" s="733"/>
      <c r="BV435" s="733"/>
      <c r="BW435" s="733"/>
      <c r="BX435" s="733"/>
      <c r="BY435" s="556"/>
      <c r="BZ435" s="556"/>
      <c r="CA435" s="556"/>
      <c r="CB435" s="556"/>
      <c r="CC435" s="556"/>
      <c r="CD435" s="556"/>
      <c r="CE435" s="556"/>
      <c r="CF435" s="556"/>
      <c r="CG435" s="556"/>
      <c r="CH435" s="734"/>
      <c r="CI435" s="734"/>
      <c r="CJ435" s="557"/>
      <c r="CK435" s="733"/>
      <c r="CL435" s="733"/>
      <c r="CM435" s="733"/>
      <c r="CN435" s="733"/>
      <c r="CO435" s="734"/>
      <c r="CP435" s="734"/>
      <c r="CQ435" s="733"/>
      <c r="CR435" s="733"/>
      <c r="CS435" s="733"/>
      <c r="CT435" s="733"/>
      <c r="CU435" s="733"/>
      <c r="CV435" s="733"/>
      <c r="CW435" s="556"/>
      <c r="CX435" s="556"/>
      <c r="CY435" s="556"/>
      <c r="CZ435" s="556"/>
      <c r="DA435" s="556"/>
      <c r="DB435" s="556"/>
      <c r="DC435" s="556"/>
      <c r="DD435" s="556"/>
      <c r="DE435" s="556"/>
      <c r="DF435" s="557"/>
      <c r="DG435" s="557"/>
      <c r="DH435" s="557"/>
      <c r="DI435" s="557"/>
      <c r="DJ435" s="557"/>
      <c r="DK435" s="557"/>
      <c r="DL435" s="557"/>
      <c r="DM435" s="557"/>
      <c r="DN435" s="557"/>
      <c r="DO435" s="557"/>
      <c r="DP435" s="557"/>
      <c r="DQ435" s="558"/>
      <c r="DR435" s="83"/>
      <c r="DS435" s="83"/>
      <c r="DT435" s="556"/>
      <c r="DU435" s="556"/>
      <c r="DV435" s="556"/>
      <c r="DW435" s="559"/>
      <c r="DX435" s="559"/>
      <c r="DY435" s="559"/>
      <c r="DZ435" s="556"/>
      <c r="EA435" s="556"/>
      <c r="EB435" s="556"/>
      <c r="EC435" s="556"/>
      <c r="ED435" s="556"/>
      <c r="EE435" s="556"/>
      <c r="EF435" s="556"/>
      <c r="EG435" s="556"/>
      <c r="EH435" s="556"/>
      <c r="EI435" s="556"/>
      <c r="EJ435" s="556"/>
      <c r="EK435" s="556"/>
      <c r="EL435" s="556"/>
      <c r="EM435" s="556"/>
      <c r="EN435" s="556"/>
      <c r="EO435" s="556"/>
      <c r="EP435" s="556"/>
      <c r="EQ435" s="556"/>
      <c r="ER435" s="556"/>
      <c r="ES435" s="556"/>
      <c r="ET435" s="556"/>
      <c r="EU435" s="556"/>
      <c r="EV435" s="556"/>
      <c r="EW435" s="556"/>
      <c r="EX435" s="556"/>
      <c r="EY435" s="556"/>
      <c r="EZ435" s="556"/>
      <c r="FA435" s="556"/>
      <c r="FB435" s="556"/>
      <c r="FC435" s="556"/>
      <c r="FD435" s="556"/>
      <c r="FE435" s="556"/>
      <c r="FF435" s="556"/>
      <c r="FG435" s="556"/>
      <c r="FH435" s="556"/>
      <c r="FI435" s="556"/>
      <c r="FJ435" s="556"/>
      <c r="FK435" s="556"/>
      <c r="FL435" s="556"/>
      <c r="FM435" s="556"/>
      <c r="FN435" s="556"/>
      <c r="FO435" s="556"/>
      <c r="FP435" s="556"/>
      <c r="FQ435" s="556"/>
      <c r="FR435" s="83"/>
      <c r="FS435" s="83"/>
      <c r="FT435" s="83"/>
      <c r="FU435" s="83"/>
      <c r="FV435" s="83"/>
      <c r="FW435" s="83"/>
      <c r="FX435" s="83"/>
      <c r="FY435" s="83"/>
      <c r="FZ435" s="83"/>
      <c r="GA435" s="83"/>
      <c r="GB435" s="83"/>
      <c r="GC435" s="83"/>
      <c r="GD435" s="83"/>
      <c r="GE435" s="83"/>
      <c r="GF435" s="83"/>
      <c r="GG435" s="83"/>
      <c r="GH435" s="83"/>
      <c r="GI435" s="83"/>
      <c r="GJ435" s="83"/>
      <c r="GK435" s="83"/>
      <c r="GL435" s="83"/>
      <c r="GM435" s="83"/>
      <c r="GN435" s="83"/>
      <c r="GO435" s="83"/>
      <c r="GP435" s="83"/>
      <c r="GQ435" s="83"/>
      <c r="GR435" s="83"/>
      <c r="GS435" s="83"/>
      <c r="GT435" s="83"/>
      <c r="GU435" s="83"/>
      <c r="GV435" s="83"/>
      <c r="GW435" s="83"/>
      <c r="GX435" s="83"/>
      <c r="GY435" s="83"/>
      <c r="GZ435" s="83"/>
      <c r="HA435" s="83"/>
      <c r="HB435" s="83"/>
      <c r="HC435" s="83"/>
      <c r="HD435" s="83"/>
      <c r="HE435" s="83"/>
      <c r="HF435" s="83"/>
      <c r="HG435" s="83"/>
      <c r="HH435" s="83"/>
      <c r="HI435" s="83"/>
      <c r="HJ435" s="83"/>
      <c r="HK435" s="83"/>
      <c r="HL435" s="83"/>
      <c r="HM435" s="83"/>
      <c r="HN435" s="83"/>
      <c r="HO435" s="83"/>
      <c r="HP435" s="83"/>
      <c r="HQ435" s="83"/>
      <c r="HR435" s="83"/>
      <c r="HS435" s="83"/>
      <c r="HT435" s="83"/>
      <c r="HU435" s="83"/>
      <c r="HV435" s="83"/>
      <c r="HW435" s="83"/>
      <c r="HX435" s="83"/>
      <c r="HY435" s="83"/>
      <c r="HZ435" s="83"/>
      <c r="IA435" s="83"/>
      <c r="IB435" s="83"/>
      <c r="IC435" s="83"/>
      <c r="ID435" s="83"/>
      <c r="IE435" s="83"/>
      <c r="IF435" s="83"/>
      <c r="IG435" s="83"/>
      <c r="IH435" s="83"/>
      <c r="II435" s="83"/>
      <c r="IJ435" s="83"/>
      <c r="IK435" s="83"/>
      <c r="IL435" s="83"/>
      <c r="IM435" s="83"/>
      <c r="IN435" s="83"/>
    </row>
    <row r="436" spans="1:256" s="90" customFormat="1" ht="12.75" hidden="1">
      <c r="A436" s="128" t="s">
        <v>607</v>
      </c>
      <c r="B436" s="113" t="s">
        <v>608</v>
      </c>
      <c r="C436" s="114"/>
      <c r="D436" s="460"/>
      <c r="E436" s="527"/>
      <c r="F436" s="548"/>
      <c r="G436" s="527"/>
      <c r="H436" s="527"/>
      <c r="I436" s="527"/>
      <c r="J436" s="527"/>
      <c r="K436" s="527"/>
      <c r="L436" s="527"/>
      <c r="M436" s="527"/>
      <c r="N436" s="527"/>
      <c r="O436" s="527"/>
      <c r="P436" s="481"/>
      <c r="Q436" s="547"/>
      <c r="R436" s="910"/>
      <c r="S436" s="910"/>
      <c r="T436" s="910"/>
      <c r="U436" s="934"/>
      <c r="V436" s="116"/>
      <c r="W436" s="116"/>
      <c r="X436" s="116"/>
      <c r="Y436" s="116"/>
      <c r="Z436" s="116"/>
      <c r="AA436" s="527"/>
      <c r="AB436" s="527"/>
      <c r="AC436" s="527"/>
      <c r="AD436" s="527"/>
      <c r="AE436" s="527"/>
      <c r="AF436" s="527"/>
      <c r="AG436" s="527"/>
      <c r="AH436" s="527"/>
      <c r="AI436" s="527"/>
      <c r="AJ436" s="527"/>
      <c r="AK436" s="481"/>
      <c r="AL436" s="446"/>
      <c r="AM436" s="447"/>
      <c r="AN436" s="921" t="s">
        <v>1367</v>
      </c>
      <c r="AO436" s="910"/>
      <c r="AP436" s="910"/>
      <c r="AQ436" s="910"/>
      <c r="AR436" s="910"/>
      <c r="AS436" s="934"/>
      <c r="AT436" s="919" t="s">
        <v>1373</v>
      </c>
      <c r="AU436" s="910"/>
      <c r="AV436" s="910"/>
      <c r="AW436" s="910"/>
      <c r="AX436" s="910"/>
      <c r="AY436" s="919" t="s">
        <v>1374</v>
      </c>
      <c r="AZ436" s="910"/>
      <c r="BA436" s="910"/>
      <c r="BB436" s="910"/>
      <c r="BC436" s="910"/>
      <c r="BD436" s="935" t="s">
        <v>1375</v>
      </c>
      <c r="BE436" s="934"/>
      <c r="BF436" s="113" t="s">
        <v>1376</v>
      </c>
      <c r="BG436" s="723"/>
      <c r="BH436" s="724"/>
      <c r="IS436" s="75"/>
      <c r="IT436" s="75"/>
      <c r="IU436" s="75"/>
      <c r="IV436" s="75"/>
    </row>
    <row r="437" spans="1:256" s="90" customFormat="1" ht="63" hidden="1">
      <c r="A437" s="427" t="s">
        <v>610</v>
      </c>
      <c r="B437" s="91" t="s">
        <v>611</v>
      </c>
      <c r="C437" s="92" t="s">
        <v>612</v>
      </c>
      <c r="D437" s="462" t="s">
        <v>472</v>
      </c>
      <c r="E437" s="904" t="s">
        <v>426</v>
      </c>
      <c r="F437" s="941" t="s">
        <v>1158</v>
      </c>
      <c r="G437" s="904" t="s">
        <v>431</v>
      </c>
      <c r="H437" s="100" t="s">
        <v>432</v>
      </c>
      <c r="I437" s="100" t="s">
        <v>433</v>
      </c>
      <c r="J437" s="100" t="s">
        <v>434</v>
      </c>
      <c r="K437" s="100" t="s">
        <v>435</v>
      </c>
      <c r="L437" s="100" t="s">
        <v>436</v>
      </c>
      <c r="M437" s="100" t="s">
        <v>437</v>
      </c>
      <c r="N437" s="100" t="s">
        <v>438</v>
      </c>
      <c r="O437" s="100" t="s">
        <v>439</v>
      </c>
      <c r="P437" s="904" t="s">
        <v>156</v>
      </c>
      <c r="Q437" s="942" t="s">
        <v>157</v>
      </c>
      <c r="R437" s="943" t="s">
        <v>158</v>
      </c>
      <c r="S437" s="946" t="s">
        <v>985</v>
      </c>
      <c r="T437" s="943" t="s">
        <v>159</v>
      </c>
      <c r="U437" s="944" t="s">
        <v>160</v>
      </c>
      <c r="V437" s="428" t="s">
        <v>161</v>
      </c>
      <c r="W437" s="428" t="s">
        <v>162</v>
      </c>
      <c r="X437" s="428" t="s">
        <v>163</v>
      </c>
      <c r="Y437" s="428" t="s">
        <v>164</v>
      </c>
      <c r="Z437" s="428" t="s">
        <v>165</v>
      </c>
      <c r="AA437" s="428" t="s">
        <v>166</v>
      </c>
      <c r="AB437" s="428" t="s">
        <v>167</v>
      </c>
      <c r="AC437" s="428" t="s">
        <v>168</v>
      </c>
      <c r="AD437" s="428" t="s">
        <v>169</v>
      </c>
      <c r="AE437" s="428" t="s">
        <v>170</v>
      </c>
      <c r="AF437" s="428" t="s">
        <v>171</v>
      </c>
      <c r="AG437" s="428" t="s">
        <v>172</v>
      </c>
      <c r="AH437" s="428" t="s">
        <v>173</v>
      </c>
      <c r="AI437" s="428" t="s">
        <v>174</v>
      </c>
      <c r="AJ437" s="428" t="s">
        <v>175</v>
      </c>
      <c r="AK437" s="906" t="s">
        <v>176</v>
      </c>
      <c r="AL437" s="429" t="s">
        <v>177</v>
      </c>
      <c r="AM437" s="431" t="s">
        <v>178</v>
      </c>
      <c r="AN437" s="429" t="s">
        <v>1426</v>
      </c>
      <c r="AO437" s="100" t="s">
        <v>1368</v>
      </c>
      <c r="AP437" s="100" t="s">
        <v>1369</v>
      </c>
      <c r="AQ437" s="100" t="s">
        <v>1370</v>
      </c>
      <c r="AR437" s="100" t="s">
        <v>1372</v>
      </c>
      <c r="AS437" s="431" t="s">
        <v>1371</v>
      </c>
      <c r="AT437" s="429" t="s">
        <v>1426</v>
      </c>
      <c r="AU437" s="100" t="s">
        <v>1368</v>
      </c>
      <c r="AV437" s="100" t="s">
        <v>1369</v>
      </c>
      <c r="AW437" s="100" t="s">
        <v>1370</v>
      </c>
      <c r="AX437" s="100" t="s">
        <v>1372</v>
      </c>
      <c r="AY437" s="429" t="s">
        <v>1426</v>
      </c>
      <c r="AZ437" s="100" t="s">
        <v>1368</v>
      </c>
      <c r="BA437" s="100" t="s">
        <v>1369</v>
      </c>
      <c r="BB437" s="100" t="s">
        <v>1370</v>
      </c>
      <c r="BC437" s="100" t="s">
        <v>1372</v>
      </c>
      <c r="BD437" s="431" t="s">
        <v>12</v>
      </c>
      <c r="BE437" s="431" t="s">
        <v>11</v>
      </c>
      <c r="BF437" s="429" t="s">
        <v>1377</v>
      </c>
      <c r="BG437" s="100" t="s">
        <v>1378</v>
      </c>
      <c r="BH437" s="431" t="s">
        <v>1379</v>
      </c>
      <c r="IS437" s="75"/>
      <c r="IT437" s="75"/>
      <c r="IU437" s="75"/>
      <c r="IV437" s="75"/>
    </row>
    <row r="438" spans="1:60" s="90" customFormat="1" ht="12.75" hidden="1">
      <c r="A438" s="117">
        <v>120</v>
      </c>
      <c r="B438" s="426">
        <f>WBNR</f>
        <v>0</v>
      </c>
      <c r="C438" s="885">
        <f>C433</f>
        <v>0</v>
      </c>
      <c r="D438" s="885" t="str">
        <f>M433</f>
        <v>342085</v>
      </c>
      <c r="E438" s="554">
        <f>H343</f>
        <v>0</v>
      </c>
      <c r="F438" s="920">
        <f>H344</f>
        <v>0</v>
      </c>
      <c r="G438" s="560">
        <f>G349</f>
        <v>0</v>
      </c>
      <c r="H438" s="528">
        <f>G350</f>
        <v>0</v>
      </c>
      <c r="I438" s="528">
        <f>G351</f>
        <v>0</v>
      </c>
      <c r="J438" s="528">
        <f>G352</f>
        <v>0</v>
      </c>
      <c r="K438" s="940">
        <f>G353</f>
        <v>0</v>
      </c>
      <c r="L438" s="553">
        <f>H349</f>
        <v>0</v>
      </c>
      <c r="M438" s="553">
        <f>H350</f>
        <v>0</v>
      </c>
      <c r="N438" s="553">
        <f>H351</f>
        <v>0</v>
      </c>
      <c r="O438" s="553">
        <f>H352</f>
        <v>0</v>
      </c>
      <c r="P438" s="554">
        <f>H353</f>
        <v>0</v>
      </c>
      <c r="Q438" s="912">
        <f>G358</f>
        <v>0</v>
      </c>
      <c r="R438" s="913">
        <f>G359</f>
        <v>0</v>
      </c>
      <c r="S438" s="913">
        <f>G360</f>
        <v>0</v>
      </c>
      <c r="T438" s="945">
        <f>H358</f>
        <v>0</v>
      </c>
      <c r="U438" s="945">
        <f>H359</f>
        <v>0</v>
      </c>
      <c r="V438" s="933">
        <f>G366</f>
        <v>0</v>
      </c>
      <c r="W438" s="463">
        <f>G367</f>
        <v>0</v>
      </c>
      <c r="X438" s="463">
        <f>G368</f>
        <v>0</v>
      </c>
      <c r="Y438" s="463">
        <f>G369</f>
        <v>0</v>
      </c>
      <c r="Z438" s="463">
        <f>G370</f>
        <v>0</v>
      </c>
      <c r="AA438" s="528">
        <f>G371</f>
        <v>0</v>
      </c>
      <c r="AB438" s="528">
        <f>G372</f>
        <v>0</v>
      </c>
      <c r="AC438" s="528">
        <f>G373</f>
        <v>0</v>
      </c>
      <c r="AD438" s="553">
        <f>H366</f>
        <v>0</v>
      </c>
      <c r="AE438" s="553">
        <f>H367</f>
        <v>0</v>
      </c>
      <c r="AF438" s="553">
        <f>H368</f>
        <v>0</v>
      </c>
      <c r="AG438" s="553">
        <f>H369</f>
        <v>0</v>
      </c>
      <c r="AH438" s="553">
        <f>H370</f>
        <v>0</v>
      </c>
      <c r="AI438" s="553">
        <f>H371</f>
        <v>0</v>
      </c>
      <c r="AJ438" s="554">
        <f>H372</f>
        <v>0</v>
      </c>
      <c r="AK438" s="554">
        <f>H373</f>
        <v>0</v>
      </c>
      <c r="AL438" s="433">
        <f>G378</f>
        <v>0</v>
      </c>
      <c r="AM438" s="479">
        <f>H378</f>
        <v>0</v>
      </c>
      <c r="AN438" s="966"/>
      <c r="AO438" s="968"/>
      <c r="AP438" s="968"/>
      <c r="AQ438" s="968"/>
      <c r="AR438" s="968"/>
      <c r="AS438" s="969"/>
      <c r="AT438" s="966"/>
      <c r="AU438" s="968"/>
      <c r="AV438" s="968"/>
      <c r="AW438" s="968"/>
      <c r="AX438" s="970"/>
      <c r="AY438" s="966"/>
      <c r="AZ438" s="968"/>
      <c r="BA438" s="968"/>
      <c r="BB438" s="968"/>
      <c r="BC438" s="968"/>
      <c r="BD438" s="970"/>
      <c r="BE438" s="971"/>
      <c r="BF438" s="937">
        <f>F421</f>
        <v>10</v>
      </c>
      <c r="BG438" s="938">
        <f>F422</f>
        <v>10</v>
      </c>
      <c r="BH438" s="939">
        <f>F423</f>
        <v>10</v>
      </c>
    </row>
    <row r="439" spans="1:12" s="90" customFormat="1" ht="17.25" customHeight="1" hidden="1">
      <c r="A439" s="122"/>
      <c r="B439" s="123"/>
      <c r="C439" s="124"/>
      <c r="D439" s="124"/>
      <c r="E439" s="61"/>
      <c r="F439" s="125"/>
      <c r="G439" s="126"/>
      <c r="H439" s="125"/>
      <c r="I439" s="125"/>
      <c r="J439" s="122"/>
      <c r="K439" s="127"/>
      <c r="L439" s="127"/>
    </row>
    <row r="440" ht="12.75" hidden="1"/>
    <row r="441" ht="12.75" hidden="1"/>
    <row r="442" spans="10:13" s="523" customFormat="1" ht="10.5" hidden="1">
      <c r="J442" s="524"/>
      <c r="M442" s="522"/>
    </row>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sheetData>
  <sheetProtection password="E296" sheet="1" objects="1" scenarios="1"/>
  <mergeCells count="9">
    <mergeCell ref="I90:J90"/>
    <mergeCell ref="B401:E401"/>
    <mergeCell ref="A4:F4"/>
    <mergeCell ref="H10:I10"/>
    <mergeCell ref="H12:I12"/>
    <mergeCell ref="I52:J52"/>
    <mergeCell ref="H8:I8"/>
    <mergeCell ref="H16:I16"/>
    <mergeCell ref="H14:I14"/>
  </mergeCells>
  <conditionalFormatting sqref="G128">
    <cfRule type="expression" priority="1" dxfId="4" stopIfTrue="1">
      <formula>AND(#REF!=TRUE,G128&lt;&gt;SUM(G122:G127))</formula>
    </cfRule>
  </conditionalFormatting>
  <conditionalFormatting sqref="F169:F171 E231 F179:F180 F217 F208 E243">
    <cfRule type="expression" priority="2" dxfId="4" stopIfTrue="1">
      <formula>AND(#REF!=TRUE,E169&lt;&gt;SUM(E164:E167))</formula>
    </cfRule>
  </conditionalFormatting>
  <conditionalFormatting sqref="I315 G112:G113 G240:G243 G212:G215 G199:G200 I251 I271:I278 I257:I259 I263:I266 I282:I289 I294:I307 G79:G82 G87 G226:G231 I349:I353 G115 I366:I373 I378 G190 I317:I322 G247 I328:I331 I312:I313 G145 G150:G152 G54:G60 G84 G92:G99 G89 I358:I359 H360:I360 G118:G127 G154 G163:G169 G173:G179 G192 G217 I337:I344 H8 H16 G49:G51 G195">
    <cfRule type="expression" priority="3" dxfId="4" stopIfTrue="1">
      <formula>AND(#REF!=TRUE,G8&lt;&gt;E8*F8)</formula>
    </cfRule>
  </conditionalFormatting>
  <conditionalFormatting sqref="E127:E128">
    <cfRule type="expression" priority="4" dxfId="4" stopIfTrue="1">
      <formula>AND(#REF!=TRUE,E127&lt;&gt;SUM(E118:E126))</formula>
    </cfRule>
  </conditionalFormatting>
  <conditionalFormatting sqref="G100">
    <cfRule type="expression" priority="5" dxfId="4" stopIfTrue="1">
      <formula>AND(#REF!=TRUE,G100&lt;&gt;SUM(G90:G95))</formula>
    </cfRule>
  </conditionalFormatting>
  <conditionalFormatting sqref="E99">
    <cfRule type="expression" priority="6" dxfId="4" stopIfTrue="1">
      <formula>AND(#REF!=TRUE,E99&lt;&gt;SUM(E92:E98))</formula>
    </cfRule>
  </conditionalFormatting>
  <conditionalFormatting sqref="E101">
    <cfRule type="expression" priority="7" dxfId="4" stopIfTrue="1">
      <formula>AND(#REF!=TRUE,E101&lt;&gt;SUM(E93:E99))</formula>
    </cfRule>
  </conditionalFormatting>
  <conditionalFormatting sqref="J101">
    <cfRule type="expression" priority="8" dxfId="4" stopIfTrue="1">
      <formula>AND(#REF!=TRUE,J101&lt;&gt;SUM(J92:J99))</formula>
    </cfRule>
  </conditionalFormatting>
  <conditionalFormatting sqref="G317:H322 G257:H259 G263:H266 G282:H289 G294:H307 G271:H278 G312:H313 H358:H359 G349:H353 G366:H373 G251:H251 G378:H378 G328:H331 G358:G360 G337:H344">
    <cfRule type="expression" priority="9" dxfId="2" stopIfTrue="1">
      <formula>$F251&lt;&gt;"nee"</formula>
    </cfRule>
  </conditionalFormatting>
  <conditionalFormatting sqref="E233">
    <cfRule type="expression" priority="10" dxfId="4" stopIfTrue="1">
      <formula>AND(#REF!=TRUE,E233&lt;&gt;SUM(E209:E218))</formula>
    </cfRule>
  </conditionalFormatting>
  <conditionalFormatting sqref="F155 F191 F116 F114 F216 F218 F88 F83 E90:F90 F153 F146">
    <cfRule type="expression" priority="11" dxfId="4" stopIfTrue="1">
      <formula>AND(#REF!=TRUE,E83&lt;&gt;#REF!+AA83)</formula>
    </cfRule>
  </conditionalFormatting>
  <conditionalFormatting sqref="K60">
    <cfRule type="expression" priority="12" dxfId="4" stopIfTrue="1">
      <formula>AND(#REF!=TRUE,K60&lt;&gt;SUM(K10:K59))</formula>
    </cfRule>
  </conditionalFormatting>
  <conditionalFormatting sqref="E60">
    <cfRule type="expression" priority="13" dxfId="4" stopIfTrue="1">
      <formula>AND(#REF!=TRUE,E60&lt;&gt;SUM(E10:E59))</formula>
    </cfRule>
  </conditionalFormatting>
  <conditionalFormatting sqref="I60">
    <cfRule type="expression" priority="14" dxfId="4" stopIfTrue="1">
      <formula>AND(#REF!=TRUE,I60&lt;&gt;SUM(H21:H59))</formula>
    </cfRule>
  </conditionalFormatting>
  <conditionalFormatting sqref="J99">
    <cfRule type="expression" priority="15" dxfId="4" stopIfTrue="1">
      <formula>AND(#REF!=TRUE,J99&lt;&gt;SUM(J91:J98))</formula>
    </cfRule>
  </conditionalFormatting>
  <conditionalFormatting sqref="J100">
    <cfRule type="expression" priority="16" dxfId="4" stopIfTrue="1">
      <formula>AND(#REF!=TRUE,J100&lt;&gt;SUM(J87:J95))</formula>
    </cfRule>
  </conditionalFormatting>
  <conditionalFormatting sqref="E100">
    <cfRule type="expression" priority="17" dxfId="4" stopIfTrue="1">
      <formula>AND(#REF!=TRUE,E100&lt;&gt;SUM(E83:E95))</formula>
    </cfRule>
  </conditionalFormatting>
  <conditionalFormatting sqref="F154">
    <cfRule type="expression" priority="18" dxfId="4" stopIfTrue="1">
      <formula>AND(#REF!=TRUE,F154&lt;&gt;SUM(F150:F152))</formula>
    </cfRule>
  </conditionalFormatting>
  <conditionalFormatting sqref="J169">
    <cfRule type="expression" priority="19" dxfId="4" stopIfTrue="1">
      <formula>AND(#REF!=TRUE,J169&lt;&gt;SUM(J146:J168))</formula>
    </cfRule>
  </conditionalFormatting>
  <conditionalFormatting sqref="I170:J170 J171 J179:J180">
    <cfRule type="expression" priority="20" dxfId="4" stopIfTrue="1">
      <formula>AND(#REF!=TRUE,I170&lt;&gt;SUM(I153:I169))</formula>
    </cfRule>
  </conditionalFormatting>
  <conditionalFormatting sqref="I99">
    <cfRule type="expression" priority="21" dxfId="4" stopIfTrue="1">
      <formula>AND(#REF!=TRUE,I99&lt;&gt;SUM(H50:H98))</formula>
    </cfRule>
  </conditionalFormatting>
  <conditionalFormatting sqref="G101">
    <cfRule type="expression" priority="22" dxfId="4" stopIfTrue="1">
      <formula>AND(#REF!=TRUE,G101&lt;&gt;SUM(G94:G99))</formula>
    </cfRule>
  </conditionalFormatting>
  <conditionalFormatting sqref="I128">
    <cfRule type="expression" priority="23" dxfId="4" stopIfTrue="1">
      <formula>AND(#REF!=TRUE,I128&lt;&gt;SUM(I100:I127))</formula>
    </cfRule>
  </conditionalFormatting>
  <conditionalFormatting sqref="I127">
    <cfRule type="expression" priority="24" dxfId="4" stopIfTrue="1">
      <formula>AND(#REF!=TRUE,I127&lt;&gt;SUM(H87:H124))</formula>
    </cfRule>
  </conditionalFormatting>
  <conditionalFormatting sqref="J127:J128">
    <cfRule type="expression" priority="25" dxfId="4" stopIfTrue="1">
      <formula>AND(#REF!=TRUE,J127&lt;&gt;SUM(J96:J126))</formula>
    </cfRule>
  </conditionalFormatting>
  <conditionalFormatting sqref="I169">
    <cfRule type="expression" priority="26" dxfId="4" stopIfTrue="1">
      <formula>AND(#REF!=TRUE,I169&lt;&gt;SUM(H122:H169))</formula>
    </cfRule>
  </conditionalFormatting>
  <conditionalFormatting sqref="I179">
    <cfRule type="expression" priority="27" dxfId="4" stopIfTrue="1">
      <formula>AND(#REF!=TRUE,I179&lt;&gt;SUM(H129:H179))</formula>
    </cfRule>
  </conditionalFormatting>
  <conditionalFormatting sqref="I231">
    <cfRule type="expression" priority="28" dxfId="4" stopIfTrue="1">
      <formula>AND(#REF!=TRUE,I231&lt;&gt;SUM(H197:H231))</formula>
    </cfRule>
  </conditionalFormatting>
  <conditionalFormatting sqref="J195">
    <cfRule type="expression" priority="29" dxfId="4" stopIfTrue="1">
      <formula>AND(#REF!=TRUE,J195&lt;&gt;SUM(J124:J194))</formula>
    </cfRule>
  </conditionalFormatting>
  <conditionalFormatting sqref="J231">
    <cfRule type="expression" priority="30" dxfId="4" stopIfTrue="1">
      <formula>AND(#REF!=TRUE,J231&lt;&gt;SUM(J166:J230))</formula>
    </cfRule>
  </conditionalFormatting>
  <conditionalFormatting sqref="G233:G237">
    <cfRule type="expression" priority="31" dxfId="4" stopIfTrue="1">
      <formula>AND(#REF!=TRUE,G233&lt;&gt;(ROUND((1+(#REF!/100))*(G3+#REF!)/(2*365),0)+D233))</formula>
    </cfRule>
  </conditionalFormatting>
  <conditionalFormatting sqref="H380 J380 J276:J279 J249:J250 H253:J254 H248:J248 J245 H245 K218 L210:L218 K210:K212 K201:L209 I232:J232 J225 K188:K189 L188:L192 K181:L187 C197:D197 H196:J197 J193:J194 I193 K154:K155 K142:K144 L132:L155 J172 J162 C131 C129 D129:F131 K110:K111 L110:L116 K102:L109 G129 J129 H128:H129 J117 L77:L90 K89:K90 K77:K79 K64:L76 H100:H101 J62 L19:L60 K19:K59 C62:H62 B61:J61">
    <cfRule type="expression" priority="32" dxfId="5" stopIfTrue="1">
      <formula>$E$7=TRUE</formula>
    </cfRule>
  </conditionalFormatting>
  <conditionalFormatting sqref="G324:H325">
    <cfRule type="expression" priority="33" dxfId="2" stopIfTrue="1">
      <formula>#REF!&lt;&gt;"nee"</formula>
    </cfRule>
  </conditionalFormatting>
  <conditionalFormatting sqref="E263:F266">
    <cfRule type="expression" priority="34" dxfId="2" stopIfTrue="1">
      <formula>#REF!&lt;&gt;"nee"</formula>
    </cfRule>
  </conditionalFormatting>
  <conditionalFormatting sqref="H243">
    <cfRule type="expression" priority="35" dxfId="2" stopIfTrue="1">
      <formula>$B$1=TRUE</formula>
    </cfRule>
  </conditionalFormatting>
  <conditionalFormatting sqref="H400 E234:E236 E213:E215 E226:E230 G206:G207 F421:F423">
    <cfRule type="expression" priority="36" dxfId="2" stopIfTrue="1">
      <formula>$F$201&lt;&gt;"nee"</formula>
    </cfRule>
  </conditionalFormatting>
  <conditionalFormatting sqref="I246">
    <cfRule type="expression" priority="37" dxfId="2" stopIfTrue="1">
      <formula>$E$31="JA"</formula>
    </cfRule>
  </conditionalFormatting>
  <conditionalFormatting sqref="I226:J230 I195 H180 J173:J178 I174:I178 I163:J168 I118:J126 I92:J98 I54:I59">
    <cfRule type="expression" priority="38" dxfId="5" stopIfTrue="1">
      <formula>$F$5=TRUE</formula>
    </cfRule>
  </conditionalFormatting>
  <conditionalFormatting sqref="J215">
    <cfRule type="expression" priority="39" dxfId="4" stopIfTrue="1">
      <formula>AND(#REF!=TRUE,J215&lt;&gt;(ROUND((1+(#REF!/100))*(#REF!+#REF!)/(2*365),0)+#REF!))</formula>
    </cfRule>
  </conditionalFormatting>
  <conditionalFormatting sqref="I215">
    <cfRule type="expression" priority="40" dxfId="4" stopIfTrue="1">
      <formula>AND(#REF!=TRUE,I215&lt;&gt;(ROUND((1+(#REF!/100))*(#REF!+#REF!)/(2*365),0)+#REF!))</formula>
    </cfRule>
  </conditionalFormatting>
  <conditionalFormatting sqref="J214">
    <cfRule type="expression" priority="41" dxfId="4" stopIfTrue="1">
      <formula>AND(#REF!=TRUE,J214&lt;&gt;(ROUND((1+(#REF!/100))*(#REF!+#REF!)/(2*365),0)+#REF!))</formula>
    </cfRule>
  </conditionalFormatting>
  <conditionalFormatting sqref="J213">
    <cfRule type="expression" priority="42" dxfId="4" stopIfTrue="1">
      <formula>AND(#REF!=TRUE,J213&lt;&gt;(ROUND((1+(#REF!/100))*(#REF!+#REF!)/(2*365),0)+#REF!))</formula>
    </cfRule>
  </conditionalFormatting>
  <conditionalFormatting sqref="A61:A62">
    <cfRule type="expression" priority="43" dxfId="6" stopIfTrue="1">
      <formula>$E$60/365&gt;$E$49</formula>
    </cfRule>
  </conditionalFormatting>
  <conditionalFormatting sqref="E237">
    <cfRule type="expression" priority="44" dxfId="2" stopIfTrue="1">
      <formula>"$E$230&gt;=0"</formula>
    </cfRule>
  </conditionalFormatting>
  <conditionalFormatting sqref="I212 I190 I145 I150 I112:I113 I79 I87 I49">
    <cfRule type="expression" priority="45" dxfId="4" stopIfTrue="1">
      <formula>AND(#REF!=TRUE,I49&lt;&gt;(ROUND((1+(#REF!/100))*(#REF!+#REF!)/(2*365),0)+#REF!))</formula>
    </cfRule>
  </conditionalFormatting>
  <conditionalFormatting sqref="E220:E222">
    <cfRule type="expression" priority="46" dxfId="2" stopIfTrue="1">
      <formula>$E$230&gt;0</formula>
    </cfRule>
  </conditionalFormatting>
  <conditionalFormatting sqref="E157:E159 E195 G105:G107 E173:E178 E151:E152 E163:E168 G138:G140 G133:G134 G73:G74 E118:E126 G66:G69 E80:E82 E92:E98 G43:G44 E54:E59 G184:G185">
    <cfRule type="expression" priority="47" dxfId="2" stopIfTrue="1">
      <formula>$F$36&lt;&gt;"nee"</formula>
    </cfRule>
  </conditionalFormatting>
  <conditionalFormatting sqref="H192">
    <cfRule type="expression" priority="48" dxfId="4" stopIfTrue="1">
      <formula>AND(#REF!=TRUE,H192&lt;&gt;(ROUND((1+(#REF!/100))*(#REF!+#REF!)/(2*365),0)+#REF!))</formula>
    </cfRule>
  </conditionalFormatting>
  <conditionalFormatting sqref="J152">
    <cfRule type="expression" priority="49" dxfId="4" stopIfTrue="1">
      <formula>AND(#REF!=TRUE,J152&lt;&gt;(ROUND((1+(#REF!/100))*(#REF!+#REF!)/(2*365),0)+#REF!))</formula>
    </cfRule>
  </conditionalFormatting>
  <conditionalFormatting sqref="J151">
    <cfRule type="expression" priority="50" dxfId="4" stopIfTrue="1">
      <formula>AND(#REF!=TRUE,J151&lt;&gt;(ROUND((1+(#REF!/100))*(#REF!+#REF!)/(2*365),0)+#REF!))</formula>
    </cfRule>
  </conditionalFormatting>
  <conditionalFormatting sqref="E161">
    <cfRule type="expression" priority="51" dxfId="4" stopIfTrue="1">
      <formula>AND(#REF!=TRUE,E161&lt;&gt;#REF!)</formula>
    </cfRule>
  </conditionalFormatting>
  <conditionalFormatting sqref="I100">
    <cfRule type="expression" priority="52" dxfId="4" stopIfTrue="1">
      <formula>AND(#REF!=TRUE,I100&lt;&gt;SUM(#REF!))</formula>
    </cfRule>
  </conditionalFormatting>
  <conditionalFormatting sqref="F91:G91 F7:G7">
    <cfRule type="expression" priority="53" dxfId="4" stopIfTrue="1">
      <formula>AND(#REF!=TRUE,F7&lt;&gt;#REF!*#REF!)</formula>
    </cfRule>
  </conditionalFormatting>
  <conditionalFormatting sqref="E91 E7">
    <cfRule type="expression" priority="54" dxfId="4" stopIfTrue="1">
      <formula>AND(#REF!=TRUE,E7&lt;&gt;#REF!-#REF!)</formula>
    </cfRule>
    <cfRule type="expression" priority="55" dxfId="7" stopIfTrue="1">
      <formula>$E$7=TRUE</formula>
    </cfRule>
  </conditionalFormatting>
  <conditionalFormatting sqref="E86:F86">
    <cfRule type="expression" priority="56" dxfId="4" stopIfTrue="1">
      <formula>AND(#REF!=TRUE,E86&lt;&gt;#REF!+#REF!)</formula>
    </cfRule>
  </conditionalFormatting>
  <conditionalFormatting sqref="J82 J84:J87">
    <cfRule type="expression" priority="57" dxfId="4" stopIfTrue="1">
      <formula>AND(#REF!=TRUE,J82&lt;&gt;(ROUND((1+(#REF!/100))*(#REF!+#REF!)/(2*365),0)+#REF!))</formula>
    </cfRule>
  </conditionalFormatting>
  <conditionalFormatting sqref="J81">
    <cfRule type="expression" priority="58" dxfId="4" stopIfTrue="1">
      <formula>AND(#REF!=TRUE,J81&lt;&gt;(ROUND((1+(#REF!/100))*(#REF!+#REF!)/(2*365),0)+#REF!))</formula>
    </cfRule>
  </conditionalFormatting>
  <conditionalFormatting sqref="J80">
    <cfRule type="expression" priority="59" dxfId="4" stopIfTrue="1">
      <formula>AND(#REF!=TRUE,J80&lt;&gt;(ROUND((1+(#REF!/100))*(#REF!+#REF!)/(2*365),0)+#REF!))</formula>
    </cfRule>
  </conditionalFormatting>
  <conditionalFormatting sqref="J79">
    <cfRule type="expression" priority="60" dxfId="4" stopIfTrue="1">
      <formula>AND(#REF!=TRUE,J79&lt;&gt;(ROUND((1+(#REF!/100))*(#REF!+#REF!)/(2*365),0)+#REF!))</formula>
    </cfRule>
  </conditionalFormatting>
  <conditionalFormatting sqref="E26:E32">
    <cfRule type="expression" priority="61" dxfId="2" stopIfTrue="1">
      <formula>$B$1=TRUE</formula>
    </cfRule>
  </conditionalFormatting>
  <conditionalFormatting sqref="D3">
    <cfRule type="expression" priority="62" dxfId="8" stopIfTrue="1">
      <formula>#REF!=FALSE</formula>
    </cfRule>
  </conditionalFormatting>
  <conditionalFormatting sqref="H14">
    <cfRule type="expression" priority="63" dxfId="2" stopIfTrue="1">
      <formula>$R$15="ja"</formula>
    </cfRule>
  </conditionalFormatting>
  <dataValidations count="27">
    <dataValidation type="custom" allowBlank="1" showInputMessage="1" showErrorMessage="1" errorTitle="Invoer onjuist" error="Er dient een geheel positief aantal te worden ingevuld.&#10;&#10;Daarnaast mag het totaal aantal verpleegdagen niet meer bedragen dan het aantal bedden x 366 dagen." sqref="E60:E61">
      <formula1>AND(E60=ROUND(E60,0),E60&gt;=P60,E60&lt;=Q60)</formula1>
    </dataValidation>
    <dataValidation type="custom" allowBlank="1" showInputMessage="1" showErrorMessage="1" errorTitle="Invoer onjuist" error="Een afspraak is alleen mogelijk indien de aanbieder voor de betreffende functie is toegelaten.&#10;&#10;Daarnaast dient er een geheel en positief aantal te worden ingevuld." sqref="G263:G266 G261 G282:G289 G294:G307 G317:G322 G251 G257:G259 G349:G353 G358:G359 G315 G312:G313 G271:G278 G328:G331 G333:G334 G337:G344">
      <formula1>AND(F263="ja",G263&gt;=0,G263=ROUND(G263,0))</formula1>
    </dataValidation>
    <dataValidation type="custom" allowBlank="1" showInputMessage="1" showErrorMessage="1" errorTitle="Invoer onjuist" error="Een afspraak is alleen mogelijk indien de aanbieder voor de betreffende functie is toegelaten.&#10;&#10;Daarnaast dient er een geheel en positief aantal te worden ingevuld." sqref="J326">
      <formula1>AND(H326="ja",J326&gt;=0,J326=ROUND(J326,0))</formula1>
    </dataValidation>
    <dataValidation type="custom" allowBlank="1" showInputMessage="1" showErrorMessage="1" errorTitle="Invoer onjuist" error="Een afspraak is alleen mogelijk indien de aanbieder voor de betreffende functie is toegelaten.&#10;&#10;Daarnaast dient er een geheel en positief aantal te worden ingevuld." sqref="J290 J280">
      <formula1>AND(F290="ja",J290&gt;=0,J290=ROUND(J290,0))</formula1>
    </dataValidation>
    <dataValidation type="custom" operator="greaterThanOrEqual" allowBlank="1" showInputMessage="1" showErrorMessage="1" errorTitle="Onjuiste invoer" error="Het is voor uw instelling niet mogelijk een afspraak te maken over de contracteerruimte Transitiemiddelen.&#10;&#10;Er kan alleen een positief, geheel bedrag worden ingevuld, dat maximaal het toegekende bedrag is." sqref="H14">
      <formula1>AND(ROUND(H14,0)=H14,H14&gt;=0,R15="ja",H14&lt;=S15)</formula1>
    </dataValidation>
    <dataValidation type="custom" allowBlank="1" showInputMessage="1" showErrorMessage="1" errorTitle="Invoer onjuist" error="Een afspraak is alleen mogelijk indien de aanbieder voor de betreffende functie is toegelaten.&#10;&#10;Daarnaast dient er een geheel en positief aantal te worden ingevuld." sqref="G247">
      <formula1>AND(E32="ja",G247&gt;=0,G247=ROUND(G247,0))</formula1>
    </dataValidation>
    <dataValidation type="custom" allowBlank="1" showInputMessage="1" showErrorMessage="1" errorTitle="Invoer onjuist" error="Een afspraak is alleen mogelijk indien de aanbieder voor de verblijf is toegelaten.&#10;&#10;Daarnaast dient er een geheel en negatief aantal te worden ingevuld." sqref="I246">
      <formula1>AND(E31="ja",I246&lt;=0,I246=ROUND(I246,0))</formula1>
    </dataValidation>
    <dataValidation type="custom" allowBlank="1" showInputMessage="1" showErrorMessage="1" errorTitle="Invoer onjuist" error="Een afspraak is alleen mogelijk indien de aanbieder voor de betreffende functie is toegelaten.&#10;&#10;Daarnaast mag de prijs:&#10;- niet hoger zijn dan de beleidsregelwaarde;&#10;- niet negatief zijn;&#10;- niet meer dan 2 decimaal bevatten.&#10;" sqref="H324:H325 H333:H334">
      <formula1>AND(F324="ja",H324&gt;=L324,H324&lt;=N324,H324=ROUND(H324,2))</formula1>
    </dataValidation>
    <dataValidation type="custom" allowBlank="1" showInputMessage="1" showErrorMessage="1" errorTitle="Invoer onjuist" error="Een afspraak is alleen mogelijk indien de aanbieder voor de betreffende functie is toegelaten.&#10;&#10;Daarnaast mag de prijs:&#10;- niet hoger zijn dan de beleidsregelwaarde;&#10;- niet negatief zijn;&#10;- niet meer dan 2 decimaal bevatten.&#10;" sqref="H317:H322 H315 H312:H313 H257:H259 H366:H373 H251 H349:H353 H358:H359 H328:H331 H271:H278 H294:H307 H282:H289 H263:H266 H261 H378 H337:H344">
      <formula1>AND(F317="ja",H317&gt;=N317,H317&lt;=O317,H317=ROUND(H317,2))</formula1>
    </dataValidation>
    <dataValidation type="custom" allowBlank="1" showInputMessage="1" showErrorMessage="1" errorTitle="Invoer onjuist" error="Een afspraak is alleen mogelijk indien de aanbieder voor de betreffende functie is toegelaten.&#10;&#10;Daarnaast dient er een geheel en positief aantal te worden ingevuld." sqref="G378">
      <formula1>AND(F378="ja",G378&gt;=0,G378&lt;=R378,G378=ROUND(G378,0))</formula1>
    </dataValidation>
    <dataValidation type="custom" allowBlank="1" showInputMessage="1" showErrorMessage="1" errorTitle="Invoer onjuist" error="Een afspraak is alleen mogelijk indien de aanbieder voor de betreffende functie is toegelaten.&#10;&#10;Daarnaast dient er een geheel en positief aantal te worden ingevuld wat niet meer is dan het aantal dagdelen dagbesteding." sqref="G366:G373">
      <formula1>AND(F366="ja",G366&gt;=0,G366&lt;=R366,G366=ROUND(G366,0))</formula1>
    </dataValidation>
    <dataValidation type="custom" showInputMessage="1" showErrorMessage="1" errorTitle="Invoer onjuist" error="Een afspraak is mogelijk als de aanbieder voor de betr.functie is toegelaten.&#10;&#10;Er dient een geheel, positief aantal te worden ingevuld, waarbij het aantal afgesproken dagen het maximum is." sqref="E173:E178">
      <formula1>AND(E173&gt;0,E173=ROUND(E173,0),$F$36="ja",E173&lt;=E163)</formula1>
    </dataValidation>
    <dataValidation type="whole" operator="greaterThan" allowBlank="1" showInputMessage="1" showErrorMessage="1" sqref="G360">
      <formula1>0</formula1>
    </dataValidation>
    <dataValidation type="whole" operator="greaterThan" allowBlank="1" showInputMessage="1" showErrorMessage="1" errorTitle="Alleen positieve aantallen!" error="U kunt hier alleen een positief aantal invoeren!" sqref="E380 E217 E208 G192 G186 E193 E147 E135 E154 E169:E171 E179:E180 E99:E101 D91 E70 G84 E84 E89 G89 D7 G51 E51 E45 E115 G115 E127:E128 E108 E252">
      <formula1>-1</formula1>
    </dataValidation>
    <dataValidation type="custom" allowBlank="1" showInputMessage="1" showErrorMessage="1" errorTitle="Invoer onjuist" error="Een afspraak is alleen mogelijk indien de aanbieder voor de betreffende functie is toegelaten.&#10;&#10;Daarnaast dient er een geheel en positief aantal te worden ingevuld." sqref="G324:G325">
      <formula1>AND(#REF!="ja",G324&gt;=0,G324=ROUND(G324,0))</formula1>
    </dataValidation>
    <dataValidation type="custom" allowBlank="1" showInputMessage="1" showErrorMessage="1" errorTitle="Invoer onjuist" error="Er mag alleen een geheel bedrag worden ingevuld." sqref="H243">
      <formula1>AND(H243=ROUND(H243,0),H243&gt;=0)</formula1>
    </dataValidation>
    <dataValidation type="whole" operator="greaterThanOrEqual" allowBlank="1" showInputMessage="1" showErrorMessage="1" error="Hier kan alleen een positief geheel getal ingevuld worden!" sqref="H400 F421:F423">
      <formula1>0</formula1>
    </dataValidation>
    <dataValidation type="custom" allowBlank="1" showInputMessage="1" showErrorMessage="1" errorTitle="Invoer onjuist" error="Het invullen van deze cel is alleen mogelijk indien de zorgaanbieder voor de betreffende functie is toegelaten.&#10;&#10;Daarnaast dient er een geheel en positief aantal te worden ingevuld." sqref="G208 G135 G141 G108 E163:E168 E195 E92:E98 E80:E82 G70 G45 G147 E54:E59 G75 E118:E126">
      <formula1>AND(G208&gt;=0,G208=ROUND(G208,0),$F$36="ja")</formula1>
    </dataValidation>
    <dataValidation type="custom" allowBlank="1" showInputMessage="1" showErrorMessage="1" errorTitle="Invoer onjuist" error="Het invullen van deze cel is alleen mogelijk indien de zorgaanbieder voor de betreffende functie is toegelaten.&#10;&#10;Daarnaast dient er een geheel en positief aantal te worden ingevuld." sqref="E237">
      <formula1>AND($O$232+#REF!+$O$233&lt;=$E$228,E237=ROUND(E237,0),$F$36="ja")</formula1>
    </dataValidation>
    <dataValidation allowBlank="1" showInputMessage="1" showErrorMessage="1" errorTitle="Invoer onjuist" error="Een afspraak is mogelijk als de aanbieder voor de betr.functie is toegelaten.&#10;&#10;Er dient een geheel, positief aantal te worden ingevuld, waarbij het aantal bezette en niet bezette bedden maximaal de toelating is. " sqref="E212 E218 E216 E190:E191 E150 E145:E146 E153 E155 E87:E88 E83 E79 E49:E50 E112:E114 E116"/>
    <dataValidation type="custom" allowBlank="1" showInputMessage="1" showErrorMessage="1" errorTitle="Invoer onjuist" error="Het invullen van deze cel is alleen mogelijk indien de zorgaanbieder voor de betreffende functie is toegelaten.&#10;&#10;Daarnaast dient er een geheel en positief aantal te worden ingevuld." sqref="E226:E230 E234:E236 E213:E215">
      <formula1>AND(E226&gt;=0,E226=ROUND(E226,0),$F$201="ja")</formula1>
    </dataValidation>
    <dataValidation type="custom" showInputMessage="1" showErrorMessage="1" errorTitle="Invoer onjuist" error="Een afspraak is mogelijk als de aanbieder voor de betr.functie is toegelaten.&#10;&#10;Er dient een geheel, positief aantal te worden ingevuld, waarbij het de produktieafspraak het maximum is." sqref="F129:F131">
      <formula1>AND($F$36="ja",#REF!&lt;=#REF!)</formula1>
    </dataValidation>
    <dataValidation allowBlank="1" showInputMessage="1" showErrorMessage="1" promptTitle="Afwezigheidsdagen" prompt="hieronder wordt verstaan het etmaal, waarin de klinisch opgenomen patient gedurende de nacht (de periode tussen 00.00 tot 06.00 uur) niet in de instelling aanwezig is.&#10;Voor weekend-verlof gelden twee afwezigheidsdagen.&#10;&#10;" sqref="L63"/>
    <dataValidation type="list" allowBlank="1" showInputMessage="1" showErrorMessage="1" errorTitle="Onjuiste invoer:" error="U kunt hier ja of nee invullen." sqref="E26:E32">
      <formula1>$O$4:$O$5</formula1>
    </dataValidation>
    <dataValidation type="custom" allowBlank="1" showInputMessage="1" showErrorMessage="1" prompt="Transitiegelden" errorTitle="Onjuiste invoer" error="Het is voor uw instelling niet mogelijk om een afspraak te maken ten laste van de contracteerruimte Transitiemiddelen AWBZ." sqref="J14">
      <formula1>#REF!="ja"</formula1>
    </dataValidation>
    <dataValidation type="custom" allowBlank="1" showInputMessage="1" showErrorMessage="1" errorTitle="Invoer onjuist" error="Het invullen van deze cel is alleen mogelijk indien de zorgaanbieder voor de betreffende functie is toegelaten.&#10;&#10;Daarnaast dient er een positief aantal te worden ingevuld." sqref="G43:G44 G184:G185 E157:E159 E151:E152 G138:G140 G133:G134 G105:G107 G73:G74 G66:G69">
      <formula1>AND(G43&gt;=0,$F$36="ja")</formula1>
    </dataValidation>
    <dataValidation type="custom" allowBlank="1" showInputMessage="1" showErrorMessage="1" errorTitle="Invoer onjuist" error="Het invullen van deze cel is alleen mogelijk indien de zorgaanbieder voor de betreffende functie is toegelaten.&#10;&#10;Daarnaast dient er een positief aantal te worden ingevuld." sqref="G206:G207 E220:E222">
      <formula1>AND(G206&gt;=0,$F$201="ja")</formula1>
    </dataValidation>
  </dataValidations>
  <printOptions horizontalCentered="1"/>
  <pageMargins left="0.3937007874015748" right="0.3937007874015748" top="0.3937007874015748" bottom="0.3937007874015748" header="0.11811023622047245" footer="0.11811023622047245"/>
  <pageSetup horizontalDpi="600" verticalDpi="600" orientation="landscape" pageOrder="overThenDown" paperSize="9" scale="95" r:id="rId2"/>
  <headerFooter alignWithMargins="0">
    <oddHeader>&amp;R&amp;G</oddHeader>
  </headerFooter>
  <rowBreaks count="11" manualBreakCount="11">
    <brk id="34" max="8" man="1"/>
    <brk id="61" max="8" man="1"/>
    <brk id="100" max="8" man="1"/>
    <brk id="128" max="8" man="1"/>
    <brk id="170" max="8" man="1"/>
    <brk id="200" max="8" man="1"/>
    <brk id="237" max="8" man="1"/>
    <brk id="279" max="8" man="1"/>
    <brk id="323" max="8" man="1"/>
    <brk id="361" max="8" man="1"/>
    <brk id="402" max="8" man="1"/>
  </rowBreaks>
  <ignoredErrors>
    <ignoredError sqref="I79" formulaRange="1"/>
  </ignoredErrors>
  <legacyDrawingHF r:id="rId1"/>
</worksheet>
</file>

<file path=xl/worksheets/sheet5.xml><?xml version="1.0" encoding="utf-8"?>
<worksheet xmlns="http://schemas.openxmlformats.org/spreadsheetml/2006/main" xmlns:r="http://schemas.openxmlformats.org/officeDocument/2006/relationships">
  <sheetPr codeName="Blad7"/>
  <dimension ref="A1:U87"/>
  <sheetViews>
    <sheetView showGridLines="0" showZeros="0" workbookViewId="0" topLeftCell="A1">
      <pane ySplit="5" topLeftCell="BM45" activePane="bottomLeft" state="frozen"/>
      <selection pane="topLeft" activeCell="A1" sqref="A1"/>
      <selection pane="bottomLeft" activeCell="G58" sqref="G58:J61"/>
    </sheetView>
  </sheetViews>
  <sheetFormatPr defaultColWidth="9.140625" defaultRowHeight="12.75"/>
  <cols>
    <col min="1" max="1" width="10.57421875" style="0" customWidth="1"/>
    <col min="2" max="5" width="12.421875" style="0" customWidth="1"/>
    <col min="6" max="6" width="2.421875" style="0" customWidth="1"/>
    <col min="7" max="7" width="12.421875" style="0" customWidth="1"/>
    <col min="8" max="8" width="11.421875" style="0" customWidth="1"/>
    <col min="9" max="10" width="12.421875" style="0" customWidth="1"/>
    <col min="11" max="11" width="2.421875" style="0" customWidth="1"/>
    <col min="12" max="15" width="12.421875" style="0" customWidth="1"/>
  </cols>
  <sheetData>
    <row r="1" spans="1:15" ht="12.75">
      <c r="A1" s="129"/>
      <c r="L1" s="396"/>
      <c r="M1" s="129"/>
      <c r="N1" s="129"/>
      <c r="O1" s="129"/>
    </row>
    <row r="2" spans="9:12" ht="12.75">
      <c r="I2" s="454" t="s">
        <v>476</v>
      </c>
      <c r="J2" s="455">
        <v>1.0188</v>
      </c>
      <c r="L2" s="129"/>
    </row>
    <row r="3" spans="2:15" ht="12.75">
      <c r="B3" s="1072" t="s">
        <v>477</v>
      </c>
      <c r="C3" s="1073"/>
      <c r="D3" s="1073"/>
      <c r="E3" s="1074"/>
      <c r="G3" s="1072" t="s">
        <v>478</v>
      </c>
      <c r="H3" s="1073"/>
      <c r="I3" s="1073"/>
      <c r="J3" s="1074"/>
      <c r="L3" s="1072" t="s">
        <v>479</v>
      </c>
      <c r="M3" s="1073"/>
      <c r="N3" s="1073"/>
      <c r="O3" s="1074"/>
    </row>
    <row r="4" spans="2:15" ht="12.75">
      <c r="B4" s="130" t="s">
        <v>717</v>
      </c>
      <c r="C4" s="131"/>
      <c r="D4" s="132" t="s">
        <v>718</v>
      </c>
      <c r="E4" s="133"/>
      <c r="G4" s="130" t="s">
        <v>717</v>
      </c>
      <c r="H4" s="131"/>
      <c r="I4" s="132" t="s">
        <v>718</v>
      </c>
      <c r="J4" s="133"/>
      <c r="L4" s="130" t="s">
        <v>717</v>
      </c>
      <c r="M4" s="130"/>
      <c r="N4" s="132" t="s">
        <v>718</v>
      </c>
      <c r="O4" s="134"/>
    </row>
    <row r="5" spans="1:15" ht="12.75">
      <c r="A5" s="129" t="s">
        <v>1323</v>
      </c>
      <c r="B5" s="135" t="s">
        <v>719</v>
      </c>
      <c r="C5" s="135" t="s">
        <v>720</v>
      </c>
      <c r="D5" s="135" t="s">
        <v>719</v>
      </c>
      <c r="E5" s="135" t="s">
        <v>720</v>
      </c>
      <c r="G5" s="134" t="s">
        <v>719</v>
      </c>
      <c r="H5" s="134" t="s">
        <v>720</v>
      </c>
      <c r="I5" s="134" t="s">
        <v>719</v>
      </c>
      <c r="J5" s="134" t="s">
        <v>720</v>
      </c>
      <c r="L5" s="134" t="s">
        <v>719</v>
      </c>
      <c r="M5" s="134" t="s">
        <v>720</v>
      </c>
      <c r="N5" s="134" t="s">
        <v>719</v>
      </c>
      <c r="O5" s="134" t="s">
        <v>720</v>
      </c>
    </row>
    <row r="6" spans="1:15" ht="12.75">
      <c r="A6" s="236" t="s">
        <v>1309</v>
      </c>
      <c r="B6" s="237"/>
      <c r="C6" s="238"/>
      <c r="D6" s="230">
        <v>69.75</v>
      </c>
      <c r="E6" s="231">
        <v>91.2</v>
      </c>
      <c r="F6" s="239"/>
      <c r="G6" s="240">
        <f aca="true" t="shared" si="0" ref="G6:J12">ROUND(B6*$J$2,2)</f>
        <v>0</v>
      </c>
      <c r="H6" s="241">
        <f t="shared" si="0"/>
        <v>0</v>
      </c>
      <c r="I6" s="242">
        <f t="shared" si="0"/>
        <v>71.06</v>
      </c>
      <c r="J6" s="140">
        <f t="shared" si="0"/>
        <v>92.91</v>
      </c>
      <c r="L6" s="136"/>
      <c r="M6" s="137"/>
      <c r="N6" s="138" t="s">
        <v>925</v>
      </c>
      <c r="O6" s="139" t="s">
        <v>932</v>
      </c>
    </row>
    <row r="7" spans="1:15" ht="12.75">
      <c r="A7" s="243" t="s">
        <v>1310</v>
      </c>
      <c r="B7" s="244"/>
      <c r="C7" s="245"/>
      <c r="D7" s="232">
        <v>102.9</v>
      </c>
      <c r="E7" s="233">
        <v>122.43</v>
      </c>
      <c r="F7" s="239"/>
      <c r="G7" s="246">
        <f t="shared" si="0"/>
        <v>0</v>
      </c>
      <c r="H7" s="247">
        <f t="shared" si="0"/>
        <v>0</v>
      </c>
      <c r="I7" s="155">
        <f t="shared" si="0"/>
        <v>104.83</v>
      </c>
      <c r="J7" s="145">
        <f t="shared" si="0"/>
        <v>124.73</v>
      </c>
      <c r="L7" s="141"/>
      <c r="M7" s="107"/>
      <c r="N7" s="142" t="s">
        <v>926</v>
      </c>
      <c r="O7" s="143" t="s">
        <v>933</v>
      </c>
    </row>
    <row r="8" spans="1:15" ht="12.75">
      <c r="A8" s="243" t="s">
        <v>1311</v>
      </c>
      <c r="B8" s="244"/>
      <c r="C8" s="245"/>
      <c r="D8" s="232">
        <v>112.03</v>
      </c>
      <c r="E8" s="233">
        <v>133.98</v>
      </c>
      <c r="F8" s="239"/>
      <c r="G8" s="246">
        <f t="shared" si="0"/>
        <v>0</v>
      </c>
      <c r="H8" s="247">
        <f t="shared" si="0"/>
        <v>0</v>
      </c>
      <c r="I8" s="155">
        <f t="shared" si="0"/>
        <v>114.14</v>
      </c>
      <c r="J8" s="145">
        <f t="shared" si="0"/>
        <v>136.5</v>
      </c>
      <c r="L8" s="141"/>
      <c r="M8" s="107"/>
      <c r="N8" s="142" t="s">
        <v>927</v>
      </c>
      <c r="O8" s="143" t="s">
        <v>934</v>
      </c>
    </row>
    <row r="9" spans="1:15" ht="12.75">
      <c r="A9" s="243" t="s">
        <v>1312</v>
      </c>
      <c r="B9" s="244"/>
      <c r="C9" s="245"/>
      <c r="D9" s="232">
        <v>129.16</v>
      </c>
      <c r="E9" s="233">
        <v>152.3</v>
      </c>
      <c r="F9" s="239"/>
      <c r="G9" s="246">
        <f t="shared" si="0"/>
        <v>0</v>
      </c>
      <c r="H9" s="247">
        <f t="shared" si="0"/>
        <v>0</v>
      </c>
      <c r="I9" s="155">
        <f t="shared" si="0"/>
        <v>131.59</v>
      </c>
      <c r="J9" s="145">
        <f t="shared" si="0"/>
        <v>155.16</v>
      </c>
      <c r="L9" s="141"/>
      <c r="M9" s="107"/>
      <c r="N9" s="142" t="s">
        <v>928</v>
      </c>
      <c r="O9" s="144" t="s">
        <v>935</v>
      </c>
    </row>
    <row r="10" spans="1:15" ht="12.75">
      <c r="A10" s="243" t="s">
        <v>1313</v>
      </c>
      <c r="B10" s="244"/>
      <c r="C10" s="245"/>
      <c r="D10" s="232">
        <v>139.63</v>
      </c>
      <c r="E10" s="233">
        <v>163.21</v>
      </c>
      <c r="F10" s="239"/>
      <c r="G10" s="246">
        <f t="shared" si="0"/>
        <v>0</v>
      </c>
      <c r="H10" s="247">
        <f t="shared" si="0"/>
        <v>0</v>
      </c>
      <c r="I10" s="155">
        <f t="shared" si="0"/>
        <v>142.26</v>
      </c>
      <c r="J10" s="145">
        <f t="shared" si="0"/>
        <v>166.28</v>
      </c>
      <c r="L10" s="141"/>
      <c r="M10" s="107"/>
      <c r="N10" s="142" t="s">
        <v>929</v>
      </c>
      <c r="O10" s="143" t="s">
        <v>936</v>
      </c>
    </row>
    <row r="11" spans="1:15" ht="12.75">
      <c r="A11" s="243" t="s">
        <v>1314</v>
      </c>
      <c r="B11" s="244"/>
      <c r="C11" s="245"/>
      <c r="D11" s="232">
        <v>189.55</v>
      </c>
      <c r="E11" s="233">
        <v>213.68</v>
      </c>
      <c r="F11" s="239"/>
      <c r="G11" s="246">
        <f t="shared" si="0"/>
        <v>0</v>
      </c>
      <c r="H11" s="247">
        <f t="shared" si="0"/>
        <v>0</v>
      </c>
      <c r="I11" s="155">
        <f t="shared" si="0"/>
        <v>193.11</v>
      </c>
      <c r="J11" s="145">
        <f t="shared" si="0"/>
        <v>217.7</v>
      </c>
      <c r="L11" s="141"/>
      <c r="M11" s="107"/>
      <c r="N11" s="142" t="s">
        <v>930</v>
      </c>
      <c r="O11" s="143" t="s">
        <v>937</v>
      </c>
    </row>
    <row r="12" spans="1:15" ht="12.75">
      <c r="A12" s="248" t="s">
        <v>1315</v>
      </c>
      <c r="B12" s="249"/>
      <c r="C12" s="250"/>
      <c r="D12" s="234">
        <v>252.82</v>
      </c>
      <c r="E12" s="235">
        <v>290.68</v>
      </c>
      <c r="F12" s="239"/>
      <c r="G12" s="251">
        <f t="shared" si="0"/>
        <v>0</v>
      </c>
      <c r="H12" s="252">
        <f t="shared" si="0"/>
        <v>0</v>
      </c>
      <c r="I12" s="253">
        <f t="shared" si="0"/>
        <v>257.57</v>
      </c>
      <c r="J12" s="254">
        <f t="shared" si="0"/>
        <v>296.14</v>
      </c>
      <c r="L12" s="146"/>
      <c r="M12" s="147"/>
      <c r="N12" s="148" t="s">
        <v>931</v>
      </c>
      <c r="O12" s="149" t="s">
        <v>938</v>
      </c>
    </row>
    <row r="13" spans="1:16" ht="12.75">
      <c r="A13" s="255"/>
      <c r="B13" s="255"/>
      <c r="C13" s="255"/>
      <c r="D13" s="255"/>
      <c r="E13" s="255"/>
      <c r="F13" s="239"/>
      <c r="G13" s="239"/>
      <c r="H13" s="239"/>
      <c r="I13" s="239"/>
      <c r="J13" s="239"/>
      <c r="M13" s="150"/>
      <c r="N13" s="108"/>
      <c r="O13" s="108"/>
      <c r="P13" s="150"/>
    </row>
    <row r="14" spans="1:15" ht="12.75">
      <c r="A14" s="256" t="s">
        <v>1316</v>
      </c>
      <c r="B14" s="257">
        <v>53.92</v>
      </c>
      <c r="C14" s="230">
        <v>75.37</v>
      </c>
      <c r="D14" s="230">
        <v>53.92</v>
      </c>
      <c r="E14" s="231">
        <v>75.37</v>
      </c>
      <c r="F14" s="239"/>
      <c r="G14" s="258">
        <f aca="true" t="shared" si="1" ref="G14:J19">ROUND(B14*$J$2,2)</f>
        <v>54.93</v>
      </c>
      <c r="H14" s="242">
        <f t="shared" si="1"/>
        <v>76.79</v>
      </c>
      <c r="I14" s="242">
        <f t="shared" si="1"/>
        <v>54.93</v>
      </c>
      <c r="J14" s="140">
        <f t="shared" si="1"/>
        <v>76.79</v>
      </c>
      <c r="L14" s="151" t="s">
        <v>939</v>
      </c>
      <c r="M14" s="138" t="s">
        <v>15</v>
      </c>
      <c r="N14" s="138"/>
      <c r="O14" s="152"/>
    </row>
    <row r="15" spans="1:15" ht="12.75">
      <c r="A15" s="259" t="s">
        <v>1317</v>
      </c>
      <c r="B15" s="260">
        <v>87.08</v>
      </c>
      <c r="C15" s="232">
        <v>106.6</v>
      </c>
      <c r="D15" s="232">
        <v>87.08</v>
      </c>
      <c r="E15" s="233">
        <v>106.6</v>
      </c>
      <c r="F15" s="239"/>
      <c r="G15" s="261">
        <f t="shared" si="1"/>
        <v>88.72</v>
      </c>
      <c r="H15" s="155">
        <f t="shared" si="1"/>
        <v>108.6</v>
      </c>
      <c r="I15" s="155">
        <f t="shared" si="1"/>
        <v>88.72</v>
      </c>
      <c r="J15" s="145">
        <f t="shared" si="1"/>
        <v>108.6</v>
      </c>
      <c r="L15" s="153" t="s">
        <v>940</v>
      </c>
      <c r="M15" s="154" t="s">
        <v>16</v>
      </c>
      <c r="N15" s="142"/>
      <c r="O15" s="143"/>
    </row>
    <row r="16" spans="1:15" ht="12.75">
      <c r="A16" s="259" t="s">
        <v>1318</v>
      </c>
      <c r="B16" s="260">
        <v>96.21</v>
      </c>
      <c r="C16" s="232">
        <v>118.15</v>
      </c>
      <c r="D16" s="232">
        <v>96.21</v>
      </c>
      <c r="E16" s="233">
        <v>118.15</v>
      </c>
      <c r="F16" s="239"/>
      <c r="G16" s="261">
        <f t="shared" si="1"/>
        <v>98.02</v>
      </c>
      <c r="H16" s="155">
        <f t="shared" si="1"/>
        <v>120.37</v>
      </c>
      <c r="I16" s="155">
        <f t="shared" si="1"/>
        <v>98.02</v>
      </c>
      <c r="J16" s="145">
        <f t="shared" si="1"/>
        <v>120.37</v>
      </c>
      <c r="L16" s="153" t="s">
        <v>941</v>
      </c>
      <c r="M16" s="142" t="s">
        <v>17</v>
      </c>
      <c r="N16" s="142"/>
      <c r="O16" s="143"/>
    </row>
    <row r="17" spans="1:15" ht="12.75">
      <c r="A17" s="259" t="s">
        <v>1319</v>
      </c>
      <c r="B17" s="260">
        <v>115.93</v>
      </c>
      <c r="C17" s="232">
        <v>139.07</v>
      </c>
      <c r="D17" s="232">
        <v>115.93</v>
      </c>
      <c r="E17" s="233">
        <v>139.07</v>
      </c>
      <c r="F17" s="239"/>
      <c r="G17" s="261">
        <f t="shared" si="1"/>
        <v>118.11</v>
      </c>
      <c r="H17" s="155">
        <f t="shared" si="1"/>
        <v>141.68</v>
      </c>
      <c r="I17" s="155">
        <f t="shared" si="1"/>
        <v>118.11</v>
      </c>
      <c r="J17" s="145">
        <f t="shared" si="1"/>
        <v>141.68</v>
      </c>
      <c r="L17" s="153" t="s">
        <v>942</v>
      </c>
      <c r="M17" s="142" t="s">
        <v>18</v>
      </c>
      <c r="N17" s="142"/>
      <c r="O17" s="143"/>
    </row>
    <row r="18" spans="1:15" ht="12.75">
      <c r="A18" s="259" t="s">
        <v>1320</v>
      </c>
      <c r="B18" s="260">
        <v>126.4</v>
      </c>
      <c r="C18" s="232">
        <v>149.98</v>
      </c>
      <c r="D18" s="232">
        <v>126.4</v>
      </c>
      <c r="E18" s="233">
        <v>149.98</v>
      </c>
      <c r="F18" s="239"/>
      <c r="G18" s="261">
        <f t="shared" si="1"/>
        <v>128.78</v>
      </c>
      <c r="H18" s="155">
        <f t="shared" si="1"/>
        <v>152.8</v>
      </c>
      <c r="I18" s="155">
        <f t="shared" si="1"/>
        <v>128.78</v>
      </c>
      <c r="J18" s="145">
        <f t="shared" si="1"/>
        <v>152.8</v>
      </c>
      <c r="L18" s="153" t="s">
        <v>943</v>
      </c>
      <c r="M18" s="142" t="s">
        <v>19</v>
      </c>
      <c r="N18" s="142"/>
      <c r="O18" s="143"/>
    </row>
    <row r="19" spans="1:15" ht="12.75">
      <c r="A19" s="262" t="s">
        <v>1321</v>
      </c>
      <c r="B19" s="263">
        <v>159.39</v>
      </c>
      <c r="C19" s="234">
        <v>183.52</v>
      </c>
      <c r="D19" s="234">
        <v>159.39</v>
      </c>
      <c r="E19" s="235">
        <v>183.52</v>
      </c>
      <c r="F19" s="239"/>
      <c r="G19" s="264">
        <f t="shared" si="1"/>
        <v>162.39</v>
      </c>
      <c r="H19" s="253">
        <f t="shared" si="1"/>
        <v>186.97</v>
      </c>
      <c r="I19" s="253">
        <f t="shared" si="1"/>
        <v>162.39</v>
      </c>
      <c r="J19" s="254">
        <f t="shared" si="1"/>
        <v>186.97</v>
      </c>
      <c r="L19" s="156" t="s">
        <v>14</v>
      </c>
      <c r="M19" s="148" t="s">
        <v>20</v>
      </c>
      <c r="N19" s="148"/>
      <c r="O19" s="149"/>
    </row>
    <row r="20" spans="1:10" ht="12.75">
      <c r="A20" s="255"/>
      <c r="B20" s="255"/>
      <c r="C20" s="255"/>
      <c r="D20" s="255"/>
      <c r="E20" s="255"/>
      <c r="F20" s="239"/>
      <c r="G20" s="239"/>
      <c r="H20" s="239"/>
      <c r="I20" s="239"/>
      <c r="J20" s="239"/>
    </row>
    <row r="21" spans="1:10" ht="12.75">
      <c r="A21" s="265" t="s">
        <v>1322</v>
      </c>
      <c r="B21" s="255"/>
      <c r="C21" s="255"/>
      <c r="D21" s="255"/>
      <c r="E21" s="255"/>
      <c r="F21" s="239"/>
      <c r="G21" s="239"/>
      <c r="H21" s="239"/>
      <c r="I21" s="239"/>
      <c r="J21" s="239"/>
    </row>
    <row r="22" spans="1:15" ht="12.75">
      <c r="A22" s="266" t="s">
        <v>461</v>
      </c>
      <c r="B22" s="237"/>
      <c r="C22" s="230">
        <v>55.4</v>
      </c>
      <c r="D22" s="238"/>
      <c r="E22" s="231">
        <v>59.78</v>
      </c>
      <c r="F22" s="239"/>
      <c r="G22" s="267">
        <f aca="true" t="shared" si="2" ref="G22:G31">ROUND(B22*$J$2,2)</f>
        <v>0</v>
      </c>
      <c r="H22" s="242">
        <f aca="true" t="shared" si="3" ref="H22:H31">ROUND(C22*$J$2,2)</f>
        <v>56.44</v>
      </c>
      <c r="I22" s="268">
        <f aca="true" t="shared" si="4" ref="I22:I31">ROUND(D22*$J$2,2)</f>
        <v>0</v>
      </c>
      <c r="J22" s="140">
        <f aca="true" t="shared" si="5" ref="J22:J31">ROUND(E22*$J$2,2)</f>
        <v>60.9</v>
      </c>
      <c r="L22" s="151"/>
      <c r="M22" s="138" t="s">
        <v>33</v>
      </c>
      <c r="N22" s="137"/>
      <c r="O22" s="152" t="s">
        <v>21</v>
      </c>
    </row>
    <row r="23" spans="1:15" ht="12.75">
      <c r="A23" s="269" t="s">
        <v>462</v>
      </c>
      <c r="B23" s="244"/>
      <c r="C23" s="232">
        <v>70.75</v>
      </c>
      <c r="D23" s="245"/>
      <c r="E23" s="233">
        <v>75.13</v>
      </c>
      <c r="F23" s="239"/>
      <c r="G23" s="270">
        <f t="shared" si="2"/>
        <v>0</v>
      </c>
      <c r="H23" s="155">
        <f t="shared" si="3"/>
        <v>72.08</v>
      </c>
      <c r="I23" s="163">
        <f t="shared" si="4"/>
        <v>0</v>
      </c>
      <c r="J23" s="145">
        <f t="shared" si="5"/>
        <v>76.54</v>
      </c>
      <c r="L23" s="153"/>
      <c r="M23" s="142" t="s">
        <v>34</v>
      </c>
      <c r="N23" s="107"/>
      <c r="O23" s="144" t="s">
        <v>22</v>
      </c>
    </row>
    <row r="24" spans="1:15" ht="12.75">
      <c r="A24" s="269" t="s">
        <v>463</v>
      </c>
      <c r="B24" s="244"/>
      <c r="C24" s="232">
        <v>85.64</v>
      </c>
      <c r="D24" s="245"/>
      <c r="E24" s="233">
        <v>107.12</v>
      </c>
      <c r="F24" s="239"/>
      <c r="G24" s="270">
        <f t="shared" si="2"/>
        <v>0</v>
      </c>
      <c r="H24" s="155">
        <f t="shared" si="3"/>
        <v>87.25</v>
      </c>
      <c r="I24" s="163">
        <f t="shared" si="4"/>
        <v>0</v>
      </c>
      <c r="J24" s="145">
        <f t="shared" si="5"/>
        <v>109.13</v>
      </c>
      <c r="L24" s="153"/>
      <c r="M24" s="142" t="s">
        <v>35</v>
      </c>
      <c r="N24" s="107"/>
      <c r="O24" s="143" t="s">
        <v>23</v>
      </c>
    </row>
    <row r="25" spans="1:15" ht="12.75">
      <c r="A25" s="269" t="s">
        <v>464</v>
      </c>
      <c r="B25" s="244"/>
      <c r="C25" s="232">
        <v>97.74</v>
      </c>
      <c r="D25" s="245"/>
      <c r="E25" s="233">
        <v>119.22</v>
      </c>
      <c r="F25" s="239"/>
      <c r="G25" s="270">
        <f t="shared" si="2"/>
        <v>0</v>
      </c>
      <c r="H25" s="155">
        <f t="shared" si="3"/>
        <v>99.58</v>
      </c>
      <c r="I25" s="163">
        <f t="shared" si="4"/>
        <v>0</v>
      </c>
      <c r="J25" s="145">
        <f t="shared" si="5"/>
        <v>121.46</v>
      </c>
      <c r="L25" s="153"/>
      <c r="M25" s="142" t="s">
        <v>36</v>
      </c>
      <c r="N25" s="107"/>
      <c r="O25" s="143" t="s">
        <v>24</v>
      </c>
    </row>
    <row r="26" spans="1:15" ht="12.75">
      <c r="A26" s="269" t="s">
        <v>465</v>
      </c>
      <c r="B26" s="244"/>
      <c r="C26" s="232">
        <v>133.93</v>
      </c>
      <c r="D26" s="245"/>
      <c r="E26" s="233">
        <v>156.52</v>
      </c>
      <c r="F26" s="239"/>
      <c r="G26" s="270">
        <f t="shared" si="2"/>
        <v>0</v>
      </c>
      <c r="H26" s="155">
        <f t="shared" si="3"/>
        <v>136.45</v>
      </c>
      <c r="I26" s="163">
        <f t="shared" si="4"/>
        <v>0</v>
      </c>
      <c r="J26" s="145">
        <f t="shared" si="5"/>
        <v>159.46</v>
      </c>
      <c r="L26" s="153"/>
      <c r="M26" s="142" t="s">
        <v>37</v>
      </c>
      <c r="N26" s="107"/>
      <c r="O26" s="143" t="s">
        <v>25</v>
      </c>
    </row>
    <row r="27" spans="1:15" ht="12.75">
      <c r="A27" s="269" t="s">
        <v>466</v>
      </c>
      <c r="B27" s="244"/>
      <c r="C27" s="232">
        <v>133.97</v>
      </c>
      <c r="D27" s="245"/>
      <c r="E27" s="233">
        <v>156.56</v>
      </c>
      <c r="F27" s="239"/>
      <c r="G27" s="270">
        <f t="shared" si="2"/>
        <v>0</v>
      </c>
      <c r="H27" s="155">
        <f t="shared" si="3"/>
        <v>136.49</v>
      </c>
      <c r="I27" s="163">
        <f t="shared" si="4"/>
        <v>0</v>
      </c>
      <c r="J27" s="145">
        <f t="shared" si="5"/>
        <v>159.5</v>
      </c>
      <c r="L27" s="153"/>
      <c r="M27" s="142" t="s">
        <v>38</v>
      </c>
      <c r="N27" s="107"/>
      <c r="O27" s="143" t="s">
        <v>26</v>
      </c>
    </row>
    <row r="28" spans="1:15" ht="12.75">
      <c r="A28" s="271" t="s">
        <v>1124</v>
      </c>
      <c r="B28" s="244"/>
      <c r="C28" s="232">
        <v>157.7</v>
      </c>
      <c r="D28" s="245"/>
      <c r="E28" s="233">
        <v>186.82</v>
      </c>
      <c r="F28" s="239"/>
      <c r="G28" s="272">
        <f t="shared" si="2"/>
        <v>0</v>
      </c>
      <c r="H28" s="273">
        <f t="shared" si="3"/>
        <v>160.66</v>
      </c>
      <c r="I28" s="274">
        <f t="shared" si="4"/>
        <v>0</v>
      </c>
      <c r="J28" s="161">
        <f t="shared" si="5"/>
        <v>190.33</v>
      </c>
      <c r="L28" s="153"/>
      <c r="M28" s="142" t="s">
        <v>39</v>
      </c>
      <c r="N28" s="107"/>
      <c r="O28" s="143" t="s">
        <v>27</v>
      </c>
    </row>
    <row r="29" spans="1:15" ht="12.75">
      <c r="A29" s="271" t="s">
        <v>1125</v>
      </c>
      <c r="B29" s="244"/>
      <c r="C29" s="232">
        <v>183.8</v>
      </c>
      <c r="D29" s="245"/>
      <c r="E29" s="233">
        <v>212.92</v>
      </c>
      <c r="F29" s="239"/>
      <c r="G29" s="270">
        <f t="shared" si="2"/>
        <v>0</v>
      </c>
      <c r="H29" s="155">
        <f t="shared" si="3"/>
        <v>187.26</v>
      </c>
      <c r="I29" s="163">
        <f t="shared" si="4"/>
        <v>0</v>
      </c>
      <c r="J29" s="145">
        <f t="shared" si="5"/>
        <v>216.92</v>
      </c>
      <c r="L29" s="153"/>
      <c r="M29" s="142" t="s">
        <v>40</v>
      </c>
      <c r="N29" s="107"/>
      <c r="O29" s="144" t="s">
        <v>30</v>
      </c>
    </row>
    <row r="30" spans="1:15" ht="12.75">
      <c r="A30" s="269" t="s">
        <v>1126</v>
      </c>
      <c r="B30" s="244"/>
      <c r="C30" s="232">
        <v>130.38</v>
      </c>
      <c r="D30" s="245"/>
      <c r="E30" s="233">
        <v>185.65</v>
      </c>
      <c r="F30" s="239"/>
      <c r="G30" s="270">
        <f t="shared" si="2"/>
        <v>0</v>
      </c>
      <c r="H30" s="155">
        <f t="shared" si="3"/>
        <v>132.83</v>
      </c>
      <c r="I30" s="163">
        <f t="shared" si="4"/>
        <v>0</v>
      </c>
      <c r="J30" s="145">
        <f t="shared" si="5"/>
        <v>189.14</v>
      </c>
      <c r="L30" s="153"/>
      <c r="M30" s="142" t="s">
        <v>41</v>
      </c>
      <c r="N30" s="107"/>
      <c r="O30" s="143" t="s">
        <v>31</v>
      </c>
    </row>
    <row r="31" spans="1:15" ht="12.75">
      <c r="A31" s="275" t="s">
        <v>1127</v>
      </c>
      <c r="B31" s="249"/>
      <c r="C31" s="234">
        <v>201.05</v>
      </c>
      <c r="D31" s="250"/>
      <c r="E31" s="235">
        <v>230.18</v>
      </c>
      <c r="F31" s="239"/>
      <c r="G31" s="276">
        <f t="shared" si="2"/>
        <v>0</v>
      </c>
      <c r="H31" s="253">
        <f t="shared" si="3"/>
        <v>204.83</v>
      </c>
      <c r="I31" s="277">
        <f t="shared" si="4"/>
        <v>0</v>
      </c>
      <c r="J31" s="254">
        <f t="shared" si="5"/>
        <v>234.51</v>
      </c>
      <c r="L31" s="156"/>
      <c r="M31" s="148" t="s">
        <v>42</v>
      </c>
      <c r="N31" s="147"/>
      <c r="O31" s="149" t="s">
        <v>32</v>
      </c>
    </row>
    <row r="32" spans="1:10" ht="12.75">
      <c r="A32" s="255"/>
      <c r="B32" s="255"/>
      <c r="C32" s="255"/>
      <c r="D32" s="255"/>
      <c r="E32" s="255"/>
      <c r="F32" s="239"/>
      <c r="G32" s="239"/>
      <c r="H32" s="239"/>
      <c r="I32" s="239"/>
      <c r="J32" s="239"/>
    </row>
    <row r="33" spans="1:21" ht="12.75">
      <c r="A33" s="265" t="s">
        <v>1324</v>
      </c>
      <c r="B33" s="255"/>
      <c r="C33" s="255"/>
      <c r="D33" s="255"/>
      <c r="E33" s="255"/>
      <c r="F33" s="239"/>
      <c r="G33" s="239"/>
      <c r="H33" s="239"/>
      <c r="I33" s="239"/>
      <c r="J33" s="239"/>
      <c r="Q33" s="2"/>
      <c r="R33" s="2"/>
      <c r="S33" s="2"/>
      <c r="T33" s="2"/>
      <c r="U33" s="2"/>
    </row>
    <row r="34" spans="1:21" ht="12.75">
      <c r="A34" s="278" t="s">
        <v>1128</v>
      </c>
      <c r="B34" s="257">
        <v>60.35</v>
      </c>
      <c r="C34" s="230">
        <v>91.22</v>
      </c>
      <c r="D34" s="230">
        <v>66.05</v>
      </c>
      <c r="E34" s="231">
        <v>96.92</v>
      </c>
      <c r="F34" s="239"/>
      <c r="G34" s="258">
        <f aca="true" t="shared" si="6" ref="G34:J40">ROUND(B34*$J$2,2)</f>
        <v>61.48</v>
      </c>
      <c r="H34" s="242">
        <f t="shared" si="6"/>
        <v>92.93</v>
      </c>
      <c r="I34" s="242">
        <f t="shared" si="6"/>
        <v>67.29</v>
      </c>
      <c r="J34" s="140">
        <f t="shared" si="6"/>
        <v>98.74</v>
      </c>
      <c r="L34" s="157" t="s">
        <v>57</v>
      </c>
      <c r="M34" s="158" t="s">
        <v>64</v>
      </c>
      <c r="N34" s="158" t="s">
        <v>43</v>
      </c>
      <c r="O34" s="162" t="s">
        <v>50</v>
      </c>
      <c r="Q34" s="456"/>
      <c r="R34" s="456"/>
      <c r="S34" s="456"/>
      <c r="T34" s="456"/>
      <c r="U34" s="2"/>
    </row>
    <row r="35" spans="1:21" ht="12.75">
      <c r="A35" s="279" t="s">
        <v>1129</v>
      </c>
      <c r="B35" s="260">
        <v>76.39</v>
      </c>
      <c r="C35" s="232">
        <v>107.26</v>
      </c>
      <c r="D35" s="232">
        <v>82.1</v>
      </c>
      <c r="E35" s="233">
        <v>112.97</v>
      </c>
      <c r="F35" s="239"/>
      <c r="G35" s="261">
        <f t="shared" si="6"/>
        <v>77.83</v>
      </c>
      <c r="H35" s="155">
        <f t="shared" si="6"/>
        <v>109.28</v>
      </c>
      <c r="I35" s="155">
        <f t="shared" si="6"/>
        <v>83.64</v>
      </c>
      <c r="J35" s="145">
        <f t="shared" si="6"/>
        <v>115.09</v>
      </c>
      <c r="L35" s="159" t="s">
        <v>58</v>
      </c>
      <c r="M35" s="163" t="s">
        <v>65</v>
      </c>
      <c r="N35" s="160" t="s">
        <v>44</v>
      </c>
      <c r="O35" s="164" t="s">
        <v>51</v>
      </c>
      <c r="Q35" s="456"/>
      <c r="R35" s="457"/>
      <c r="S35" s="456"/>
      <c r="T35" s="456"/>
      <c r="U35" s="2"/>
    </row>
    <row r="36" spans="1:21" ht="12.75">
      <c r="A36" s="279" t="s">
        <v>1130</v>
      </c>
      <c r="B36" s="260">
        <v>90.16</v>
      </c>
      <c r="C36" s="232">
        <v>121.04</v>
      </c>
      <c r="D36" s="232">
        <v>109.41</v>
      </c>
      <c r="E36" s="233">
        <v>140.28</v>
      </c>
      <c r="F36" s="239"/>
      <c r="G36" s="261">
        <f t="shared" si="6"/>
        <v>91.86</v>
      </c>
      <c r="H36" s="155">
        <f t="shared" si="6"/>
        <v>123.32</v>
      </c>
      <c r="I36" s="155">
        <f t="shared" si="6"/>
        <v>111.47</v>
      </c>
      <c r="J36" s="145">
        <f t="shared" si="6"/>
        <v>142.92</v>
      </c>
      <c r="L36" s="159" t="s">
        <v>59</v>
      </c>
      <c r="M36" s="160" t="s">
        <v>66</v>
      </c>
      <c r="N36" s="160" t="s">
        <v>45</v>
      </c>
      <c r="O36" s="164" t="s">
        <v>52</v>
      </c>
      <c r="Q36" s="456"/>
      <c r="R36" s="456"/>
      <c r="S36" s="456"/>
      <c r="T36" s="456"/>
      <c r="U36" s="2"/>
    </row>
    <row r="37" spans="1:21" ht="12.75">
      <c r="A37" s="279" t="s">
        <v>1131</v>
      </c>
      <c r="B37" s="260">
        <v>102.68</v>
      </c>
      <c r="C37" s="232">
        <v>133.55</v>
      </c>
      <c r="D37" s="232">
        <v>121.92</v>
      </c>
      <c r="E37" s="233">
        <v>152.79</v>
      </c>
      <c r="F37" s="239"/>
      <c r="G37" s="261">
        <f t="shared" si="6"/>
        <v>104.61</v>
      </c>
      <c r="H37" s="155">
        <f t="shared" si="6"/>
        <v>136.06</v>
      </c>
      <c r="I37" s="155">
        <f t="shared" si="6"/>
        <v>124.21</v>
      </c>
      <c r="J37" s="145">
        <f t="shared" si="6"/>
        <v>155.66</v>
      </c>
      <c r="L37" s="159" t="s">
        <v>60</v>
      </c>
      <c r="M37" s="160" t="s">
        <v>67</v>
      </c>
      <c r="N37" s="160" t="s">
        <v>46</v>
      </c>
      <c r="O37" s="164" t="s">
        <v>53</v>
      </c>
      <c r="Q37" s="456"/>
      <c r="R37" s="456"/>
      <c r="S37" s="456"/>
      <c r="T37" s="456"/>
      <c r="U37" s="2"/>
    </row>
    <row r="38" spans="1:21" ht="12.75">
      <c r="A38" s="279" t="s">
        <v>1132</v>
      </c>
      <c r="B38" s="260">
        <v>134.08</v>
      </c>
      <c r="C38" s="232">
        <v>176.31</v>
      </c>
      <c r="D38" s="232">
        <v>154.17</v>
      </c>
      <c r="E38" s="233">
        <v>196.39</v>
      </c>
      <c r="F38" s="239"/>
      <c r="G38" s="261">
        <f t="shared" si="6"/>
        <v>136.6</v>
      </c>
      <c r="H38" s="155">
        <f t="shared" si="6"/>
        <v>179.62</v>
      </c>
      <c r="I38" s="155">
        <f t="shared" si="6"/>
        <v>157.07</v>
      </c>
      <c r="J38" s="145">
        <f t="shared" si="6"/>
        <v>200.08</v>
      </c>
      <c r="L38" s="159" t="s">
        <v>61</v>
      </c>
      <c r="M38" s="160" t="s">
        <v>68</v>
      </c>
      <c r="N38" s="160" t="s">
        <v>47</v>
      </c>
      <c r="O38" s="164" t="s">
        <v>54</v>
      </c>
      <c r="Q38" s="456"/>
      <c r="R38" s="456"/>
      <c r="S38" s="456"/>
      <c r="T38" s="456"/>
      <c r="U38" s="2"/>
    </row>
    <row r="39" spans="1:21" ht="12.75">
      <c r="A39" s="279" t="s">
        <v>1133</v>
      </c>
      <c r="B39" s="260">
        <v>116.81</v>
      </c>
      <c r="C39" s="232">
        <v>159.03</v>
      </c>
      <c r="D39" s="232">
        <v>136.9</v>
      </c>
      <c r="E39" s="233">
        <v>179.12</v>
      </c>
      <c r="F39" s="239"/>
      <c r="G39" s="261">
        <f t="shared" si="6"/>
        <v>119.01</v>
      </c>
      <c r="H39" s="155">
        <f t="shared" si="6"/>
        <v>162.02</v>
      </c>
      <c r="I39" s="155">
        <f t="shared" si="6"/>
        <v>139.47</v>
      </c>
      <c r="J39" s="145">
        <f t="shared" si="6"/>
        <v>182.49</v>
      </c>
      <c r="L39" s="159" t="s">
        <v>62</v>
      </c>
      <c r="M39" s="160" t="s">
        <v>69</v>
      </c>
      <c r="N39" s="160" t="s">
        <v>48</v>
      </c>
      <c r="O39" s="164" t="s">
        <v>55</v>
      </c>
      <c r="Q39" s="456"/>
      <c r="R39" s="456"/>
      <c r="S39" s="456"/>
      <c r="T39" s="456"/>
      <c r="U39" s="2"/>
    </row>
    <row r="40" spans="1:21" ht="12.75">
      <c r="A40" s="280" t="s">
        <v>1134</v>
      </c>
      <c r="B40" s="263">
        <v>145.35</v>
      </c>
      <c r="C40" s="234">
        <v>216.74</v>
      </c>
      <c r="D40" s="234">
        <v>171.81</v>
      </c>
      <c r="E40" s="235">
        <v>243.21</v>
      </c>
      <c r="F40" s="239"/>
      <c r="G40" s="281">
        <f t="shared" si="6"/>
        <v>148.08</v>
      </c>
      <c r="H40" s="282">
        <f t="shared" si="6"/>
        <v>220.81</v>
      </c>
      <c r="I40" s="282">
        <f t="shared" si="6"/>
        <v>175.04</v>
      </c>
      <c r="J40" s="283">
        <f t="shared" si="6"/>
        <v>247.78</v>
      </c>
      <c r="L40" s="168" t="s">
        <v>63</v>
      </c>
      <c r="M40" s="169" t="s">
        <v>70</v>
      </c>
      <c r="N40" s="169" t="s">
        <v>49</v>
      </c>
      <c r="O40" s="170" t="s">
        <v>56</v>
      </c>
      <c r="Q40" s="456"/>
      <c r="R40" s="456"/>
      <c r="S40" s="456"/>
      <c r="T40" s="456"/>
      <c r="U40" s="2"/>
    </row>
    <row r="41" spans="1:21" ht="12.75">
      <c r="A41" s="255"/>
      <c r="B41" s="255"/>
      <c r="C41" s="255"/>
      <c r="D41" s="255"/>
      <c r="E41" s="255"/>
      <c r="F41" s="239"/>
      <c r="G41" s="239"/>
      <c r="H41" s="239"/>
      <c r="I41" s="239"/>
      <c r="J41" s="239"/>
      <c r="Q41" s="2"/>
      <c r="R41" s="2"/>
      <c r="S41" s="2"/>
      <c r="T41" s="2"/>
      <c r="U41" s="2"/>
    </row>
    <row r="42" spans="1:21" ht="12.75">
      <c r="A42" s="266" t="s">
        <v>1135</v>
      </c>
      <c r="B42" s="257"/>
      <c r="C42" s="230"/>
      <c r="D42" s="230"/>
      <c r="E42" s="231">
        <v>125.19</v>
      </c>
      <c r="F42" s="239"/>
      <c r="G42" s="284">
        <f aca="true" t="shared" si="7" ref="G42:I46">ROUND(B42*$J$2,2)</f>
        <v>0</v>
      </c>
      <c r="H42" s="285">
        <f t="shared" si="7"/>
        <v>0</v>
      </c>
      <c r="I42" s="285">
        <f t="shared" si="7"/>
        <v>0</v>
      </c>
      <c r="J42" s="286">
        <f aca="true" t="shared" si="8" ref="J42:J48">ROUND(E42*$J$2,2)</f>
        <v>127.54</v>
      </c>
      <c r="L42" s="151" t="s">
        <v>1252</v>
      </c>
      <c r="M42" s="138" t="s">
        <v>1253</v>
      </c>
      <c r="N42" s="138" t="s">
        <v>1251</v>
      </c>
      <c r="O42" s="152" t="s">
        <v>71</v>
      </c>
      <c r="Q42" s="456"/>
      <c r="R42" s="456"/>
      <c r="S42" s="456"/>
      <c r="T42" s="456"/>
      <c r="U42" s="2"/>
    </row>
    <row r="43" spans="1:21" ht="12.75">
      <c r="A43" s="269" t="s">
        <v>1136</v>
      </c>
      <c r="B43" s="260"/>
      <c r="C43" s="232"/>
      <c r="D43" s="232"/>
      <c r="E43" s="233">
        <v>161.57</v>
      </c>
      <c r="F43" s="239"/>
      <c r="G43" s="287">
        <f t="shared" si="7"/>
        <v>0</v>
      </c>
      <c r="H43" s="171">
        <f t="shared" si="7"/>
        <v>0</v>
      </c>
      <c r="I43" s="171">
        <f t="shared" si="7"/>
        <v>0</v>
      </c>
      <c r="J43" s="172">
        <f t="shared" si="8"/>
        <v>164.61</v>
      </c>
      <c r="L43" s="153" t="s">
        <v>1255</v>
      </c>
      <c r="M43" s="154" t="s">
        <v>1256</v>
      </c>
      <c r="N43" s="142" t="s">
        <v>1254</v>
      </c>
      <c r="O43" s="143" t="s">
        <v>72</v>
      </c>
      <c r="Q43" s="456"/>
      <c r="R43" s="457"/>
      <c r="S43" s="456"/>
      <c r="T43" s="456"/>
      <c r="U43" s="2"/>
    </row>
    <row r="44" spans="1:21" ht="12.75">
      <c r="A44" s="269" t="s">
        <v>1137</v>
      </c>
      <c r="B44" s="260"/>
      <c r="C44" s="232"/>
      <c r="D44" s="232"/>
      <c r="E44" s="233">
        <v>199.7</v>
      </c>
      <c r="F44" s="239"/>
      <c r="G44" s="287">
        <f t="shared" si="7"/>
        <v>0</v>
      </c>
      <c r="H44" s="171">
        <f t="shared" si="7"/>
        <v>0</v>
      </c>
      <c r="I44" s="171">
        <f t="shared" si="7"/>
        <v>0</v>
      </c>
      <c r="J44" s="172">
        <f t="shared" si="8"/>
        <v>203.45</v>
      </c>
      <c r="L44" s="153" t="s">
        <v>481</v>
      </c>
      <c r="M44" s="142" t="s">
        <v>482</v>
      </c>
      <c r="N44" s="142" t="s">
        <v>480</v>
      </c>
      <c r="O44" s="143" t="s">
        <v>73</v>
      </c>
      <c r="Q44" s="456"/>
      <c r="R44" s="456"/>
      <c r="S44" s="456"/>
      <c r="T44" s="456"/>
      <c r="U44" s="2"/>
    </row>
    <row r="45" spans="1:21" ht="12.75">
      <c r="A45" s="269" t="s">
        <v>1138</v>
      </c>
      <c r="B45" s="260"/>
      <c r="C45" s="232"/>
      <c r="D45" s="232"/>
      <c r="E45" s="233">
        <v>234.65</v>
      </c>
      <c r="F45" s="239"/>
      <c r="G45" s="287">
        <f t="shared" si="7"/>
        <v>0</v>
      </c>
      <c r="H45" s="171">
        <f t="shared" si="7"/>
        <v>0</v>
      </c>
      <c r="I45" s="171">
        <f t="shared" si="7"/>
        <v>0</v>
      </c>
      <c r="J45" s="172">
        <f t="shared" si="8"/>
        <v>239.06</v>
      </c>
      <c r="L45" s="153" t="s">
        <v>484</v>
      </c>
      <c r="M45" s="142" t="s">
        <v>485</v>
      </c>
      <c r="N45" s="142" t="s">
        <v>483</v>
      </c>
      <c r="O45" s="143" t="s">
        <v>74</v>
      </c>
      <c r="Q45" s="456"/>
      <c r="R45" s="456"/>
      <c r="S45" s="456"/>
      <c r="T45" s="456"/>
      <c r="U45" s="2"/>
    </row>
    <row r="46" spans="1:21" ht="12.75">
      <c r="A46" s="275" t="s">
        <v>1139</v>
      </c>
      <c r="B46" s="263"/>
      <c r="C46" s="234"/>
      <c r="D46" s="234"/>
      <c r="E46" s="235">
        <v>233.55</v>
      </c>
      <c r="F46" s="239"/>
      <c r="G46" s="288">
        <f t="shared" si="7"/>
        <v>0</v>
      </c>
      <c r="H46" s="289">
        <f t="shared" si="7"/>
        <v>0</v>
      </c>
      <c r="I46" s="289">
        <f t="shared" si="7"/>
        <v>0</v>
      </c>
      <c r="J46" s="228">
        <f t="shared" si="8"/>
        <v>237.94</v>
      </c>
      <c r="L46" s="153" t="s">
        <v>487</v>
      </c>
      <c r="M46" s="142" t="s">
        <v>488</v>
      </c>
      <c r="N46" s="142" t="s">
        <v>486</v>
      </c>
      <c r="O46" s="143" t="s">
        <v>75</v>
      </c>
      <c r="Q46" s="456"/>
      <c r="R46" s="456"/>
      <c r="S46" s="456"/>
      <c r="T46" s="456"/>
      <c r="U46" s="2"/>
    </row>
    <row r="47" spans="1:21" ht="12.75">
      <c r="A47" s="255"/>
      <c r="B47" s="255"/>
      <c r="C47" s="255"/>
      <c r="D47" s="255"/>
      <c r="E47" s="255"/>
      <c r="F47" s="239"/>
      <c r="G47" s="239"/>
      <c r="H47" s="239"/>
      <c r="I47" s="239"/>
      <c r="J47" s="239"/>
      <c r="Q47" s="2"/>
      <c r="R47" s="2"/>
      <c r="S47" s="2"/>
      <c r="T47" s="2"/>
      <c r="U47" s="2"/>
    </row>
    <row r="48" spans="1:21" ht="12.75">
      <c r="A48" s="290" t="s">
        <v>1247</v>
      </c>
      <c r="B48" s="291"/>
      <c r="C48" s="292"/>
      <c r="D48" s="292"/>
      <c r="E48" s="293">
        <v>277.84</v>
      </c>
      <c r="F48" s="239"/>
      <c r="G48" s="294"/>
      <c r="H48" s="295"/>
      <c r="I48" s="295"/>
      <c r="J48" s="229">
        <f t="shared" si="8"/>
        <v>283.06</v>
      </c>
      <c r="L48" s="153" t="s">
        <v>1249</v>
      </c>
      <c r="M48" s="142" t="s">
        <v>1250</v>
      </c>
      <c r="N48" s="142" t="s">
        <v>1248</v>
      </c>
      <c r="O48" s="142" t="s">
        <v>76</v>
      </c>
      <c r="Q48" s="456"/>
      <c r="R48" s="456"/>
      <c r="S48" s="456"/>
      <c r="T48" s="456"/>
      <c r="U48" s="2"/>
    </row>
    <row r="49" spans="1:21" ht="12.75">
      <c r="A49" s="255"/>
      <c r="B49" s="255"/>
      <c r="C49" s="255"/>
      <c r="D49" s="255"/>
      <c r="E49" s="255"/>
      <c r="F49" s="239"/>
      <c r="G49" s="239"/>
      <c r="H49" s="239"/>
      <c r="I49" s="239"/>
      <c r="J49" s="239"/>
      <c r="Q49" s="2"/>
      <c r="R49" s="2"/>
      <c r="S49" s="2"/>
      <c r="T49" s="2"/>
      <c r="U49" s="2"/>
    </row>
    <row r="50" spans="1:21" ht="12.75">
      <c r="A50" s="278" t="s">
        <v>1140</v>
      </c>
      <c r="B50" s="257">
        <v>83.86</v>
      </c>
      <c r="C50" s="230">
        <v>118.58</v>
      </c>
      <c r="D50" s="230">
        <v>89.57</v>
      </c>
      <c r="E50" s="231">
        <v>124.28</v>
      </c>
      <c r="F50" s="239"/>
      <c r="G50" s="284">
        <f aca="true" t="shared" si="9" ref="G50:J56">ROUND(B50*$J$2,2)</f>
        <v>85.44</v>
      </c>
      <c r="H50" s="285">
        <f t="shared" si="9"/>
        <v>120.81</v>
      </c>
      <c r="I50" s="285">
        <f t="shared" si="9"/>
        <v>91.25</v>
      </c>
      <c r="J50" s="286">
        <f t="shared" si="9"/>
        <v>126.62</v>
      </c>
      <c r="L50" s="151" t="s">
        <v>605</v>
      </c>
      <c r="M50" s="138" t="s">
        <v>96</v>
      </c>
      <c r="N50" s="138" t="s">
        <v>77</v>
      </c>
      <c r="O50" s="152" t="s">
        <v>84</v>
      </c>
      <c r="Q50" s="456"/>
      <c r="R50" s="456"/>
      <c r="S50" s="456"/>
      <c r="T50" s="456"/>
      <c r="U50" s="2"/>
    </row>
    <row r="51" spans="1:21" ht="12.75">
      <c r="A51" s="279" t="s">
        <v>1141</v>
      </c>
      <c r="B51" s="260">
        <v>112.32</v>
      </c>
      <c r="C51" s="232">
        <v>143.92</v>
      </c>
      <c r="D51" s="232">
        <v>118.02</v>
      </c>
      <c r="E51" s="233">
        <v>149.63</v>
      </c>
      <c r="F51" s="239"/>
      <c r="G51" s="287">
        <f t="shared" si="9"/>
        <v>114.43</v>
      </c>
      <c r="H51" s="171">
        <f t="shared" si="9"/>
        <v>146.63</v>
      </c>
      <c r="I51" s="171">
        <f t="shared" si="9"/>
        <v>120.24</v>
      </c>
      <c r="J51" s="172">
        <f t="shared" si="9"/>
        <v>152.44</v>
      </c>
      <c r="L51" s="153" t="s">
        <v>91</v>
      </c>
      <c r="M51" s="154" t="s">
        <v>97</v>
      </c>
      <c r="N51" s="142" t="s">
        <v>78</v>
      </c>
      <c r="O51" s="143" t="s">
        <v>85</v>
      </c>
      <c r="Q51" s="456"/>
      <c r="R51" s="457"/>
      <c r="S51" s="456"/>
      <c r="T51" s="456"/>
      <c r="U51" s="2"/>
    </row>
    <row r="52" spans="1:21" ht="12.75">
      <c r="A52" s="279" t="s">
        <v>1142</v>
      </c>
      <c r="B52" s="260">
        <v>98.94</v>
      </c>
      <c r="C52" s="232">
        <v>133.66</v>
      </c>
      <c r="D52" s="232">
        <v>130.68</v>
      </c>
      <c r="E52" s="233">
        <v>165.4</v>
      </c>
      <c r="F52" s="239"/>
      <c r="G52" s="287">
        <f t="shared" si="9"/>
        <v>100.8</v>
      </c>
      <c r="H52" s="171">
        <f t="shared" si="9"/>
        <v>136.17</v>
      </c>
      <c r="I52" s="171">
        <f t="shared" si="9"/>
        <v>133.14</v>
      </c>
      <c r="J52" s="172">
        <f t="shared" si="9"/>
        <v>168.51</v>
      </c>
      <c r="L52" s="153" t="s">
        <v>135</v>
      </c>
      <c r="M52" s="142" t="s">
        <v>98</v>
      </c>
      <c r="N52" s="142" t="s">
        <v>79</v>
      </c>
      <c r="O52" s="143" t="s">
        <v>86</v>
      </c>
      <c r="Q52" s="456"/>
      <c r="R52" s="456"/>
      <c r="S52" s="456"/>
      <c r="T52" s="456"/>
      <c r="U52" s="2"/>
    </row>
    <row r="53" spans="1:21" ht="12.75">
      <c r="A53" s="279" t="s">
        <v>1143</v>
      </c>
      <c r="B53" s="260">
        <v>114.99</v>
      </c>
      <c r="C53" s="232">
        <v>146.6</v>
      </c>
      <c r="D53" s="232">
        <v>146.73</v>
      </c>
      <c r="E53" s="233">
        <v>178.34</v>
      </c>
      <c r="F53" s="239"/>
      <c r="G53" s="287">
        <f t="shared" si="9"/>
        <v>117.15</v>
      </c>
      <c r="H53" s="171">
        <f t="shared" si="9"/>
        <v>149.36</v>
      </c>
      <c r="I53" s="171">
        <f t="shared" si="9"/>
        <v>149.49</v>
      </c>
      <c r="J53" s="172">
        <f t="shared" si="9"/>
        <v>181.69</v>
      </c>
      <c r="L53" s="153" t="s">
        <v>92</v>
      </c>
      <c r="M53" s="142" t="s">
        <v>99</v>
      </c>
      <c r="N53" s="142" t="s">
        <v>80</v>
      </c>
      <c r="O53" s="143" t="s">
        <v>87</v>
      </c>
      <c r="Q53" s="456"/>
      <c r="R53" s="456"/>
      <c r="S53" s="456"/>
      <c r="T53" s="456"/>
      <c r="U53" s="2"/>
    </row>
    <row r="54" spans="1:21" ht="12.75">
      <c r="A54" s="279" t="s">
        <v>1144</v>
      </c>
      <c r="B54" s="260">
        <v>135.35</v>
      </c>
      <c r="C54" s="232">
        <v>170.06</v>
      </c>
      <c r="D54" s="232">
        <v>168.48</v>
      </c>
      <c r="E54" s="233">
        <v>203.2</v>
      </c>
      <c r="F54" s="239"/>
      <c r="G54" s="287">
        <f t="shared" si="9"/>
        <v>137.89</v>
      </c>
      <c r="H54" s="171">
        <f t="shared" si="9"/>
        <v>173.26</v>
      </c>
      <c r="I54" s="171">
        <f t="shared" si="9"/>
        <v>171.65</v>
      </c>
      <c r="J54" s="172">
        <f t="shared" si="9"/>
        <v>207.02</v>
      </c>
      <c r="L54" s="153" t="s">
        <v>93</v>
      </c>
      <c r="M54" s="142" t="s">
        <v>100</v>
      </c>
      <c r="N54" s="142" t="s">
        <v>81</v>
      </c>
      <c r="O54" s="143" t="s">
        <v>88</v>
      </c>
      <c r="Q54" s="456"/>
      <c r="R54" s="456"/>
      <c r="S54" s="456"/>
      <c r="T54" s="456"/>
      <c r="U54" s="2"/>
    </row>
    <row r="55" spans="1:21" ht="12.75">
      <c r="A55" s="279" t="s">
        <v>1145</v>
      </c>
      <c r="B55" s="260">
        <v>148.87</v>
      </c>
      <c r="C55" s="232">
        <v>180.48</v>
      </c>
      <c r="D55" s="232">
        <v>182</v>
      </c>
      <c r="E55" s="233">
        <v>213.61</v>
      </c>
      <c r="F55" s="239"/>
      <c r="G55" s="287">
        <f t="shared" si="9"/>
        <v>151.67</v>
      </c>
      <c r="H55" s="171">
        <f t="shared" si="9"/>
        <v>183.87</v>
      </c>
      <c r="I55" s="171">
        <f t="shared" si="9"/>
        <v>185.42</v>
      </c>
      <c r="J55" s="172">
        <f t="shared" si="9"/>
        <v>217.63</v>
      </c>
      <c r="L55" s="153" t="s">
        <v>94</v>
      </c>
      <c r="M55" s="142" t="s">
        <v>101</v>
      </c>
      <c r="N55" s="142" t="s">
        <v>82</v>
      </c>
      <c r="O55" s="143" t="s">
        <v>89</v>
      </c>
      <c r="Q55" s="456"/>
      <c r="R55" s="456"/>
      <c r="S55" s="456"/>
      <c r="T55" s="456"/>
      <c r="U55" s="2"/>
    </row>
    <row r="56" spans="1:21" ht="12.75">
      <c r="A56" s="280" t="s">
        <v>1146</v>
      </c>
      <c r="B56" s="263">
        <v>166.28</v>
      </c>
      <c r="C56" s="234">
        <v>192.79</v>
      </c>
      <c r="D56" s="234">
        <v>199.41</v>
      </c>
      <c r="E56" s="235">
        <v>225.92</v>
      </c>
      <c r="F56" s="239"/>
      <c r="G56" s="296">
        <f t="shared" si="9"/>
        <v>169.41</v>
      </c>
      <c r="H56" s="297">
        <f t="shared" si="9"/>
        <v>196.41</v>
      </c>
      <c r="I56" s="297">
        <f t="shared" si="9"/>
        <v>203.16</v>
      </c>
      <c r="J56" s="298">
        <f t="shared" si="9"/>
        <v>230.17</v>
      </c>
      <c r="L56" s="165" t="s">
        <v>95</v>
      </c>
      <c r="M56" s="166" t="s">
        <v>102</v>
      </c>
      <c r="N56" s="166" t="s">
        <v>83</v>
      </c>
      <c r="O56" s="167" t="s">
        <v>90</v>
      </c>
      <c r="Q56" s="456"/>
      <c r="R56" s="456"/>
      <c r="S56" s="456"/>
      <c r="T56" s="456"/>
      <c r="U56" s="2"/>
    </row>
    <row r="57" spans="1:21" ht="12.75">
      <c r="A57" s="255"/>
      <c r="B57" s="255"/>
      <c r="C57" s="255"/>
      <c r="D57" s="255"/>
      <c r="E57" s="255"/>
      <c r="F57" s="239"/>
      <c r="G57" s="239"/>
      <c r="H57" s="239"/>
      <c r="I57" s="239"/>
      <c r="J57" s="239"/>
      <c r="Q57" s="2"/>
      <c r="R57" s="2"/>
      <c r="S57" s="2"/>
      <c r="T57" s="2"/>
      <c r="U57" s="2"/>
    </row>
    <row r="58" spans="1:21" ht="12.75">
      <c r="A58" s="299" t="s">
        <v>1147</v>
      </c>
      <c r="B58" s="300">
        <v>0</v>
      </c>
      <c r="C58" s="301"/>
      <c r="D58" s="301"/>
      <c r="E58" s="302"/>
      <c r="F58" s="303"/>
      <c r="G58" s="304">
        <f aca="true" t="shared" si="10" ref="G58:J60">ROUND(B58*$J$2,2)</f>
        <v>0</v>
      </c>
      <c r="H58" s="305">
        <f t="shared" si="10"/>
        <v>0</v>
      </c>
      <c r="I58" s="305">
        <f t="shared" si="10"/>
        <v>0</v>
      </c>
      <c r="J58" s="306">
        <f t="shared" si="10"/>
        <v>0</v>
      </c>
      <c r="K58" s="176"/>
      <c r="L58" s="173" t="s">
        <v>109</v>
      </c>
      <c r="M58" s="174" t="s">
        <v>112</v>
      </c>
      <c r="N58" s="174" t="s">
        <v>103</v>
      </c>
      <c r="O58" s="175" t="s">
        <v>106</v>
      </c>
      <c r="Q58" s="458"/>
      <c r="R58" s="458"/>
      <c r="S58" s="458"/>
      <c r="T58" s="458"/>
      <c r="U58" s="2"/>
    </row>
    <row r="59" spans="1:21" ht="12.75">
      <c r="A59" s="307" t="s">
        <v>1148</v>
      </c>
      <c r="B59" s="308">
        <v>0</v>
      </c>
      <c r="C59" s="227"/>
      <c r="D59" s="227"/>
      <c r="E59" s="309"/>
      <c r="F59" s="303"/>
      <c r="G59" s="310">
        <f t="shared" si="10"/>
        <v>0</v>
      </c>
      <c r="H59" s="178">
        <f t="shared" si="10"/>
        <v>0</v>
      </c>
      <c r="I59" s="178">
        <f t="shared" si="10"/>
        <v>0</v>
      </c>
      <c r="J59" s="311">
        <f t="shared" si="10"/>
        <v>0</v>
      </c>
      <c r="K59" s="176"/>
      <c r="L59" s="177" t="s">
        <v>110</v>
      </c>
      <c r="M59" s="178" t="s">
        <v>113</v>
      </c>
      <c r="N59" s="179" t="s">
        <v>104</v>
      </c>
      <c r="O59" s="180" t="s">
        <v>107</v>
      </c>
      <c r="Q59" s="458"/>
      <c r="R59" s="459"/>
      <c r="S59" s="458"/>
      <c r="T59" s="458"/>
      <c r="U59" s="2"/>
    </row>
    <row r="60" spans="1:21" ht="12.75">
      <c r="A60" s="307" t="s">
        <v>1149</v>
      </c>
      <c r="B60" s="308">
        <v>0</v>
      </c>
      <c r="C60" s="227"/>
      <c r="D60" s="227"/>
      <c r="E60" s="309"/>
      <c r="F60" s="303"/>
      <c r="G60" s="310">
        <f t="shared" si="10"/>
        <v>0</v>
      </c>
      <c r="H60" s="178">
        <f t="shared" si="10"/>
        <v>0</v>
      </c>
      <c r="I60" s="178">
        <f t="shared" si="10"/>
        <v>0</v>
      </c>
      <c r="J60" s="311">
        <f t="shared" si="10"/>
        <v>0</v>
      </c>
      <c r="K60" s="176"/>
      <c r="L60" s="177" t="s">
        <v>111</v>
      </c>
      <c r="M60" s="179" t="s">
        <v>114</v>
      </c>
      <c r="N60" s="179" t="s">
        <v>105</v>
      </c>
      <c r="O60" s="180" t="s">
        <v>108</v>
      </c>
      <c r="Q60" s="458"/>
      <c r="R60" s="458"/>
      <c r="S60" s="458"/>
      <c r="T60" s="458"/>
      <c r="U60" s="2"/>
    </row>
    <row r="61" spans="1:21" ht="12.75">
      <c r="A61" s="307" t="s">
        <v>871</v>
      </c>
      <c r="B61" s="794"/>
      <c r="C61" s="795"/>
      <c r="D61" s="795"/>
      <c r="E61" s="796"/>
      <c r="F61" s="303"/>
      <c r="G61" s="882"/>
      <c r="H61" s="883"/>
      <c r="I61" s="883"/>
      <c r="J61" s="884"/>
      <c r="K61" s="176"/>
      <c r="L61" s="797" t="s">
        <v>870</v>
      </c>
      <c r="M61" s="798" t="s">
        <v>869</v>
      </c>
      <c r="N61" s="798" t="s">
        <v>872</v>
      </c>
      <c r="O61" s="799" t="s">
        <v>873</v>
      </c>
      <c r="Q61" s="458"/>
      <c r="R61" s="458"/>
      <c r="S61" s="458"/>
      <c r="T61" s="458"/>
      <c r="U61" s="2"/>
    </row>
    <row r="62" spans="1:21" ht="12.75">
      <c r="A62" s="255"/>
      <c r="B62" s="255"/>
      <c r="C62" s="255"/>
      <c r="D62" s="255"/>
      <c r="E62" s="255"/>
      <c r="F62" s="239"/>
      <c r="G62" s="239"/>
      <c r="H62" s="239"/>
      <c r="I62" s="239"/>
      <c r="J62" s="239"/>
      <c r="Q62" s="2"/>
      <c r="R62" s="2"/>
      <c r="S62" s="2"/>
      <c r="T62" s="2"/>
      <c r="U62" s="2"/>
    </row>
    <row r="63" spans="1:21" ht="12.75">
      <c r="A63" s="299" t="s">
        <v>706</v>
      </c>
      <c r="B63" s="300"/>
      <c r="C63" s="301"/>
      <c r="D63" s="301"/>
      <c r="E63" s="302"/>
      <c r="F63" s="316"/>
      <c r="G63" s="317">
        <f aca="true" t="shared" si="11" ref="G63:J67">ROUND(B63*$J$2,2)</f>
        <v>0</v>
      </c>
      <c r="H63" s="318">
        <f t="shared" si="11"/>
        <v>0</v>
      </c>
      <c r="I63" s="318">
        <f t="shared" si="11"/>
        <v>0</v>
      </c>
      <c r="J63" s="319">
        <f t="shared" si="11"/>
        <v>0</v>
      </c>
      <c r="K63" s="184"/>
      <c r="L63" s="181" t="s">
        <v>125</v>
      </c>
      <c r="M63" s="182" t="s">
        <v>130</v>
      </c>
      <c r="N63" s="182" t="s">
        <v>115</v>
      </c>
      <c r="O63" s="183" t="s">
        <v>123</v>
      </c>
      <c r="Q63" s="456"/>
      <c r="R63" s="456"/>
      <c r="S63" s="456"/>
      <c r="T63" s="456"/>
      <c r="U63" s="2"/>
    </row>
    <row r="64" spans="1:21" ht="12.75">
      <c r="A64" s="307" t="s">
        <v>707</v>
      </c>
      <c r="B64" s="308"/>
      <c r="C64" s="227"/>
      <c r="D64" s="227"/>
      <c r="E64" s="309"/>
      <c r="F64" s="316"/>
      <c r="G64" s="320">
        <f t="shared" si="11"/>
        <v>0</v>
      </c>
      <c r="H64" s="186">
        <f t="shared" si="11"/>
        <v>0</v>
      </c>
      <c r="I64" s="186">
        <f t="shared" si="11"/>
        <v>0</v>
      </c>
      <c r="J64" s="321">
        <f t="shared" si="11"/>
        <v>0</v>
      </c>
      <c r="K64" s="184"/>
      <c r="L64" s="185" t="s">
        <v>126</v>
      </c>
      <c r="M64" s="186" t="s">
        <v>131</v>
      </c>
      <c r="N64" s="187" t="s">
        <v>116</v>
      </c>
      <c r="O64" s="188" t="s">
        <v>124</v>
      </c>
      <c r="Q64" s="456"/>
      <c r="R64" s="457"/>
      <c r="S64" s="456"/>
      <c r="T64" s="456"/>
      <c r="U64" s="2"/>
    </row>
    <row r="65" spans="1:21" ht="12.75">
      <c r="A65" s="307" t="s">
        <v>708</v>
      </c>
      <c r="B65" s="308"/>
      <c r="C65" s="227"/>
      <c r="D65" s="227"/>
      <c r="E65" s="309"/>
      <c r="F65" s="316"/>
      <c r="G65" s="320">
        <f t="shared" si="11"/>
        <v>0</v>
      </c>
      <c r="H65" s="186">
        <f t="shared" si="11"/>
        <v>0</v>
      </c>
      <c r="I65" s="186">
        <f t="shared" si="11"/>
        <v>0</v>
      </c>
      <c r="J65" s="321">
        <f t="shared" si="11"/>
        <v>0</v>
      </c>
      <c r="K65" s="184"/>
      <c r="L65" s="185" t="s">
        <v>127</v>
      </c>
      <c r="M65" s="187" t="s">
        <v>132</v>
      </c>
      <c r="N65" s="187" t="s">
        <v>120</v>
      </c>
      <c r="O65" s="188" t="s">
        <v>117</v>
      </c>
      <c r="Q65" s="456"/>
      <c r="R65" s="456"/>
      <c r="S65" s="456"/>
      <c r="T65" s="456"/>
      <c r="U65" s="2"/>
    </row>
    <row r="66" spans="1:21" ht="12.75">
      <c r="A66" s="307" t="s">
        <v>709</v>
      </c>
      <c r="B66" s="308"/>
      <c r="C66" s="227"/>
      <c r="D66" s="227"/>
      <c r="E66" s="309"/>
      <c r="F66" s="316"/>
      <c r="G66" s="320">
        <f t="shared" si="11"/>
        <v>0</v>
      </c>
      <c r="H66" s="186">
        <f t="shared" si="11"/>
        <v>0</v>
      </c>
      <c r="I66" s="186">
        <f t="shared" si="11"/>
        <v>0</v>
      </c>
      <c r="J66" s="321">
        <f t="shared" si="11"/>
        <v>0</v>
      </c>
      <c r="K66" s="184"/>
      <c r="L66" s="185" t="s">
        <v>128</v>
      </c>
      <c r="M66" s="187" t="s">
        <v>133</v>
      </c>
      <c r="N66" s="187" t="s">
        <v>121</v>
      </c>
      <c r="O66" s="188" t="s">
        <v>118</v>
      </c>
      <c r="Q66" s="456"/>
      <c r="R66" s="456"/>
      <c r="S66" s="456"/>
      <c r="T66" s="456"/>
      <c r="U66" s="2"/>
    </row>
    <row r="67" spans="1:21" ht="12.75">
      <c r="A67" s="312" t="s">
        <v>1326</v>
      </c>
      <c r="B67" s="313"/>
      <c r="C67" s="314"/>
      <c r="D67" s="314"/>
      <c r="E67" s="315"/>
      <c r="F67" s="316"/>
      <c r="G67" s="322">
        <f t="shared" si="11"/>
        <v>0</v>
      </c>
      <c r="H67" s="323">
        <f t="shared" si="11"/>
        <v>0</v>
      </c>
      <c r="I67" s="323">
        <f t="shared" si="11"/>
        <v>0</v>
      </c>
      <c r="J67" s="324">
        <f t="shared" si="11"/>
        <v>0</v>
      </c>
      <c r="K67" s="184"/>
      <c r="L67" s="189" t="s">
        <v>129</v>
      </c>
      <c r="M67" s="190" t="s">
        <v>134</v>
      </c>
      <c r="N67" s="190" t="s">
        <v>122</v>
      </c>
      <c r="O67" s="191" t="s">
        <v>119</v>
      </c>
      <c r="Q67" s="456"/>
      <c r="R67" s="456"/>
      <c r="S67" s="456"/>
      <c r="T67" s="456"/>
      <c r="U67" s="2"/>
    </row>
    <row r="68" spans="1:21" ht="12.75">
      <c r="A68" s="255"/>
      <c r="B68" s="255"/>
      <c r="C68" s="255"/>
      <c r="D68" s="255"/>
      <c r="E68" s="255"/>
      <c r="F68" s="239"/>
      <c r="G68" s="239"/>
      <c r="H68" s="239"/>
      <c r="I68" s="239"/>
      <c r="J68" s="239"/>
      <c r="Q68" s="2"/>
      <c r="R68" s="2"/>
      <c r="S68" s="2"/>
      <c r="T68" s="2"/>
      <c r="U68" s="2"/>
    </row>
    <row r="69" spans="1:21" ht="12.75">
      <c r="A69" s="255"/>
      <c r="B69" s="255"/>
      <c r="C69" s="255"/>
      <c r="D69" s="255"/>
      <c r="E69" s="325" t="s">
        <v>721</v>
      </c>
      <c r="F69" s="326"/>
      <c r="G69" s="327" t="s">
        <v>721</v>
      </c>
      <c r="H69" s="239"/>
      <c r="I69" s="239"/>
      <c r="J69" s="239"/>
      <c r="Q69" s="2"/>
      <c r="R69" s="2"/>
      <c r="S69" s="2"/>
      <c r="T69" s="2"/>
      <c r="U69" s="2"/>
    </row>
    <row r="70" spans="1:21" ht="12.75">
      <c r="A70" s="255"/>
      <c r="B70" s="255"/>
      <c r="C70" s="255"/>
      <c r="D70" s="255"/>
      <c r="E70" s="328" t="s">
        <v>1325</v>
      </c>
      <c r="F70" s="326"/>
      <c r="G70" s="327" t="s">
        <v>1325</v>
      </c>
      <c r="H70" s="239"/>
      <c r="I70" s="239"/>
      <c r="J70" s="239"/>
      <c r="Q70" s="2"/>
      <c r="R70" s="2"/>
      <c r="S70" s="2"/>
      <c r="T70" s="2"/>
      <c r="U70" s="2"/>
    </row>
    <row r="71" spans="1:21" ht="12.75">
      <c r="A71" s="1075" t="s">
        <v>722</v>
      </c>
      <c r="B71" s="1076"/>
      <c r="C71" s="1076"/>
      <c r="D71" s="329"/>
      <c r="E71" s="330">
        <v>31.05</v>
      </c>
      <c r="F71" s="331"/>
      <c r="G71" s="332">
        <f>ROUND(E71*$J$2,2)</f>
        <v>31.63</v>
      </c>
      <c r="H71" s="239"/>
      <c r="I71" s="239"/>
      <c r="J71" s="239"/>
      <c r="Q71" s="2"/>
      <c r="R71" s="2"/>
      <c r="S71" s="2"/>
      <c r="T71" s="2"/>
      <c r="U71" s="2"/>
    </row>
    <row r="72" spans="1:21" ht="12.75">
      <c r="A72" s="1077" t="s">
        <v>723</v>
      </c>
      <c r="B72" s="1078"/>
      <c r="C72" s="1078"/>
      <c r="D72" s="333"/>
      <c r="E72" s="334">
        <v>20.91</v>
      </c>
      <c r="F72" s="331"/>
      <c r="G72" s="335">
        <f>ROUND(E72*$J$2,2)</f>
        <v>21.3</v>
      </c>
      <c r="H72" s="239"/>
      <c r="I72" s="239"/>
      <c r="J72" s="239"/>
      <c r="Q72" s="2"/>
      <c r="R72" s="2"/>
      <c r="S72" s="2"/>
      <c r="T72" s="2"/>
      <c r="U72" s="2"/>
    </row>
    <row r="73" spans="1:21" ht="12.75">
      <c r="A73" s="1079" t="s">
        <v>724</v>
      </c>
      <c r="B73" s="1080"/>
      <c r="C73" s="1080"/>
      <c r="D73" s="336"/>
      <c r="E73" s="337">
        <v>24.62</v>
      </c>
      <c r="F73" s="331"/>
      <c r="G73" s="338">
        <f>ROUND(E73*$J$2,2)</f>
        <v>25.08</v>
      </c>
      <c r="H73" s="239"/>
      <c r="I73" s="239"/>
      <c r="J73" s="239"/>
      <c r="Q73" s="2"/>
      <c r="R73" s="2"/>
      <c r="S73" s="2"/>
      <c r="T73" s="2"/>
      <c r="U73" s="2"/>
    </row>
    <row r="74" spans="1:21" ht="12.75">
      <c r="A74" s="1084"/>
      <c r="B74" s="1084"/>
      <c r="C74" s="1084"/>
      <c r="D74" s="255"/>
      <c r="E74" s="255"/>
      <c r="F74" s="239"/>
      <c r="G74" s="239"/>
      <c r="H74" s="239"/>
      <c r="I74" s="239"/>
      <c r="J74" s="239"/>
      <c r="Q74" s="2"/>
      <c r="R74" s="2"/>
      <c r="S74" s="2"/>
      <c r="T74" s="2"/>
      <c r="U74" s="2"/>
    </row>
    <row r="75" spans="1:21" ht="12.75" customHeight="1">
      <c r="A75" s="1085" t="s">
        <v>290</v>
      </c>
      <c r="B75" s="1086"/>
      <c r="C75" s="1086"/>
      <c r="D75" s="1087"/>
      <c r="E75" s="330">
        <v>25.24</v>
      </c>
      <c r="F75" s="239"/>
      <c r="G75" s="339">
        <f aca="true" t="shared" si="12" ref="G75:G82">ROUND(E75*$J$2,2)</f>
        <v>25.71</v>
      </c>
      <c r="H75" s="239"/>
      <c r="I75" s="239"/>
      <c r="J75" s="239"/>
      <c r="Q75" s="2"/>
      <c r="R75" s="2"/>
      <c r="S75" s="2"/>
      <c r="T75" s="2"/>
      <c r="U75" s="2"/>
    </row>
    <row r="76" spans="1:21" ht="12.75">
      <c r="A76" s="1069" t="s">
        <v>291</v>
      </c>
      <c r="B76" s="1070"/>
      <c r="C76" s="1070"/>
      <c r="D76" s="1071"/>
      <c r="E76" s="334">
        <v>28.61</v>
      </c>
      <c r="F76" s="239"/>
      <c r="G76" s="340">
        <f t="shared" si="12"/>
        <v>29.15</v>
      </c>
      <c r="H76" s="239"/>
      <c r="I76" s="239"/>
      <c r="J76" s="239"/>
      <c r="Q76" s="2"/>
      <c r="R76" s="2"/>
      <c r="S76" s="2"/>
      <c r="T76" s="2"/>
      <c r="U76" s="2"/>
    </row>
    <row r="77" spans="1:10" ht="12.75">
      <c r="A77" s="1069" t="s">
        <v>292</v>
      </c>
      <c r="B77" s="1070"/>
      <c r="C77" s="1070"/>
      <c r="D77" s="1071"/>
      <c r="E77" s="334">
        <v>73.47</v>
      </c>
      <c r="F77" s="239"/>
      <c r="G77" s="340">
        <f t="shared" si="12"/>
        <v>74.85</v>
      </c>
      <c r="H77" s="239"/>
      <c r="I77" s="239"/>
      <c r="J77" s="239"/>
    </row>
    <row r="78" spans="1:10" ht="12.75">
      <c r="A78" s="1069" t="s">
        <v>293</v>
      </c>
      <c r="B78" s="1070"/>
      <c r="C78" s="1070"/>
      <c r="D78" s="1071"/>
      <c r="E78" s="334">
        <v>17.88</v>
      </c>
      <c r="F78" s="239"/>
      <c r="G78" s="340">
        <f t="shared" si="12"/>
        <v>18.22</v>
      </c>
      <c r="H78" s="239"/>
      <c r="I78" s="239"/>
      <c r="J78" s="239"/>
    </row>
    <row r="79" spans="1:10" ht="12.75">
      <c r="A79" s="1069" t="s">
        <v>1243</v>
      </c>
      <c r="B79" s="1070"/>
      <c r="C79" s="1070"/>
      <c r="D79" s="1071"/>
      <c r="E79" s="334">
        <v>21.91</v>
      </c>
      <c r="F79" s="239"/>
      <c r="G79" s="340">
        <f t="shared" si="12"/>
        <v>22.32</v>
      </c>
      <c r="H79" s="239"/>
      <c r="I79" s="239"/>
      <c r="J79" s="239"/>
    </row>
    <row r="80" spans="1:10" ht="12.75">
      <c r="A80" s="1069" t="s">
        <v>1244</v>
      </c>
      <c r="B80" s="1070"/>
      <c r="C80" s="1070"/>
      <c r="D80" s="1071"/>
      <c r="E80" s="334">
        <v>32.79</v>
      </c>
      <c r="F80" s="239"/>
      <c r="G80" s="340">
        <f t="shared" si="12"/>
        <v>33.41</v>
      </c>
      <c r="H80" s="239"/>
      <c r="I80" s="239"/>
      <c r="J80" s="239"/>
    </row>
    <row r="81" spans="1:10" ht="12.75">
      <c r="A81" s="1069" t="s">
        <v>1245</v>
      </c>
      <c r="B81" s="1070"/>
      <c r="C81" s="1070"/>
      <c r="D81" s="1071"/>
      <c r="E81" s="334">
        <v>55.4</v>
      </c>
      <c r="F81" s="239"/>
      <c r="G81" s="340">
        <f t="shared" si="12"/>
        <v>56.44</v>
      </c>
      <c r="H81" s="239"/>
      <c r="I81" s="239"/>
      <c r="J81" s="239"/>
    </row>
    <row r="82" spans="1:10" ht="12.75">
      <c r="A82" s="1081" t="s">
        <v>1246</v>
      </c>
      <c r="B82" s="1082"/>
      <c r="C82" s="1082"/>
      <c r="D82" s="1083"/>
      <c r="E82" s="337">
        <v>59.78</v>
      </c>
      <c r="F82" s="239"/>
      <c r="G82" s="341">
        <f t="shared" si="12"/>
        <v>60.9</v>
      </c>
      <c r="H82" s="239"/>
      <c r="I82" s="239"/>
      <c r="J82" s="239"/>
    </row>
    <row r="83" spans="1:10" ht="12.75">
      <c r="A83" s="255"/>
      <c r="B83" s="255"/>
      <c r="C83" s="255"/>
      <c r="D83" s="255"/>
      <c r="E83" s="255"/>
      <c r="F83" s="239"/>
      <c r="G83" s="239"/>
      <c r="H83" s="239"/>
      <c r="I83" s="239"/>
      <c r="J83" s="239"/>
    </row>
    <row r="84" spans="1:10" ht="12.75">
      <c r="A84" s="255"/>
      <c r="B84" s="255"/>
      <c r="C84" s="255"/>
      <c r="D84" s="255"/>
      <c r="E84" s="255"/>
      <c r="F84" s="239"/>
      <c r="G84" s="239"/>
      <c r="H84" s="239"/>
      <c r="I84" s="239"/>
      <c r="J84" s="239"/>
    </row>
    <row r="85" spans="1:10" ht="12.75">
      <c r="A85" s="255"/>
      <c r="B85" s="255"/>
      <c r="C85" s="255"/>
      <c r="D85" s="255"/>
      <c r="E85" s="255"/>
      <c r="F85" s="239"/>
      <c r="G85" s="239"/>
      <c r="H85" s="239"/>
      <c r="I85" s="239"/>
      <c r="J85" s="239"/>
    </row>
    <row r="86" spans="1:10" ht="12.75">
      <c r="A86" s="255"/>
      <c r="B86" s="255"/>
      <c r="C86" s="255"/>
      <c r="D86" s="255"/>
      <c r="E86" s="255"/>
      <c r="F86" s="239"/>
      <c r="G86" s="239"/>
      <c r="H86" s="239"/>
      <c r="I86" s="239"/>
      <c r="J86" s="239"/>
    </row>
    <row r="87" spans="1:5" ht="12.75">
      <c r="A87" s="226"/>
      <c r="B87" s="226"/>
      <c r="C87" s="226"/>
      <c r="D87" s="226"/>
      <c r="E87" s="226"/>
    </row>
  </sheetData>
  <mergeCells count="15">
    <mergeCell ref="A81:D81"/>
    <mergeCell ref="A82:D82"/>
    <mergeCell ref="B3:E3"/>
    <mergeCell ref="G3:J3"/>
    <mergeCell ref="A74:C74"/>
    <mergeCell ref="A75:D75"/>
    <mergeCell ref="A76:D76"/>
    <mergeCell ref="A77:D77"/>
    <mergeCell ref="A78:D78"/>
    <mergeCell ref="A79:D79"/>
    <mergeCell ref="A80:D80"/>
    <mergeCell ref="L3:O3"/>
    <mergeCell ref="A71:C71"/>
    <mergeCell ref="A72:C72"/>
    <mergeCell ref="A73:C7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Blad9"/>
  <dimension ref="A1:L74"/>
  <sheetViews>
    <sheetView showGridLines="0" showZeros="0" workbookViewId="0" topLeftCell="A1">
      <pane ySplit="3" topLeftCell="BM4" activePane="bottomLeft" state="frozen"/>
      <selection pane="topLeft" activeCell="A1" sqref="A1"/>
      <selection pane="bottomLeft" activeCell="A2" sqref="A2"/>
    </sheetView>
  </sheetViews>
  <sheetFormatPr defaultColWidth="9.140625" defaultRowHeight="12.75"/>
  <cols>
    <col min="1" max="1" width="10.421875" style="19" bestFit="1" customWidth="1"/>
    <col min="2" max="2" width="49.00390625" style="19" customWidth="1"/>
    <col min="3" max="3" width="13.7109375" style="19" customWidth="1"/>
    <col min="4" max="4" width="10.7109375" style="21" bestFit="1" customWidth="1"/>
    <col min="5" max="5" width="10.28125" style="19" customWidth="1"/>
    <col min="6" max="6" width="9.140625" style="19" customWidth="1"/>
    <col min="7" max="7" width="9.7109375" style="21" customWidth="1"/>
    <col min="8" max="8" width="10.421875" style="19" customWidth="1"/>
    <col min="9" max="9" width="18.28125" style="19" customWidth="1"/>
    <col min="10" max="11" width="10.7109375" style="19" customWidth="1"/>
    <col min="12" max="12" width="10.7109375" style="19" bestFit="1" customWidth="1"/>
    <col min="13" max="16384" width="9.140625" style="19" customWidth="1"/>
  </cols>
  <sheetData>
    <row r="1" spans="1:11" ht="11.25">
      <c r="A1" s="47">
        <f ca="1">TODAY()</f>
        <v>40008</v>
      </c>
      <c r="C1" s="20"/>
      <c r="D1" s="20" t="s">
        <v>698</v>
      </c>
      <c r="E1" s="20"/>
      <c r="G1" s="20" t="s">
        <v>699</v>
      </c>
      <c r="H1" s="20"/>
      <c r="I1" s="20" t="s">
        <v>1151</v>
      </c>
      <c r="J1" s="20" t="s">
        <v>670</v>
      </c>
      <c r="K1" s="20">
        <f>0.85*E5+0.15*H5</f>
        <v>1.01925</v>
      </c>
    </row>
    <row r="2" ht="12" thickBot="1">
      <c r="B2" s="20" t="s">
        <v>986</v>
      </c>
    </row>
    <row r="3" spans="4:8" ht="12" thickBot="1">
      <c r="D3" s="19"/>
      <c r="E3" s="22" t="s">
        <v>1293</v>
      </c>
      <c r="F3" s="23"/>
      <c r="G3" s="24"/>
      <c r="H3" s="19" t="s">
        <v>704</v>
      </c>
    </row>
    <row r="4" spans="2:9" ht="11.25">
      <c r="B4" s="25" t="s">
        <v>1387</v>
      </c>
      <c r="E4" s="20" t="s">
        <v>632</v>
      </c>
      <c r="H4" s="20" t="s">
        <v>633</v>
      </c>
      <c r="I4" s="26" t="s">
        <v>634</v>
      </c>
    </row>
    <row r="5" spans="1:11" ht="11.25">
      <c r="A5" s="29" t="s">
        <v>1033</v>
      </c>
      <c r="B5" s="51" t="s">
        <v>1029</v>
      </c>
      <c r="C5" s="52" t="s">
        <v>1034</v>
      </c>
      <c r="D5" s="53" t="s">
        <v>263</v>
      </c>
      <c r="E5" s="386">
        <v>1.02</v>
      </c>
      <c r="F5" s="52" t="str">
        <f aca="true" t="shared" si="0" ref="F5:F10">C5</f>
        <v>VA11</v>
      </c>
      <c r="G5" s="53" t="s">
        <v>264</v>
      </c>
      <c r="H5" s="387">
        <v>1.015</v>
      </c>
      <c r="I5" s="55">
        <f aca="true" t="shared" si="1" ref="I5:I10">ROUND((D5*E5),2)+ROUND((G5*H5),2)</f>
        <v>71.97</v>
      </c>
      <c r="J5" s="53">
        <f aca="true" t="shared" si="2" ref="J5:J10">ROUND(D5*E5,2)</f>
        <v>58.07</v>
      </c>
      <c r="K5" s="53">
        <f aca="true" t="shared" si="3" ref="K5:K10">ROUND(G5*H5,2)</f>
        <v>13.9</v>
      </c>
    </row>
    <row r="6" spans="1:11" ht="11.25">
      <c r="A6" s="29" t="s">
        <v>639</v>
      </c>
      <c r="B6" s="51" t="s">
        <v>1467</v>
      </c>
      <c r="C6" s="52" t="s">
        <v>1035</v>
      </c>
      <c r="D6" s="53" t="s">
        <v>265</v>
      </c>
      <c r="E6" s="54">
        <f>$E$5</f>
        <v>1.02</v>
      </c>
      <c r="F6" s="52" t="str">
        <f t="shared" si="0"/>
        <v>VA12</v>
      </c>
      <c r="G6" s="53" t="s">
        <v>264</v>
      </c>
      <c r="H6" s="54">
        <f>$H$5</f>
        <v>1.015</v>
      </c>
      <c r="I6" s="55">
        <f t="shared" si="1"/>
        <v>87.43</v>
      </c>
      <c r="J6" s="53">
        <f t="shared" si="2"/>
        <v>73.53</v>
      </c>
      <c r="K6" s="53">
        <f t="shared" si="3"/>
        <v>13.9</v>
      </c>
    </row>
    <row r="7" spans="1:11" ht="11.25">
      <c r="A7" s="29" t="s">
        <v>640</v>
      </c>
      <c r="B7" s="51" t="s">
        <v>1468</v>
      </c>
      <c r="C7" s="52" t="s">
        <v>1036</v>
      </c>
      <c r="D7" s="53" t="s">
        <v>266</v>
      </c>
      <c r="E7" s="54">
        <f>$E$5</f>
        <v>1.02</v>
      </c>
      <c r="F7" s="52" t="str">
        <f t="shared" si="0"/>
        <v>VA13</v>
      </c>
      <c r="G7" s="53" t="s">
        <v>264</v>
      </c>
      <c r="H7" s="54">
        <f>$H$5</f>
        <v>1.015</v>
      </c>
      <c r="I7" s="55">
        <f t="shared" si="1"/>
        <v>113.39</v>
      </c>
      <c r="J7" s="53">
        <f t="shared" si="2"/>
        <v>99.49</v>
      </c>
      <c r="K7" s="53">
        <f t="shared" si="3"/>
        <v>13.9</v>
      </c>
    </row>
    <row r="8" spans="1:11" ht="11.25">
      <c r="A8" s="29" t="s">
        <v>641</v>
      </c>
      <c r="B8" s="51" t="s">
        <v>1085</v>
      </c>
      <c r="C8" s="52" t="s">
        <v>1037</v>
      </c>
      <c r="D8" s="53" t="s">
        <v>267</v>
      </c>
      <c r="E8" s="54">
        <f>$E$5</f>
        <v>1.02</v>
      </c>
      <c r="F8" s="52" t="str">
        <f t="shared" si="0"/>
        <v>VA14</v>
      </c>
      <c r="G8" s="53" t="s">
        <v>264</v>
      </c>
      <c r="H8" s="54">
        <f>$H$5</f>
        <v>1.015</v>
      </c>
      <c r="I8" s="55">
        <f t="shared" si="1"/>
        <v>122.82000000000001</v>
      </c>
      <c r="J8" s="53">
        <f t="shared" si="2"/>
        <v>108.92</v>
      </c>
      <c r="K8" s="53">
        <f t="shared" si="3"/>
        <v>13.9</v>
      </c>
    </row>
    <row r="9" spans="1:11" ht="11.25">
      <c r="A9" s="29" t="s">
        <v>642</v>
      </c>
      <c r="B9" s="51" t="s">
        <v>1086</v>
      </c>
      <c r="C9" s="52" t="s">
        <v>1038</v>
      </c>
      <c r="D9" s="53" t="s">
        <v>268</v>
      </c>
      <c r="E9" s="54">
        <f>$E$5</f>
        <v>1.02</v>
      </c>
      <c r="F9" s="52" t="str">
        <f t="shared" si="0"/>
        <v>VA15</v>
      </c>
      <c r="G9" s="53" t="s">
        <v>264</v>
      </c>
      <c r="H9" s="54">
        <f>$H$5</f>
        <v>1.015</v>
      </c>
      <c r="I9" s="55">
        <f t="shared" si="1"/>
        <v>164.46</v>
      </c>
      <c r="J9" s="53">
        <f t="shared" si="2"/>
        <v>150.56</v>
      </c>
      <c r="K9" s="53">
        <f t="shared" si="3"/>
        <v>13.9</v>
      </c>
    </row>
    <row r="10" spans="1:11" ht="11.25">
      <c r="A10" s="29" t="s">
        <v>643</v>
      </c>
      <c r="B10" s="51" t="s">
        <v>1087</v>
      </c>
      <c r="C10" s="52" t="s">
        <v>1039</v>
      </c>
      <c r="D10" s="53" t="s">
        <v>269</v>
      </c>
      <c r="E10" s="54">
        <f>$E$5</f>
        <v>1.02</v>
      </c>
      <c r="F10" s="52" t="str">
        <f t="shared" si="0"/>
        <v>VA16</v>
      </c>
      <c r="G10" s="53" t="s">
        <v>264</v>
      </c>
      <c r="H10" s="54">
        <f>$H$5</f>
        <v>1.015</v>
      </c>
      <c r="I10" s="55">
        <f t="shared" si="1"/>
        <v>222.28</v>
      </c>
      <c r="J10" s="53">
        <f t="shared" si="2"/>
        <v>208.38</v>
      </c>
      <c r="K10" s="53">
        <f t="shared" si="3"/>
        <v>13.9</v>
      </c>
    </row>
    <row r="11" spans="2:9" ht="11.25">
      <c r="B11" s="27"/>
      <c r="I11" s="28"/>
    </row>
    <row r="12" spans="2:9" ht="11.25">
      <c r="B12" s="25" t="s">
        <v>1388</v>
      </c>
      <c r="I12" s="28"/>
    </row>
    <row r="13" spans="1:11" ht="11.25">
      <c r="A13" s="29" t="s">
        <v>644</v>
      </c>
      <c r="B13" s="51" t="s">
        <v>1088</v>
      </c>
      <c r="C13" s="52" t="s">
        <v>1045</v>
      </c>
      <c r="D13" s="53" t="s">
        <v>270</v>
      </c>
      <c r="E13" s="54">
        <f aca="true" t="shared" si="4" ref="E13:E19">$E$5</f>
        <v>1.02</v>
      </c>
      <c r="F13" s="52" t="str">
        <f>C13</f>
        <v>VK11</v>
      </c>
      <c r="G13" s="53" t="s">
        <v>264</v>
      </c>
      <c r="H13" s="54">
        <f aca="true" t="shared" si="5" ref="H13:H19">$H$5</f>
        <v>1.015</v>
      </c>
      <c r="I13" s="55">
        <f aca="true" t="shared" si="6" ref="I13:I19">ROUND((D13*E13),2)+ROUND((G13*H13),2)</f>
        <v>145.02</v>
      </c>
      <c r="J13" s="53">
        <f aca="true" t="shared" si="7" ref="J13:J19">ROUND(D13*E13,2)</f>
        <v>131.12</v>
      </c>
      <c r="K13" s="53">
        <f aca="true" t="shared" si="8" ref="K13:K19">ROUND(G13*H13,2)</f>
        <v>13.9</v>
      </c>
    </row>
    <row r="14" spans="1:11" ht="11.25">
      <c r="A14" s="29" t="s">
        <v>645</v>
      </c>
      <c r="B14" s="51" t="s">
        <v>1089</v>
      </c>
      <c r="C14" s="52" t="s">
        <v>1040</v>
      </c>
      <c r="D14" s="53" t="s">
        <v>271</v>
      </c>
      <c r="E14" s="54">
        <f t="shared" si="4"/>
        <v>1.02</v>
      </c>
      <c r="F14" s="52" t="str">
        <f aca="true" t="shared" si="9" ref="F14:F19">C14</f>
        <v>VK12</v>
      </c>
      <c r="G14" s="53" t="s">
        <v>264</v>
      </c>
      <c r="H14" s="54">
        <f t="shared" si="5"/>
        <v>1.015</v>
      </c>
      <c r="I14" s="55">
        <f t="shared" si="6"/>
        <v>198.74</v>
      </c>
      <c r="J14" s="53">
        <f t="shared" si="7"/>
        <v>184.84</v>
      </c>
      <c r="K14" s="53">
        <f t="shared" si="8"/>
        <v>13.9</v>
      </c>
    </row>
    <row r="15" spans="1:11" ht="11.25">
      <c r="A15" s="29" t="s">
        <v>646</v>
      </c>
      <c r="B15" s="51" t="s">
        <v>1398</v>
      </c>
      <c r="C15" s="52" t="s">
        <v>1041</v>
      </c>
      <c r="D15" s="53" t="s">
        <v>272</v>
      </c>
      <c r="E15" s="54">
        <f t="shared" si="4"/>
        <v>1.02</v>
      </c>
      <c r="F15" s="52" t="str">
        <f t="shared" si="9"/>
        <v>VK13</v>
      </c>
      <c r="G15" s="53" t="s">
        <v>264</v>
      </c>
      <c r="H15" s="54">
        <f t="shared" si="5"/>
        <v>1.015</v>
      </c>
      <c r="I15" s="55">
        <f t="shared" si="6"/>
        <v>179.29</v>
      </c>
      <c r="J15" s="53">
        <f t="shared" si="7"/>
        <v>165.39</v>
      </c>
      <c r="K15" s="53">
        <f t="shared" si="8"/>
        <v>13.9</v>
      </c>
    </row>
    <row r="16" spans="1:11" ht="11.25">
      <c r="A16" s="29" t="s">
        <v>647</v>
      </c>
      <c r="B16" s="51" t="s">
        <v>1399</v>
      </c>
      <c r="C16" s="52" t="s">
        <v>1042</v>
      </c>
      <c r="D16" s="53" t="s">
        <v>273</v>
      </c>
      <c r="E16" s="54">
        <f t="shared" si="4"/>
        <v>1.02</v>
      </c>
      <c r="F16" s="52" t="str">
        <f t="shared" si="9"/>
        <v>VK14</v>
      </c>
      <c r="G16" s="53" t="s">
        <v>264</v>
      </c>
      <c r="H16" s="54">
        <f t="shared" si="5"/>
        <v>1.015</v>
      </c>
      <c r="I16" s="55">
        <f t="shared" si="6"/>
        <v>232.99</v>
      </c>
      <c r="J16" s="53">
        <f t="shared" si="7"/>
        <v>219.09</v>
      </c>
      <c r="K16" s="53">
        <f t="shared" si="8"/>
        <v>13.9</v>
      </c>
    </row>
    <row r="17" spans="1:11" ht="11.25">
      <c r="A17" s="29" t="s">
        <v>648</v>
      </c>
      <c r="B17" s="51" t="s">
        <v>1262</v>
      </c>
      <c r="C17" s="52" t="s">
        <v>1043</v>
      </c>
      <c r="D17" s="53" t="s">
        <v>274</v>
      </c>
      <c r="E17" s="54">
        <f t="shared" si="4"/>
        <v>1.02</v>
      </c>
      <c r="F17" s="52" t="str">
        <f t="shared" si="9"/>
        <v>VK15</v>
      </c>
      <c r="G17" s="53" t="s">
        <v>264</v>
      </c>
      <c r="H17" s="54">
        <f t="shared" si="5"/>
        <v>1.015</v>
      </c>
      <c r="I17" s="55">
        <f t="shared" si="6"/>
        <v>236.1</v>
      </c>
      <c r="J17" s="53">
        <f t="shared" si="7"/>
        <v>222.2</v>
      </c>
      <c r="K17" s="53">
        <f t="shared" si="8"/>
        <v>13.9</v>
      </c>
    </row>
    <row r="18" spans="1:11" ht="11.25">
      <c r="A18" s="29" t="s">
        <v>649</v>
      </c>
      <c r="B18" s="51" t="s">
        <v>690</v>
      </c>
      <c r="C18" s="52" t="s">
        <v>1044</v>
      </c>
      <c r="D18" s="53" t="s">
        <v>275</v>
      </c>
      <c r="E18" s="54">
        <f t="shared" si="4"/>
        <v>1.02</v>
      </c>
      <c r="F18" s="52" t="str">
        <f t="shared" si="9"/>
        <v>VK16</v>
      </c>
      <c r="G18" s="53" t="s">
        <v>264</v>
      </c>
      <c r="H18" s="54">
        <f t="shared" si="5"/>
        <v>1.015</v>
      </c>
      <c r="I18" s="55">
        <f t="shared" si="6"/>
        <v>300.85999999999996</v>
      </c>
      <c r="J18" s="53">
        <f t="shared" si="7"/>
        <v>286.96</v>
      </c>
      <c r="K18" s="53">
        <f t="shared" si="8"/>
        <v>13.9</v>
      </c>
    </row>
    <row r="19" spans="1:11" ht="11.25">
      <c r="A19" s="29" t="s">
        <v>1478</v>
      </c>
      <c r="B19" s="51" t="s">
        <v>1480</v>
      </c>
      <c r="C19" s="52" t="s">
        <v>1479</v>
      </c>
      <c r="D19" s="53" t="s">
        <v>276</v>
      </c>
      <c r="E19" s="54">
        <f t="shared" si="4"/>
        <v>1.02</v>
      </c>
      <c r="F19" s="52" t="str">
        <f t="shared" si="9"/>
        <v>VK17</v>
      </c>
      <c r="G19" s="53" t="s">
        <v>264</v>
      </c>
      <c r="H19" s="54">
        <f t="shared" si="5"/>
        <v>1.015</v>
      </c>
      <c r="I19" s="55">
        <f t="shared" si="6"/>
        <v>215.61</v>
      </c>
      <c r="J19" s="53">
        <f t="shared" si="7"/>
        <v>201.71</v>
      </c>
      <c r="K19" s="53">
        <f t="shared" si="8"/>
        <v>13.9</v>
      </c>
    </row>
    <row r="20" spans="2:9" ht="11.25">
      <c r="B20" s="25"/>
      <c r="I20" s="28"/>
    </row>
    <row r="21" spans="2:9" ht="11.25">
      <c r="B21" s="25" t="s">
        <v>1389</v>
      </c>
      <c r="I21" s="28"/>
    </row>
    <row r="22" spans="1:11" ht="11.25">
      <c r="A22" s="29" t="s">
        <v>635</v>
      </c>
      <c r="B22" s="51" t="s">
        <v>595</v>
      </c>
      <c r="C22" s="52" t="s">
        <v>1046</v>
      </c>
      <c r="D22" s="53" t="s">
        <v>277</v>
      </c>
      <c r="E22" s="54">
        <f aca="true" t="shared" si="10" ref="E22:E30">$E$5</f>
        <v>1.02</v>
      </c>
      <c r="F22" s="52" t="str">
        <f>C22</f>
        <v>V11</v>
      </c>
      <c r="G22" s="53" t="s">
        <v>278</v>
      </c>
      <c r="H22" s="54">
        <f aca="true" t="shared" si="11" ref="H22:H30">$H$5</f>
        <v>1.015</v>
      </c>
      <c r="I22" s="55">
        <f aca="true" t="shared" si="12" ref="I22:I30">ROUND((D22*E22),2)+ROUND((G22*H22),2)</f>
        <v>88.42</v>
      </c>
      <c r="J22" s="53">
        <f aca="true" t="shared" si="13" ref="J22:J30">ROUND(D22*E22,2)</f>
        <v>75.89</v>
      </c>
      <c r="K22" s="53">
        <f aca="true" t="shared" si="14" ref="K22:K30">ROUND(G22*H22,2)</f>
        <v>12.53</v>
      </c>
    </row>
    <row r="23" spans="1:11" ht="11.25">
      <c r="A23" s="29" t="s">
        <v>636</v>
      </c>
      <c r="B23" s="51" t="s">
        <v>689</v>
      </c>
      <c r="C23" s="52" t="s">
        <v>1047</v>
      </c>
      <c r="D23" s="53" t="s">
        <v>279</v>
      </c>
      <c r="E23" s="54">
        <f t="shared" si="10"/>
        <v>1.02</v>
      </c>
      <c r="F23" s="52" t="str">
        <f aca="true" t="shared" si="15" ref="F23:F30">C23</f>
        <v>V12</v>
      </c>
      <c r="G23" s="53" t="s">
        <v>278</v>
      </c>
      <c r="H23" s="54">
        <f t="shared" si="11"/>
        <v>1.015</v>
      </c>
      <c r="I23" s="55">
        <f t="shared" si="12"/>
        <v>121.12</v>
      </c>
      <c r="J23" s="53">
        <f t="shared" si="13"/>
        <v>108.59</v>
      </c>
      <c r="K23" s="53">
        <f t="shared" si="14"/>
        <v>12.53</v>
      </c>
    </row>
    <row r="24" spans="1:11" ht="11.25">
      <c r="A24" s="29" t="s">
        <v>637</v>
      </c>
      <c r="B24" s="51" t="s">
        <v>688</v>
      </c>
      <c r="C24" s="52" t="s">
        <v>1048</v>
      </c>
      <c r="D24" s="53" t="s">
        <v>280</v>
      </c>
      <c r="E24" s="54">
        <f t="shared" si="10"/>
        <v>1.02</v>
      </c>
      <c r="F24" s="52" t="str">
        <f t="shared" si="15"/>
        <v>V13</v>
      </c>
      <c r="G24" s="53" t="s">
        <v>278</v>
      </c>
      <c r="H24" s="54">
        <f t="shared" si="11"/>
        <v>1.015</v>
      </c>
      <c r="I24" s="55">
        <f t="shared" si="12"/>
        <v>187.26</v>
      </c>
      <c r="J24" s="53">
        <f t="shared" si="13"/>
        <v>174.73</v>
      </c>
      <c r="K24" s="53">
        <f t="shared" si="14"/>
        <v>12.53</v>
      </c>
    </row>
    <row r="25" spans="1:11" ht="11.25">
      <c r="A25" s="29" t="s">
        <v>638</v>
      </c>
      <c r="B25" s="51" t="s">
        <v>1263</v>
      </c>
      <c r="C25" s="52" t="s">
        <v>1049</v>
      </c>
      <c r="D25" s="53" t="s">
        <v>281</v>
      </c>
      <c r="E25" s="54">
        <f t="shared" si="10"/>
        <v>1.02</v>
      </c>
      <c r="F25" s="52" t="str">
        <f t="shared" si="15"/>
        <v>V14</v>
      </c>
      <c r="G25" s="53" t="s">
        <v>282</v>
      </c>
      <c r="H25" s="54">
        <f t="shared" si="11"/>
        <v>1.015</v>
      </c>
      <c r="I25" s="55">
        <f t="shared" si="12"/>
        <v>41.29</v>
      </c>
      <c r="J25" s="53">
        <f t="shared" si="13"/>
        <v>34.51</v>
      </c>
      <c r="K25" s="53">
        <f t="shared" si="14"/>
        <v>6.78</v>
      </c>
    </row>
    <row r="26" spans="1:11" ht="11.25">
      <c r="A26" s="29" t="s">
        <v>650</v>
      </c>
      <c r="B26" s="51" t="s">
        <v>813</v>
      </c>
      <c r="C26" s="52" t="s">
        <v>1050</v>
      </c>
      <c r="D26" s="53" t="s">
        <v>283</v>
      </c>
      <c r="E26" s="54">
        <f t="shared" si="10"/>
        <v>1.02</v>
      </c>
      <c r="F26" s="52" t="str">
        <f t="shared" si="15"/>
        <v>V21</v>
      </c>
      <c r="G26" s="53" t="s">
        <v>278</v>
      </c>
      <c r="H26" s="54">
        <f t="shared" si="11"/>
        <v>1.015</v>
      </c>
      <c r="I26" s="55">
        <f t="shared" si="12"/>
        <v>45.74</v>
      </c>
      <c r="J26" s="53">
        <f t="shared" si="13"/>
        <v>33.21</v>
      </c>
      <c r="K26" s="53">
        <f t="shared" si="14"/>
        <v>12.53</v>
      </c>
    </row>
    <row r="27" spans="1:11" ht="11.25">
      <c r="A27" s="29" t="s">
        <v>651</v>
      </c>
      <c r="B27" s="51" t="s">
        <v>689</v>
      </c>
      <c r="C27" s="52" t="s">
        <v>1051</v>
      </c>
      <c r="D27" s="53" t="s">
        <v>991</v>
      </c>
      <c r="E27" s="54">
        <f t="shared" si="10"/>
        <v>1.02</v>
      </c>
      <c r="F27" s="52" t="str">
        <f t="shared" si="15"/>
        <v>V22</v>
      </c>
      <c r="G27" s="53" t="s">
        <v>278</v>
      </c>
      <c r="H27" s="54">
        <f t="shared" si="11"/>
        <v>1.015</v>
      </c>
      <c r="I27" s="55">
        <f t="shared" si="12"/>
        <v>102.52</v>
      </c>
      <c r="J27" s="53">
        <f t="shared" si="13"/>
        <v>89.99</v>
      </c>
      <c r="K27" s="53">
        <f t="shared" si="14"/>
        <v>12.53</v>
      </c>
    </row>
    <row r="28" spans="1:11" ht="11.25">
      <c r="A28" s="29" t="s">
        <v>652</v>
      </c>
      <c r="B28" s="51" t="s">
        <v>691</v>
      </c>
      <c r="C28" s="52" t="s">
        <v>1052</v>
      </c>
      <c r="D28" s="53" t="s">
        <v>992</v>
      </c>
      <c r="E28" s="54">
        <f t="shared" si="10"/>
        <v>1.02</v>
      </c>
      <c r="F28" s="52" t="str">
        <f t="shared" si="15"/>
        <v>V23</v>
      </c>
      <c r="G28" s="53" t="s">
        <v>278</v>
      </c>
      <c r="H28" s="54">
        <f t="shared" si="11"/>
        <v>1.015</v>
      </c>
      <c r="I28" s="55">
        <f t="shared" si="12"/>
        <v>66.39999999999999</v>
      </c>
      <c r="J28" s="53">
        <f t="shared" si="13"/>
        <v>53.87</v>
      </c>
      <c r="K28" s="53">
        <f t="shared" si="14"/>
        <v>12.53</v>
      </c>
    </row>
    <row r="29" spans="1:11" ht="11.25">
      <c r="A29" s="29" t="s">
        <v>653</v>
      </c>
      <c r="B29" s="51" t="s">
        <v>689</v>
      </c>
      <c r="C29" s="52" t="s">
        <v>1021</v>
      </c>
      <c r="D29" s="53" t="s">
        <v>993</v>
      </c>
      <c r="E29" s="54">
        <f t="shared" si="10"/>
        <v>1.02</v>
      </c>
      <c r="F29" s="52" t="str">
        <f t="shared" si="15"/>
        <v>V24</v>
      </c>
      <c r="G29" s="53" t="s">
        <v>278</v>
      </c>
      <c r="H29" s="54">
        <f t="shared" si="11"/>
        <v>1.015</v>
      </c>
      <c r="I29" s="55">
        <f t="shared" si="12"/>
        <v>112.21000000000001</v>
      </c>
      <c r="J29" s="53">
        <f t="shared" si="13"/>
        <v>99.68</v>
      </c>
      <c r="K29" s="53">
        <f t="shared" si="14"/>
        <v>12.53</v>
      </c>
    </row>
    <row r="30" spans="1:11" ht="11.25">
      <c r="A30" s="29" t="s">
        <v>654</v>
      </c>
      <c r="B30" s="51" t="s">
        <v>692</v>
      </c>
      <c r="C30" s="52" t="s">
        <v>1022</v>
      </c>
      <c r="D30" s="53" t="s">
        <v>994</v>
      </c>
      <c r="E30" s="54">
        <f t="shared" si="10"/>
        <v>1.02</v>
      </c>
      <c r="F30" s="52" t="str">
        <f t="shared" si="15"/>
        <v>V25</v>
      </c>
      <c r="G30" s="53" t="s">
        <v>278</v>
      </c>
      <c r="H30" s="54">
        <f t="shared" si="11"/>
        <v>1.015</v>
      </c>
      <c r="I30" s="55">
        <f t="shared" si="12"/>
        <v>157.52</v>
      </c>
      <c r="J30" s="53">
        <f t="shared" si="13"/>
        <v>144.99</v>
      </c>
      <c r="K30" s="53">
        <f t="shared" si="14"/>
        <v>12.53</v>
      </c>
    </row>
    <row r="31" ht="11.25">
      <c r="I31" s="28"/>
    </row>
    <row r="32" spans="2:9" ht="11.25">
      <c r="B32" s="25" t="s">
        <v>1390</v>
      </c>
      <c r="I32" s="28"/>
    </row>
    <row r="33" spans="1:11" ht="11.25">
      <c r="A33" s="29" t="s">
        <v>655</v>
      </c>
      <c r="B33" s="51" t="s">
        <v>1264</v>
      </c>
      <c r="C33" s="52" t="s">
        <v>1028</v>
      </c>
      <c r="D33" s="53" t="s">
        <v>995</v>
      </c>
      <c r="E33" s="54">
        <f aca="true" t="shared" si="16" ref="E33:E38">$E$5</f>
        <v>1.02</v>
      </c>
      <c r="F33" s="52" t="str">
        <f aca="true" t="shared" si="17" ref="F33:F38">C33</f>
        <v>VF11</v>
      </c>
      <c r="G33" s="53" t="s">
        <v>996</v>
      </c>
      <c r="H33" s="54">
        <f aca="true" t="shared" si="18" ref="H33:H38">$H$5</f>
        <v>1.015</v>
      </c>
      <c r="I33" s="55">
        <f aca="true" t="shared" si="19" ref="I33:I38">ROUND((D33*E33),2)+ROUND((G33*H33),2)</f>
        <v>201.38</v>
      </c>
      <c r="J33" s="53">
        <f aca="true" t="shared" si="20" ref="J33:J38">ROUND(D33*E33,2)</f>
        <v>187.73</v>
      </c>
      <c r="K33" s="53">
        <f aca="true" t="shared" si="21" ref="K33:K38">ROUND(G33*H33,2)</f>
        <v>13.65</v>
      </c>
    </row>
    <row r="34" spans="1:11" ht="11.25">
      <c r="A34" s="29" t="s">
        <v>656</v>
      </c>
      <c r="B34" s="51" t="s">
        <v>1265</v>
      </c>
      <c r="C34" s="52" t="s">
        <v>1023</v>
      </c>
      <c r="D34" s="53" t="s">
        <v>997</v>
      </c>
      <c r="E34" s="54">
        <f t="shared" si="16"/>
        <v>1.02</v>
      </c>
      <c r="F34" s="52" t="str">
        <f t="shared" si="17"/>
        <v>VF12</v>
      </c>
      <c r="G34" s="53" t="s">
        <v>996</v>
      </c>
      <c r="H34" s="54">
        <f t="shared" si="18"/>
        <v>1.015</v>
      </c>
      <c r="I34" s="55">
        <f t="shared" si="19"/>
        <v>264.86</v>
      </c>
      <c r="J34" s="53">
        <f t="shared" si="20"/>
        <v>251.21</v>
      </c>
      <c r="K34" s="53">
        <f t="shared" si="21"/>
        <v>13.65</v>
      </c>
    </row>
    <row r="35" spans="1:11" ht="11.25">
      <c r="A35" s="29" t="s">
        <v>657</v>
      </c>
      <c r="B35" s="51" t="s">
        <v>1457</v>
      </c>
      <c r="C35" s="52" t="s">
        <v>1024</v>
      </c>
      <c r="D35" s="53" t="s">
        <v>998</v>
      </c>
      <c r="E35" s="54">
        <f t="shared" si="16"/>
        <v>1.02</v>
      </c>
      <c r="F35" s="52" t="str">
        <f t="shared" si="17"/>
        <v>VF13</v>
      </c>
      <c r="G35" s="53" t="s">
        <v>996</v>
      </c>
      <c r="H35" s="54">
        <f t="shared" si="18"/>
        <v>1.015</v>
      </c>
      <c r="I35" s="55">
        <f t="shared" si="19"/>
        <v>204.84</v>
      </c>
      <c r="J35" s="53">
        <f t="shared" si="20"/>
        <v>191.19</v>
      </c>
      <c r="K35" s="53">
        <f t="shared" si="21"/>
        <v>13.65</v>
      </c>
    </row>
    <row r="36" spans="1:11" ht="11.25">
      <c r="A36" s="29" t="s">
        <v>658</v>
      </c>
      <c r="B36" s="51" t="s">
        <v>1458</v>
      </c>
      <c r="C36" s="52" t="s">
        <v>1025</v>
      </c>
      <c r="D36" s="53" t="s">
        <v>999</v>
      </c>
      <c r="E36" s="54">
        <f t="shared" si="16"/>
        <v>1.02</v>
      </c>
      <c r="F36" s="52" t="str">
        <f t="shared" si="17"/>
        <v>VF14</v>
      </c>
      <c r="G36" s="53" t="s">
        <v>996</v>
      </c>
      <c r="H36" s="54">
        <f t="shared" si="18"/>
        <v>1.015</v>
      </c>
      <c r="I36" s="55">
        <f t="shared" si="19"/>
        <v>306.07</v>
      </c>
      <c r="J36" s="53">
        <f t="shared" si="20"/>
        <v>292.42</v>
      </c>
      <c r="K36" s="53">
        <f t="shared" si="21"/>
        <v>13.65</v>
      </c>
    </row>
    <row r="37" spans="1:11" ht="11.25">
      <c r="A37" s="29" t="s">
        <v>659</v>
      </c>
      <c r="B37" s="51" t="s">
        <v>1459</v>
      </c>
      <c r="C37" s="52" t="s">
        <v>1026</v>
      </c>
      <c r="D37" s="53" t="s">
        <v>1000</v>
      </c>
      <c r="E37" s="54">
        <f t="shared" si="16"/>
        <v>1.02</v>
      </c>
      <c r="F37" s="52" t="str">
        <f t="shared" si="17"/>
        <v>VF15</v>
      </c>
      <c r="G37" s="53" t="s">
        <v>996</v>
      </c>
      <c r="H37" s="54">
        <f t="shared" si="18"/>
        <v>1.015</v>
      </c>
      <c r="I37" s="55">
        <f t="shared" si="19"/>
        <v>262.24</v>
      </c>
      <c r="J37" s="53">
        <f t="shared" si="20"/>
        <v>248.59</v>
      </c>
      <c r="K37" s="53">
        <f t="shared" si="21"/>
        <v>13.65</v>
      </c>
    </row>
    <row r="38" spans="1:11" ht="11.25">
      <c r="A38" s="29" t="s">
        <v>660</v>
      </c>
      <c r="B38" s="51" t="s">
        <v>1460</v>
      </c>
      <c r="C38" s="52" t="s">
        <v>1027</v>
      </c>
      <c r="D38" s="53" t="s">
        <v>1001</v>
      </c>
      <c r="E38" s="54">
        <f t="shared" si="16"/>
        <v>1.02</v>
      </c>
      <c r="F38" s="52" t="str">
        <f t="shared" si="17"/>
        <v>VF16</v>
      </c>
      <c r="G38" s="53" t="s">
        <v>996</v>
      </c>
      <c r="H38" s="54">
        <f t="shared" si="18"/>
        <v>1.015</v>
      </c>
      <c r="I38" s="55">
        <f t="shared" si="19"/>
        <v>330.5</v>
      </c>
      <c r="J38" s="53">
        <f t="shared" si="20"/>
        <v>316.85</v>
      </c>
      <c r="K38" s="53">
        <f t="shared" si="21"/>
        <v>13.65</v>
      </c>
    </row>
    <row r="39" ht="11.25">
      <c r="I39" s="28"/>
    </row>
    <row r="40" spans="1:11" ht="11.25">
      <c r="A40" s="29"/>
      <c r="B40" s="51" t="s">
        <v>1200</v>
      </c>
      <c r="C40" s="52" t="s">
        <v>242</v>
      </c>
      <c r="D40" s="53" t="s">
        <v>1002</v>
      </c>
      <c r="E40" s="54">
        <f>$E$5</f>
        <v>1.02</v>
      </c>
      <c r="F40" s="52" t="s">
        <v>242</v>
      </c>
      <c r="G40" s="53" t="s">
        <v>996</v>
      </c>
      <c r="H40" s="54">
        <f>$H$5</f>
        <v>1.015</v>
      </c>
      <c r="I40" s="55">
        <f>ROUND((D40*E40),2)+ROUND((G40*H40),2)</f>
        <v>316.10999999999996</v>
      </c>
      <c r="J40" s="53">
        <f>ROUND(D40*E40,2)</f>
        <v>302.46</v>
      </c>
      <c r="K40" s="53">
        <f>ROUND(G40*H40,2)</f>
        <v>13.65</v>
      </c>
    </row>
    <row r="41" ht="11.25">
      <c r="I41" s="28"/>
    </row>
    <row r="42" spans="2:9" ht="11.25">
      <c r="B42" s="25" t="s">
        <v>601</v>
      </c>
      <c r="I42" s="28"/>
    </row>
    <row r="43" spans="1:11" ht="11.25">
      <c r="A43" s="29" t="s">
        <v>1079</v>
      </c>
      <c r="B43" s="51" t="s">
        <v>587</v>
      </c>
      <c r="C43" s="52" t="s">
        <v>588</v>
      </c>
      <c r="D43" s="53" t="s">
        <v>1003</v>
      </c>
      <c r="E43" s="54">
        <f>$E$5</f>
        <v>1.02</v>
      </c>
      <c r="F43" s="52" t="str">
        <f>C43</f>
        <v>VZ21</v>
      </c>
      <c r="G43" s="53" t="s">
        <v>1004</v>
      </c>
      <c r="H43" s="54">
        <f>$H$5</f>
        <v>1.015</v>
      </c>
      <c r="I43" s="55">
        <f>ROUND((D43*E43),2)+ROUND((G43*H43),2)</f>
        <v>32.4</v>
      </c>
      <c r="J43" s="53">
        <f>ROUND(D43*E43,2)</f>
        <v>23.43</v>
      </c>
      <c r="K43" s="53">
        <f>ROUND(G43*H43,2)</f>
        <v>8.97</v>
      </c>
    </row>
    <row r="44" spans="1:11" ht="11.25">
      <c r="A44" s="29" t="s">
        <v>1080</v>
      </c>
      <c r="B44" s="51" t="s">
        <v>589</v>
      </c>
      <c r="C44" s="52" t="s">
        <v>590</v>
      </c>
      <c r="D44" s="53" t="s">
        <v>1005</v>
      </c>
      <c r="E44" s="54">
        <f>$E$5</f>
        <v>1.02</v>
      </c>
      <c r="F44" s="52" t="str">
        <f>C44</f>
        <v>VZ22</v>
      </c>
      <c r="G44" s="53" t="s">
        <v>1004</v>
      </c>
      <c r="H44" s="54">
        <f>$H$5</f>
        <v>1.015</v>
      </c>
      <c r="I44" s="55">
        <f>ROUND((D44*E44),2)+ROUND((G44*H44),2)</f>
        <v>78.51</v>
      </c>
      <c r="J44" s="53">
        <f>ROUND(D44*E44,2)</f>
        <v>69.54</v>
      </c>
      <c r="K44" s="53">
        <f>ROUND(G44*H44,2)</f>
        <v>8.97</v>
      </c>
    </row>
    <row r="45" spans="1:11" ht="11.25">
      <c r="A45" s="29" t="s">
        <v>1081</v>
      </c>
      <c r="B45" s="51" t="s">
        <v>591</v>
      </c>
      <c r="C45" s="52" t="s">
        <v>454</v>
      </c>
      <c r="D45" s="53" t="s">
        <v>1006</v>
      </c>
      <c r="E45" s="54">
        <f>$E$5</f>
        <v>1.02</v>
      </c>
      <c r="F45" s="52" t="str">
        <f>C45</f>
        <v>VZ23</v>
      </c>
      <c r="G45" s="53" t="s">
        <v>1004</v>
      </c>
      <c r="H45" s="54">
        <f>$H$5</f>
        <v>1.015</v>
      </c>
      <c r="I45" s="55">
        <f>ROUND((D45*E45),2)+ROUND((G45*H45),2)</f>
        <v>43.76</v>
      </c>
      <c r="J45" s="53">
        <f>ROUND(D45*E45,2)</f>
        <v>34.79</v>
      </c>
      <c r="K45" s="53">
        <f>ROUND(G45*H45,2)</f>
        <v>8.97</v>
      </c>
    </row>
    <row r="46" spans="1:11" ht="11.25">
      <c r="A46" s="29" t="s">
        <v>1082</v>
      </c>
      <c r="B46" s="51" t="s">
        <v>304</v>
      </c>
      <c r="C46" s="52" t="s">
        <v>1055</v>
      </c>
      <c r="D46" s="53" t="s">
        <v>1007</v>
      </c>
      <c r="E46" s="54">
        <f>$E$5</f>
        <v>1.02</v>
      </c>
      <c r="F46" s="52" t="str">
        <f>C46</f>
        <v>VZ24</v>
      </c>
      <c r="G46" s="53" t="s">
        <v>1004</v>
      </c>
      <c r="H46" s="54">
        <f>$H$5</f>
        <v>1.015</v>
      </c>
      <c r="I46" s="55">
        <f>ROUND((D46*E46),2)+ROUND((G46*H46),2)</f>
        <v>87.66</v>
      </c>
      <c r="J46" s="53">
        <f>ROUND(D46*E46,2)</f>
        <v>78.69</v>
      </c>
      <c r="K46" s="53">
        <f>ROUND(G46*H46,2)</f>
        <v>8.97</v>
      </c>
    </row>
    <row r="47" spans="1:11" ht="11.25">
      <c r="A47" s="29" t="s">
        <v>683</v>
      </c>
      <c r="B47" s="51" t="s">
        <v>304</v>
      </c>
      <c r="C47" s="52" t="s">
        <v>682</v>
      </c>
      <c r="D47" s="53" t="s">
        <v>1008</v>
      </c>
      <c r="E47" s="54">
        <f>$E$5</f>
        <v>1.02</v>
      </c>
      <c r="F47" s="52" t="str">
        <f>C47</f>
        <v>VZ25</v>
      </c>
      <c r="G47" s="53" t="s">
        <v>1004</v>
      </c>
      <c r="H47" s="54">
        <f>$H$5</f>
        <v>1.015</v>
      </c>
      <c r="I47" s="55">
        <f>ROUND((D47*E47),2)+ROUND((G47*H47),2)</f>
        <v>117.7</v>
      </c>
      <c r="J47" s="53">
        <f>ROUND(D47*E47,2)</f>
        <v>108.73</v>
      </c>
      <c r="K47" s="53">
        <f>ROUND(G47*H47,2)</f>
        <v>8.97</v>
      </c>
    </row>
    <row r="48" ht="11.25">
      <c r="I48" s="28"/>
    </row>
    <row r="49" spans="2:9" s="49" customFormat="1" ht="11.25">
      <c r="B49" s="25" t="s">
        <v>1203</v>
      </c>
      <c r="D49" s="50"/>
      <c r="G49" s="50"/>
      <c r="I49" s="48"/>
    </row>
    <row r="50" spans="2:11" s="63" customFormat="1" ht="11.25">
      <c r="B50" s="51" t="s">
        <v>700</v>
      </c>
      <c r="C50" s="68" t="s">
        <v>1032</v>
      </c>
      <c r="D50" s="70" t="s">
        <v>1</v>
      </c>
      <c r="E50" s="69">
        <f aca="true" t="shared" si="22" ref="E50:E63">$E$5</f>
        <v>1.02</v>
      </c>
      <c r="F50" s="68" t="str">
        <f aca="true" t="shared" si="23" ref="F50:F56">C50</f>
        <v>BAD</v>
      </c>
      <c r="G50" s="70" t="s">
        <v>2</v>
      </c>
      <c r="H50" s="69">
        <f aca="true" t="shared" si="24" ref="H50:H63">$H$5</f>
        <v>1.015</v>
      </c>
      <c r="I50" s="55">
        <f aca="true" t="shared" si="25" ref="I50:I63">ROUND((D50*E50),2)+ROUND((G50*H50),2)</f>
        <v>20983.440000000002</v>
      </c>
      <c r="J50" s="70">
        <f aca="true" t="shared" si="26" ref="J50:J61">ROUND(D50*E50,2)</f>
        <v>16542.59</v>
      </c>
      <c r="K50" s="70">
        <f aca="true" t="shared" si="27" ref="K50:K61">ROUND(G50*H50,2)</f>
        <v>4440.85</v>
      </c>
    </row>
    <row r="51" spans="2:11" s="63" customFormat="1" ht="11.25">
      <c r="B51" s="51" t="s">
        <v>535</v>
      </c>
      <c r="C51" s="68" t="s">
        <v>539</v>
      </c>
      <c r="D51" s="70" t="s">
        <v>3</v>
      </c>
      <c r="E51" s="69">
        <f t="shared" si="22"/>
        <v>1.02</v>
      </c>
      <c r="F51" s="68" t="str">
        <f t="shared" si="23"/>
        <v>BKZ</v>
      </c>
      <c r="G51" s="70" t="s">
        <v>4</v>
      </c>
      <c r="H51" s="69">
        <f t="shared" si="24"/>
        <v>1.015</v>
      </c>
      <c r="I51" s="55">
        <f t="shared" si="25"/>
        <v>55591.98</v>
      </c>
      <c r="J51" s="70">
        <f t="shared" si="26"/>
        <v>52114.05</v>
      </c>
      <c r="K51" s="70">
        <f t="shared" si="27"/>
        <v>3477.93</v>
      </c>
    </row>
    <row r="52" spans="2:11" s="63" customFormat="1" ht="11.25">
      <c r="B52" s="51" t="s">
        <v>661</v>
      </c>
      <c r="C52" s="68" t="s">
        <v>540</v>
      </c>
      <c r="D52" s="70" t="s">
        <v>5</v>
      </c>
      <c r="E52" s="69">
        <f t="shared" si="22"/>
        <v>1.02</v>
      </c>
      <c r="F52" s="68" t="str">
        <f t="shared" si="23"/>
        <v>BKB</v>
      </c>
      <c r="G52" s="70" t="s">
        <v>4</v>
      </c>
      <c r="H52" s="69">
        <f t="shared" si="24"/>
        <v>1.015</v>
      </c>
      <c r="I52" s="55">
        <f t="shared" si="25"/>
        <v>29586.66</v>
      </c>
      <c r="J52" s="70">
        <f t="shared" si="26"/>
        <v>26108.73</v>
      </c>
      <c r="K52" s="70">
        <f t="shared" si="27"/>
        <v>3477.93</v>
      </c>
    </row>
    <row r="53" spans="2:11" s="63" customFormat="1" ht="11.25">
      <c r="B53" s="51" t="s">
        <v>1461</v>
      </c>
      <c r="C53" s="68" t="s">
        <v>541</v>
      </c>
      <c r="D53" s="70" t="s">
        <v>6</v>
      </c>
      <c r="E53" s="69">
        <f t="shared" si="22"/>
        <v>1.02</v>
      </c>
      <c r="F53" s="68" t="str">
        <f t="shared" si="23"/>
        <v>BKO</v>
      </c>
      <c r="G53" s="70" t="s">
        <v>4</v>
      </c>
      <c r="H53" s="69">
        <f t="shared" si="24"/>
        <v>1.015</v>
      </c>
      <c r="I53" s="55">
        <f t="shared" si="25"/>
        <v>22573.24</v>
      </c>
      <c r="J53" s="70">
        <f t="shared" si="26"/>
        <v>19095.31</v>
      </c>
      <c r="K53" s="70">
        <f t="shared" si="27"/>
        <v>3477.93</v>
      </c>
    </row>
    <row r="54" spans="2:11" s="63" customFormat="1" ht="11.25">
      <c r="B54" s="51" t="s">
        <v>664</v>
      </c>
      <c r="C54" s="68" t="s">
        <v>665</v>
      </c>
      <c r="D54" s="70" t="s">
        <v>7</v>
      </c>
      <c r="E54" s="69">
        <f t="shared" si="22"/>
        <v>1.02</v>
      </c>
      <c r="F54" s="68" t="str">
        <f t="shared" si="23"/>
        <v>BKL</v>
      </c>
      <c r="G54" s="70" t="s">
        <v>8</v>
      </c>
      <c r="H54" s="69">
        <f t="shared" si="24"/>
        <v>1.015</v>
      </c>
      <c r="I54" s="55">
        <f t="shared" si="25"/>
        <v>13010.039999999999</v>
      </c>
      <c r="J54" s="70">
        <f t="shared" si="26"/>
        <v>11083.38</v>
      </c>
      <c r="K54" s="70">
        <f t="shared" si="27"/>
        <v>1926.66</v>
      </c>
    </row>
    <row r="55" spans="2:11" s="63" customFormat="1" ht="11.25">
      <c r="B55" s="51" t="s">
        <v>1462</v>
      </c>
      <c r="C55" s="68" t="s">
        <v>547</v>
      </c>
      <c r="D55" s="70" t="s">
        <v>9</v>
      </c>
      <c r="E55" s="69">
        <f t="shared" si="22"/>
        <v>1.02</v>
      </c>
      <c r="F55" s="68" t="str">
        <f t="shared" si="23"/>
        <v>BO</v>
      </c>
      <c r="G55" s="70" t="s">
        <v>10</v>
      </c>
      <c r="H55" s="69">
        <f t="shared" si="24"/>
        <v>1.015</v>
      </c>
      <c r="I55" s="55">
        <f t="shared" si="25"/>
        <v>19502.68</v>
      </c>
      <c r="J55" s="70">
        <f t="shared" si="26"/>
        <v>16646.33</v>
      </c>
      <c r="K55" s="70">
        <f t="shared" si="27"/>
        <v>2856.35</v>
      </c>
    </row>
    <row r="56" spans="2:11" s="63" customFormat="1" ht="11.25">
      <c r="B56" s="51" t="s">
        <v>536</v>
      </c>
      <c r="C56" s="68" t="s">
        <v>546</v>
      </c>
      <c r="D56" s="70" t="s">
        <v>255</v>
      </c>
      <c r="E56" s="69">
        <f t="shared" si="22"/>
        <v>1.02</v>
      </c>
      <c r="F56" s="68" t="str">
        <f t="shared" si="23"/>
        <v>BH</v>
      </c>
      <c r="G56" s="70" t="s">
        <v>10</v>
      </c>
      <c r="H56" s="69">
        <f t="shared" si="24"/>
        <v>1.015</v>
      </c>
      <c r="I56" s="55">
        <f t="shared" si="25"/>
        <v>18570.85</v>
      </c>
      <c r="J56" s="70">
        <f t="shared" si="26"/>
        <v>15714.5</v>
      </c>
      <c r="K56" s="70">
        <f t="shared" si="27"/>
        <v>2856.35</v>
      </c>
    </row>
    <row r="57" spans="2:11" s="63" customFormat="1" ht="11.25">
      <c r="B57" s="51" t="s">
        <v>1030</v>
      </c>
      <c r="C57" s="68" t="s">
        <v>544</v>
      </c>
      <c r="D57" s="70" t="s">
        <v>256</v>
      </c>
      <c r="E57" s="69">
        <f t="shared" si="22"/>
        <v>1.02</v>
      </c>
      <c r="F57" s="68" t="s">
        <v>1383</v>
      </c>
      <c r="G57" s="70" t="s">
        <v>257</v>
      </c>
      <c r="H57" s="69">
        <f t="shared" si="24"/>
        <v>1.015</v>
      </c>
      <c r="I57" s="55">
        <f t="shared" si="25"/>
        <v>42053.96</v>
      </c>
      <c r="J57" s="70">
        <f t="shared" si="26"/>
        <v>36336.81</v>
      </c>
      <c r="K57" s="70">
        <f t="shared" si="27"/>
        <v>5717.15</v>
      </c>
    </row>
    <row r="58" spans="2:11" s="63" customFormat="1" ht="11.25">
      <c r="B58" s="51" t="s">
        <v>1031</v>
      </c>
      <c r="C58" s="68" t="s">
        <v>545</v>
      </c>
      <c r="D58" s="70" t="s">
        <v>258</v>
      </c>
      <c r="E58" s="69">
        <f t="shared" si="22"/>
        <v>1.02</v>
      </c>
      <c r="F58" s="68" t="s">
        <v>1383</v>
      </c>
      <c r="G58" s="70" t="s">
        <v>257</v>
      </c>
      <c r="H58" s="69">
        <f t="shared" si="24"/>
        <v>1.015</v>
      </c>
      <c r="I58" s="55">
        <f t="shared" si="25"/>
        <v>29365.68</v>
      </c>
      <c r="J58" s="70">
        <f t="shared" si="26"/>
        <v>23648.53</v>
      </c>
      <c r="K58" s="70">
        <f t="shared" si="27"/>
        <v>5717.15</v>
      </c>
    </row>
    <row r="59" spans="2:12" s="63" customFormat="1" ht="11.25">
      <c r="B59" s="51" t="s">
        <v>537</v>
      </c>
      <c r="C59" s="68" t="s">
        <v>543</v>
      </c>
      <c r="D59" s="70" t="s">
        <v>259</v>
      </c>
      <c r="E59" s="69">
        <f t="shared" si="22"/>
        <v>1.02</v>
      </c>
      <c r="F59" s="68" t="str">
        <f>C59</f>
        <v>BFO</v>
      </c>
      <c r="G59" s="70" t="s">
        <v>260</v>
      </c>
      <c r="H59" s="69">
        <f t="shared" si="24"/>
        <v>1.015</v>
      </c>
      <c r="I59" s="55">
        <f t="shared" si="25"/>
        <v>25272.28</v>
      </c>
      <c r="J59" s="70">
        <f t="shared" si="26"/>
        <v>21864.03</v>
      </c>
      <c r="K59" s="70">
        <f t="shared" si="27"/>
        <v>3408.25</v>
      </c>
      <c r="L59" s="66"/>
    </row>
    <row r="60" spans="2:11" s="63" customFormat="1" ht="11.25">
      <c r="B60" s="51" t="s">
        <v>538</v>
      </c>
      <c r="C60" s="68" t="s">
        <v>542</v>
      </c>
      <c r="D60" s="70" t="s">
        <v>261</v>
      </c>
      <c r="E60" s="69">
        <f t="shared" si="22"/>
        <v>1.02</v>
      </c>
      <c r="F60" s="68" t="str">
        <f>C60</f>
        <v>BSGA</v>
      </c>
      <c r="G60" s="70" t="s">
        <v>262</v>
      </c>
      <c r="H60" s="69">
        <f t="shared" si="24"/>
        <v>1.015</v>
      </c>
      <c r="I60" s="55">
        <f t="shared" si="25"/>
        <v>56547.26</v>
      </c>
      <c r="J60" s="70">
        <f t="shared" si="26"/>
        <v>53232.94</v>
      </c>
      <c r="K60" s="70">
        <f t="shared" si="27"/>
        <v>3314.32</v>
      </c>
    </row>
    <row r="61" spans="2:11" s="63" customFormat="1" ht="11.25">
      <c r="B61" s="71" t="s">
        <v>1408</v>
      </c>
      <c r="C61" s="68" t="s">
        <v>581</v>
      </c>
      <c r="D61" s="388">
        <v>6326.11</v>
      </c>
      <c r="E61" s="69">
        <f t="shared" si="22"/>
        <v>1.02</v>
      </c>
      <c r="F61" s="68" t="s">
        <v>581</v>
      </c>
      <c r="G61" s="388">
        <v>3497.73</v>
      </c>
      <c r="H61" s="69">
        <f t="shared" si="24"/>
        <v>1.015</v>
      </c>
      <c r="I61" s="55">
        <f t="shared" si="25"/>
        <v>10002.83</v>
      </c>
      <c r="J61" s="70">
        <f t="shared" si="26"/>
        <v>6452.63</v>
      </c>
      <c r="K61" s="70">
        <f t="shared" si="27"/>
        <v>3550.2</v>
      </c>
    </row>
    <row r="62" spans="2:11" s="63" customFormat="1" ht="11.25">
      <c r="B62" s="71" t="s">
        <v>1409</v>
      </c>
      <c r="C62" s="68" t="s">
        <v>582</v>
      </c>
      <c r="D62" s="388">
        <v>6326.11</v>
      </c>
      <c r="E62" s="69">
        <f t="shared" si="22"/>
        <v>1.02</v>
      </c>
      <c r="F62" s="68" t="s">
        <v>582</v>
      </c>
      <c r="G62" s="388">
        <v>2861.21</v>
      </c>
      <c r="H62" s="69">
        <f t="shared" si="24"/>
        <v>1.015</v>
      </c>
      <c r="I62" s="55">
        <f t="shared" si="25"/>
        <v>9356.76</v>
      </c>
      <c r="J62" s="70">
        <f>ROUND(D62*E62,2)</f>
        <v>6452.63</v>
      </c>
      <c r="K62" s="70">
        <f>ROUND(G62*H62,2)</f>
        <v>2904.13</v>
      </c>
    </row>
    <row r="63" spans="2:11" s="63" customFormat="1" ht="11.25">
      <c r="B63" s="68" t="s">
        <v>593</v>
      </c>
      <c r="C63" s="68" t="s">
        <v>583</v>
      </c>
      <c r="D63" s="388">
        <v>6326.11</v>
      </c>
      <c r="E63" s="69">
        <f t="shared" si="22"/>
        <v>1.02</v>
      </c>
      <c r="F63" s="68" t="s">
        <v>583</v>
      </c>
      <c r="G63" s="388">
        <v>3109.69</v>
      </c>
      <c r="H63" s="69">
        <f t="shared" si="24"/>
        <v>1.015</v>
      </c>
      <c r="I63" s="55">
        <f t="shared" si="25"/>
        <v>9608.970000000001</v>
      </c>
      <c r="J63" s="70">
        <f>ROUND(D63*E63,2)</f>
        <v>6452.63</v>
      </c>
      <c r="K63" s="70">
        <f>ROUND(G63*H63,2)</f>
        <v>3156.34</v>
      </c>
    </row>
    <row r="64" spans="2:11" s="63" customFormat="1" ht="11.25">
      <c r="B64" s="67" t="s">
        <v>1122</v>
      </c>
      <c r="C64" s="67"/>
      <c r="D64" s="67"/>
      <c r="E64" s="67"/>
      <c r="F64" s="67"/>
      <c r="G64" s="67"/>
      <c r="H64" s="65"/>
      <c r="I64" s="65"/>
      <c r="J64" s="64"/>
      <c r="K64" s="64"/>
    </row>
    <row r="65" spans="4:9" s="63" customFormat="1" ht="11.25">
      <c r="D65" s="64"/>
      <c r="G65" s="64"/>
      <c r="I65" s="28"/>
    </row>
    <row r="66" spans="2:9" s="63" customFormat="1" ht="11.25">
      <c r="B66" s="25" t="s">
        <v>686</v>
      </c>
      <c r="D66" s="64"/>
      <c r="G66" s="64"/>
      <c r="I66" s="28"/>
    </row>
    <row r="67" spans="2:11" s="63" customFormat="1" ht="11.25">
      <c r="B67" s="71" t="s">
        <v>553</v>
      </c>
      <c r="C67" s="68" t="s">
        <v>900</v>
      </c>
      <c r="D67" s="70"/>
      <c r="E67" s="68"/>
      <c r="F67" s="68" t="s">
        <v>900</v>
      </c>
      <c r="G67" s="70">
        <v>20.78</v>
      </c>
      <c r="H67" s="69">
        <f>$H$5</f>
        <v>1.015</v>
      </c>
      <c r="I67" s="55">
        <f>ROUND((D67*E67),2)+ROUND((G67*H67),2)</f>
        <v>21.09</v>
      </c>
      <c r="J67" s="70">
        <f>ROUND(D67*E67,2)</f>
        <v>0</v>
      </c>
      <c r="K67" s="70">
        <f>ROUND(G67*H67,2)</f>
        <v>21.09</v>
      </c>
    </row>
    <row r="68" spans="2:11" s="63" customFormat="1" ht="11.25">
      <c r="B68" s="71" t="s">
        <v>815</v>
      </c>
      <c r="C68" s="68" t="s">
        <v>581</v>
      </c>
      <c r="D68" s="70"/>
      <c r="E68" s="68"/>
      <c r="F68" s="68" t="s">
        <v>581</v>
      </c>
      <c r="G68" s="70">
        <v>1380.88</v>
      </c>
      <c r="H68" s="69">
        <f>$H$5</f>
        <v>1.015</v>
      </c>
      <c r="I68" s="55">
        <f>ROUND((D68*E68),2)+ROUND((G68*H68),2)</f>
        <v>1401.59</v>
      </c>
      <c r="J68" s="70">
        <f>ROUND(D68*E68,2)</f>
        <v>0</v>
      </c>
      <c r="K68" s="70">
        <f>ROUND(G68*H68,2)</f>
        <v>1401.59</v>
      </c>
    </row>
    <row r="69" spans="2:11" s="63" customFormat="1" ht="11.25">
      <c r="B69" s="71" t="s">
        <v>816</v>
      </c>
      <c r="C69" s="68" t="s">
        <v>582</v>
      </c>
      <c r="D69" s="70"/>
      <c r="E69" s="68"/>
      <c r="F69" s="68" t="s">
        <v>582</v>
      </c>
      <c r="G69" s="70">
        <v>951.6</v>
      </c>
      <c r="H69" s="69">
        <f>$H$5</f>
        <v>1.015</v>
      </c>
      <c r="I69" s="55">
        <f>ROUND((D69*E69),2)+ROUND((G69*H69),2)</f>
        <v>965.87</v>
      </c>
      <c r="J69" s="70">
        <f>ROUND(D69*E69,2)</f>
        <v>0</v>
      </c>
      <c r="K69" s="70">
        <f>ROUND(G69*H69,2)</f>
        <v>965.87</v>
      </c>
    </row>
    <row r="70" spans="2:11" s="63" customFormat="1" ht="11.25">
      <c r="B70" s="68" t="s">
        <v>817</v>
      </c>
      <c r="C70" s="68" t="s">
        <v>583</v>
      </c>
      <c r="D70" s="70"/>
      <c r="E70" s="68"/>
      <c r="F70" s="68" t="s">
        <v>583</v>
      </c>
      <c r="G70" s="70">
        <v>1118.66</v>
      </c>
      <c r="H70" s="69">
        <f>$H$5</f>
        <v>1.015</v>
      </c>
      <c r="I70" s="55">
        <f>ROUND((D70*E70),2)+ROUND((G70*H70),2)</f>
        <v>1135.44</v>
      </c>
      <c r="J70" s="70">
        <f>ROUND(D70*E70,2)</f>
        <v>0</v>
      </c>
      <c r="K70" s="70">
        <f>ROUND(G70*H70,2)</f>
        <v>1135.44</v>
      </c>
    </row>
    <row r="71" spans="2:11" s="63" customFormat="1" ht="11.25">
      <c r="B71" s="67"/>
      <c r="C71" s="67"/>
      <c r="D71" s="28"/>
      <c r="E71" s="67"/>
      <c r="F71" s="67"/>
      <c r="G71" s="28"/>
      <c r="H71" s="404"/>
      <c r="I71" s="28"/>
      <c r="J71" s="28"/>
      <c r="K71" s="28"/>
    </row>
    <row r="72" spans="2:11" s="63" customFormat="1" ht="11.25">
      <c r="B72" s="405" t="s">
        <v>1009</v>
      </c>
      <c r="C72" s="67"/>
      <c r="D72" s="28"/>
      <c r="E72" s="67"/>
      <c r="F72" s="67"/>
      <c r="G72" s="28"/>
      <c r="H72" s="404"/>
      <c r="I72" s="28"/>
      <c r="J72" s="28"/>
      <c r="K72" s="28"/>
    </row>
    <row r="73" spans="2:11" s="63" customFormat="1" ht="11.25">
      <c r="B73" s="406" t="s">
        <v>1193</v>
      </c>
      <c r="C73" s="407" t="s">
        <v>701</v>
      </c>
      <c r="D73" s="408">
        <v>78.59</v>
      </c>
      <c r="E73" s="412">
        <v>1</v>
      </c>
      <c r="F73" s="68" t="s">
        <v>701</v>
      </c>
      <c r="G73" s="70"/>
      <c r="H73" s="69">
        <f>$H$5</f>
        <v>1.015</v>
      </c>
      <c r="I73" s="55">
        <f>ROUND((D73*E73),2)+ROUND((G73*H73),2)</f>
        <v>78.59</v>
      </c>
      <c r="J73" s="70">
        <f>ROUND(D73*E73,2)</f>
        <v>78.59</v>
      </c>
      <c r="K73" s="70">
        <f>ROUND(G73*H73,2)</f>
        <v>0</v>
      </c>
    </row>
    <row r="74" spans="2:4" ht="11.25">
      <c r="B74" s="409"/>
      <c r="C74" s="410"/>
      <c r="D74" s="411"/>
    </row>
  </sheetData>
  <sheetProtection/>
  <printOptions/>
  <pageMargins left="0.3937007874015748" right="0.3937007874015748" top="0.7874015748031497" bottom="0.3937007874015748" header="0.5118110236220472" footer="0.5118110236220472"/>
  <pageSetup horizontalDpi="600" verticalDpi="600" orientation="landscape" paperSize="9" scale="95" r:id="rId1"/>
  <rowBreaks count="2" manualBreakCount="2">
    <brk id="41" max="8" man="1"/>
    <brk id="74" max="8" man="1"/>
  </rowBreaks>
  <colBreaks count="1" manualBreakCount="1">
    <brk id="9" max="65535" man="1"/>
  </colBreaks>
</worksheet>
</file>

<file path=xl/worksheets/sheet7.xml><?xml version="1.0" encoding="utf-8"?>
<worksheet xmlns="http://schemas.openxmlformats.org/spreadsheetml/2006/main" xmlns:r="http://schemas.openxmlformats.org/officeDocument/2006/relationships">
  <sheetPr codeName="Blad12"/>
  <dimension ref="A1:J278"/>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cols>
    <col min="1" max="4" width="9.140625" style="1" customWidth="1"/>
    <col min="5" max="5" width="48.7109375" style="1" customWidth="1"/>
    <col min="7" max="16384" width="9.140625" style="1" customWidth="1"/>
  </cols>
  <sheetData>
    <row r="1" spans="1:8" ht="12.75">
      <c r="A1" s="107" t="s">
        <v>1222</v>
      </c>
      <c r="B1" s="107" t="s">
        <v>1223</v>
      </c>
      <c r="C1" s="107" t="s">
        <v>1224</v>
      </c>
      <c r="D1" s="107" t="s">
        <v>1225</v>
      </c>
      <c r="E1" s="107" t="s">
        <v>1226</v>
      </c>
      <c r="F1" s="107" t="s">
        <v>1227</v>
      </c>
      <c r="H1" s="2" t="s">
        <v>897</v>
      </c>
    </row>
    <row r="2" spans="1:10" ht="12.75">
      <c r="A2" s="107">
        <v>277</v>
      </c>
      <c r="B2" s="107">
        <v>101</v>
      </c>
      <c r="C2" s="107">
        <v>120</v>
      </c>
      <c r="D2" s="107" t="s">
        <v>1401</v>
      </c>
      <c r="E2" s="107" t="s">
        <v>602</v>
      </c>
      <c r="F2" s="107">
        <v>3030</v>
      </c>
      <c r="H2" s="107">
        <v>103</v>
      </c>
      <c r="I2" s="107">
        <v>120</v>
      </c>
      <c r="J2" s="107" t="e">
        <f>IF(AND(Voorblad!$H$15=H2,Productie!#REF!=0),1,0)</f>
        <v>#REF!</v>
      </c>
    </row>
    <row r="3" spans="1:10" ht="12.75">
      <c r="A3" s="107">
        <v>278</v>
      </c>
      <c r="B3" s="107">
        <v>102</v>
      </c>
      <c r="C3" s="107">
        <v>120</v>
      </c>
      <c r="D3" s="107" t="s">
        <v>1401</v>
      </c>
      <c r="E3" s="107" t="s">
        <v>1499</v>
      </c>
      <c r="F3" s="107">
        <v>3030</v>
      </c>
      <c r="H3" s="107">
        <v>104</v>
      </c>
      <c r="I3" s="107">
        <v>120</v>
      </c>
      <c r="J3" s="107" t="e">
        <f>IF(AND(Voorblad!$H$15=H3,Productie!#REF!=0),1,0)</f>
        <v>#REF!</v>
      </c>
    </row>
    <row r="4" spans="1:10" ht="12.75">
      <c r="A4" s="107">
        <v>279</v>
      </c>
      <c r="B4" s="107">
        <v>107</v>
      </c>
      <c r="C4" s="107">
        <v>120</v>
      </c>
      <c r="D4" s="107" t="s">
        <v>332</v>
      </c>
      <c r="E4" s="107" t="s">
        <v>552</v>
      </c>
      <c r="F4" s="107">
        <v>3010</v>
      </c>
      <c r="H4" s="107">
        <v>110</v>
      </c>
      <c r="I4" s="107">
        <v>120</v>
      </c>
      <c r="J4" s="107" t="e">
        <f>IF(AND(Voorblad!$H$15=H4,Productie!#REF!=0),1,0)</f>
        <v>#REF!</v>
      </c>
    </row>
    <row r="5" spans="1:10" ht="12.75">
      <c r="A5" s="107">
        <v>280</v>
      </c>
      <c r="B5" s="107">
        <v>108</v>
      </c>
      <c r="C5" s="107">
        <v>120</v>
      </c>
      <c r="D5" s="107" t="s">
        <v>332</v>
      </c>
      <c r="E5" s="107" t="s">
        <v>1464</v>
      </c>
      <c r="F5" s="107">
        <v>3010</v>
      </c>
      <c r="H5" s="107">
        <v>115</v>
      </c>
      <c r="I5" s="107">
        <v>120</v>
      </c>
      <c r="J5" s="107" t="e">
        <f>IF(AND(Voorblad!$H$15=H5,Productie!#REF!=0),1,0)</f>
        <v>#REF!</v>
      </c>
    </row>
    <row r="6" spans="1:10" ht="12.75">
      <c r="A6" s="107">
        <v>281</v>
      </c>
      <c r="B6" s="107">
        <v>201</v>
      </c>
      <c r="C6" s="107">
        <v>120</v>
      </c>
      <c r="D6" s="107" t="s">
        <v>332</v>
      </c>
      <c r="E6" s="107" t="s">
        <v>233</v>
      </c>
      <c r="F6" s="107">
        <v>3020</v>
      </c>
      <c r="H6" s="107">
        <v>201</v>
      </c>
      <c r="I6" s="107">
        <v>120</v>
      </c>
      <c r="J6" s="107" t="e">
        <f>IF(AND(Voorblad!$H$15=H6,Productie!#REF!=0),1,0)</f>
        <v>#REF!</v>
      </c>
    </row>
    <row r="7" spans="1:10" ht="12.75">
      <c r="A7" s="107">
        <v>282</v>
      </c>
      <c r="B7" s="107">
        <v>401</v>
      </c>
      <c r="C7" s="107">
        <v>120</v>
      </c>
      <c r="D7" s="107" t="s">
        <v>1401</v>
      </c>
      <c r="E7" s="107" t="s">
        <v>696</v>
      </c>
      <c r="F7" s="107">
        <v>3050</v>
      </c>
      <c r="H7" s="107">
        <v>401</v>
      </c>
      <c r="I7" s="107">
        <v>120</v>
      </c>
      <c r="J7" s="107" t="e">
        <f>IF(AND(Voorblad!$H$15=H7,Productie!#REF!=0),1,0)</f>
        <v>#REF!</v>
      </c>
    </row>
    <row r="8" spans="1:10" ht="12.75">
      <c r="A8" s="107">
        <v>283</v>
      </c>
      <c r="B8" s="107">
        <v>502</v>
      </c>
      <c r="C8" s="107">
        <v>120</v>
      </c>
      <c r="D8" s="107" t="s">
        <v>829</v>
      </c>
      <c r="E8" s="107" t="s">
        <v>1500</v>
      </c>
      <c r="F8" s="107">
        <v>3060</v>
      </c>
      <c r="H8" s="107">
        <v>500</v>
      </c>
      <c r="I8" s="107">
        <v>120</v>
      </c>
      <c r="J8" s="107" t="e">
        <f>IF(AND(Voorblad!$H$15=H8,Productie!#REF!=0),1,0)</f>
        <v>#REF!</v>
      </c>
    </row>
    <row r="9" spans="1:10" ht="12.75">
      <c r="A9" s="107">
        <v>284</v>
      </c>
      <c r="B9" s="107">
        <v>503</v>
      </c>
      <c r="C9" s="107">
        <v>120</v>
      </c>
      <c r="D9" s="107" t="s">
        <v>1401</v>
      </c>
      <c r="E9" s="107" t="s">
        <v>1466</v>
      </c>
      <c r="F9" s="107">
        <v>3061</v>
      </c>
      <c r="H9" s="107">
        <v>503</v>
      </c>
      <c r="I9" s="107">
        <v>120</v>
      </c>
      <c r="J9" s="107" t="e">
        <f>IF(AND(Voorblad!$H$15=H9,Productie!#REF!=0),1,0)</f>
        <v>#REF!</v>
      </c>
    </row>
    <row r="10" spans="1:10" ht="12.75">
      <c r="A10" s="107">
        <v>285</v>
      </c>
      <c r="B10" s="107">
        <v>504</v>
      </c>
      <c r="C10" s="107">
        <v>120</v>
      </c>
      <c r="D10" s="107" t="s">
        <v>229</v>
      </c>
      <c r="E10" s="107" t="s">
        <v>672</v>
      </c>
      <c r="F10" s="107">
        <v>3040</v>
      </c>
      <c r="H10" s="107">
        <v>504</v>
      </c>
      <c r="I10" s="107">
        <v>120</v>
      </c>
      <c r="J10" s="107" t="e">
        <f>IF(AND(Voorblad!$H$15=H10,Productie!#REF!=0),1,0)</f>
        <v>#REF!</v>
      </c>
    </row>
    <row r="11" spans="1:10" ht="12.75">
      <c r="A11" s="107">
        <v>286</v>
      </c>
      <c r="B11" s="107">
        <v>505</v>
      </c>
      <c r="C11" s="107">
        <v>120</v>
      </c>
      <c r="D11" s="107" t="s">
        <v>1489</v>
      </c>
      <c r="E11" s="107" t="s">
        <v>230</v>
      </c>
      <c r="F11" s="107">
        <v>3060</v>
      </c>
      <c r="H11" s="107">
        <v>509</v>
      </c>
      <c r="I11" s="107">
        <v>120</v>
      </c>
      <c r="J11" s="107" t="e">
        <f>IF(AND(Voorblad!$H$15=H11,Productie!#REF!=0),1,0)</f>
        <v>#REF!</v>
      </c>
    </row>
    <row r="12" spans="1:10" ht="12.75">
      <c r="A12" s="107">
        <v>287</v>
      </c>
      <c r="B12" s="107">
        <v>601</v>
      </c>
      <c r="C12" s="107">
        <v>120</v>
      </c>
      <c r="D12" s="107" t="s">
        <v>229</v>
      </c>
      <c r="E12" s="107" t="s">
        <v>231</v>
      </c>
      <c r="F12" s="107">
        <v>3070</v>
      </c>
      <c r="H12" s="107">
        <v>601</v>
      </c>
      <c r="I12" s="107">
        <v>120</v>
      </c>
      <c r="J12" s="107" t="e">
        <f>IF(AND(Voorblad!$H$15=H12,Productie!#REF!=0),1,0)</f>
        <v>#REF!</v>
      </c>
    </row>
    <row r="13" spans="1:10" ht="12.75">
      <c r="A13" s="107">
        <v>288</v>
      </c>
      <c r="B13" s="107">
        <v>602</v>
      </c>
      <c r="C13" s="107">
        <v>120</v>
      </c>
      <c r="D13" s="107" t="s">
        <v>1401</v>
      </c>
      <c r="E13" s="107" t="s">
        <v>616</v>
      </c>
      <c r="F13" s="107">
        <v>3070</v>
      </c>
      <c r="H13" s="107">
        <v>605</v>
      </c>
      <c r="I13" s="107">
        <v>120</v>
      </c>
      <c r="J13" s="107" t="e">
        <f>IF(AND(Voorblad!$H$15=H13,Productie!#REF!=0),1,0)</f>
        <v>#REF!</v>
      </c>
    </row>
    <row r="14" spans="1:10" ht="12.75">
      <c r="A14" s="107">
        <v>291</v>
      </c>
      <c r="B14" s="107">
        <v>606</v>
      </c>
      <c r="C14" s="107">
        <v>120</v>
      </c>
      <c r="D14" s="107" t="s">
        <v>1401</v>
      </c>
      <c r="E14" s="107" t="s">
        <v>1463</v>
      </c>
      <c r="F14" s="107">
        <v>3070</v>
      </c>
      <c r="H14" s="107">
        <v>608</v>
      </c>
      <c r="I14" s="107">
        <v>120</v>
      </c>
      <c r="J14" s="107" t="e">
        <f>IF(AND(Voorblad!$H$15=H14,Productie!#REF!=0),1,0)</f>
        <v>#REF!</v>
      </c>
    </row>
    <row r="15" spans="1:10" ht="12.75">
      <c r="A15" s="107">
        <v>292</v>
      </c>
      <c r="B15" s="107">
        <v>701</v>
      </c>
      <c r="C15" s="107">
        <v>120</v>
      </c>
      <c r="D15" s="107" t="s">
        <v>830</v>
      </c>
      <c r="E15" s="107" t="s">
        <v>243</v>
      </c>
      <c r="F15" s="107">
        <v>3080</v>
      </c>
      <c r="H15" s="107">
        <v>609</v>
      </c>
      <c r="I15" s="107">
        <v>120</v>
      </c>
      <c r="J15" s="107" t="e">
        <f>IF(AND(Voorblad!$H$15=H15,Productie!#REF!=0),1,0)</f>
        <v>#REF!</v>
      </c>
    </row>
    <row r="16" spans="1:10" ht="12.75">
      <c r="A16" s="107">
        <v>293</v>
      </c>
      <c r="B16" s="107">
        <v>702</v>
      </c>
      <c r="C16" s="107">
        <v>120</v>
      </c>
      <c r="D16" s="107" t="s">
        <v>830</v>
      </c>
      <c r="E16" s="107" t="s">
        <v>1230</v>
      </c>
      <c r="F16" s="107">
        <v>3080</v>
      </c>
      <c r="H16" s="107">
        <v>611</v>
      </c>
      <c r="I16" s="107">
        <v>120</v>
      </c>
      <c r="J16" s="107" t="e">
        <f>IF(AND(Voorblad!$H$15=H16,Productie!#REF!=0),1,0)</f>
        <v>#REF!</v>
      </c>
    </row>
    <row r="17" spans="1:10" ht="12.75">
      <c r="A17" s="107">
        <v>294</v>
      </c>
      <c r="B17" s="107">
        <v>801</v>
      </c>
      <c r="C17" s="107">
        <v>120</v>
      </c>
      <c r="D17" s="107" t="s">
        <v>332</v>
      </c>
      <c r="E17" s="107" t="s">
        <v>1395</v>
      </c>
      <c r="F17" s="107">
        <v>3160</v>
      </c>
      <c r="H17" s="107">
        <v>612</v>
      </c>
      <c r="I17" s="107">
        <v>120</v>
      </c>
      <c r="J17" s="107" t="e">
        <f>IF(AND(Voorblad!$H$15=H17,Productie!#REF!=0),1,0)</f>
        <v>#REF!</v>
      </c>
    </row>
    <row r="18" spans="1:10" ht="12.75">
      <c r="A18" s="107">
        <v>295</v>
      </c>
      <c r="B18" s="107">
        <v>802</v>
      </c>
      <c r="C18" s="107">
        <v>120</v>
      </c>
      <c r="D18" s="107" t="s">
        <v>829</v>
      </c>
      <c r="E18" s="107" t="s">
        <v>1231</v>
      </c>
      <c r="F18" s="107">
        <v>3090</v>
      </c>
      <c r="H18" s="107">
        <v>701</v>
      </c>
      <c r="I18" s="107">
        <v>120</v>
      </c>
      <c r="J18" s="107" t="e">
        <f>IF(AND(Voorblad!$H$15=H18,Productie!#REF!=0),1,0)</f>
        <v>#REF!</v>
      </c>
    </row>
    <row r="19" spans="1:10" ht="12.75">
      <c r="A19" s="107">
        <v>296</v>
      </c>
      <c r="B19" s="107">
        <v>803</v>
      </c>
      <c r="C19" s="107">
        <v>120</v>
      </c>
      <c r="D19" s="107" t="s">
        <v>229</v>
      </c>
      <c r="E19" s="107" t="s">
        <v>1232</v>
      </c>
      <c r="F19" s="107">
        <v>3040</v>
      </c>
      <c r="H19" s="107">
        <v>702</v>
      </c>
      <c r="I19" s="107">
        <v>120</v>
      </c>
      <c r="J19" s="107" t="e">
        <f>IF(AND(Voorblad!$H$15=H19,Productie!#REF!=0),1,0)</f>
        <v>#REF!</v>
      </c>
    </row>
    <row r="20" spans="1:10" ht="12.75">
      <c r="A20" s="107">
        <v>297</v>
      </c>
      <c r="B20" s="107">
        <v>901</v>
      </c>
      <c r="C20" s="107">
        <v>120</v>
      </c>
      <c r="D20" s="107" t="s">
        <v>229</v>
      </c>
      <c r="E20" s="107" t="s">
        <v>1391</v>
      </c>
      <c r="F20" s="107">
        <v>3090</v>
      </c>
      <c r="H20" s="107">
        <v>705</v>
      </c>
      <c r="I20" s="107">
        <v>120</v>
      </c>
      <c r="J20" s="107" t="e">
        <f>IF(AND(Voorblad!$H$15=H20,Productie!#REF!=0),1,0)</f>
        <v>#REF!</v>
      </c>
    </row>
    <row r="21" spans="1:10" ht="12.75">
      <c r="A21" s="107">
        <v>298</v>
      </c>
      <c r="B21" s="107">
        <v>902</v>
      </c>
      <c r="C21" s="107">
        <v>120</v>
      </c>
      <c r="D21" s="107" t="s">
        <v>229</v>
      </c>
      <c r="E21" s="107" t="s">
        <v>1392</v>
      </c>
      <c r="F21" s="107">
        <v>3090</v>
      </c>
      <c r="H21" s="107">
        <v>801</v>
      </c>
      <c r="I21" s="107">
        <v>120</v>
      </c>
      <c r="J21" s="107" t="e">
        <f>IF(AND(Voorblad!$H$15=H21,Productie!#REF!=0),1,0)</f>
        <v>#REF!</v>
      </c>
    </row>
    <row r="22" spans="1:10" ht="12.75">
      <c r="A22" s="107">
        <v>299</v>
      </c>
      <c r="B22" s="107">
        <v>904</v>
      </c>
      <c r="C22" s="107">
        <v>120</v>
      </c>
      <c r="D22" s="107" t="s">
        <v>229</v>
      </c>
      <c r="E22" s="107" t="s">
        <v>1393</v>
      </c>
      <c r="F22" s="107">
        <v>3090</v>
      </c>
      <c r="H22" s="107">
        <v>802</v>
      </c>
      <c r="I22" s="107">
        <v>120</v>
      </c>
      <c r="J22" s="107" t="e">
        <f>IF(AND(Voorblad!$H$15=H22,Productie!#REF!=0),1,0)</f>
        <v>#REF!</v>
      </c>
    </row>
    <row r="23" spans="1:10" ht="12.75">
      <c r="A23" s="107">
        <v>301</v>
      </c>
      <c r="B23" s="107">
        <v>909</v>
      </c>
      <c r="C23" s="107">
        <v>120</v>
      </c>
      <c r="D23" s="107" t="s">
        <v>831</v>
      </c>
      <c r="E23" s="107" t="s">
        <v>455</v>
      </c>
      <c r="F23" s="107">
        <v>3090</v>
      </c>
      <c r="H23" s="107">
        <v>803</v>
      </c>
      <c r="I23" s="107">
        <v>120</v>
      </c>
      <c r="J23" s="107" t="e">
        <f>IF(AND(Voorblad!$H$15=H23,Productie!#REF!=0),1,0)</f>
        <v>#REF!</v>
      </c>
    </row>
    <row r="24" spans="1:10" ht="12.75">
      <c r="A24" s="107">
        <v>302</v>
      </c>
      <c r="B24" s="107">
        <v>910</v>
      </c>
      <c r="C24" s="107">
        <v>120</v>
      </c>
      <c r="D24" s="107" t="s">
        <v>229</v>
      </c>
      <c r="E24" s="107" t="s">
        <v>1234</v>
      </c>
      <c r="F24" s="107">
        <v>3090</v>
      </c>
      <c r="H24" s="107">
        <v>903</v>
      </c>
      <c r="I24" s="107">
        <v>120</v>
      </c>
      <c r="J24" s="107" t="e">
        <f>IF(AND(Voorblad!$H$15=H24,Productie!#REF!=0),1,0)</f>
        <v>#REF!</v>
      </c>
    </row>
    <row r="25" spans="1:10" ht="12.75">
      <c r="A25" s="107">
        <v>303</v>
      </c>
      <c r="B25" s="107">
        <v>1101</v>
      </c>
      <c r="C25" s="107">
        <v>120</v>
      </c>
      <c r="D25" s="107" t="s">
        <v>530</v>
      </c>
      <c r="E25" s="107" t="s">
        <v>549</v>
      </c>
      <c r="F25" s="107">
        <v>3120</v>
      </c>
      <c r="H25" s="107">
        <v>906</v>
      </c>
      <c r="I25" s="107">
        <v>120</v>
      </c>
      <c r="J25" s="107" t="e">
        <f>IF(AND(Voorblad!$H$15=H25,Productie!#REF!=0),1,0)</f>
        <v>#REF!</v>
      </c>
    </row>
    <row r="26" spans="1:10" ht="12.75">
      <c r="A26" s="107">
        <v>304</v>
      </c>
      <c r="B26" s="107">
        <v>1201</v>
      </c>
      <c r="C26" s="107">
        <v>120</v>
      </c>
      <c r="D26" s="107" t="s">
        <v>832</v>
      </c>
      <c r="E26" s="107" t="s">
        <v>456</v>
      </c>
      <c r="F26" s="107">
        <v>3150</v>
      </c>
      <c r="H26" s="107">
        <v>907</v>
      </c>
      <c r="I26" s="107">
        <v>120</v>
      </c>
      <c r="J26" s="107" t="e">
        <f>IF(AND(Voorblad!$H$15=H26,Productie!#REF!=0),1,0)</f>
        <v>#REF!</v>
      </c>
    </row>
    <row r="27" spans="1:10" ht="12.75">
      <c r="A27" s="107">
        <v>305</v>
      </c>
      <c r="B27" s="107">
        <v>1202</v>
      </c>
      <c r="C27" s="107">
        <v>120</v>
      </c>
      <c r="D27" s="107" t="s">
        <v>829</v>
      </c>
      <c r="E27" s="107" t="s">
        <v>1396</v>
      </c>
      <c r="F27" s="107">
        <v>3130</v>
      </c>
      <c r="H27" s="107">
        <v>910</v>
      </c>
      <c r="I27" s="107">
        <v>120</v>
      </c>
      <c r="J27" s="107" t="e">
        <f>IF(AND(Voorblad!$H$15=H27,Productie!#REF!=0),1,0)</f>
        <v>#REF!</v>
      </c>
    </row>
    <row r="28" spans="1:10" ht="12.75">
      <c r="A28" s="107">
        <v>307</v>
      </c>
      <c r="B28" s="107">
        <v>1304</v>
      </c>
      <c r="C28" s="107">
        <v>120</v>
      </c>
      <c r="D28" s="107" t="s">
        <v>832</v>
      </c>
      <c r="E28" s="107" t="s">
        <v>146</v>
      </c>
      <c r="F28" s="107">
        <v>3150</v>
      </c>
      <c r="H28" s="107">
        <v>911</v>
      </c>
      <c r="I28" s="107">
        <v>120</v>
      </c>
      <c r="J28" s="107" t="e">
        <f>IF(AND(Voorblad!$H$15=H28,Productie!#REF!=0),1,0)</f>
        <v>#REF!</v>
      </c>
    </row>
    <row r="29" spans="1:10" ht="12.75">
      <c r="A29" s="107">
        <v>311</v>
      </c>
      <c r="B29" s="107">
        <v>1401</v>
      </c>
      <c r="C29" s="107">
        <v>120</v>
      </c>
      <c r="D29" s="107" t="s">
        <v>232</v>
      </c>
      <c r="E29" s="107" t="s">
        <v>147</v>
      </c>
      <c r="F29" s="107">
        <v>3170</v>
      </c>
      <c r="H29" s="107">
        <v>914</v>
      </c>
      <c r="I29" s="107">
        <v>120</v>
      </c>
      <c r="J29" s="107" t="e">
        <f>IF(AND(Voorblad!$H$15=H29,Productie!#REF!=0),1,0)</f>
        <v>#REF!</v>
      </c>
    </row>
    <row r="30" spans="1:10" ht="12.75">
      <c r="A30" s="107">
        <v>312</v>
      </c>
      <c r="B30" s="107">
        <v>1402</v>
      </c>
      <c r="C30" s="107">
        <v>120</v>
      </c>
      <c r="D30" s="107" t="s">
        <v>1401</v>
      </c>
      <c r="E30" s="107" t="s">
        <v>673</v>
      </c>
      <c r="F30" s="107">
        <v>3210</v>
      </c>
      <c r="H30" s="107">
        <v>1101</v>
      </c>
      <c r="I30" s="107">
        <v>120</v>
      </c>
      <c r="J30" s="107" t="e">
        <f>IF(AND(Voorblad!$H$15=H30,Productie!#REF!=0),1,0)</f>
        <v>#REF!</v>
      </c>
    </row>
    <row r="31" spans="1:10" ht="12.75">
      <c r="A31" s="107">
        <v>313</v>
      </c>
      <c r="B31" s="107">
        <v>1403</v>
      </c>
      <c r="C31" s="107">
        <v>120</v>
      </c>
      <c r="D31" s="107" t="s">
        <v>229</v>
      </c>
      <c r="E31" s="107" t="s">
        <v>244</v>
      </c>
      <c r="F31" s="107">
        <v>3170</v>
      </c>
      <c r="H31" s="107">
        <v>1203</v>
      </c>
      <c r="I31" s="107">
        <v>120</v>
      </c>
      <c r="J31" s="107" t="e">
        <f>IF(AND(Voorblad!$H$15=H31,Productie!#REF!=0),1,0)</f>
        <v>#REF!</v>
      </c>
    </row>
    <row r="32" spans="1:10" ht="12.75">
      <c r="A32" s="107">
        <v>314</v>
      </c>
      <c r="B32" s="107">
        <v>1405</v>
      </c>
      <c r="C32" s="107">
        <v>120</v>
      </c>
      <c r="D32" s="107" t="s">
        <v>232</v>
      </c>
      <c r="E32" s="107" t="s">
        <v>604</v>
      </c>
      <c r="F32" s="107">
        <v>3170</v>
      </c>
      <c r="H32" s="107">
        <v>1207</v>
      </c>
      <c r="I32" s="107">
        <v>120</v>
      </c>
      <c r="J32" s="107" t="e">
        <f>IF(AND(Voorblad!$H$15=H32,Productie!#REF!=0),1,0)</f>
        <v>#REF!</v>
      </c>
    </row>
    <row r="33" spans="1:10" ht="12.75">
      <c r="A33" s="107">
        <v>315</v>
      </c>
      <c r="B33" s="107">
        <v>1501</v>
      </c>
      <c r="C33" s="107">
        <v>120</v>
      </c>
      <c r="D33" s="107" t="s">
        <v>831</v>
      </c>
      <c r="E33" s="107" t="s">
        <v>551</v>
      </c>
      <c r="F33" s="107">
        <v>3190</v>
      </c>
      <c r="H33" s="107">
        <v>1301</v>
      </c>
      <c r="I33" s="107">
        <v>120</v>
      </c>
      <c r="J33" s="107" t="e">
        <f>IF(AND(Voorblad!$H$15=H33,Productie!#REF!=0),1,0)</f>
        <v>#REF!</v>
      </c>
    </row>
    <row r="34" spans="1:10" ht="12.75">
      <c r="A34" s="107">
        <v>316</v>
      </c>
      <c r="B34" s="107">
        <v>1502</v>
      </c>
      <c r="C34" s="107">
        <v>120</v>
      </c>
      <c r="D34" s="107" t="s">
        <v>1401</v>
      </c>
      <c r="E34" s="107" t="s">
        <v>715</v>
      </c>
      <c r="F34" s="107">
        <v>3180</v>
      </c>
      <c r="H34" s="107">
        <v>1309</v>
      </c>
      <c r="I34" s="107">
        <v>120</v>
      </c>
      <c r="J34" s="107" t="e">
        <f>IF(AND(Voorblad!$H$15=H34,Productie!#REF!=0),1,0)</f>
        <v>#REF!</v>
      </c>
    </row>
    <row r="35" spans="1:10" ht="12.75">
      <c r="A35" s="107">
        <v>317</v>
      </c>
      <c r="B35" s="107">
        <v>1503</v>
      </c>
      <c r="C35" s="107">
        <v>120</v>
      </c>
      <c r="D35" s="107" t="s">
        <v>1401</v>
      </c>
      <c r="E35" s="107" t="s">
        <v>1380</v>
      </c>
      <c r="F35" s="107">
        <v>3180</v>
      </c>
      <c r="H35" s="107">
        <v>1315</v>
      </c>
      <c r="I35" s="107">
        <v>120</v>
      </c>
      <c r="J35" s="107" t="e">
        <f>IF(AND(Voorblad!$H$15=H35,Productie!#REF!=0),1,0)</f>
        <v>#REF!</v>
      </c>
    </row>
    <row r="36" spans="1:10" ht="12.75">
      <c r="A36" s="107">
        <v>318</v>
      </c>
      <c r="B36" s="107">
        <v>1504</v>
      </c>
      <c r="C36" s="107">
        <v>120</v>
      </c>
      <c r="D36" s="107" t="s">
        <v>229</v>
      </c>
      <c r="E36" s="107" t="s">
        <v>1218</v>
      </c>
      <c r="F36" s="107">
        <v>3180</v>
      </c>
      <c r="H36" s="107">
        <v>1318</v>
      </c>
      <c r="I36" s="107">
        <v>120</v>
      </c>
      <c r="J36" s="107" t="e">
        <f>IF(AND(Voorblad!$H$15=H36,Productie!#REF!=0),1,0)</f>
        <v>#REF!</v>
      </c>
    </row>
    <row r="37" spans="1:10" ht="12.75">
      <c r="A37" s="107">
        <v>321</v>
      </c>
      <c r="B37" s="107">
        <v>1508</v>
      </c>
      <c r="C37" s="107">
        <v>120</v>
      </c>
      <c r="D37" s="107" t="s">
        <v>833</v>
      </c>
      <c r="E37" s="107" t="s">
        <v>448</v>
      </c>
      <c r="F37" s="107">
        <v>3170</v>
      </c>
      <c r="H37" s="107">
        <v>1320</v>
      </c>
      <c r="I37" s="107">
        <v>120</v>
      </c>
      <c r="J37" s="107" t="e">
        <f>IF(AND(Voorblad!$H$15=H37,Productie!#REF!=0),1,0)</f>
        <v>#REF!</v>
      </c>
    </row>
    <row r="38" spans="1:10" ht="12.75">
      <c r="A38" s="107">
        <v>322</v>
      </c>
      <c r="B38" s="107">
        <v>1701</v>
      </c>
      <c r="C38" s="107">
        <v>120</v>
      </c>
      <c r="D38" s="107" t="s">
        <v>830</v>
      </c>
      <c r="E38" s="107" t="s">
        <v>1384</v>
      </c>
      <c r="F38" s="107">
        <v>3230</v>
      </c>
      <c r="H38" s="107">
        <v>1350</v>
      </c>
      <c r="I38" s="107">
        <v>120</v>
      </c>
      <c r="J38" s="107" t="e">
        <f>IF(AND(Voorblad!$H$15=H38,Productie!#REF!=0),1,0)</f>
        <v>#REF!</v>
      </c>
    </row>
    <row r="39" spans="1:10" ht="12.75">
      <c r="A39" s="107">
        <v>324</v>
      </c>
      <c r="B39" s="107">
        <v>1801</v>
      </c>
      <c r="C39" s="107">
        <v>120</v>
      </c>
      <c r="D39" s="107" t="s">
        <v>229</v>
      </c>
      <c r="E39" s="107" t="s">
        <v>1258</v>
      </c>
      <c r="F39" s="107">
        <v>3240</v>
      </c>
      <c r="H39" s="107">
        <v>1402</v>
      </c>
      <c r="I39" s="107">
        <v>120</v>
      </c>
      <c r="J39" s="107" t="e">
        <f>IF(AND(Voorblad!$H$15=H39,Productie!#REF!=0),1,0)</f>
        <v>#REF!</v>
      </c>
    </row>
    <row r="40" spans="1:10" ht="12.75">
      <c r="A40" s="107">
        <v>325</v>
      </c>
      <c r="B40" s="107">
        <v>1901</v>
      </c>
      <c r="C40" s="107">
        <v>120</v>
      </c>
      <c r="D40" s="107" t="s">
        <v>832</v>
      </c>
      <c r="E40" s="107" t="s">
        <v>467</v>
      </c>
      <c r="F40" s="107">
        <v>3250</v>
      </c>
      <c r="H40" s="107">
        <v>1403</v>
      </c>
      <c r="I40" s="107">
        <v>120</v>
      </c>
      <c r="J40" s="107" t="e">
        <f>IF(AND(Voorblad!$H$15=H40,Productie!#REF!=0),1,0)</f>
        <v>#REF!</v>
      </c>
    </row>
    <row r="41" spans="1:10" ht="12.75">
      <c r="A41" s="107">
        <v>326</v>
      </c>
      <c r="B41" s="107">
        <v>2002</v>
      </c>
      <c r="C41" s="107">
        <v>120</v>
      </c>
      <c r="D41" s="107" t="s">
        <v>229</v>
      </c>
      <c r="E41" s="107" t="s">
        <v>1199</v>
      </c>
      <c r="F41" s="107">
        <v>3260</v>
      </c>
      <c r="H41" s="107">
        <v>1404</v>
      </c>
      <c r="I41" s="107">
        <v>120</v>
      </c>
      <c r="J41" s="107" t="e">
        <f>IF(AND(Voorblad!$H$15=H41,Productie!#REF!=0),1,0)</f>
        <v>#REF!</v>
      </c>
    </row>
    <row r="42" spans="1:10" ht="12.75">
      <c r="A42" s="107">
        <v>327</v>
      </c>
      <c r="B42" s="107">
        <v>2003</v>
      </c>
      <c r="C42" s="107">
        <v>120</v>
      </c>
      <c r="D42" s="107" t="s">
        <v>830</v>
      </c>
      <c r="E42" s="107" t="s">
        <v>245</v>
      </c>
      <c r="F42" s="107">
        <v>3260</v>
      </c>
      <c r="H42" s="107">
        <v>1501</v>
      </c>
      <c r="I42" s="107">
        <v>120</v>
      </c>
      <c r="J42" s="107" t="e">
        <f>IF(AND(Voorblad!$H$15=H42,Productie!#REF!=0),1,0)</f>
        <v>#REF!</v>
      </c>
    </row>
    <row r="43" spans="1:10" ht="12.75">
      <c r="A43" s="107">
        <v>328</v>
      </c>
      <c r="B43" s="107">
        <v>2004</v>
      </c>
      <c r="C43" s="107">
        <v>120</v>
      </c>
      <c r="D43" s="107" t="s">
        <v>834</v>
      </c>
      <c r="E43" s="107" t="s">
        <v>1053</v>
      </c>
      <c r="F43" s="107">
        <v>3260</v>
      </c>
      <c r="H43" s="107">
        <v>1509</v>
      </c>
      <c r="I43" s="107">
        <v>120</v>
      </c>
      <c r="J43" s="107" t="e">
        <f>IF(AND(Voorblad!$H$15=H43,Productie!#REF!=0),1,0)</f>
        <v>#REF!</v>
      </c>
    </row>
    <row r="44" spans="1:10" ht="12.75">
      <c r="A44" s="107">
        <v>329</v>
      </c>
      <c r="B44" s="107">
        <v>2101</v>
      </c>
      <c r="C44" s="107">
        <v>120</v>
      </c>
      <c r="D44" s="107" t="s">
        <v>834</v>
      </c>
      <c r="E44" s="107" t="s">
        <v>1260</v>
      </c>
      <c r="F44" s="107">
        <v>3270</v>
      </c>
      <c r="H44" s="107">
        <v>1510</v>
      </c>
      <c r="I44" s="107">
        <v>120</v>
      </c>
      <c r="J44" s="107" t="e">
        <f>IF(AND(Voorblad!$H$15=H44,Productie!#REF!=0),1,0)</f>
        <v>#REF!</v>
      </c>
    </row>
    <row r="45" spans="1:10" ht="12.75">
      <c r="A45" s="107">
        <v>335</v>
      </c>
      <c r="B45" s="107">
        <v>2304</v>
      </c>
      <c r="C45" s="107">
        <v>120</v>
      </c>
      <c r="D45" s="107" t="s">
        <v>530</v>
      </c>
      <c r="E45" s="107" t="s">
        <v>1054</v>
      </c>
      <c r="F45" s="107">
        <v>3290</v>
      </c>
      <c r="H45" s="107">
        <v>1550</v>
      </c>
      <c r="I45" s="107">
        <v>120</v>
      </c>
      <c r="J45" s="107" t="e">
        <f>IF(AND(Voorblad!$H$15=H45,Productie!#REF!=0),1,0)</f>
        <v>#REF!</v>
      </c>
    </row>
    <row r="46" spans="1:10" ht="12.75">
      <c r="A46" s="107">
        <v>336</v>
      </c>
      <c r="B46" s="107">
        <v>2402</v>
      </c>
      <c r="C46" s="107">
        <v>120</v>
      </c>
      <c r="D46" s="107" t="s">
        <v>834</v>
      </c>
      <c r="E46" s="107" t="s">
        <v>1120</v>
      </c>
      <c r="F46" s="107">
        <v>3300</v>
      </c>
      <c r="H46" s="107">
        <v>1702</v>
      </c>
      <c r="I46" s="107">
        <v>120</v>
      </c>
      <c r="J46" s="107" t="e">
        <f>IF(AND(Voorblad!$H$15=H46,Productie!#REF!=0),1,0)</f>
        <v>#REF!</v>
      </c>
    </row>
    <row r="47" spans="1:10" ht="12.75">
      <c r="A47" s="107">
        <v>337</v>
      </c>
      <c r="B47" s="107">
        <v>2501</v>
      </c>
      <c r="C47" s="107">
        <v>120</v>
      </c>
      <c r="D47" s="107" t="s">
        <v>831</v>
      </c>
      <c r="E47" s="107" t="s">
        <v>246</v>
      </c>
      <c r="F47" s="107">
        <v>3310</v>
      </c>
      <c r="H47" s="107">
        <v>1705</v>
      </c>
      <c r="I47" s="107">
        <v>120</v>
      </c>
      <c r="J47" s="107" t="e">
        <f>IF(AND(Voorblad!$H$15=H47,Productie!#REF!=0),1,0)</f>
        <v>#REF!</v>
      </c>
    </row>
    <row r="48" spans="1:10" ht="12.75">
      <c r="A48" s="107">
        <v>338</v>
      </c>
      <c r="B48" s="107">
        <v>2502</v>
      </c>
      <c r="C48" s="107">
        <v>120</v>
      </c>
      <c r="D48" s="107" t="s">
        <v>831</v>
      </c>
      <c r="E48" s="107" t="s">
        <v>674</v>
      </c>
      <c r="F48" s="107">
        <v>3310</v>
      </c>
      <c r="H48" s="107">
        <v>1706</v>
      </c>
      <c r="I48" s="107">
        <v>120</v>
      </c>
      <c r="J48" s="107" t="e">
        <f>IF(AND(Voorblad!$H$15=H48,Productie!#REF!=0),1,0)</f>
        <v>#REF!</v>
      </c>
    </row>
    <row r="49" spans="1:10" ht="12.75">
      <c r="A49" s="107">
        <v>343</v>
      </c>
      <c r="B49" s="107">
        <v>105</v>
      </c>
      <c r="C49" s="107">
        <v>120</v>
      </c>
      <c r="D49" s="107" t="s">
        <v>1401</v>
      </c>
      <c r="E49" s="107" t="s">
        <v>235</v>
      </c>
      <c r="F49" s="107">
        <v>3010</v>
      </c>
      <c r="H49" s="107">
        <v>1708</v>
      </c>
      <c r="I49" s="107">
        <v>120</v>
      </c>
      <c r="J49" s="107" t="e">
        <f>IF(AND(Voorblad!$H$15=H49,Productie!#REF!=0),1,0)</f>
        <v>#REF!</v>
      </c>
    </row>
    <row r="50" spans="1:10" ht="12.75">
      <c r="A50" s="107">
        <v>344</v>
      </c>
      <c r="B50" s="107">
        <v>106</v>
      </c>
      <c r="C50" s="107">
        <v>120</v>
      </c>
      <c r="D50" s="107" t="s">
        <v>1401</v>
      </c>
      <c r="E50" s="107" t="s">
        <v>295</v>
      </c>
      <c r="F50" s="107">
        <v>3010</v>
      </c>
      <c r="H50" s="107">
        <v>1801</v>
      </c>
      <c r="I50" s="107">
        <v>120</v>
      </c>
      <c r="J50" s="107" t="e">
        <f>IF(AND(Voorblad!$H$15=H50,Productie!#REF!=0),1,0)</f>
        <v>#REF!</v>
      </c>
    </row>
    <row r="51" spans="1:10" ht="12.75">
      <c r="A51" s="107">
        <v>345</v>
      </c>
      <c r="B51" s="107">
        <v>202</v>
      </c>
      <c r="C51" s="107">
        <v>120</v>
      </c>
      <c r="D51" s="107" t="s">
        <v>694</v>
      </c>
      <c r="E51" s="107" t="s">
        <v>296</v>
      </c>
      <c r="F51" s="107">
        <v>3020</v>
      </c>
      <c r="H51" s="107">
        <v>1802</v>
      </c>
      <c r="I51" s="107">
        <v>120</v>
      </c>
      <c r="J51" s="107" t="e">
        <f>IF(AND(Voorblad!$H$15=H51,Productie!#REF!=0),1,0)</f>
        <v>#REF!</v>
      </c>
    </row>
    <row r="52" spans="1:10" ht="12.75">
      <c r="A52" s="107">
        <v>346</v>
      </c>
      <c r="B52" s="107">
        <v>605</v>
      </c>
      <c r="C52" s="107">
        <v>120</v>
      </c>
      <c r="D52" s="107" t="s">
        <v>831</v>
      </c>
      <c r="E52" s="107" t="s">
        <v>1497</v>
      </c>
      <c r="F52" s="107">
        <v>3070</v>
      </c>
      <c r="H52" s="107">
        <v>1901</v>
      </c>
      <c r="I52" s="107">
        <v>120</v>
      </c>
      <c r="J52" s="107" t="e">
        <f>IF(AND(Voorblad!$H$15=H52,Productie!#REF!=0),1,0)</f>
        <v>#REF!</v>
      </c>
    </row>
    <row r="53" spans="1:10" ht="12.75">
      <c r="A53" s="107">
        <v>349</v>
      </c>
      <c r="B53" s="107">
        <v>705</v>
      </c>
      <c r="C53" s="107">
        <v>120</v>
      </c>
      <c r="D53" s="107" t="s">
        <v>830</v>
      </c>
      <c r="E53" s="107" t="s">
        <v>234</v>
      </c>
      <c r="F53" s="107">
        <v>3070</v>
      </c>
      <c r="H53" s="107">
        <v>2000</v>
      </c>
      <c r="I53" s="107">
        <v>120</v>
      </c>
      <c r="J53" s="107" t="e">
        <f>IF(AND(Voorblad!$H$15=H53,Productie!#REF!=0),1,0)</f>
        <v>#REF!</v>
      </c>
    </row>
    <row r="54" spans="1:10" ht="12.75">
      <c r="A54" s="107">
        <v>350</v>
      </c>
      <c r="B54" s="107">
        <v>906</v>
      </c>
      <c r="C54" s="107">
        <v>120</v>
      </c>
      <c r="D54" s="107" t="s">
        <v>530</v>
      </c>
      <c r="E54" s="107" t="s">
        <v>1217</v>
      </c>
      <c r="F54" s="107">
        <v>3090</v>
      </c>
      <c r="H54" s="107">
        <v>2003</v>
      </c>
      <c r="I54" s="107">
        <v>120</v>
      </c>
      <c r="J54" s="107" t="e">
        <f>IF(AND(Voorblad!$H$15=H54,Productie!#REF!=0),1,0)</f>
        <v>#REF!</v>
      </c>
    </row>
    <row r="55" spans="1:10" ht="12.75">
      <c r="A55" s="107">
        <v>351</v>
      </c>
      <c r="B55" s="107">
        <v>1301</v>
      </c>
      <c r="C55" s="107">
        <v>120</v>
      </c>
      <c r="D55" s="107" t="s">
        <v>829</v>
      </c>
      <c r="E55" s="107" t="s">
        <v>440</v>
      </c>
      <c r="F55" s="107">
        <v>3120</v>
      </c>
      <c r="H55" s="107">
        <v>2004</v>
      </c>
      <c r="I55" s="107">
        <v>120</v>
      </c>
      <c r="J55" s="107" t="e">
        <f>IF(AND(Voorblad!$H$15=H55,Productie!#REF!=0),1,0)</f>
        <v>#REF!</v>
      </c>
    </row>
    <row r="56" spans="1:10" ht="12.75">
      <c r="A56" s="107">
        <v>352</v>
      </c>
      <c r="B56" s="107">
        <v>1303</v>
      </c>
      <c r="C56" s="107">
        <v>120</v>
      </c>
      <c r="D56" s="107" t="s">
        <v>1401</v>
      </c>
      <c r="E56" s="107" t="s">
        <v>596</v>
      </c>
      <c r="F56" s="107">
        <v>3150</v>
      </c>
      <c r="H56" s="107">
        <v>2010</v>
      </c>
      <c r="I56" s="107">
        <v>120</v>
      </c>
      <c r="J56" s="107" t="e">
        <f>IF(AND(Voorblad!$H$15=H56,Productie!#REF!=0),1,0)</f>
        <v>#REF!</v>
      </c>
    </row>
    <row r="57" spans="1:10" ht="12.75">
      <c r="A57" s="107">
        <v>353</v>
      </c>
      <c r="B57" s="107">
        <v>1404</v>
      </c>
      <c r="C57" s="107">
        <v>120</v>
      </c>
      <c r="D57" s="107" t="s">
        <v>229</v>
      </c>
      <c r="E57" s="107" t="s">
        <v>597</v>
      </c>
      <c r="F57" s="107">
        <v>3170</v>
      </c>
      <c r="H57" s="107">
        <v>2101</v>
      </c>
      <c r="I57" s="107">
        <v>120</v>
      </c>
      <c r="J57" s="107" t="e">
        <f>IF(AND(Voorblad!$H$15=H57,Productie!#REF!=0),1,0)</f>
        <v>#REF!</v>
      </c>
    </row>
    <row r="58" spans="1:10" ht="12.75">
      <c r="A58" s="107">
        <v>354</v>
      </c>
      <c r="B58" s="107">
        <v>1702</v>
      </c>
      <c r="C58" s="107">
        <v>120</v>
      </c>
      <c r="D58" s="107" t="s">
        <v>833</v>
      </c>
      <c r="E58" s="107" t="s">
        <v>1091</v>
      </c>
      <c r="F58" s="107">
        <v>3230</v>
      </c>
      <c r="H58" s="107">
        <v>2206</v>
      </c>
      <c r="I58" s="107">
        <v>120</v>
      </c>
      <c r="J58" s="107" t="e">
        <f>IF(AND(Voorblad!$H$15=H58,Productie!#REF!=0),1,0)</f>
        <v>#REF!</v>
      </c>
    </row>
    <row r="59" spans="1:10" ht="12.75">
      <c r="A59" s="107">
        <v>356</v>
      </c>
      <c r="B59" s="107">
        <v>2401</v>
      </c>
      <c r="C59" s="107">
        <v>120</v>
      </c>
      <c r="D59" s="107" t="s">
        <v>834</v>
      </c>
      <c r="E59" s="107" t="s">
        <v>1093</v>
      </c>
      <c r="F59" s="107">
        <v>3300</v>
      </c>
      <c r="H59" s="107">
        <v>2207</v>
      </c>
      <c r="I59" s="107">
        <v>120</v>
      </c>
      <c r="J59" s="107" t="e">
        <f>IF(AND(Voorblad!$H$15=H59,Productie!#REF!=0),1,0)</f>
        <v>#REF!</v>
      </c>
    </row>
    <row r="60" spans="1:10" ht="12.75">
      <c r="A60" s="107">
        <v>357</v>
      </c>
      <c r="B60" s="107">
        <v>104</v>
      </c>
      <c r="C60" s="107">
        <v>120</v>
      </c>
      <c r="D60" s="107" t="s">
        <v>332</v>
      </c>
      <c r="E60" s="107" t="s">
        <v>1332</v>
      </c>
      <c r="F60" s="107">
        <v>3010</v>
      </c>
      <c r="H60" s="107">
        <v>2304</v>
      </c>
      <c r="I60" s="107">
        <v>120</v>
      </c>
      <c r="J60" s="107" t="e">
        <f>IF(AND(Voorblad!$H$15=H60,Productie!#REF!=0),1,0)</f>
        <v>#REF!</v>
      </c>
    </row>
    <row r="61" spans="1:10" ht="12.75">
      <c r="A61" s="107">
        <v>360</v>
      </c>
      <c r="B61" s="107">
        <v>609</v>
      </c>
      <c r="C61" s="107">
        <v>120</v>
      </c>
      <c r="D61" s="107" t="s">
        <v>830</v>
      </c>
      <c r="E61" s="107" t="s">
        <v>675</v>
      </c>
      <c r="F61" s="107">
        <v>3070</v>
      </c>
      <c r="H61" s="107">
        <v>2401</v>
      </c>
      <c r="I61" s="107">
        <v>120</v>
      </c>
      <c r="J61" s="107" t="e">
        <f>IF(AND(Voorblad!$H$15=H61,Productie!#REF!=0),1,0)</f>
        <v>#REF!</v>
      </c>
    </row>
    <row r="62" spans="1:10" ht="12.75">
      <c r="A62" s="107">
        <v>361</v>
      </c>
      <c r="B62" s="107">
        <v>907</v>
      </c>
      <c r="C62" s="107">
        <v>120</v>
      </c>
      <c r="D62" s="107" t="s">
        <v>229</v>
      </c>
      <c r="E62" s="107" t="s">
        <v>697</v>
      </c>
      <c r="F62" s="107">
        <v>3090</v>
      </c>
      <c r="H62" s="107">
        <v>2403</v>
      </c>
      <c r="I62" s="107">
        <v>120</v>
      </c>
      <c r="J62" s="107" t="e">
        <f>IF(AND(Voorblad!$H$15=H62,Productie!#REF!=0),1,0)</f>
        <v>#REF!</v>
      </c>
    </row>
    <row r="63" spans="1:10" ht="12.75">
      <c r="A63" s="107">
        <v>362</v>
      </c>
      <c r="B63" s="107">
        <v>1203</v>
      </c>
      <c r="C63" s="107">
        <v>120</v>
      </c>
      <c r="D63" s="107" t="s">
        <v>829</v>
      </c>
      <c r="E63" s="107" t="s">
        <v>835</v>
      </c>
      <c r="F63" s="107">
        <v>3120</v>
      </c>
      <c r="H63" s="107">
        <v>2506</v>
      </c>
      <c r="I63" s="107">
        <v>120</v>
      </c>
      <c r="J63" s="894" t="e">
        <f>IF(AND(Voorblad!$H$15=H63,Productie!#REF!=0),1,0)</f>
        <v>#REF!</v>
      </c>
    </row>
    <row r="64" spans="1:10" ht="12.75">
      <c r="A64" s="107">
        <v>363</v>
      </c>
      <c r="B64" s="107">
        <v>1302</v>
      </c>
      <c r="C64" s="107">
        <v>120</v>
      </c>
      <c r="D64" s="107" t="s">
        <v>833</v>
      </c>
      <c r="E64" s="107" t="s">
        <v>1493</v>
      </c>
      <c r="F64" s="107">
        <v>3150</v>
      </c>
      <c r="H64" s="893" t="s">
        <v>898</v>
      </c>
      <c r="I64" s="890"/>
      <c r="J64" s="895" t="e">
        <f>SUM(J2:J63)</f>
        <v>#REF!</v>
      </c>
    </row>
    <row r="65" spans="1:6" ht="12.75">
      <c r="A65" s="107">
        <v>364</v>
      </c>
      <c r="B65" s="107">
        <v>1506</v>
      </c>
      <c r="C65" s="107">
        <v>120</v>
      </c>
      <c r="D65" s="107" t="s">
        <v>1401</v>
      </c>
      <c r="E65" s="107" t="s">
        <v>1494</v>
      </c>
      <c r="F65" s="107">
        <v>3180</v>
      </c>
    </row>
    <row r="66" spans="1:6" ht="12.75">
      <c r="A66" s="107">
        <v>365</v>
      </c>
      <c r="B66" s="107">
        <v>1704</v>
      </c>
      <c r="C66" s="107">
        <v>120</v>
      </c>
      <c r="D66" s="107" t="s">
        <v>830</v>
      </c>
      <c r="E66" s="107" t="s">
        <v>1495</v>
      </c>
      <c r="F66" s="107">
        <v>3230</v>
      </c>
    </row>
    <row r="67" spans="1:6" ht="12.75">
      <c r="A67" s="107">
        <v>3827</v>
      </c>
      <c r="B67" s="107">
        <v>2206</v>
      </c>
      <c r="C67" s="107">
        <v>120</v>
      </c>
      <c r="D67" s="107" t="s">
        <v>530</v>
      </c>
      <c r="E67" s="107" t="s">
        <v>874</v>
      </c>
      <c r="F67" s="107">
        <v>3280</v>
      </c>
    </row>
    <row r="68" spans="1:6" ht="12.75">
      <c r="A68" s="107">
        <v>3865</v>
      </c>
      <c r="B68" s="107">
        <v>1308</v>
      </c>
      <c r="C68" s="107">
        <v>120</v>
      </c>
      <c r="D68" s="107" t="s">
        <v>834</v>
      </c>
      <c r="E68" s="107" t="s">
        <v>550</v>
      </c>
      <c r="F68" s="107">
        <v>3150</v>
      </c>
    </row>
    <row r="69" spans="1:6" ht="12.75">
      <c r="A69" s="107">
        <v>3866</v>
      </c>
      <c r="B69" s="107">
        <v>1309</v>
      </c>
      <c r="C69" s="107">
        <v>120</v>
      </c>
      <c r="D69" s="107" t="s">
        <v>1401</v>
      </c>
      <c r="E69" s="107" t="s">
        <v>875</v>
      </c>
      <c r="F69" s="107">
        <v>3150</v>
      </c>
    </row>
    <row r="70" spans="1:6" ht="12.75">
      <c r="A70" s="107">
        <v>3916</v>
      </c>
      <c r="B70" s="107">
        <v>1802</v>
      </c>
      <c r="C70" s="107">
        <v>120</v>
      </c>
      <c r="D70" s="107" t="s">
        <v>229</v>
      </c>
      <c r="E70" s="107" t="s">
        <v>1485</v>
      </c>
      <c r="F70" s="107">
        <v>3240</v>
      </c>
    </row>
    <row r="71" spans="1:6" ht="12.75">
      <c r="A71" s="107">
        <v>3920</v>
      </c>
      <c r="B71" s="107">
        <v>112</v>
      </c>
      <c r="C71" s="107">
        <v>120</v>
      </c>
      <c r="D71" s="107" t="s">
        <v>1401</v>
      </c>
      <c r="E71" s="107" t="s">
        <v>1486</v>
      </c>
      <c r="F71" s="107">
        <v>3010</v>
      </c>
    </row>
    <row r="72" spans="1:6" ht="12.75">
      <c r="A72" s="107">
        <v>3928</v>
      </c>
      <c r="B72" s="107">
        <v>911</v>
      </c>
      <c r="C72" s="107">
        <v>120</v>
      </c>
      <c r="D72" s="107" t="s">
        <v>229</v>
      </c>
      <c r="E72" s="107" t="s">
        <v>1487</v>
      </c>
      <c r="F72" s="107">
        <v>3090</v>
      </c>
    </row>
    <row r="73" spans="1:6" ht="12.75">
      <c r="A73" s="107">
        <v>4096</v>
      </c>
      <c r="B73" s="107">
        <v>703</v>
      </c>
      <c r="C73" s="107">
        <v>120</v>
      </c>
      <c r="D73" s="107" t="s">
        <v>829</v>
      </c>
      <c r="E73" s="107" t="s">
        <v>247</v>
      </c>
      <c r="F73" s="107">
        <v>3080</v>
      </c>
    </row>
    <row r="74" spans="1:6" ht="12.75">
      <c r="A74" s="107">
        <v>4146</v>
      </c>
      <c r="B74" s="107">
        <v>2207</v>
      </c>
      <c r="C74" s="107">
        <v>120</v>
      </c>
      <c r="D74" s="107" t="s">
        <v>530</v>
      </c>
      <c r="E74" s="107" t="s">
        <v>1465</v>
      </c>
      <c r="F74" s="107">
        <v>3280</v>
      </c>
    </row>
    <row r="75" spans="1:6" ht="12.75">
      <c r="A75" s="107">
        <v>4156</v>
      </c>
      <c r="B75" s="107">
        <v>2305</v>
      </c>
      <c r="C75" s="107">
        <v>120</v>
      </c>
      <c r="D75" s="107" t="s">
        <v>834</v>
      </c>
      <c r="E75" s="107" t="s">
        <v>1404</v>
      </c>
      <c r="F75" s="107">
        <v>3280</v>
      </c>
    </row>
    <row r="76" spans="1:6" ht="12.75">
      <c r="A76" s="107">
        <v>4252</v>
      </c>
      <c r="B76" s="107">
        <v>2006</v>
      </c>
      <c r="C76" s="107">
        <v>120</v>
      </c>
      <c r="D76" s="107" t="s">
        <v>834</v>
      </c>
      <c r="E76" s="107" t="s">
        <v>1405</v>
      </c>
      <c r="F76" s="107">
        <v>3280</v>
      </c>
    </row>
    <row r="77" spans="1:6" ht="12.75">
      <c r="A77" s="107">
        <v>4268</v>
      </c>
      <c r="B77" s="107">
        <v>912</v>
      </c>
      <c r="C77" s="107">
        <v>120</v>
      </c>
      <c r="D77" s="107" t="s">
        <v>831</v>
      </c>
      <c r="E77" s="107" t="s">
        <v>1406</v>
      </c>
      <c r="F77" s="107">
        <v>3090</v>
      </c>
    </row>
    <row r="78" spans="1:6" ht="12.75">
      <c r="A78" s="107">
        <v>4271</v>
      </c>
      <c r="B78" s="107">
        <v>203</v>
      </c>
      <c r="C78" s="107">
        <v>120</v>
      </c>
      <c r="D78" s="107" t="s">
        <v>694</v>
      </c>
      <c r="E78" s="107" t="s">
        <v>1407</v>
      </c>
      <c r="F78" s="107">
        <v>3020</v>
      </c>
    </row>
    <row r="79" spans="1:6" ht="12.75">
      <c r="A79" s="107">
        <v>4300</v>
      </c>
      <c r="B79" s="107">
        <v>913</v>
      </c>
      <c r="C79" s="107">
        <v>120</v>
      </c>
      <c r="D79" s="107" t="s">
        <v>1382</v>
      </c>
      <c r="E79" s="107" t="s">
        <v>1491</v>
      </c>
      <c r="F79" s="107">
        <v>3090</v>
      </c>
    </row>
    <row r="80" spans="1:6" ht="12.75">
      <c r="A80" s="107">
        <v>4314</v>
      </c>
      <c r="B80" s="107">
        <v>1310</v>
      </c>
      <c r="C80" s="107">
        <v>120</v>
      </c>
      <c r="D80" s="107" t="s">
        <v>232</v>
      </c>
      <c r="E80" s="107" t="s">
        <v>471</v>
      </c>
      <c r="F80" s="107">
        <v>3060</v>
      </c>
    </row>
    <row r="81" spans="1:6" ht="12.75">
      <c r="A81" s="107">
        <v>4383</v>
      </c>
      <c r="B81" s="107">
        <v>608</v>
      </c>
      <c r="C81" s="107">
        <v>120</v>
      </c>
      <c r="D81" s="107" t="s">
        <v>830</v>
      </c>
      <c r="E81" s="107" t="s">
        <v>248</v>
      </c>
      <c r="F81" s="107">
        <v>3070</v>
      </c>
    </row>
    <row r="82" spans="1:6" ht="12.75">
      <c r="A82" s="107">
        <v>6855</v>
      </c>
      <c r="B82" s="107">
        <v>903</v>
      </c>
      <c r="C82" s="107">
        <v>120</v>
      </c>
      <c r="D82" s="107" t="s">
        <v>229</v>
      </c>
      <c r="E82" s="107" t="s">
        <v>1233</v>
      </c>
      <c r="F82" s="107">
        <v>3090</v>
      </c>
    </row>
    <row r="83" spans="1:6" ht="12.75">
      <c r="A83" s="107">
        <v>6856</v>
      </c>
      <c r="B83" s="107">
        <v>103</v>
      </c>
      <c r="C83" s="107">
        <v>120</v>
      </c>
      <c r="D83" s="107" t="s">
        <v>1401</v>
      </c>
      <c r="E83" s="107" t="s">
        <v>603</v>
      </c>
      <c r="F83" s="107">
        <v>3030</v>
      </c>
    </row>
    <row r="84" spans="1:6" ht="12.75">
      <c r="A84" s="107">
        <v>6997</v>
      </c>
      <c r="B84" s="107">
        <v>1509</v>
      </c>
      <c r="C84" s="107">
        <v>120</v>
      </c>
      <c r="D84" s="107" t="s">
        <v>830</v>
      </c>
      <c r="E84" s="107" t="s">
        <v>1386</v>
      </c>
      <c r="F84" s="107">
        <v>3180</v>
      </c>
    </row>
    <row r="85" spans="1:6" ht="12.75">
      <c r="A85" s="107">
        <v>7066</v>
      </c>
      <c r="B85" s="107">
        <v>611</v>
      </c>
      <c r="C85" s="107">
        <v>120</v>
      </c>
      <c r="D85" s="107" t="s">
        <v>1401</v>
      </c>
      <c r="E85" s="107" t="s">
        <v>836</v>
      </c>
      <c r="F85" s="107">
        <v>3070</v>
      </c>
    </row>
    <row r="86" spans="1:6" ht="12.75">
      <c r="A86" s="107">
        <v>7087</v>
      </c>
      <c r="B86" s="107">
        <v>1505</v>
      </c>
      <c r="C86" s="107">
        <v>120</v>
      </c>
      <c r="D86" s="107" t="s">
        <v>229</v>
      </c>
      <c r="E86" s="107" t="s">
        <v>681</v>
      </c>
      <c r="F86" s="107">
        <v>3180</v>
      </c>
    </row>
    <row r="87" spans="1:6" ht="12.75">
      <c r="A87" s="107">
        <v>7156</v>
      </c>
      <c r="B87" s="107">
        <v>2005</v>
      </c>
      <c r="C87" s="107">
        <v>120</v>
      </c>
      <c r="D87" s="107" t="s">
        <v>229</v>
      </c>
      <c r="E87" s="107" t="s">
        <v>592</v>
      </c>
      <c r="F87" s="107">
        <v>3260</v>
      </c>
    </row>
    <row r="88" spans="1:6" ht="12.75">
      <c r="A88" s="107">
        <v>7292</v>
      </c>
      <c r="B88" s="107">
        <v>610</v>
      </c>
      <c r="C88" s="107">
        <v>120</v>
      </c>
      <c r="D88" s="107" t="s">
        <v>1401</v>
      </c>
      <c r="E88" s="107" t="s">
        <v>1329</v>
      </c>
      <c r="F88" s="107">
        <v>3070</v>
      </c>
    </row>
    <row r="89" spans="1:6" ht="12.75">
      <c r="A89" s="107">
        <v>7293</v>
      </c>
      <c r="B89" s="107">
        <v>1510</v>
      </c>
      <c r="C89" s="107">
        <v>120</v>
      </c>
      <c r="D89" s="107" t="s">
        <v>229</v>
      </c>
      <c r="E89" s="107" t="s">
        <v>837</v>
      </c>
      <c r="F89" s="107">
        <v>3180</v>
      </c>
    </row>
    <row r="90" spans="1:6" ht="12.75">
      <c r="A90" s="107">
        <v>7297</v>
      </c>
      <c r="B90" s="107">
        <v>110</v>
      </c>
      <c r="C90" s="107">
        <v>120</v>
      </c>
      <c r="D90" s="107" t="s">
        <v>332</v>
      </c>
      <c r="E90" s="107" t="s">
        <v>920</v>
      </c>
      <c r="F90" s="107">
        <v>3010</v>
      </c>
    </row>
    <row r="91" spans="1:6" ht="12.75">
      <c r="A91" s="107">
        <v>7396</v>
      </c>
      <c r="B91" s="107">
        <v>1705</v>
      </c>
      <c r="C91" s="107">
        <v>120</v>
      </c>
      <c r="D91" s="107" t="s">
        <v>229</v>
      </c>
      <c r="E91" s="107" t="s">
        <v>249</v>
      </c>
      <c r="F91" s="107">
        <v>3230</v>
      </c>
    </row>
    <row r="92" spans="1:6" ht="12.75">
      <c r="A92" s="107">
        <v>7397</v>
      </c>
      <c r="B92" s="107">
        <v>1311</v>
      </c>
      <c r="C92" s="107">
        <v>120</v>
      </c>
      <c r="D92" s="107" t="s">
        <v>1401</v>
      </c>
      <c r="E92" s="107" t="s">
        <v>1330</v>
      </c>
      <c r="F92" s="107">
        <v>3150</v>
      </c>
    </row>
    <row r="93" spans="1:6" ht="12.75">
      <c r="A93" s="107">
        <v>8227</v>
      </c>
      <c r="B93" s="107">
        <v>109</v>
      </c>
      <c r="C93" s="107">
        <v>120</v>
      </c>
      <c r="D93" s="107" t="s">
        <v>1489</v>
      </c>
      <c r="E93" s="107" t="s">
        <v>921</v>
      </c>
      <c r="F93" s="107">
        <v>3010</v>
      </c>
    </row>
    <row r="94" spans="1:6" ht="12.75">
      <c r="A94" s="107">
        <v>8311</v>
      </c>
      <c r="B94" s="107">
        <v>304</v>
      </c>
      <c r="C94" s="107">
        <v>120</v>
      </c>
      <c r="D94" s="107" t="s">
        <v>829</v>
      </c>
      <c r="E94" s="107" t="s">
        <v>250</v>
      </c>
      <c r="F94" s="107">
        <v>3040</v>
      </c>
    </row>
    <row r="95" spans="1:6" ht="12.75">
      <c r="A95" s="107">
        <v>8312</v>
      </c>
      <c r="B95" s="107">
        <v>508</v>
      </c>
      <c r="C95" s="107">
        <v>120</v>
      </c>
      <c r="D95" s="107" t="s">
        <v>832</v>
      </c>
      <c r="E95" s="107" t="s">
        <v>251</v>
      </c>
      <c r="F95" s="107">
        <v>3061</v>
      </c>
    </row>
    <row r="96" spans="1:6" ht="12.75">
      <c r="A96" s="107">
        <v>8313</v>
      </c>
      <c r="B96" s="107">
        <v>615</v>
      </c>
      <c r="C96" s="107">
        <v>120</v>
      </c>
      <c r="D96" s="107" t="s">
        <v>1401</v>
      </c>
      <c r="E96" s="107" t="s">
        <v>1216</v>
      </c>
      <c r="F96" s="107">
        <v>3070</v>
      </c>
    </row>
    <row r="97" spans="1:6" ht="12.75">
      <c r="A97" s="107">
        <v>8314</v>
      </c>
      <c r="B97" s="107">
        <v>620</v>
      </c>
      <c r="C97" s="107">
        <v>120</v>
      </c>
      <c r="D97" s="107" t="s">
        <v>1489</v>
      </c>
      <c r="E97" s="107" t="s">
        <v>1481</v>
      </c>
      <c r="F97" s="107">
        <v>3060</v>
      </c>
    </row>
    <row r="98" spans="1:6" ht="12.75">
      <c r="A98" s="107">
        <v>8316</v>
      </c>
      <c r="B98" s="107">
        <v>1320</v>
      </c>
      <c r="C98" s="107">
        <v>120</v>
      </c>
      <c r="D98" s="107" t="s">
        <v>831</v>
      </c>
      <c r="E98" s="107" t="s">
        <v>548</v>
      </c>
      <c r="F98" s="107">
        <v>3120</v>
      </c>
    </row>
    <row r="99" spans="1:6" ht="12.75">
      <c r="A99" s="107">
        <v>8317</v>
      </c>
      <c r="B99" s="107">
        <v>1324</v>
      </c>
      <c r="C99" s="107">
        <v>120</v>
      </c>
      <c r="D99" s="107" t="s">
        <v>829</v>
      </c>
      <c r="E99" s="107" t="s">
        <v>1402</v>
      </c>
      <c r="F99" s="107">
        <v>3130</v>
      </c>
    </row>
    <row r="100" spans="1:6" ht="12.75">
      <c r="A100" s="107">
        <v>8318</v>
      </c>
      <c r="B100" s="107">
        <v>1422</v>
      </c>
      <c r="C100" s="107">
        <v>120</v>
      </c>
      <c r="D100" s="107" t="s">
        <v>829</v>
      </c>
      <c r="E100" s="107" t="s">
        <v>1492</v>
      </c>
      <c r="F100" s="107">
        <v>3130</v>
      </c>
    </row>
    <row r="101" spans="1:6" ht="12.75">
      <c r="A101" s="107">
        <v>8319</v>
      </c>
      <c r="B101" s="107">
        <v>1635</v>
      </c>
      <c r="C101" s="107">
        <v>120</v>
      </c>
      <c r="D101" s="107" t="s">
        <v>833</v>
      </c>
      <c r="E101" s="107" t="s">
        <v>1150</v>
      </c>
      <c r="F101" s="107">
        <v>3170</v>
      </c>
    </row>
    <row r="102" spans="1:6" ht="12.75">
      <c r="A102" s="107">
        <v>8320</v>
      </c>
      <c r="B102" s="107">
        <v>1740</v>
      </c>
      <c r="C102" s="107">
        <v>120</v>
      </c>
      <c r="D102" s="107" t="s">
        <v>229</v>
      </c>
      <c r="E102" s="107" t="s">
        <v>876</v>
      </c>
      <c r="F102" s="107">
        <v>3230</v>
      </c>
    </row>
    <row r="103" spans="1:6" ht="12.75">
      <c r="A103" s="107">
        <v>8321</v>
      </c>
      <c r="B103" s="107">
        <v>1747</v>
      </c>
      <c r="C103" s="107">
        <v>120</v>
      </c>
      <c r="D103" s="107" t="s">
        <v>833</v>
      </c>
      <c r="E103" s="107" t="s">
        <v>252</v>
      </c>
      <c r="F103" s="107">
        <v>3210</v>
      </c>
    </row>
    <row r="104" spans="1:6" ht="12.75">
      <c r="A104" s="107">
        <v>8322</v>
      </c>
      <c r="B104" s="107">
        <v>2455</v>
      </c>
      <c r="C104" s="107">
        <v>120</v>
      </c>
      <c r="D104" s="107" t="s">
        <v>834</v>
      </c>
      <c r="E104" s="107" t="s">
        <v>1331</v>
      </c>
      <c r="F104" s="107">
        <v>3300</v>
      </c>
    </row>
    <row r="105" spans="1:6" ht="12.75">
      <c r="A105" s="107">
        <v>8323</v>
      </c>
      <c r="B105" s="107">
        <v>2456</v>
      </c>
      <c r="C105" s="107">
        <v>120</v>
      </c>
      <c r="D105" s="107" t="s">
        <v>530</v>
      </c>
      <c r="E105" s="107" t="s">
        <v>676</v>
      </c>
      <c r="F105" s="107">
        <v>3300</v>
      </c>
    </row>
    <row r="106" spans="1:6" ht="12.75">
      <c r="A106" s="107">
        <v>8324</v>
      </c>
      <c r="B106" s="107">
        <v>2557</v>
      </c>
      <c r="C106" s="107">
        <v>120</v>
      </c>
      <c r="D106" s="107" t="s">
        <v>1382</v>
      </c>
      <c r="E106" s="107" t="s">
        <v>142</v>
      </c>
      <c r="F106" s="107">
        <v>3310</v>
      </c>
    </row>
    <row r="107" spans="1:6" ht="12.75">
      <c r="A107" s="107">
        <v>8325</v>
      </c>
      <c r="B107" s="107">
        <v>2559</v>
      </c>
      <c r="C107" s="107">
        <v>120</v>
      </c>
      <c r="D107" s="107" t="s">
        <v>833</v>
      </c>
      <c r="E107" s="107" t="s">
        <v>253</v>
      </c>
      <c r="F107" s="107">
        <v>3310</v>
      </c>
    </row>
    <row r="108" spans="1:6" ht="12.75">
      <c r="A108" s="107">
        <v>8326</v>
      </c>
      <c r="B108" s="107">
        <v>816</v>
      </c>
      <c r="C108" s="107">
        <v>120</v>
      </c>
      <c r="D108" s="107" t="s">
        <v>832</v>
      </c>
      <c r="E108" s="107" t="s">
        <v>254</v>
      </c>
      <c r="F108" s="107">
        <v>3090</v>
      </c>
    </row>
    <row r="109" spans="1:6" ht="12.75">
      <c r="A109" s="107">
        <v>8327</v>
      </c>
      <c r="B109" s="107">
        <v>115</v>
      </c>
      <c r="C109" s="107">
        <v>120</v>
      </c>
      <c r="D109" s="107" t="s">
        <v>1401</v>
      </c>
      <c r="E109" s="107" t="s">
        <v>1152</v>
      </c>
      <c r="F109" s="107">
        <v>3010</v>
      </c>
    </row>
    <row r="110" spans="1:6" ht="12.75">
      <c r="A110" s="107">
        <v>8328</v>
      </c>
      <c r="B110" s="107">
        <v>2000</v>
      </c>
      <c r="C110" s="107">
        <v>120</v>
      </c>
      <c r="D110" s="107" t="s">
        <v>229</v>
      </c>
      <c r="E110" s="107" t="s">
        <v>1259</v>
      </c>
      <c r="F110" s="107">
        <v>3260</v>
      </c>
    </row>
    <row r="111" spans="1:6" ht="12.75">
      <c r="A111" s="107">
        <v>8329</v>
      </c>
      <c r="B111" s="107">
        <v>1537</v>
      </c>
      <c r="C111" s="107">
        <v>120</v>
      </c>
      <c r="D111" s="107" t="s">
        <v>694</v>
      </c>
      <c r="E111" s="107" t="s">
        <v>460</v>
      </c>
      <c r="F111" s="107">
        <v>3180</v>
      </c>
    </row>
    <row r="112" spans="1:6" ht="12.75">
      <c r="A112" s="107">
        <v>8330</v>
      </c>
      <c r="B112" s="107">
        <v>1410</v>
      </c>
      <c r="C112" s="107">
        <v>120</v>
      </c>
      <c r="D112" s="107" t="s">
        <v>833</v>
      </c>
      <c r="E112" s="107" t="s">
        <v>1381</v>
      </c>
      <c r="F112" s="107">
        <v>3170</v>
      </c>
    </row>
    <row r="113" spans="1:6" ht="12.75">
      <c r="A113" s="107">
        <v>8472</v>
      </c>
      <c r="B113" s="107">
        <v>5001</v>
      </c>
      <c r="C113" s="107">
        <v>120</v>
      </c>
      <c r="D113" s="107" t="s">
        <v>830</v>
      </c>
      <c r="E113" s="107" t="s">
        <v>1179</v>
      </c>
      <c r="F113" s="107">
        <v>3090</v>
      </c>
    </row>
    <row r="114" spans="1:6" ht="12.75">
      <c r="A114" s="107">
        <v>8491</v>
      </c>
      <c r="B114" s="107">
        <v>612</v>
      </c>
      <c r="C114" s="107">
        <v>120</v>
      </c>
      <c r="D114" s="107" t="s">
        <v>1401</v>
      </c>
      <c r="E114" s="107" t="s">
        <v>1229</v>
      </c>
      <c r="F114" s="107">
        <v>3070</v>
      </c>
    </row>
    <row r="115" spans="1:6" ht="12.75">
      <c r="A115" s="107">
        <v>8522</v>
      </c>
      <c r="B115" s="107">
        <v>507</v>
      </c>
      <c r="C115" s="107">
        <v>120</v>
      </c>
      <c r="D115" s="107" t="s">
        <v>829</v>
      </c>
      <c r="E115" s="107" t="s">
        <v>1228</v>
      </c>
      <c r="F115" s="107">
        <v>3060</v>
      </c>
    </row>
    <row r="116" spans="1:6" ht="12.75">
      <c r="A116" s="107">
        <v>8794</v>
      </c>
      <c r="B116" s="107">
        <v>5002</v>
      </c>
      <c r="C116" s="107">
        <v>120</v>
      </c>
      <c r="D116" s="107" t="s">
        <v>1401</v>
      </c>
      <c r="E116" s="107" t="s">
        <v>877</v>
      </c>
      <c r="F116" s="107">
        <v>3030</v>
      </c>
    </row>
    <row r="117" spans="1:6" ht="12.75">
      <c r="A117" s="107">
        <v>8795</v>
      </c>
      <c r="B117" s="107">
        <v>5003</v>
      </c>
      <c r="C117" s="107">
        <v>120</v>
      </c>
      <c r="D117" s="107" t="s">
        <v>1401</v>
      </c>
      <c r="E117" s="107" t="s">
        <v>458</v>
      </c>
      <c r="F117" s="107">
        <v>3030</v>
      </c>
    </row>
    <row r="118" spans="1:6" ht="12.75">
      <c r="A118" s="107">
        <v>8796</v>
      </c>
      <c r="B118" s="107">
        <v>5004</v>
      </c>
      <c r="C118" s="107">
        <v>120</v>
      </c>
      <c r="D118" s="107" t="s">
        <v>829</v>
      </c>
      <c r="E118" s="107" t="s">
        <v>1180</v>
      </c>
      <c r="F118" s="107">
        <v>3020</v>
      </c>
    </row>
    <row r="119" spans="1:6" ht="12.75">
      <c r="A119" s="107">
        <v>8797</v>
      </c>
      <c r="B119" s="107">
        <v>5005</v>
      </c>
      <c r="C119" s="107">
        <v>120</v>
      </c>
      <c r="D119" s="107" t="s">
        <v>1401</v>
      </c>
      <c r="E119" s="107" t="s">
        <v>459</v>
      </c>
      <c r="F119" s="107">
        <v>3030</v>
      </c>
    </row>
    <row r="120" spans="1:6" ht="12.75">
      <c r="A120" s="107">
        <v>8798</v>
      </c>
      <c r="B120" s="107">
        <v>5006</v>
      </c>
      <c r="C120" s="107">
        <v>120</v>
      </c>
      <c r="D120" s="107" t="s">
        <v>832</v>
      </c>
      <c r="E120" s="107" t="s">
        <v>1181</v>
      </c>
      <c r="F120" s="107">
        <v>3020</v>
      </c>
    </row>
    <row r="121" spans="1:6" ht="12.75">
      <c r="A121" s="107">
        <v>8799</v>
      </c>
      <c r="B121" s="107">
        <v>5007</v>
      </c>
      <c r="C121" s="107">
        <v>120</v>
      </c>
      <c r="D121" s="107" t="s">
        <v>830</v>
      </c>
      <c r="E121" s="107" t="s">
        <v>1182</v>
      </c>
      <c r="F121" s="107">
        <v>3020</v>
      </c>
    </row>
    <row r="122" spans="1:6" ht="12.75">
      <c r="A122" s="107">
        <v>8800</v>
      </c>
      <c r="B122" s="107">
        <v>5008</v>
      </c>
      <c r="C122" s="107">
        <v>120</v>
      </c>
      <c r="D122" s="107" t="s">
        <v>831</v>
      </c>
      <c r="E122" s="107" t="s">
        <v>1183</v>
      </c>
      <c r="F122" s="107">
        <v>3020</v>
      </c>
    </row>
    <row r="123" spans="1:6" ht="12.75">
      <c r="A123" s="107">
        <v>8801</v>
      </c>
      <c r="B123" s="107">
        <v>5009</v>
      </c>
      <c r="C123" s="107">
        <v>120</v>
      </c>
      <c r="D123" s="107" t="s">
        <v>830</v>
      </c>
      <c r="E123" s="107" t="s">
        <v>1184</v>
      </c>
      <c r="F123" s="107">
        <v>3040</v>
      </c>
    </row>
    <row r="124" spans="1:6" ht="12.75">
      <c r="A124" s="107">
        <v>8802</v>
      </c>
      <c r="B124" s="107">
        <v>5010</v>
      </c>
      <c r="C124" s="107">
        <v>120</v>
      </c>
      <c r="D124" s="107" t="s">
        <v>833</v>
      </c>
      <c r="E124" s="107" t="s">
        <v>1185</v>
      </c>
      <c r="F124" s="107">
        <v>3030</v>
      </c>
    </row>
    <row r="125" spans="1:6" ht="12.75">
      <c r="A125" s="107">
        <v>8803</v>
      </c>
      <c r="B125" s="107">
        <v>5011</v>
      </c>
      <c r="C125" s="107">
        <v>120</v>
      </c>
      <c r="D125" s="107" t="s">
        <v>831</v>
      </c>
      <c r="E125" s="107" t="s">
        <v>1186</v>
      </c>
      <c r="F125" s="107">
        <v>3040</v>
      </c>
    </row>
    <row r="126" spans="1:6" ht="12.75">
      <c r="A126" s="107">
        <v>8804</v>
      </c>
      <c r="B126" s="107">
        <v>5012</v>
      </c>
      <c r="C126" s="107">
        <v>120</v>
      </c>
      <c r="D126" s="107" t="s">
        <v>831</v>
      </c>
      <c r="E126" s="107" t="s">
        <v>1187</v>
      </c>
      <c r="F126" s="107">
        <v>3100</v>
      </c>
    </row>
    <row r="127" spans="1:6" ht="12.75">
      <c r="A127" s="107">
        <v>8805</v>
      </c>
      <c r="B127" s="107">
        <v>5013</v>
      </c>
      <c r="C127" s="107">
        <v>120</v>
      </c>
      <c r="D127" s="107" t="s">
        <v>332</v>
      </c>
      <c r="E127" s="107" t="s">
        <v>1188</v>
      </c>
      <c r="F127" s="107">
        <v>3050</v>
      </c>
    </row>
    <row r="128" spans="1:6" ht="12.75">
      <c r="A128" s="107">
        <v>8806</v>
      </c>
      <c r="B128" s="107">
        <v>5014</v>
      </c>
      <c r="C128" s="107">
        <v>120</v>
      </c>
      <c r="D128" s="107" t="s">
        <v>332</v>
      </c>
      <c r="E128" s="107" t="s">
        <v>1189</v>
      </c>
      <c r="F128" s="107">
        <v>3050</v>
      </c>
    </row>
    <row r="129" spans="1:6" ht="12.75">
      <c r="A129" s="107">
        <v>8807</v>
      </c>
      <c r="B129" s="107">
        <v>5015</v>
      </c>
      <c r="C129" s="107">
        <v>120</v>
      </c>
      <c r="D129" s="107" t="s">
        <v>834</v>
      </c>
      <c r="E129" s="107" t="s">
        <v>1190</v>
      </c>
      <c r="F129" s="107">
        <v>3050</v>
      </c>
    </row>
    <row r="130" spans="1:6" ht="12.75">
      <c r="A130" s="107">
        <v>8809</v>
      </c>
      <c r="B130" s="107">
        <v>5016</v>
      </c>
      <c r="C130" s="107">
        <v>120</v>
      </c>
      <c r="D130" s="107" t="s">
        <v>1401</v>
      </c>
      <c r="E130" s="107" t="s">
        <v>878</v>
      </c>
      <c r="F130" s="107">
        <v>3061</v>
      </c>
    </row>
    <row r="131" spans="1:6" ht="12.75">
      <c r="A131" s="107">
        <v>8810</v>
      </c>
      <c r="B131" s="107">
        <v>5017</v>
      </c>
      <c r="C131" s="107">
        <v>120</v>
      </c>
      <c r="D131" s="107" t="s">
        <v>1401</v>
      </c>
      <c r="E131" s="107" t="s">
        <v>1191</v>
      </c>
      <c r="F131" s="107">
        <v>3060</v>
      </c>
    </row>
    <row r="132" spans="1:6" ht="12.75">
      <c r="A132" s="107">
        <v>8811</v>
      </c>
      <c r="B132" s="107">
        <v>5018</v>
      </c>
      <c r="C132" s="107">
        <v>120</v>
      </c>
      <c r="D132" s="107" t="s">
        <v>829</v>
      </c>
      <c r="E132" s="107" t="s">
        <v>1192</v>
      </c>
      <c r="F132" s="107">
        <v>3060</v>
      </c>
    </row>
    <row r="133" spans="1:6" ht="12.75">
      <c r="A133" s="107">
        <v>8812</v>
      </c>
      <c r="B133" s="107">
        <v>5019</v>
      </c>
      <c r="C133" s="107">
        <v>120</v>
      </c>
      <c r="D133" s="107" t="s">
        <v>829</v>
      </c>
      <c r="E133" s="107" t="s">
        <v>1328</v>
      </c>
      <c r="F133" s="107">
        <v>3060</v>
      </c>
    </row>
    <row r="134" spans="1:6" ht="12.75">
      <c r="A134" s="107">
        <v>8813</v>
      </c>
      <c r="B134" s="107">
        <v>5020</v>
      </c>
      <c r="C134" s="107">
        <v>120</v>
      </c>
      <c r="D134" s="107" t="s">
        <v>1401</v>
      </c>
      <c r="E134" s="107" t="s">
        <v>490</v>
      </c>
      <c r="F134" s="107">
        <v>3070</v>
      </c>
    </row>
    <row r="135" spans="1:6" ht="12.75">
      <c r="A135" s="107">
        <v>8814</v>
      </c>
      <c r="B135" s="107">
        <v>5021</v>
      </c>
      <c r="C135" s="107">
        <v>120</v>
      </c>
      <c r="D135" s="107" t="s">
        <v>530</v>
      </c>
      <c r="E135" s="107" t="s">
        <v>491</v>
      </c>
      <c r="F135" s="107">
        <v>3070</v>
      </c>
    </row>
    <row r="136" spans="1:6" ht="12.75">
      <c r="A136" s="107">
        <v>8815</v>
      </c>
      <c r="B136" s="107">
        <v>5022</v>
      </c>
      <c r="C136" s="107">
        <v>120</v>
      </c>
      <c r="D136" s="107" t="s">
        <v>829</v>
      </c>
      <c r="E136" s="107" t="s">
        <v>492</v>
      </c>
      <c r="F136" s="107">
        <v>3280</v>
      </c>
    </row>
    <row r="137" spans="1:6" ht="12.75">
      <c r="A137" s="107">
        <v>8816</v>
      </c>
      <c r="B137" s="107">
        <v>5023</v>
      </c>
      <c r="C137" s="107">
        <v>120</v>
      </c>
      <c r="D137" s="107" t="s">
        <v>1401</v>
      </c>
      <c r="E137" s="107" t="s">
        <v>493</v>
      </c>
      <c r="F137" s="107">
        <v>3080</v>
      </c>
    </row>
    <row r="138" spans="1:6" ht="12.75">
      <c r="A138" s="107">
        <v>8817</v>
      </c>
      <c r="B138" s="107">
        <v>5024</v>
      </c>
      <c r="C138" s="107">
        <v>120</v>
      </c>
      <c r="D138" s="107" t="s">
        <v>1401</v>
      </c>
      <c r="E138" s="107" t="s">
        <v>509</v>
      </c>
      <c r="F138" s="107">
        <v>3090</v>
      </c>
    </row>
    <row r="139" spans="1:6" ht="12.75">
      <c r="A139" s="107">
        <v>8818</v>
      </c>
      <c r="B139" s="107">
        <v>5025</v>
      </c>
      <c r="C139" s="107">
        <v>120</v>
      </c>
      <c r="D139" s="107" t="s">
        <v>832</v>
      </c>
      <c r="E139" s="107" t="s">
        <v>510</v>
      </c>
      <c r="F139" s="107">
        <v>3080</v>
      </c>
    </row>
    <row r="140" spans="1:6" ht="12.75">
      <c r="A140" s="107">
        <v>8819</v>
      </c>
      <c r="B140" s="107">
        <v>5026</v>
      </c>
      <c r="C140" s="107">
        <v>120</v>
      </c>
      <c r="D140" s="107" t="s">
        <v>1401</v>
      </c>
      <c r="E140" s="107" t="s">
        <v>511</v>
      </c>
      <c r="F140" s="107">
        <v>3090</v>
      </c>
    </row>
    <row r="141" spans="1:6" ht="12.75">
      <c r="A141" s="107">
        <v>8820</v>
      </c>
      <c r="B141" s="107">
        <v>5027</v>
      </c>
      <c r="C141" s="107">
        <v>120</v>
      </c>
      <c r="D141" s="107" t="s">
        <v>229</v>
      </c>
      <c r="E141" s="107" t="s">
        <v>512</v>
      </c>
      <c r="F141" s="107">
        <v>3090</v>
      </c>
    </row>
    <row r="142" spans="1:6" ht="12.75">
      <c r="A142" s="107">
        <v>8821</v>
      </c>
      <c r="B142" s="107">
        <v>5028</v>
      </c>
      <c r="C142" s="107">
        <v>120</v>
      </c>
      <c r="D142" s="107" t="s">
        <v>229</v>
      </c>
      <c r="E142" s="107" t="s">
        <v>513</v>
      </c>
      <c r="F142" s="107">
        <v>3110</v>
      </c>
    </row>
    <row r="143" spans="1:6" ht="12.75">
      <c r="A143" s="107">
        <v>8822</v>
      </c>
      <c r="B143" s="107">
        <v>5029</v>
      </c>
      <c r="C143" s="107">
        <v>120</v>
      </c>
      <c r="D143" s="107" t="s">
        <v>1401</v>
      </c>
      <c r="E143" s="107" t="s">
        <v>679</v>
      </c>
      <c r="F143" s="107">
        <v>3110</v>
      </c>
    </row>
    <row r="144" spans="1:6" ht="12.75">
      <c r="A144" s="107">
        <v>8823</v>
      </c>
      <c r="B144" s="107">
        <v>5030</v>
      </c>
      <c r="C144" s="107">
        <v>120</v>
      </c>
      <c r="D144" s="107" t="s">
        <v>830</v>
      </c>
      <c r="E144" s="107" t="s">
        <v>514</v>
      </c>
      <c r="F144" s="107">
        <v>3120</v>
      </c>
    </row>
    <row r="145" spans="1:6" ht="12.75">
      <c r="A145" s="107">
        <v>8824</v>
      </c>
      <c r="B145" s="107">
        <v>5031</v>
      </c>
      <c r="C145" s="107">
        <v>120</v>
      </c>
      <c r="D145" s="107" t="s">
        <v>228</v>
      </c>
      <c r="E145" s="107" t="s">
        <v>879</v>
      </c>
      <c r="F145" s="107">
        <v>3120</v>
      </c>
    </row>
    <row r="146" spans="1:6" ht="12.75">
      <c r="A146" s="107">
        <v>8825</v>
      </c>
      <c r="B146" s="107">
        <v>5032</v>
      </c>
      <c r="C146" s="107">
        <v>120</v>
      </c>
      <c r="D146" s="107" t="s">
        <v>229</v>
      </c>
      <c r="E146" s="107" t="s">
        <v>515</v>
      </c>
      <c r="F146" s="107">
        <v>3130</v>
      </c>
    </row>
    <row r="147" spans="1:6" ht="12.75">
      <c r="A147" s="107">
        <v>8826</v>
      </c>
      <c r="B147" s="107">
        <v>5033</v>
      </c>
      <c r="C147" s="107">
        <v>120</v>
      </c>
      <c r="D147" s="107" t="s">
        <v>831</v>
      </c>
      <c r="E147" s="107" t="s">
        <v>516</v>
      </c>
      <c r="F147" s="107">
        <v>3140</v>
      </c>
    </row>
    <row r="148" spans="1:6" ht="12.75">
      <c r="A148" s="107">
        <v>8827</v>
      </c>
      <c r="B148" s="107">
        <v>5034</v>
      </c>
      <c r="C148" s="107">
        <v>120</v>
      </c>
      <c r="D148" s="107" t="s">
        <v>229</v>
      </c>
      <c r="E148" s="107" t="s">
        <v>517</v>
      </c>
      <c r="F148" s="107">
        <v>3140</v>
      </c>
    </row>
    <row r="149" spans="1:6" ht="12.75">
      <c r="A149" s="107">
        <v>8828</v>
      </c>
      <c r="B149" s="107">
        <v>5035</v>
      </c>
      <c r="C149" s="107">
        <v>120</v>
      </c>
      <c r="D149" s="107" t="s">
        <v>229</v>
      </c>
      <c r="E149" s="107" t="s">
        <v>518</v>
      </c>
      <c r="F149" s="107">
        <v>3150</v>
      </c>
    </row>
    <row r="150" spans="1:6" ht="12.75">
      <c r="A150" s="107">
        <v>8829</v>
      </c>
      <c r="B150" s="107">
        <v>5036</v>
      </c>
      <c r="C150" s="107">
        <v>120</v>
      </c>
      <c r="D150" s="107" t="s">
        <v>694</v>
      </c>
      <c r="E150" s="107" t="s">
        <v>680</v>
      </c>
      <c r="F150" s="107">
        <v>3190</v>
      </c>
    </row>
    <row r="151" spans="1:6" ht="12.75">
      <c r="A151" s="107">
        <v>8830</v>
      </c>
      <c r="B151" s="107">
        <v>5037</v>
      </c>
      <c r="C151" s="107">
        <v>120</v>
      </c>
      <c r="D151" s="107" t="s">
        <v>232</v>
      </c>
      <c r="E151" s="107" t="s">
        <v>880</v>
      </c>
      <c r="F151" s="107">
        <v>3200</v>
      </c>
    </row>
    <row r="152" spans="1:6" ht="12.75">
      <c r="A152" s="107">
        <v>8831</v>
      </c>
      <c r="B152" s="107">
        <v>5038</v>
      </c>
      <c r="C152" s="107">
        <v>120</v>
      </c>
      <c r="D152" s="107" t="s">
        <v>229</v>
      </c>
      <c r="E152" s="107" t="s">
        <v>519</v>
      </c>
      <c r="F152" s="107">
        <v>3240</v>
      </c>
    </row>
    <row r="153" spans="1:6" ht="12.75">
      <c r="A153" s="107">
        <v>8832</v>
      </c>
      <c r="B153" s="107">
        <v>5039</v>
      </c>
      <c r="C153" s="107">
        <v>120</v>
      </c>
      <c r="D153" s="107" t="s">
        <v>229</v>
      </c>
      <c r="E153" s="107" t="s">
        <v>520</v>
      </c>
      <c r="F153" s="107">
        <v>3250</v>
      </c>
    </row>
    <row r="154" spans="1:6" ht="12.75">
      <c r="A154" s="107">
        <v>8833</v>
      </c>
      <c r="B154" s="107">
        <v>5040</v>
      </c>
      <c r="C154" s="107">
        <v>120</v>
      </c>
      <c r="D154" s="107" t="s">
        <v>832</v>
      </c>
      <c r="E154" s="107" t="s">
        <v>521</v>
      </c>
      <c r="F154" s="107">
        <v>3250</v>
      </c>
    </row>
    <row r="155" spans="1:6" ht="12.75">
      <c r="A155" s="107">
        <v>8834</v>
      </c>
      <c r="B155" s="107">
        <v>5041</v>
      </c>
      <c r="C155" s="107">
        <v>120</v>
      </c>
      <c r="D155" s="107" t="s">
        <v>833</v>
      </c>
      <c r="E155" s="107" t="s">
        <v>522</v>
      </c>
      <c r="F155" s="107">
        <v>3260</v>
      </c>
    </row>
    <row r="156" spans="1:6" ht="12.75">
      <c r="A156" s="107">
        <v>8835</v>
      </c>
      <c r="B156" s="107">
        <v>5042</v>
      </c>
      <c r="C156" s="107">
        <v>120</v>
      </c>
      <c r="D156" s="107" t="s">
        <v>834</v>
      </c>
      <c r="E156" s="107" t="s">
        <v>523</v>
      </c>
      <c r="F156" s="107">
        <v>3260</v>
      </c>
    </row>
    <row r="157" spans="1:6" ht="12.75">
      <c r="A157" s="107">
        <v>8836</v>
      </c>
      <c r="B157" s="107">
        <v>5043</v>
      </c>
      <c r="C157" s="107">
        <v>120</v>
      </c>
      <c r="D157" s="107" t="s">
        <v>530</v>
      </c>
      <c r="E157" s="107" t="s">
        <v>524</v>
      </c>
      <c r="F157" s="107">
        <v>3270</v>
      </c>
    </row>
    <row r="158" spans="1:6" ht="12.75">
      <c r="A158" s="107">
        <v>8837</v>
      </c>
      <c r="B158" s="107">
        <v>5044</v>
      </c>
      <c r="C158" s="107">
        <v>120</v>
      </c>
      <c r="D158" s="107" t="s">
        <v>229</v>
      </c>
      <c r="E158" s="107" t="s">
        <v>525</v>
      </c>
      <c r="F158" s="107">
        <v>3270</v>
      </c>
    </row>
    <row r="159" spans="1:6" ht="12.75">
      <c r="A159" s="107">
        <v>8839</v>
      </c>
      <c r="B159" s="107">
        <v>5045</v>
      </c>
      <c r="C159" s="107">
        <v>120</v>
      </c>
      <c r="D159" s="107" t="s">
        <v>1401</v>
      </c>
      <c r="E159" s="107" t="s">
        <v>881</v>
      </c>
      <c r="F159" s="107">
        <v>3280</v>
      </c>
    </row>
    <row r="160" spans="1:6" ht="12.75">
      <c r="A160" s="107">
        <v>8840</v>
      </c>
      <c r="B160" s="107">
        <v>5046</v>
      </c>
      <c r="C160" s="107">
        <v>120</v>
      </c>
      <c r="D160" s="107" t="s">
        <v>229</v>
      </c>
      <c r="E160" s="107" t="s">
        <v>526</v>
      </c>
      <c r="F160" s="107">
        <v>3290</v>
      </c>
    </row>
    <row r="161" spans="1:6" ht="12.75">
      <c r="A161" s="107">
        <v>8841</v>
      </c>
      <c r="B161" s="107">
        <v>5047</v>
      </c>
      <c r="C161" s="107">
        <v>120</v>
      </c>
      <c r="D161" s="107" t="s">
        <v>229</v>
      </c>
      <c r="E161" s="107" t="s">
        <v>838</v>
      </c>
      <c r="F161" s="107">
        <v>3290</v>
      </c>
    </row>
    <row r="162" spans="1:6" ht="12.75">
      <c r="A162" s="107">
        <v>8842</v>
      </c>
      <c r="B162" s="107">
        <v>5048</v>
      </c>
      <c r="C162" s="107">
        <v>120</v>
      </c>
      <c r="D162" s="107" t="s">
        <v>229</v>
      </c>
      <c r="E162" s="107" t="s">
        <v>527</v>
      </c>
      <c r="F162" s="107">
        <v>3290</v>
      </c>
    </row>
    <row r="163" spans="1:6" ht="12.75">
      <c r="A163" s="107">
        <v>8843</v>
      </c>
      <c r="B163" s="107">
        <v>5049</v>
      </c>
      <c r="C163" s="107">
        <v>120</v>
      </c>
      <c r="D163" s="107" t="s">
        <v>229</v>
      </c>
      <c r="E163" s="107" t="s">
        <v>305</v>
      </c>
      <c r="F163" s="107">
        <v>3290</v>
      </c>
    </row>
    <row r="164" spans="1:6" ht="12.75">
      <c r="A164" s="107">
        <v>8844</v>
      </c>
      <c r="B164" s="107">
        <v>5050</v>
      </c>
      <c r="C164" s="107">
        <v>120</v>
      </c>
      <c r="D164" s="107" t="s">
        <v>229</v>
      </c>
      <c r="E164" s="107" t="s">
        <v>306</v>
      </c>
      <c r="F164" s="107">
        <v>3300</v>
      </c>
    </row>
    <row r="165" spans="1:6" ht="12.75">
      <c r="A165" s="107">
        <v>8845</v>
      </c>
      <c r="B165" s="107">
        <v>5051</v>
      </c>
      <c r="C165" s="107">
        <v>120</v>
      </c>
      <c r="D165" s="107" t="s">
        <v>530</v>
      </c>
      <c r="E165" s="107" t="s">
        <v>307</v>
      </c>
      <c r="F165" s="107">
        <v>3300</v>
      </c>
    </row>
    <row r="166" spans="1:6" ht="12.75">
      <c r="A166" s="107">
        <v>8846</v>
      </c>
      <c r="B166" s="107">
        <v>5052</v>
      </c>
      <c r="C166" s="107">
        <v>120</v>
      </c>
      <c r="D166" s="107" t="s">
        <v>229</v>
      </c>
      <c r="E166" s="107" t="s">
        <v>922</v>
      </c>
      <c r="F166" s="107">
        <v>3300</v>
      </c>
    </row>
    <row r="167" spans="1:6" ht="12.75">
      <c r="A167" s="107">
        <v>8847</v>
      </c>
      <c r="B167" s="107">
        <v>5053</v>
      </c>
      <c r="C167" s="107">
        <v>120</v>
      </c>
      <c r="D167" s="107" t="s">
        <v>833</v>
      </c>
      <c r="E167" s="107" t="s">
        <v>839</v>
      </c>
      <c r="F167" s="107">
        <v>3310</v>
      </c>
    </row>
    <row r="168" spans="1:6" ht="12.75">
      <c r="A168" s="107">
        <v>8848</v>
      </c>
      <c r="B168" s="107">
        <v>5054</v>
      </c>
      <c r="C168" s="107">
        <v>120</v>
      </c>
      <c r="D168" s="107" t="s">
        <v>829</v>
      </c>
      <c r="E168" s="107" t="s">
        <v>308</v>
      </c>
      <c r="F168" s="107">
        <v>3310</v>
      </c>
    </row>
    <row r="169" spans="1:6" ht="12.75">
      <c r="A169" s="107">
        <v>9443</v>
      </c>
      <c r="B169" s="107">
        <v>1312</v>
      </c>
      <c r="C169" s="107">
        <v>120</v>
      </c>
      <c r="D169" s="107" t="s">
        <v>834</v>
      </c>
      <c r="E169" s="107" t="s">
        <v>309</v>
      </c>
      <c r="F169" s="107">
        <v>3150</v>
      </c>
    </row>
    <row r="170" spans="1:6" ht="12.75">
      <c r="A170" s="107">
        <v>9967</v>
      </c>
      <c r="B170" s="107">
        <v>500</v>
      </c>
      <c r="C170" s="107">
        <v>120</v>
      </c>
      <c r="D170" s="107" t="s">
        <v>1401</v>
      </c>
      <c r="E170" s="107" t="s">
        <v>310</v>
      </c>
      <c r="F170" s="107">
        <v>3060</v>
      </c>
    </row>
    <row r="171" spans="1:6" ht="12.75">
      <c r="A171" s="107">
        <v>10147</v>
      </c>
      <c r="B171" s="107">
        <v>1326</v>
      </c>
      <c r="C171" s="107">
        <v>120</v>
      </c>
      <c r="D171" s="107" t="s">
        <v>834</v>
      </c>
      <c r="E171" s="107" t="s">
        <v>311</v>
      </c>
      <c r="F171" s="107">
        <v>3130</v>
      </c>
    </row>
    <row r="172" spans="1:6" ht="12.75">
      <c r="A172" s="107">
        <v>10397</v>
      </c>
      <c r="B172" s="107">
        <v>914</v>
      </c>
      <c r="C172" s="107">
        <v>120</v>
      </c>
      <c r="D172" s="107" t="s">
        <v>831</v>
      </c>
      <c r="E172" s="107" t="s">
        <v>840</v>
      </c>
      <c r="F172" s="107">
        <v>3090</v>
      </c>
    </row>
    <row r="173" spans="1:6" ht="12.75">
      <c r="A173" s="107">
        <v>10398</v>
      </c>
      <c r="B173" s="107">
        <v>1706</v>
      </c>
      <c r="C173" s="107">
        <v>120</v>
      </c>
      <c r="D173" s="107" t="s">
        <v>830</v>
      </c>
      <c r="E173" s="107" t="s">
        <v>141</v>
      </c>
      <c r="F173" s="107">
        <v>3230</v>
      </c>
    </row>
    <row r="174" spans="1:6" ht="12.75">
      <c r="A174" s="107">
        <v>10400</v>
      </c>
      <c r="B174" s="107">
        <v>111</v>
      </c>
      <c r="C174" s="107">
        <v>120</v>
      </c>
      <c r="D174" s="107" t="s">
        <v>332</v>
      </c>
      <c r="E174" s="107" t="s">
        <v>136</v>
      </c>
      <c r="F174" s="107">
        <v>3030</v>
      </c>
    </row>
    <row r="175" spans="1:6" ht="12.75">
      <c r="A175" s="107">
        <v>10401</v>
      </c>
      <c r="B175" s="107">
        <v>301</v>
      </c>
      <c r="C175" s="107">
        <v>120</v>
      </c>
      <c r="D175" s="107" t="s">
        <v>833</v>
      </c>
      <c r="E175" s="107" t="s">
        <v>841</v>
      </c>
      <c r="F175" s="107">
        <v>3040</v>
      </c>
    </row>
    <row r="176" spans="1:6" ht="12.75">
      <c r="A176" s="107">
        <v>10402</v>
      </c>
      <c r="B176" s="107">
        <v>402</v>
      </c>
      <c r="C176" s="107">
        <v>120</v>
      </c>
      <c r="D176" s="107" t="s">
        <v>229</v>
      </c>
      <c r="E176" s="107" t="s">
        <v>1482</v>
      </c>
      <c r="F176" s="107">
        <v>3050</v>
      </c>
    </row>
    <row r="177" spans="1:6" ht="12.75">
      <c r="A177" s="107">
        <v>10403</v>
      </c>
      <c r="B177" s="107">
        <v>506</v>
      </c>
      <c r="C177" s="107">
        <v>120</v>
      </c>
      <c r="D177" s="107" t="s">
        <v>829</v>
      </c>
      <c r="E177" s="107" t="s">
        <v>1483</v>
      </c>
      <c r="F177" s="107">
        <v>3060</v>
      </c>
    </row>
    <row r="178" spans="1:6" ht="12.75">
      <c r="A178" s="107">
        <v>10404</v>
      </c>
      <c r="B178" s="107">
        <v>607</v>
      </c>
      <c r="C178" s="107">
        <v>120</v>
      </c>
      <c r="D178" s="107" t="s">
        <v>1401</v>
      </c>
      <c r="E178" s="107" t="s">
        <v>1010</v>
      </c>
      <c r="F178" s="107">
        <v>3070</v>
      </c>
    </row>
    <row r="179" spans="1:6" ht="12.75">
      <c r="A179" s="107">
        <v>10405</v>
      </c>
      <c r="B179" s="107">
        <v>704</v>
      </c>
      <c r="C179" s="107">
        <v>120</v>
      </c>
      <c r="D179" s="107" t="s">
        <v>829</v>
      </c>
      <c r="E179" s="107" t="s">
        <v>1011</v>
      </c>
      <c r="F179" s="107">
        <v>3080</v>
      </c>
    </row>
    <row r="180" spans="1:6" ht="12.75">
      <c r="A180" s="107">
        <v>10406</v>
      </c>
      <c r="B180" s="107">
        <v>804</v>
      </c>
      <c r="C180" s="107">
        <v>120</v>
      </c>
      <c r="D180" s="107" t="s">
        <v>232</v>
      </c>
      <c r="E180" s="107" t="s">
        <v>1012</v>
      </c>
      <c r="F180" s="107">
        <v>3090</v>
      </c>
    </row>
    <row r="181" spans="1:6" ht="12.75">
      <c r="A181" s="107">
        <v>10407</v>
      </c>
      <c r="B181" s="107">
        <v>900</v>
      </c>
      <c r="C181" s="107">
        <v>120</v>
      </c>
      <c r="D181" s="107" t="s">
        <v>229</v>
      </c>
      <c r="E181" s="107" t="s">
        <v>1013</v>
      </c>
      <c r="F181" s="107">
        <v>3090</v>
      </c>
    </row>
    <row r="182" spans="1:6" ht="12.75">
      <c r="A182" s="107">
        <v>10408</v>
      </c>
      <c r="B182" s="107">
        <v>908</v>
      </c>
      <c r="C182" s="107">
        <v>120</v>
      </c>
      <c r="D182" s="107" t="s">
        <v>232</v>
      </c>
      <c r="E182" s="107" t="s">
        <v>1014</v>
      </c>
      <c r="F182" s="107">
        <v>3090</v>
      </c>
    </row>
    <row r="183" spans="1:6" ht="12.75">
      <c r="A183" s="107">
        <v>10409</v>
      </c>
      <c r="B183" s="107">
        <v>1001</v>
      </c>
      <c r="C183" s="107">
        <v>120</v>
      </c>
      <c r="D183" s="107" t="s">
        <v>1401</v>
      </c>
      <c r="E183" s="107" t="s">
        <v>1015</v>
      </c>
      <c r="F183" s="107">
        <v>3110</v>
      </c>
    </row>
    <row r="184" spans="1:6" ht="12.75">
      <c r="A184" s="107">
        <v>10410</v>
      </c>
      <c r="B184" s="107">
        <v>1002</v>
      </c>
      <c r="C184" s="107">
        <v>120</v>
      </c>
      <c r="D184" s="107" t="s">
        <v>830</v>
      </c>
      <c r="E184" s="107" t="s">
        <v>882</v>
      </c>
      <c r="F184" s="107">
        <v>3090</v>
      </c>
    </row>
    <row r="185" spans="1:6" ht="12.75">
      <c r="A185" s="107">
        <v>10411</v>
      </c>
      <c r="B185" s="107">
        <v>1206</v>
      </c>
      <c r="C185" s="107">
        <v>120</v>
      </c>
      <c r="D185" s="107" t="s">
        <v>834</v>
      </c>
      <c r="E185" s="107" t="s">
        <v>451</v>
      </c>
      <c r="F185" s="107">
        <v>3130</v>
      </c>
    </row>
    <row r="186" spans="1:6" ht="12.75">
      <c r="A186" s="107">
        <v>10412</v>
      </c>
      <c r="B186" s="107">
        <v>1300</v>
      </c>
      <c r="C186" s="107">
        <v>120</v>
      </c>
      <c r="D186" s="107" t="s">
        <v>1401</v>
      </c>
      <c r="E186" s="107" t="s">
        <v>452</v>
      </c>
      <c r="F186" s="107">
        <v>3150</v>
      </c>
    </row>
    <row r="187" spans="1:6" ht="12.75">
      <c r="A187" s="107">
        <v>10413</v>
      </c>
      <c r="B187" s="107">
        <v>1313</v>
      </c>
      <c r="C187" s="107">
        <v>120</v>
      </c>
      <c r="D187" s="107" t="s">
        <v>829</v>
      </c>
      <c r="E187" s="107" t="s">
        <v>923</v>
      </c>
      <c r="F187" s="107">
        <v>3150</v>
      </c>
    </row>
    <row r="188" spans="1:6" ht="12.75">
      <c r="A188" s="107">
        <v>10414</v>
      </c>
      <c r="B188" s="107">
        <v>1314</v>
      </c>
      <c r="C188" s="107">
        <v>120</v>
      </c>
      <c r="D188" s="107" t="s">
        <v>830</v>
      </c>
      <c r="E188" s="107" t="s">
        <v>453</v>
      </c>
      <c r="F188" s="107">
        <v>3140</v>
      </c>
    </row>
    <row r="189" spans="1:6" ht="12.75">
      <c r="A189" s="107">
        <v>10415</v>
      </c>
      <c r="B189" s="107">
        <v>1511</v>
      </c>
      <c r="C189" s="107">
        <v>120</v>
      </c>
      <c r="D189" s="107" t="s">
        <v>229</v>
      </c>
      <c r="E189" s="107" t="s">
        <v>312</v>
      </c>
      <c r="F189" s="107">
        <v>3180</v>
      </c>
    </row>
    <row r="190" spans="1:6" ht="12.75">
      <c r="A190" s="107">
        <v>10416</v>
      </c>
      <c r="B190" s="107">
        <v>1512</v>
      </c>
      <c r="C190" s="107">
        <v>120</v>
      </c>
      <c r="D190" s="107" t="s">
        <v>831</v>
      </c>
      <c r="E190" s="107" t="s">
        <v>1484</v>
      </c>
      <c r="F190" s="107">
        <v>3180</v>
      </c>
    </row>
    <row r="191" spans="1:6" ht="12.75">
      <c r="A191" s="107">
        <v>10417</v>
      </c>
      <c r="B191" s="107">
        <v>1513</v>
      </c>
      <c r="C191" s="107">
        <v>120</v>
      </c>
      <c r="D191" s="107" t="s">
        <v>830</v>
      </c>
      <c r="E191" s="107" t="s">
        <v>842</v>
      </c>
      <c r="F191" s="107">
        <v>3190</v>
      </c>
    </row>
    <row r="192" spans="1:6" ht="12.75">
      <c r="A192" s="107">
        <v>10418</v>
      </c>
      <c r="B192" s="107">
        <v>1601</v>
      </c>
      <c r="C192" s="107">
        <v>120</v>
      </c>
      <c r="D192" s="107" t="s">
        <v>232</v>
      </c>
      <c r="E192" s="107" t="s">
        <v>449</v>
      </c>
      <c r="F192" s="107">
        <v>3090</v>
      </c>
    </row>
    <row r="193" spans="1:6" ht="12.75">
      <c r="A193" s="107">
        <v>10419</v>
      </c>
      <c r="B193" s="107">
        <v>1710</v>
      </c>
      <c r="C193" s="107">
        <v>120</v>
      </c>
      <c r="D193" s="107" t="s">
        <v>832</v>
      </c>
      <c r="E193" s="107" t="s">
        <v>843</v>
      </c>
      <c r="F193" s="107">
        <v>3210</v>
      </c>
    </row>
    <row r="194" spans="1:6" ht="12.75">
      <c r="A194" s="107">
        <v>10420</v>
      </c>
      <c r="B194" s="107">
        <v>1714</v>
      </c>
      <c r="C194" s="107">
        <v>120</v>
      </c>
      <c r="D194" s="107" t="s">
        <v>229</v>
      </c>
      <c r="E194" s="107" t="s">
        <v>883</v>
      </c>
      <c r="F194" s="107">
        <v>3230</v>
      </c>
    </row>
    <row r="195" spans="1:6" ht="12.75">
      <c r="A195" s="107">
        <v>10421</v>
      </c>
      <c r="B195" s="107">
        <v>2110</v>
      </c>
      <c r="C195" s="107">
        <v>120</v>
      </c>
      <c r="D195" s="107" t="s">
        <v>831</v>
      </c>
      <c r="E195" s="107" t="s">
        <v>137</v>
      </c>
      <c r="F195" s="107">
        <v>3270</v>
      </c>
    </row>
    <row r="196" spans="1:6" ht="12.75">
      <c r="A196" s="107">
        <v>10422</v>
      </c>
      <c r="B196" s="107">
        <v>2510</v>
      </c>
      <c r="C196" s="107">
        <v>120</v>
      </c>
      <c r="D196" s="107" t="s">
        <v>530</v>
      </c>
      <c r="E196" s="107" t="s">
        <v>138</v>
      </c>
      <c r="F196" s="107">
        <v>3310</v>
      </c>
    </row>
    <row r="197" spans="1:6" ht="12.75">
      <c r="A197" s="107">
        <v>10423</v>
      </c>
      <c r="B197" s="107">
        <v>2530</v>
      </c>
      <c r="C197" s="107">
        <v>120</v>
      </c>
      <c r="D197" s="107" t="s">
        <v>530</v>
      </c>
      <c r="E197" s="107" t="s">
        <v>693</v>
      </c>
      <c r="F197" s="107">
        <v>3300</v>
      </c>
    </row>
    <row r="198" spans="1:6" ht="12.75">
      <c r="A198" s="107">
        <v>10442</v>
      </c>
      <c r="B198" s="107">
        <v>614</v>
      </c>
      <c r="C198" s="107">
        <v>120</v>
      </c>
      <c r="D198" s="107" t="s">
        <v>229</v>
      </c>
      <c r="E198" s="107" t="s">
        <v>888</v>
      </c>
      <c r="F198" s="107">
        <v>3290</v>
      </c>
    </row>
    <row r="199" spans="1:6" ht="12.75">
      <c r="A199" s="107">
        <v>10456</v>
      </c>
      <c r="B199" s="107">
        <v>1315</v>
      </c>
      <c r="C199" s="107">
        <v>120</v>
      </c>
      <c r="D199" s="107" t="s">
        <v>1401</v>
      </c>
      <c r="E199" s="107" t="s">
        <v>1060</v>
      </c>
      <c r="F199" s="107">
        <v>3150</v>
      </c>
    </row>
    <row r="200" spans="1:6" ht="12.75">
      <c r="A200" s="107">
        <v>10484</v>
      </c>
      <c r="B200" s="107">
        <v>2010</v>
      </c>
      <c r="C200" s="107">
        <v>120</v>
      </c>
      <c r="D200" s="107" t="s">
        <v>834</v>
      </c>
      <c r="E200" s="107" t="s">
        <v>1394</v>
      </c>
      <c r="F200" s="107">
        <v>3280</v>
      </c>
    </row>
    <row r="201" spans="1:6" ht="12.75">
      <c r="A201" s="107">
        <v>11844</v>
      </c>
      <c r="B201" s="107">
        <v>616</v>
      </c>
      <c r="C201" s="107">
        <v>120</v>
      </c>
      <c r="D201" s="107" t="s">
        <v>229</v>
      </c>
      <c r="E201" s="107" t="s">
        <v>662</v>
      </c>
      <c r="F201" s="107">
        <v>3310</v>
      </c>
    </row>
    <row r="202" spans="1:6" ht="12.75">
      <c r="A202" s="107">
        <v>12253</v>
      </c>
      <c r="B202" s="107">
        <v>1416</v>
      </c>
      <c r="C202" s="107">
        <v>120</v>
      </c>
      <c r="D202" s="107" t="s">
        <v>831</v>
      </c>
      <c r="E202" s="107" t="s">
        <v>812</v>
      </c>
      <c r="F202" s="107">
        <v>3170</v>
      </c>
    </row>
    <row r="203" spans="1:6" ht="12.75">
      <c r="A203" s="107">
        <v>12435</v>
      </c>
      <c r="B203" s="107">
        <v>2403</v>
      </c>
      <c r="C203" s="107">
        <v>120</v>
      </c>
      <c r="D203" s="107" t="s">
        <v>834</v>
      </c>
      <c r="E203" s="107" t="s">
        <v>1196</v>
      </c>
      <c r="F203" s="107">
        <v>3300</v>
      </c>
    </row>
    <row r="204" spans="1:6" ht="12.75">
      <c r="A204" s="107">
        <v>12480</v>
      </c>
      <c r="B204" s="107">
        <v>1350</v>
      </c>
      <c r="C204" s="107">
        <v>120</v>
      </c>
      <c r="D204" s="107" t="s">
        <v>829</v>
      </c>
      <c r="E204" s="107" t="s">
        <v>140</v>
      </c>
      <c r="F204" s="107">
        <v>3130</v>
      </c>
    </row>
    <row r="205" spans="1:6" ht="12.75">
      <c r="A205" s="107">
        <v>12481</v>
      </c>
      <c r="B205" s="107">
        <v>820</v>
      </c>
      <c r="C205" s="107">
        <v>120</v>
      </c>
      <c r="D205" s="107" t="s">
        <v>830</v>
      </c>
      <c r="E205" s="107" t="s">
        <v>889</v>
      </c>
      <c r="F205" s="107">
        <v>3090</v>
      </c>
    </row>
    <row r="206" spans="1:6" ht="12.75">
      <c r="A206" s="107">
        <v>12483</v>
      </c>
      <c r="B206" s="107">
        <v>1550</v>
      </c>
      <c r="C206" s="107">
        <v>120</v>
      </c>
      <c r="D206" s="107" t="s">
        <v>833</v>
      </c>
      <c r="E206" s="107" t="s">
        <v>139</v>
      </c>
      <c r="F206" s="107">
        <v>3170</v>
      </c>
    </row>
    <row r="207" spans="1:6" ht="12.75">
      <c r="A207" s="107">
        <v>12515</v>
      </c>
      <c r="B207" s="107">
        <v>1708</v>
      </c>
      <c r="C207" s="107">
        <v>120</v>
      </c>
      <c r="D207" s="107" t="s">
        <v>832</v>
      </c>
      <c r="E207" s="107" t="s">
        <v>313</v>
      </c>
      <c r="F207" s="107">
        <v>3210</v>
      </c>
    </row>
    <row r="208" spans="1:6" ht="12.75">
      <c r="A208" s="107">
        <v>17804</v>
      </c>
      <c r="B208" s="107">
        <v>617</v>
      </c>
      <c r="C208" s="107">
        <v>120</v>
      </c>
      <c r="D208" s="107" t="s">
        <v>229</v>
      </c>
      <c r="E208" s="107" t="s">
        <v>710</v>
      </c>
      <c r="F208" s="107">
        <v>3010</v>
      </c>
    </row>
    <row r="209" spans="1:6" ht="12.75">
      <c r="A209" s="107">
        <v>17805</v>
      </c>
      <c r="B209" s="107">
        <v>618</v>
      </c>
      <c r="C209" s="107">
        <v>120</v>
      </c>
      <c r="D209" s="107" t="s">
        <v>229</v>
      </c>
      <c r="E209" s="107" t="s">
        <v>711</v>
      </c>
      <c r="F209" s="107">
        <v>3200</v>
      </c>
    </row>
    <row r="210" spans="1:6" ht="12.75">
      <c r="A210" s="107">
        <v>17806</v>
      </c>
      <c r="B210" s="107">
        <v>619</v>
      </c>
      <c r="C210" s="107">
        <v>120</v>
      </c>
      <c r="D210" s="107" t="s">
        <v>229</v>
      </c>
      <c r="E210" s="107" t="s">
        <v>712</v>
      </c>
      <c r="F210" s="107">
        <v>3070</v>
      </c>
    </row>
    <row r="211" spans="1:6" ht="12.75">
      <c r="A211" s="107">
        <v>17829</v>
      </c>
      <c r="B211" s="107">
        <v>1720</v>
      </c>
      <c r="C211" s="107">
        <v>120</v>
      </c>
      <c r="D211" s="107" t="s">
        <v>833</v>
      </c>
      <c r="E211" s="107" t="s">
        <v>890</v>
      </c>
      <c r="F211" s="107">
        <v>3210</v>
      </c>
    </row>
    <row r="212" spans="1:6" ht="12.75">
      <c r="A212" s="107">
        <v>17865</v>
      </c>
      <c r="B212" s="107">
        <v>1316</v>
      </c>
      <c r="C212" s="107">
        <v>120</v>
      </c>
      <c r="D212" s="107" t="s">
        <v>1401</v>
      </c>
      <c r="E212" s="107" t="s">
        <v>314</v>
      </c>
      <c r="F212" s="107">
        <v>3150</v>
      </c>
    </row>
    <row r="213" spans="1:6" ht="12.75">
      <c r="A213" s="107">
        <v>17884</v>
      </c>
      <c r="B213" s="107">
        <v>621</v>
      </c>
      <c r="C213" s="107">
        <v>120</v>
      </c>
      <c r="D213" s="107" t="s">
        <v>229</v>
      </c>
      <c r="E213" s="107" t="s">
        <v>1219</v>
      </c>
      <c r="F213" s="107">
        <v>3130</v>
      </c>
    </row>
    <row r="214" spans="1:6" ht="12.75">
      <c r="A214" s="107">
        <v>17885</v>
      </c>
      <c r="B214" s="107">
        <v>622</v>
      </c>
      <c r="C214" s="107">
        <v>120</v>
      </c>
      <c r="D214" s="107" t="s">
        <v>229</v>
      </c>
      <c r="E214" s="107" t="s">
        <v>1220</v>
      </c>
      <c r="F214" s="107">
        <v>3090</v>
      </c>
    </row>
    <row r="215" spans="1:6" ht="12.75">
      <c r="A215" s="107">
        <v>17996</v>
      </c>
      <c r="B215" s="107">
        <v>2404</v>
      </c>
      <c r="C215" s="107">
        <v>120</v>
      </c>
      <c r="D215" s="107" t="s">
        <v>829</v>
      </c>
      <c r="E215" s="107" t="s">
        <v>315</v>
      </c>
      <c r="F215" s="107">
        <v>3300</v>
      </c>
    </row>
    <row r="216" spans="1:6" ht="12.75">
      <c r="A216" s="107">
        <v>18026</v>
      </c>
      <c r="B216" s="107">
        <v>1317</v>
      </c>
      <c r="C216" s="107">
        <v>120</v>
      </c>
      <c r="D216" s="107" t="s">
        <v>830</v>
      </c>
      <c r="E216" s="107" t="s">
        <v>1072</v>
      </c>
      <c r="F216" s="107">
        <v>3150</v>
      </c>
    </row>
    <row r="217" spans="1:6" ht="12.75">
      <c r="A217" s="107">
        <v>18027</v>
      </c>
      <c r="B217" s="107">
        <v>623</v>
      </c>
      <c r="C217" s="107">
        <v>120</v>
      </c>
      <c r="D217" s="107" t="s">
        <v>229</v>
      </c>
      <c r="E217" s="107" t="s">
        <v>1221</v>
      </c>
      <c r="F217" s="107">
        <v>3100</v>
      </c>
    </row>
    <row r="218" spans="1:6" ht="12.75">
      <c r="A218" s="107">
        <v>18028</v>
      </c>
      <c r="B218" s="107">
        <v>1750</v>
      </c>
      <c r="C218" s="107">
        <v>120</v>
      </c>
      <c r="D218" s="107" t="s">
        <v>229</v>
      </c>
      <c r="E218" s="107" t="s">
        <v>1075</v>
      </c>
      <c r="F218" s="107">
        <v>3210</v>
      </c>
    </row>
    <row r="219" spans="1:6" ht="12.75">
      <c r="A219" s="107">
        <v>18080</v>
      </c>
      <c r="B219" s="107">
        <v>624</v>
      </c>
      <c r="C219" s="107">
        <v>120</v>
      </c>
      <c r="D219" s="107" t="s">
        <v>833</v>
      </c>
      <c r="E219" s="107" t="s">
        <v>1076</v>
      </c>
      <c r="F219" s="107">
        <v>3040</v>
      </c>
    </row>
    <row r="220" spans="1:6" ht="12.75">
      <c r="A220" s="107">
        <v>18081</v>
      </c>
      <c r="B220" s="107">
        <v>625</v>
      </c>
      <c r="C220" s="107">
        <v>120</v>
      </c>
      <c r="D220" s="107" t="s">
        <v>832</v>
      </c>
      <c r="E220" s="107" t="s">
        <v>1077</v>
      </c>
      <c r="F220" s="107">
        <v>3160</v>
      </c>
    </row>
    <row r="221" spans="1:6" ht="12.75">
      <c r="A221" s="107">
        <v>18097</v>
      </c>
      <c r="B221" s="107">
        <v>626</v>
      </c>
      <c r="C221" s="107">
        <v>120</v>
      </c>
      <c r="D221" s="107" t="s">
        <v>832</v>
      </c>
      <c r="E221" s="107" t="s">
        <v>894</v>
      </c>
      <c r="F221" s="107">
        <v>3180</v>
      </c>
    </row>
    <row r="222" spans="1:6" ht="12.75">
      <c r="A222" s="107">
        <v>18104</v>
      </c>
      <c r="B222" s="107">
        <v>2500</v>
      </c>
      <c r="C222" s="107">
        <v>120</v>
      </c>
      <c r="D222" s="107" t="s">
        <v>834</v>
      </c>
      <c r="E222" s="107" t="s">
        <v>988</v>
      </c>
      <c r="F222" s="107">
        <v>3310</v>
      </c>
    </row>
    <row r="223" spans="1:6" ht="12.75">
      <c r="A223" s="107">
        <v>18152</v>
      </c>
      <c r="B223" s="107">
        <v>825</v>
      </c>
      <c r="C223" s="107">
        <v>120</v>
      </c>
      <c r="D223" s="107" t="s">
        <v>830</v>
      </c>
      <c r="E223" s="107" t="s">
        <v>685</v>
      </c>
      <c r="F223" s="107">
        <v>3090</v>
      </c>
    </row>
    <row r="224" spans="1:6" ht="12.75">
      <c r="A224" s="107">
        <v>18201</v>
      </c>
      <c r="B224" s="107">
        <v>2102</v>
      </c>
      <c r="C224" s="107">
        <v>120</v>
      </c>
      <c r="D224" s="107" t="s">
        <v>833</v>
      </c>
      <c r="E224" s="107" t="s">
        <v>1292</v>
      </c>
      <c r="F224" s="107">
        <v>3270</v>
      </c>
    </row>
    <row r="225" spans="1:6" ht="12.75">
      <c r="A225" s="107">
        <v>18308</v>
      </c>
      <c r="B225" s="107">
        <v>627</v>
      </c>
      <c r="C225" s="107">
        <v>120</v>
      </c>
      <c r="D225" s="107" t="s">
        <v>832</v>
      </c>
      <c r="E225" s="107" t="s">
        <v>989</v>
      </c>
      <c r="F225" s="107">
        <v>3150</v>
      </c>
    </row>
    <row r="226" spans="1:6" ht="12.75">
      <c r="A226" s="107">
        <v>18351</v>
      </c>
      <c r="B226" s="107">
        <v>1730</v>
      </c>
      <c r="C226" s="107">
        <v>120</v>
      </c>
      <c r="D226" s="107" t="s">
        <v>229</v>
      </c>
      <c r="E226" s="107" t="s">
        <v>673</v>
      </c>
      <c r="F226" s="107">
        <v>3230</v>
      </c>
    </row>
    <row r="227" spans="1:6" ht="12.75">
      <c r="A227" s="107">
        <v>18403</v>
      </c>
      <c r="B227" s="107">
        <v>205</v>
      </c>
      <c r="C227" s="107">
        <v>120</v>
      </c>
      <c r="D227" s="107" t="s">
        <v>832</v>
      </c>
      <c r="E227" s="107" t="s">
        <v>316</v>
      </c>
      <c r="F227" s="107">
        <v>3020</v>
      </c>
    </row>
    <row r="228" spans="1:6" ht="12.75">
      <c r="A228" s="107">
        <v>18404</v>
      </c>
      <c r="B228" s="107">
        <v>206</v>
      </c>
      <c r="C228" s="107">
        <v>120</v>
      </c>
      <c r="D228" s="107" t="s">
        <v>831</v>
      </c>
      <c r="E228" s="107" t="s">
        <v>924</v>
      </c>
      <c r="F228" s="107">
        <v>3020</v>
      </c>
    </row>
    <row r="229" spans="1:6" ht="12.75">
      <c r="A229" s="107">
        <v>18409</v>
      </c>
      <c r="B229" s="107">
        <v>2210</v>
      </c>
      <c r="C229" s="107">
        <v>120</v>
      </c>
      <c r="D229" s="107" t="s">
        <v>833</v>
      </c>
      <c r="E229" s="107" t="s">
        <v>294</v>
      </c>
      <c r="F229" s="107">
        <v>3280</v>
      </c>
    </row>
    <row r="230" spans="1:6" ht="12.75">
      <c r="A230" s="107">
        <v>18426</v>
      </c>
      <c r="B230" s="107">
        <v>2505</v>
      </c>
      <c r="C230" s="107">
        <v>120</v>
      </c>
      <c r="D230" s="107" t="s">
        <v>833</v>
      </c>
      <c r="E230" s="107" t="s">
        <v>1016</v>
      </c>
      <c r="F230" s="107">
        <v>3310</v>
      </c>
    </row>
    <row r="231" spans="1:6" ht="12.75">
      <c r="A231" s="107">
        <v>18437</v>
      </c>
      <c r="B231" s="107">
        <v>613</v>
      </c>
      <c r="C231" s="107">
        <v>120</v>
      </c>
      <c r="D231" s="107" t="s">
        <v>1401</v>
      </c>
      <c r="E231" s="107" t="s">
        <v>1197</v>
      </c>
      <c r="F231" s="107">
        <v>3070</v>
      </c>
    </row>
    <row r="232" spans="1:6" ht="12.75">
      <c r="A232" s="107">
        <v>18468</v>
      </c>
      <c r="B232" s="107">
        <v>2308</v>
      </c>
      <c r="C232" s="107">
        <v>120</v>
      </c>
      <c r="D232" s="107" t="s">
        <v>833</v>
      </c>
      <c r="E232" s="107" t="s">
        <v>1385</v>
      </c>
      <c r="F232" s="107">
        <v>3290</v>
      </c>
    </row>
    <row r="233" spans="1:6" ht="12.75">
      <c r="A233" s="107">
        <v>18545</v>
      </c>
      <c r="B233" s="107">
        <v>600</v>
      </c>
      <c r="C233" s="107">
        <v>120</v>
      </c>
      <c r="D233" s="107" t="s">
        <v>831</v>
      </c>
      <c r="E233" s="107" t="s">
        <v>1121</v>
      </c>
      <c r="F233" s="107">
        <v>3070</v>
      </c>
    </row>
    <row r="234" spans="1:6" ht="12.75">
      <c r="A234" s="107">
        <v>18555</v>
      </c>
      <c r="B234" s="107">
        <v>2307</v>
      </c>
      <c r="C234" s="107">
        <v>120</v>
      </c>
      <c r="D234" s="107" t="s">
        <v>530</v>
      </c>
      <c r="E234" s="107" t="s">
        <v>1017</v>
      </c>
      <c r="F234" s="107">
        <v>3290</v>
      </c>
    </row>
    <row r="235" spans="1:6" ht="12.75">
      <c r="A235" s="107">
        <v>18579</v>
      </c>
      <c r="B235" s="107">
        <v>116</v>
      </c>
      <c r="C235" s="107">
        <v>120</v>
      </c>
      <c r="D235" s="107" t="s">
        <v>1401</v>
      </c>
      <c r="E235" s="107" t="s">
        <v>317</v>
      </c>
      <c r="F235" s="107">
        <v>3010</v>
      </c>
    </row>
    <row r="236" spans="1:6" ht="12.75">
      <c r="A236" s="107">
        <v>18595</v>
      </c>
      <c r="B236" s="107">
        <v>628</v>
      </c>
      <c r="C236" s="107">
        <v>120</v>
      </c>
      <c r="D236" s="107" t="s">
        <v>834</v>
      </c>
      <c r="E236" s="107" t="s">
        <v>1018</v>
      </c>
      <c r="F236" s="107">
        <v>3060</v>
      </c>
    </row>
    <row r="237" spans="1:6" ht="12.75">
      <c r="A237" s="107">
        <v>18629</v>
      </c>
      <c r="B237" s="107">
        <v>706</v>
      </c>
      <c r="C237" s="107">
        <v>120</v>
      </c>
      <c r="D237" s="107" t="s">
        <v>829</v>
      </c>
      <c r="E237" s="107" t="s">
        <v>844</v>
      </c>
      <c r="F237" s="107">
        <v>3080</v>
      </c>
    </row>
    <row r="238" spans="1:6" ht="12.75">
      <c r="A238" s="107">
        <v>18630</v>
      </c>
      <c r="B238" s="107">
        <v>1514</v>
      </c>
      <c r="C238" s="107">
        <v>120</v>
      </c>
      <c r="D238" s="107" t="s">
        <v>530</v>
      </c>
      <c r="E238" s="107" t="s">
        <v>1019</v>
      </c>
      <c r="F238" s="107">
        <v>3180</v>
      </c>
    </row>
    <row r="239" spans="1:6" ht="12.75">
      <c r="A239" s="107">
        <v>18651</v>
      </c>
      <c r="B239" s="107">
        <v>5055</v>
      </c>
      <c r="C239" s="107">
        <v>120</v>
      </c>
      <c r="D239" s="107" t="s">
        <v>530</v>
      </c>
      <c r="E239" s="107" t="s">
        <v>318</v>
      </c>
      <c r="F239" s="107">
        <v>3130</v>
      </c>
    </row>
    <row r="240" spans="1:6" ht="12.75">
      <c r="A240" s="107">
        <v>18664</v>
      </c>
      <c r="B240" s="107">
        <v>817</v>
      </c>
      <c r="C240" s="107">
        <v>120</v>
      </c>
      <c r="D240" s="107" t="s">
        <v>229</v>
      </c>
      <c r="E240" s="107" t="s">
        <v>319</v>
      </c>
      <c r="F240" s="107">
        <v>3040</v>
      </c>
    </row>
    <row r="241" spans="1:6" ht="12.75">
      <c r="A241" s="107">
        <v>18666</v>
      </c>
      <c r="B241" s="107">
        <v>509</v>
      </c>
      <c r="C241" s="107">
        <v>120</v>
      </c>
      <c r="D241" s="107" t="s">
        <v>829</v>
      </c>
      <c r="E241" s="107" t="s">
        <v>1228</v>
      </c>
      <c r="F241" s="107">
        <v>3060</v>
      </c>
    </row>
    <row r="242" spans="1:6" ht="12.75">
      <c r="A242" s="107">
        <v>18723</v>
      </c>
      <c r="B242" s="107">
        <v>305</v>
      </c>
      <c r="C242" s="107">
        <v>120</v>
      </c>
      <c r="D242" s="107" t="s">
        <v>833</v>
      </c>
      <c r="E242" s="107" t="s">
        <v>1488</v>
      </c>
      <c r="F242" s="107">
        <v>3040</v>
      </c>
    </row>
    <row r="243" spans="1:6" ht="12.75">
      <c r="A243" s="107">
        <v>18741</v>
      </c>
      <c r="B243" s="107">
        <v>1803</v>
      </c>
      <c r="C243" s="107">
        <v>120</v>
      </c>
      <c r="D243" s="107" t="s">
        <v>229</v>
      </c>
      <c r="E243" s="107" t="s">
        <v>320</v>
      </c>
      <c r="F243" s="107">
        <v>3240</v>
      </c>
    </row>
    <row r="244" spans="1:6" ht="12.75">
      <c r="A244" s="107">
        <v>18754</v>
      </c>
      <c r="B244" s="107">
        <v>204</v>
      </c>
      <c r="C244" s="107">
        <v>120</v>
      </c>
      <c r="D244" s="107" t="s">
        <v>832</v>
      </c>
      <c r="E244" s="107" t="s">
        <v>845</v>
      </c>
      <c r="F244" s="107">
        <v>3020</v>
      </c>
    </row>
    <row r="245" spans="1:6" ht="12.75">
      <c r="A245" s="107">
        <v>18791</v>
      </c>
      <c r="B245" s="107">
        <v>1417</v>
      </c>
      <c r="C245" s="107">
        <v>120</v>
      </c>
      <c r="D245" s="107" t="s">
        <v>834</v>
      </c>
      <c r="E245" s="107" t="s">
        <v>321</v>
      </c>
      <c r="F245" s="107">
        <v>3170</v>
      </c>
    </row>
    <row r="246" spans="1:6" ht="12.75">
      <c r="A246" s="107">
        <v>18792</v>
      </c>
      <c r="B246" s="107">
        <v>1418</v>
      </c>
      <c r="C246" s="107">
        <v>120</v>
      </c>
      <c r="D246" s="107" t="s">
        <v>830</v>
      </c>
      <c r="E246" s="107" t="s">
        <v>237</v>
      </c>
      <c r="F246" s="107">
        <v>3240</v>
      </c>
    </row>
    <row r="247" spans="1:6" ht="12.75">
      <c r="A247" s="107">
        <v>18794</v>
      </c>
      <c r="B247" s="107">
        <v>1515</v>
      </c>
      <c r="C247" s="107">
        <v>120</v>
      </c>
      <c r="D247" s="107" t="s">
        <v>530</v>
      </c>
      <c r="E247" s="107" t="s">
        <v>238</v>
      </c>
      <c r="F247" s="107">
        <v>3180</v>
      </c>
    </row>
    <row r="248" spans="1:6" ht="12.75">
      <c r="A248" s="107">
        <v>18810</v>
      </c>
      <c r="B248" s="107">
        <v>1902</v>
      </c>
      <c r="C248" s="107">
        <v>120</v>
      </c>
      <c r="D248" s="107" t="s">
        <v>229</v>
      </c>
      <c r="E248" s="107" t="s">
        <v>239</v>
      </c>
      <c r="F248" s="107">
        <v>3250</v>
      </c>
    </row>
    <row r="249" spans="1:6" ht="12.75">
      <c r="A249" s="107">
        <v>18828</v>
      </c>
      <c r="B249" s="107">
        <v>708</v>
      </c>
      <c r="C249" s="107">
        <v>120</v>
      </c>
      <c r="D249" s="107" t="s">
        <v>1401</v>
      </c>
      <c r="E249" s="107" t="s">
        <v>846</v>
      </c>
      <c r="F249" s="107">
        <v>3061</v>
      </c>
    </row>
    <row r="250" spans="1:6" ht="12.75">
      <c r="A250" s="107">
        <v>18829</v>
      </c>
      <c r="B250" s="107">
        <v>707</v>
      </c>
      <c r="C250" s="107">
        <v>120</v>
      </c>
      <c r="D250" s="107" t="s">
        <v>834</v>
      </c>
      <c r="E250" s="107" t="s">
        <v>847</v>
      </c>
      <c r="F250" s="107">
        <v>3060</v>
      </c>
    </row>
    <row r="251" spans="1:6" ht="12.75">
      <c r="A251" s="107">
        <v>18830</v>
      </c>
      <c r="B251" s="107">
        <v>117</v>
      </c>
      <c r="C251" s="107">
        <v>120</v>
      </c>
      <c r="D251" s="107" t="s">
        <v>832</v>
      </c>
      <c r="E251" s="107" t="s">
        <v>240</v>
      </c>
      <c r="F251" s="107">
        <v>3010</v>
      </c>
    </row>
    <row r="252" spans="1:6" ht="12.75">
      <c r="A252" s="107">
        <v>18831</v>
      </c>
      <c r="B252" s="107">
        <v>1406</v>
      </c>
      <c r="C252" s="107">
        <v>120</v>
      </c>
      <c r="D252" s="107" t="s">
        <v>829</v>
      </c>
      <c r="E252" s="107" t="s">
        <v>241</v>
      </c>
      <c r="F252" s="107">
        <v>3220</v>
      </c>
    </row>
    <row r="253" spans="1:6" ht="12.75">
      <c r="A253" s="107">
        <v>18833</v>
      </c>
      <c r="B253" s="107">
        <v>1804</v>
      </c>
      <c r="C253" s="107">
        <v>120</v>
      </c>
      <c r="D253" s="107" t="s">
        <v>229</v>
      </c>
      <c r="E253" s="107" t="s">
        <v>322</v>
      </c>
      <c r="F253" s="107">
        <v>3210</v>
      </c>
    </row>
    <row r="254" spans="1:6" ht="12.75">
      <c r="A254" s="107">
        <v>18841</v>
      </c>
      <c r="B254" s="107">
        <v>1805</v>
      </c>
      <c r="C254" s="107">
        <v>120</v>
      </c>
      <c r="D254" s="107" t="s">
        <v>832</v>
      </c>
      <c r="E254" s="107" t="s">
        <v>323</v>
      </c>
      <c r="F254" s="107">
        <v>3150</v>
      </c>
    </row>
    <row r="255" spans="1:6" ht="12.75">
      <c r="A255" s="107">
        <v>18843</v>
      </c>
      <c r="B255" s="107">
        <v>805</v>
      </c>
      <c r="C255" s="107">
        <v>120</v>
      </c>
      <c r="D255" s="107" t="s">
        <v>229</v>
      </c>
      <c r="E255" s="107" t="s">
        <v>324</v>
      </c>
      <c r="F255" s="107">
        <v>3090</v>
      </c>
    </row>
    <row r="256" spans="1:6" ht="12.75">
      <c r="A256" s="107">
        <v>18860</v>
      </c>
      <c r="B256" s="107">
        <v>2504</v>
      </c>
      <c r="C256" s="107">
        <v>120</v>
      </c>
      <c r="D256" s="107" t="s">
        <v>229</v>
      </c>
      <c r="E256" s="107" t="s">
        <v>325</v>
      </c>
      <c r="F256" s="107">
        <v>3310</v>
      </c>
    </row>
    <row r="257" spans="1:6" ht="12.75">
      <c r="A257" s="107">
        <v>18862</v>
      </c>
      <c r="B257" s="107">
        <v>2405</v>
      </c>
      <c r="C257" s="107">
        <v>120</v>
      </c>
      <c r="D257" s="107" t="s">
        <v>530</v>
      </c>
      <c r="E257" s="107" t="s">
        <v>615</v>
      </c>
      <c r="F257" s="107">
        <v>3270</v>
      </c>
    </row>
    <row r="258" spans="1:6" ht="12.75">
      <c r="A258" s="107">
        <v>18934</v>
      </c>
      <c r="B258" s="107">
        <v>1419</v>
      </c>
      <c r="C258" s="107">
        <v>120</v>
      </c>
      <c r="D258" s="107" t="s">
        <v>830</v>
      </c>
      <c r="E258" s="107" t="s">
        <v>677</v>
      </c>
      <c r="F258" s="107">
        <v>3250</v>
      </c>
    </row>
    <row r="259" spans="1:6" ht="12.75">
      <c r="A259" s="107">
        <v>19002</v>
      </c>
      <c r="B259" s="107">
        <v>2560</v>
      </c>
      <c r="C259" s="107">
        <v>120</v>
      </c>
      <c r="D259" s="107" t="s">
        <v>831</v>
      </c>
      <c r="E259" s="107" t="s">
        <v>678</v>
      </c>
      <c r="F259" s="107">
        <v>3020</v>
      </c>
    </row>
    <row r="260" spans="1:6" ht="12.75">
      <c r="A260" s="107">
        <v>19003</v>
      </c>
      <c r="B260" s="107">
        <v>350</v>
      </c>
      <c r="C260" s="107">
        <v>120</v>
      </c>
      <c r="D260" s="107" t="s">
        <v>831</v>
      </c>
      <c r="E260" s="107" t="s">
        <v>326</v>
      </c>
      <c r="F260" s="107">
        <v>3030</v>
      </c>
    </row>
    <row r="261" spans="1:6" ht="12.75">
      <c r="A261" s="107">
        <v>19354</v>
      </c>
      <c r="B261" s="107">
        <v>1516</v>
      </c>
      <c r="C261" s="107">
        <v>120</v>
      </c>
      <c r="D261" s="107" t="s">
        <v>229</v>
      </c>
      <c r="E261" s="107" t="s">
        <v>327</v>
      </c>
      <c r="F261" s="107">
        <v>3180</v>
      </c>
    </row>
    <row r="262" spans="1:6" ht="12.75">
      <c r="A262" s="107">
        <v>19355</v>
      </c>
      <c r="B262" s="107">
        <v>1318</v>
      </c>
      <c r="C262" s="107">
        <v>120</v>
      </c>
      <c r="D262" s="107" t="s">
        <v>829</v>
      </c>
      <c r="E262" s="107" t="s">
        <v>328</v>
      </c>
      <c r="F262" s="107">
        <v>3150</v>
      </c>
    </row>
    <row r="263" spans="1:6" ht="12.75">
      <c r="A263" s="107">
        <v>19356</v>
      </c>
      <c r="B263" s="107">
        <v>2506</v>
      </c>
      <c r="C263" s="107">
        <v>120</v>
      </c>
      <c r="D263" s="107" t="s">
        <v>831</v>
      </c>
      <c r="E263" s="107" t="s">
        <v>329</v>
      </c>
      <c r="F263" s="107">
        <v>3310</v>
      </c>
    </row>
    <row r="264" spans="1:6" ht="12.75">
      <c r="A264" s="107">
        <v>19357</v>
      </c>
      <c r="B264" s="107">
        <v>1207</v>
      </c>
      <c r="C264" s="107">
        <v>120</v>
      </c>
      <c r="D264" s="107" t="s">
        <v>832</v>
      </c>
      <c r="E264" s="107" t="s">
        <v>330</v>
      </c>
      <c r="F264" s="107">
        <v>3150</v>
      </c>
    </row>
    <row r="265" spans="1:6" ht="12.75">
      <c r="A265" s="107">
        <v>19567</v>
      </c>
      <c r="B265" s="107">
        <v>2570</v>
      </c>
      <c r="C265" s="107">
        <v>120</v>
      </c>
      <c r="D265" s="107" t="s">
        <v>834</v>
      </c>
      <c r="E265" s="107" t="s">
        <v>331</v>
      </c>
      <c r="F265" s="107">
        <v>3120</v>
      </c>
    </row>
    <row r="266" spans="1:6" ht="12.75">
      <c r="A266" s="107">
        <v>19640</v>
      </c>
      <c r="B266" s="107">
        <v>1903</v>
      </c>
      <c r="C266" s="107">
        <v>120</v>
      </c>
      <c r="D266" s="107" t="s">
        <v>229</v>
      </c>
      <c r="E266" s="107" t="s">
        <v>848</v>
      </c>
      <c r="F266" s="107">
        <v>3130</v>
      </c>
    </row>
    <row r="267" spans="1:6" ht="12.75">
      <c r="A267" s="107">
        <v>19645</v>
      </c>
      <c r="B267" s="107">
        <v>1904</v>
      </c>
      <c r="C267" s="107">
        <v>120</v>
      </c>
      <c r="D267" s="107" t="s">
        <v>229</v>
      </c>
      <c r="E267" s="107" t="s">
        <v>529</v>
      </c>
      <c r="F267" s="107">
        <v>3140</v>
      </c>
    </row>
    <row r="268" spans="1:6" ht="12.75">
      <c r="A268" s="107">
        <v>19675</v>
      </c>
      <c r="B268" s="107">
        <v>1905</v>
      </c>
      <c r="C268" s="107">
        <v>120</v>
      </c>
      <c r="D268" s="107" t="s">
        <v>229</v>
      </c>
      <c r="E268" s="107" t="s">
        <v>531</v>
      </c>
      <c r="F268" s="107">
        <v>3040</v>
      </c>
    </row>
    <row r="269" spans="1:6" ht="12.75">
      <c r="A269" s="107">
        <v>19676</v>
      </c>
      <c r="B269" s="107">
        <v>1906</v>
      </c>
      <c r="C269" s="107">
        <v>120</v>
      </c>
      <c r="D269" s="107" t="s">
        <v>229</v>
      </c>
      <c r="E269" s="107" t="s">
        <v>532</v>
      </c>
      <c r="F269" s="107">
        <v>3010</v>
      </c>
    </row>
    <row r="270" spans="1:6" ht="12.75">
      <c r="A270" s="107">
        <v>19687</v>
      </c>
      <c r="B270" s="107">
        <v>1907</v>
      </c>
      <c r="C270" s="107">
        <v>120</v>
      </c>
      <c r="D270" s="107" t="s">
        <v>229</v>
      </c>
      <c r="E270" s="107" t="s">
        <v>533</v>
      </c>
      <c r="F270" s="107">
        <v>3180</v>
      </c>
    </row>
    <row r="271" spans="1:6" ht="12.75">
      <c r="A271" s="107">
        <v>19699</v>
      </c>
      <c r="B271" s="107">
        <v>1908</v>
      </c>
      <c r="C271" s="107">
        <v>120</v>
      </c>
      <c r="D271" s="107" t="s">
        <v>229</v>
      </c>
      <c r="E271" s="107" t="s">
        <v>534</v>
      </c>
      <c r="F271" s="107">
        <v>3260</v>
      </c>
    </row>
    <row r="272" spans="1:6" ht="12.75">
      <c r="A272" s="107">
        <v>19710</v>
      </c>
      <c r="B272" s="107">
        <v>1909</v>
      </c>
      <c r="C272" s="107">
        <v>120</v>
      </c>
      <c r="D272" s="107" t="s">
        <v>831</v>
      </c>
      <c r="E272" s="107" t="s">
        <v>849</v>
      </c>
      <c r="F272" s="107">
        <v>3210</v>
      </c>
    </row>
    <row r="273" spans="1:6" ht="12.75">
      <c r="A273" s="107">
        <v>19752</v>
      </c>
      <c r="B273" s="107">
        <v>1910</v>
      </c>
      <c r="C273" s="107">
        <v>120</v>
      </c>
      <c r="D273" s="107" t="s">
        <v>229</v>
      </c>
      <c r="E273" s="107" t="s">
        <v>850</v>
      </c>
      <c r="F273" s="107">
        <v>3260</v>
      </c>
    </row>
    <row r="274" spans="1:6" ht="12.75">
      <c r="A274" s="107">
        <v>19765</v>
      </c>
      <c r="B274" s="107">
        <v>2580</v>
      </c>
      <c r="C274" s="107">
        <v>120</v>
      </c>
      <c r="D274" s="107" t="s">
        <v>833</v>
      </c>
      <c r="E274" s="107" t="s">
        <v>851</v>
      </c>
      <c r="F274" s="107">
        <v>3300</v>
      </c>
    </row>
    <row r="275" spans="1:6" ht="12.75">
      <c r="A275" s="107">
        <v>19884</v>
      </c>
      <c r="B275" s="107">
        <v>1920</v>
      </c>
      <c r="C275" s="107">
        <v>120</v>
      </c>
      <c r="D275" s="107" t="s">
        <v>852</v>
      </c>
      <c r="E275" s="107" t="s">
        <v>853</v>
      </c>
      <c r="F275" s="107">
        <v>3130</v>
      </c>
    </row>
    <row r="276" spans="1:6" ht="12.75">
      <c r="A276" s="107">
        <v>19945</v>
      </c>
      <c r="B276" s="107">
        <v>5056</v>
      </c>
      <c r="C276" s="107">
        <v>120</v>
      </c>
      <c r="D276" s="107" t="s">
        <v>833</v>
      </c>
      <c r="E276" s="107" t="s">
        <v>854</v>
      </c>
      <c r="F276" s="107">
        <v>3310</v>
      </c>
    </row>
    <row r="277" spans="1:6" ht="12.75">
      <c r="A277" s="107"/>
      <c r="B277" s="107">
        <v>9999</v>
      </c>
      <c r="C277" s="107"/>
      <c r="D277" s="107"/>
      <c r="E277" s="107" t="s">
        <v>1056</v>
      </c>
      <c r="F277" s="107"/>
    </row>
    <row r="278" ht="12.75">
      <c r="D278" s="2" t="s">
        <v>1201</v>
      </c>
    </row>
  </sheetData>
  <sheetProtection password="E296" sheet="1" objects="1" scenarios="1"/>
  <printOptions/>
  <pageMargins left="0.3937007874015748" right="0.3937007874015748" top="0.3937007874015748" bottom="0.3937007874015748"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 de Hollander - Bosman</cp:lastModifiedBy>
  <cp:lastPrinted>2009-07-06T15:21:45Z</cp:lastPrinted>
  <dcterms:created xsi:type="dcterms:W3CDTF">2001-02-19T07:46:38Z</dcterms:created>
  <dcterms:modified xsi:type="dcterms:W3CDTF">2009-07-14T14:51:43Z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THRFR6N5WDQ4-17-3189</vt:lpwstr>
  </property>
  <property fmtid="{D5CDD505-2E9C-101B-9397-08002B2CF9AE}" pid="3" name="_dlc_DocIdItemGuid">
    <vt:lpwstr>8e84f60a-f685-4c9d-9fe0-dccc52cac784</vt:lpwstr>
  </property>
  <property fmtid="{D5CDD505-2E9C-101B-9397-08002B2CF9AE}" pid="4" name="_dlc_DocIdUrl">
    <vt:lpwstr>http://kennisnet.nza.nl/publicaties/Aanleveren/_layouts/DocIdRedir.aspx?ID=THRFR6N5WDQ4-17-3189, THRFR6N5WDQ4-17-3189</vt:lpwstr>
  </property>
  <property fmtid="{D5CDD505-2E9C-101B-9397-08002B2CF9AE}" pid="5"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6" name="NZa-zoekwoordenMetadata">
    <vt:lpwstr/>
  </property>
  <property fmtid="{D5CDD505-2E9C-101B-9397-08002B2CF9AE}" pid="7" name="Sector(en)Metadata">
    <vt:lpwstr>Alle:Ziekenhuiszorg|1a957709-959b-40c0-9640-61f1bd5d07a0</vt:lpwstr>
  </property>
  <property fmtid="{D5CDD505-2E9C-101B-9397-08002B2CF9AE}" pid="8" name="VerzondenAanMetadata">
    <vt:lpwstr/>
  </property>
  <property fmtid="{D5CDD505-2E9C-101B-9397-08002B2CF9AE}" pid="9" name="DocumentTypeMetadata">
    <vt:lpwstr>Regels:Formulier|4bc40415-667d-4fea-816d-9688ca6ffa69</vt:lpwstr>
  </property>
  <property fmtid="{D5CDD505-2E9C-101B-9397-08002B2CF9AE}" pid="10" name="ExtraZoekwoordenMetadata">
    <vt:lpwstr/>
  </property>
  <property fmtid="{D5CDD505-2E9C-101B-9397-08002B2CF9AE}" pid="11" name="j85cec29e8c24b8a90feb8db203ff7e2">
    <vt:lpwstr>Ziekenhuiszorg|1a957709-959b-40c0-9640-61f1bd5d07a0</vt:lpwstr>
  </property>
  <property fmtid="{D5CDD505-2E9C-101B-9397-08002B2CF9AE}" pid="12" name="DocumentTypen">
    <vt:lpwstr>103;#Formulier|4bc40415-667d-4fea-816d-9688ca6ffa69</vt:lpwstr>
  </property>
  <property fmtid="{D5CDD505-2E9C-101B-9397-08002B2CF9AE}" pid="13" name="DocumentType">
    <vt:lpwstr/>
  </property>
  <property fmtid="{D5CDD505-2E9C-101B-9397-08002B2CF9AE}" pid="14" name="Sector(en)">
    <vt:lpwstr>134;#Ziekenhuiszorg|1a957709-959b-40c0-9640-61f1bd5d07a0</vt:lpwstr>
  </property>
  <property fmtid="{D5CDD505-2E9C-101B-9397-08002B2CF9AE}" pid="15" name="NZa-zoekwoorden">
    <vt:lpwstr/>
  </property>
  <property fmtid="{D5CDD505-2E9C-101B-9397-08002B2CF9AE}" pid="16" name="ff74c6b610ef44f49114c43de1676156">
    <vt:lpwstr/>
  </property>
  <property fmtid="{D5CDD505-2E9C-101B-9397-08002B2CF9AE}" pid="17" name="n407de7a4204433984b2eeeaba786d56">
    <vt:lpwstr/>
  </property>
  <property fmtid="{D5CDD505-2E9C-101B-9397-08002B2CF9AE}" pid="18" name="Extra zoekwoorden">
    <vt:lpwstr/>
  </property>
  <property fmtid="{D5CDD505-2E9C-101B-9397-08002B2CF9AE}" pid="19" name="l24ea505ea8d4be1bd84e8204c620c6c">
    <vt:lpwstr/>
  </property>
  <property fmtid="{D5CDD505-2E9C-101B-9397-08002B2CF9AE}" pid="20" name="me0f0aaf77cd4640acf557f58a1d2cc0">
    <vt:lpwstr>Formulier|4bc40415-667d-4fea-816d-9688ca6ffa69</vt:lpwstr>
  </property>
  <property fmtid="{D5CDD505-2E9C-101B-9397-08002B2CF9AE}" pid="21" name="TaxCatchAll">
    <vt:lpwstr>103;#Formulier|4bc40415-667d-4fea-816d-9688ca6ffa69;#134;#Ziekenhuiszorg|1a957709-959b-40c0-9640-61f1bd5d07a0</vt:lpwstr>
  </property>
</Properties>
</file>