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95" yWindow="4080" windowWidth="11880" windowHeight="6810" tabRatio="661" firstSheet="1" activeTab="1"/>
  </bookViews>
  <sheets>
    <sheet name="mutaties" sheetId="1" state="hidden" r:id="rId1"/>
    <sheet name="voorblad" sheetId="2" r:id="rId2"/>
    <sheet name="instructie" sheetId="3" r:id="rId3"/>
    <sheet name="foutmeldingen" sheetId="4" r:id="rId4"/>
    <sheet name="0000" sheetId="5" r:id="rId5"/>
    <sheet name="dbc's" sheetId="6" r:id="rId6"/>
    <sheet name="tijdbesteding" sheetId="7" r:id="rId7"/>
    <sheet name="Uitvoerbestand" sheetId="8" state="hidden" r:id="rId8"/>
    <sheet name="NAW" sheetId="9" state="hidden" r:id="rId9"/>
    <sheet name="spec" sheetId="10" state="hidden"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123Graph_C" localSheetId="3" hidden="1">'[4]I_03007'!#REF!</definedName>
    <definedName name="__123Graph_C" localSheetId="6" hidden="1">'[4]I_03007'!#REF!</definedName>
    <definedName name="__123Graph_C" localSheetId="7" hidden="1">'[6]I_03007'!#REF!</definedName>
    <definedName name="__123Graph_C" localSheetId="1" hidden="1">'[3]I_03007'!#REF!</definedName>
    <definedName name="__123Graph_C" hidden="1">'[1]I_03007'!#REF!</definedName>
    <definedName name="__123Graph_D" localSheetId="3" hidden="1">'[4]I_03007'!#REF!</definedName>
    <definedName name="__123Graph_D" localSheetId="6" hidden="1">'[4]I_03007'!#REF!</definedName>
    <definedName name="__123Graph_D" localSheetId="7" hidden="1">'[6]I_03007'!#REF!</definedName>
    <definedName name="__123Graph_D" localSheetId="1" hidden="1">'[3]I_03007'!#REF!</definedName>
    <definedName name="__123Graph_D" hidden="1">'[1]I_03007'!#REF!</definedName>
    <definedName name="__123Graph_E" localSheetId="3" hidden="1">'[4]I_03007'!#REF!</definedName>
    <definedName name="__123Graph_E" localSheetId="6" hidden="1">'[4]I_03007'!#REF!</definedName>
    <definedName name="__123Graph_E" localSheetId="7" hidden="1">'[6]I_03007'!#REF!</definedName>
    <definedName name="__123Graph_E" localSheetId="1" hidden="1">'[3]I_03007'!#REF!</definedName>
    <definedName name="__123Graph_E" hidden="1">'[1]I_03007'!#REF!</definedName>
    <definedName name="__123Graph_Z" localSheetId="3" hidden="1">'[5]I_03007'!#REF!</definedName>
    <definedName name="__123Graph_Z" localSheetId="6" hidden="1">'[5]I_03007'!#REF!</definedName>
    <definedName name="__123Graph_Z" localSheetId="7" hidden="1">'[6]I_03007'!#REF!</definedName>
    <definedName name="__123Graph_Z" hidden="1">'[2]I_03007'!#REF!</definedName>
    <definedName name="_Fill" hidden="1">#REF!</definedName>
    <definedName name="_Order1" hidden="1">255</definedName>
    <definedName name="_Order2" hidden="1">255</definedName>
    <definedName name="_xlnm.Print_Area" localSheetId="4">'0000'!$A$3:$O$317</definedName>
    <definedName name="_xlnm.Print_Area" localSheetId="5">'dbc''s'!$A$2:$I$234</definedName>
    <definedName name="_xlnm.Print_Area" localSheetId="3">'foutmeldingen'!$B$2:$D$31</definedName>
    <definedName name="_xlnm.Print_Area" localSheetId="9">'spec'!$A$1:$E$59</definedName>
    <definedName name="_xlnm.Print_Area" localSheetId="6">'tijdbesteding'!$A$1:$Q$32</definedName>
    <definedName name="_xlnm.Print_Area" localSheetId="7">'Uitvoerbestand'!$A$1:$I$93</definedName>
    <definedName name="_xlnm.Print_Area" localSheetId="1">'voorblad'!$A$31:$N$60</definedName>
    <definedName name="_xlnm.Print_Titles" localSheetId="4">'0000'!$A:$H,'0000'!$1:$2</definedName>
    <definedName name="_xlnm.Print_Titles" localSheetId="5">'dbc''s'!$2:$4</definedName>
    <definedName name="_xlnm.Print_Titles" localSheetId="3">'foutmeldingen'!$1:$6</definedName>
    <definedName name="_xlnm.Print_Titles" localSheetId="2">'instructie'!$1:$2</definedName>
    <definedName name="_xlnm.Print_Titles" localSheetId="1">'voorblad'!$2:$9</definedName>
    <definedName name="Afdruktitels_MI">'[6]I_03007'!$1:$5</definedName>
    <definedName name="BUPAG17">'[11]Budget 2008'!#REF!</definedName>
    <definedName name="BUPAG18">'[11]Budget 2008'!#REF!</definedName>
    <definedName name="Expl_">'[6]I_03007'!#REF!</definedName>
    <definedName name="Expl_522">'[6]I_03007'!#REF!</definedName>
    <definedName name="Expl_523">'[6]I_03007'!#REF!</definedName>
    <definedName name="Expl_524">'[6]I_03007'!#REF!</definedName>
    <definedName name="Expl_525">'[6]I_03007'!#REF!</definedName>
    <definedName name="Expl_526">'[6]I_03007'!#REF!</definedName>
    <definedName name="getal">#REF!</definedName>
    <definedName name="getal_data">#REF!</definedName>
    <definedName name="kolom">#REF!</definedName>
    <definedName name="kolom_data">#REF!</definedName>
    <definedName name="naam">#REF!</definedName>
    <definedName name="naamconflict_VPH_01_._Fill" hidden="1">#REF!</definedName>
    <definedName name="naamconflict_VPH_02_.naam">#REF!</definedName>
    <definedName name="naamconflict_VPH_03_.tabblad">#REF!</definedName>
    <definedName name="naamconflict_VZH_01_._Fill" hidden="1">#REF!</definedName>
    <definedName name="naamconflict_VZH_02_.naam">#REF!</definedName>
    <definedName name="naamconflict_VZH_03_.tabblad">#REF!</definedName>
    <definedName name="raarietswataangepastmoetworden">#REF!</definedName>
    <definedName name="tabblad">#REF!</definedName>
    <definedName name="totaal1996">'[6]I_03007'!$A$4:$D$43</definedName>
    <definedName name="totaal1997">'[6]I_03007'!$A$46:$D$85</definedName>
    <definedName name="totaal1998">'[6]I_03007'!$A$88:$D$127</definedName>
    <definedName name="totaal1999">'[6]I_03007'!$A$130:$D$169</definedName>
    <definedName name="totaal2000">'[6]I_03007'!$A$172:$D$211</definedName>
    <definedName name="vb1">#REF!</definedName>
    <definedName name="waarde" hidden="1">#REF!</definedName>
    <definedName name="Z_02F43B7A_AFFF_4825_8211_D5478AADCB89_.wvu.Cols" localSheetId="4" hidden="1">'0000'!$N:$N</definedName>
    <definedName name="Z_02F43B7A_AFFF_4825_8211_D5478AADCB89_.wvu.PrintArea" localSheetId="4" hidden="1">'0000'!$K$1:$T$310</definedName>
    <definedName name="Z_02F43B7A_AFFF_4825_8211_D5478AADCB89_.wvu.PrintArea" localSheetId="1" hidden="1">'voorblad'!$A$33:$N$54</definedName>
    <definedName name="Z_02F43B7A_AFFF_4825_8211_D5478AADCB89_.wvu.PrintTitles" localSheetId="4" hidden="1">'0000'!$A:$H,'0000'!$1:$2</definedName>
    <definedName name="Z_02F43B7A_AFFF_4825_8211_D5478AADCB89_.wvu.PrintTitles" localSheetId="1" hidden="1">'voorblad'!$2:$8</definedName>
    <definedName name="Z_34764457_F5C6_45D2_BCBE_6ADC28B3881E_.wvu.Cols" localSheetId="4" hidden="1">'0000'!$N:$N</definedName>
    <definedName name="Z_34764457_F5C6_45D2_BCBE_6ADC28B3881E_.wvu.PrintArea" localSheetId="4" hidden="1">'0000'!$K$1:$T$310</definedName>
    <definedName name="Z_34764457_F5C6_45D2_BCBE_6ADC28B3881E_.wvu.PrintArea" localSheetId="1" hidden="1">'voorblad'!$A$33:$N$54</definedName>
    <definedName name="Z_34764457_F5C6_45D2_BCBE_6ADC28B3881E_.wvu.PrintTitles" localSheetId="4" hidden="1">'0000'!$A:$H,'0000'!$1:$2</definedName>
    <definedName name="Z_34764457_F5C6_45D2_BCBE_6ADC28B3881E_.wvu.PrintTitles" localSheetId="1" hidden="1">'voorblad'!$2:$8</definedName>
    <definedName name="Z_B1A1990C_3B18_48F4_AC54_149898D3CCE7_.wvu.Cols" localSheetId="4" hidden="1">'0000'!$W:$Y,'0000'!$AB:$AI</definedName>
    <definedName name="Z_B1A1990C_3B18_48F4_AC54_149898D3CCE7_.wvu.Cols" localSheetId="5" hidden="1">'dbc''s'!$J:$T</definedName>
    <definedName name="Z_B1A1990C_3B18_48F4_AC54_149898D3CCE7_.wvu.Cols" localSheetId="3" hidden="1">'foutmeldingen'!$E:$L</definedName>
    <definedName name="Z_B1A1990C_3B18_48F4_AC54_149898D3CCE7_.wvu.Cols" localSheetId="1" hidden="1">'voorblad'!$O:$T</definedName>
    <definedName name="Z_B1A1990C_3B18_48F4_AC54_149898D3CCE7_.wvu.PrintArea" localSheetId="4" hidden="1">'0000'!$A$7:$O$317</definedName>
    <definedName name="Z_B1A1990C_3B18_48F4_AC54_149898D3CCE7_.wvu.PrintArea" localSheetId="5" hidden="1">'dbc''s'!$A$2:$I$234</definedName>
    <definedName name="Z_B1A1990C_3B18_48F4_AC54_149898D3CCE7_.wvu.PrintArea" localSheetId="3" hidden="1">'foutmeldingen'!$B$2:$D$31</definedName>
    <definedName name="Z_B1A1990C_3B18_48F4_AC54_149898D3CCE7_.wvu.PrintArea" localSheetId="9" hidden="1">'spec'!$A$1:$E$59</definedName>
    <definedName name="Z_B1A1990C_3B18_48F4_AC54_149898D3CCE7_.wvu.PrintArea" localSheetId="6" hidden="1">'tijdbesteding'!$A$1:$Q$32</definedName>
    <definedName name="Z_B1A1990C_3B18_48F4_AC54_149898D3CCE7_.wvu.PrintArea" localSheetId="7" hidden="1">'Uitvoerbestand'!$A$1:$I$93</definedName>
    <definedName name="Z_B1A1990C_3B18_48F4_AC54_149898D3CCE7_.wvu.PrintArea" localSheetId="1" hidden="1">'voorblad'!$A$31:$N$60</definedName>
    <definedName name="Z_B1A1990C_3B18_48F4_AC54_149898D3CCE7_.wvu.PrintTitles" localSheetId="4" hidden="1">'0000'!$A:$H,'0000'!$1:$2</definedName>
    <definedName name="Z_B1A1990C_3B18_48F4_AC54_149898D3CCE7_.wvu.PrintTitles" localSheetId="5" hidden="1">'dbc''s'!$2:$4</definedName>
    <definedName name="Z_B1A1990C_3B18_48F4_AC54_149898D3CCE7_.wvu.PrintTitles" localSheetId="3" hidden="1">'foutmeldingen'!$1:$6</definedName>
    <definedName name="Z_B1A1990C_3B18_48F4_AC54_149898D3CCE7_.wvu.PrintTitles" localSheetId="2" hidden="1">'instructie'!$1:$2</definedName>
    <definedName name="Z_B1A1990C_3B18_48F4_AC54_149898D3CCE7_.wvu.PrintTitles" localSheetId="1" hidden="1">'voorblad'!$2:$9</definedName>
    <definedName name="Z_B1A1990C_3B18_48F4_AC54_149898D3CCE7_.wvu.Rows" localSheetId="4" hidden="1">'0000'!$1:$3</definedName>
    <definedName name="Z_E5D1D172_9896_45FB_9AEF_BDDD565B7671_.wvu.Cols" localSheetId="4" hidden="1">'0000'!$W:$Z</definedName>
    <definedName name="Z_E5D1D172_9896_45FB_9AEF_BDDD565B7671_.wvu.Cols" localSheetId="5" hidden="1">'dbc''s'!$J:$T</definedName>
    <definedName name="Z_E5D1D172_9896_45FB_9AEF_BDDD565B7671_.wvu.Cols" localSheetId="3" hidden="1">'foutmeldingen'!$E:$M</definedName>
    <definedName name="Z_E5D1D172_9896_45FB_9AEF_BDDD565B7671_.wvu.Cols" localSheetId="1" hidden="1">'voorblad'!$O:$T</definedName>
    <definedName name="Z_E5D1D172_9896_45FB_9AEF_BDDD565B7671_.wvu.PrintArea" localSheetId="4" hidden="1">'0000'!$A$7:$O$317</definedName>
    <definedName name="Z_E5D1D172_9896_45FB_9AEF_BDDD565B7671_.wvu.PrintArea" localSheetId="5" hidden="1">'dbc''s'!$A$2:$I$234</definedName>
    <definedName name="Z_E5D1D172_9896_45FB_9AEF_BDDD565B7671_.wvu.PrintArea" localSheetId="3" hidden="1">'foutmeldingen'!$B$2:$D$31</definedName>
    <definedName name="Z_E5D1D172_9896_45FB_9AEF_BDDD565B7671_.wvu.PrintArea" localSheetId="9" hidden="1">'spec'!$A$1:$E$59</definedName>
    <definedName name="Z_E5D1D172_9896_45FB_9AEF_BDDD565B7671_.wvu.PrintArea" localSheetId="6" hidden="1">'tijdbesteding'!$A$1:$Q$32</definedName>
    <definedName name="Z_E5D1D172_9896_45FB_9AEF_BDDD565B7671_.wvu.PrintArea" localSheetId="7" hidden="1">'Uitvoerbestand'!$A$1:$I$93</definedName>
    <definedName name="Z_E5D1D172_9896_45FB_9AEF_BDDD565B7671_.wvu.PrintArea" localSheetId="1" hidden="1">'voorblad'!$A$31:$N$60</definedName>
    <definedName name="Z_E5D1D172_9896_45FB_9AEF_BDDD565B7671_.wvu.PrintTitles" localSheetId="4" hidden="1">'0000'!$A:$H,'0000'!$1:$2</definedName>
    <definedName name="Z_E5D1D172_9896_45FB_9AEF_BDDD565B7671_.wvu.PrintTitles" localSheetId="5" hidden="1">'dbc''s'!$2:$4</definedName>
    <definedName name="Z_E5D1D172_9896_45FB_9AEF_BDDD565B7671_.wvu.PrintTitles" localSheetId="3" hidden="1">'foutmeldingen'!$1:$6</definedName>
    <definedName name="Z_E5D1D172_9896_45FB_9AEF_BDDD565B7671_.wvu.PrintTitles" localSheetId="2" hidden="1">'instructie'!$1:$2</definedName>
    <definedName name="Z_E5D1D172_9896_45FB_9AEF_BDDD565B7671_.wvu.PrintTitles" localSheetId="1" hidden="1">'voorblad'!$2:$9</definedName>
    <definedName name="Z_E5D1D172_9896_45FB_9AEF_BDDD565B7671_.wvu.Rows" localSheetId="4" hidden="1">'0000'!$1:$3</definedName>
  </definedNames>
  <calcPr fullCalcOnLoad="1"/>
</workbook>
</file>

<file path=xl/comments4.xml><?xml version="1.0" encoding="utf-8"?>
<comments xmlns="http://schemas.openxmlformats.org/spreadsheetml/2006/main">
  <authors>
    <author>Ivano</author>
    <author>Ivano Lovisa</author>
  </authors>
  <commentList>
    <comment ref="G9" authorId="0">
      <text>
        <r>
          <rPr>
            <sz val="8"/>
            <rFont val="Tahoma"/>
            <family val="0"/>
          </rPr>
          <t xml:space="preserve">is het een budgetformulier
</t>
        </r>
      </text>
    </comment>
    <comment ref="H9" authorId="0">
      <text>
        <r>
          <rPr>
            <b/>
            <sz val="8"/>
            <rFont val="Tahoma"/>
            <family val="0"/>
          </rPr>
          <t>zijn er dagen</t>
        </r>
      </text>
    </comment>
    <comment ref="I9" authorId="0">
      <text>
        <r>
          <rPr>
            <b/>
            <sz val="8"/>
            <rFont val="Tahoma"/>
            <family val="0"/>
          </rPr>
          <t>is kolom 1 ingevuld</t>
        </r>
      </text>
    </comment>
    <comment ref="J9" authorId="0">
      <text>
        <r>
          <rPr>
            <b/>
            <sz val="8"/>
            <rFont val="Tahoma"/>
            <family val="0"/>
          </rPr>
          <t>is kolom 2 ingevuld</t>
        </r>
      </text>
    </comment>
    <comment ref="K9" authorId="0">
      <text>
        <r>
          <rPr>
            <b/>
            <sz val="8"/>
            <rFont val="Tahoma"/>
            <family val="0"/>
          </rPr>
          <t>is kolom 3 ingevuld</t>
        </r>
      </text>
    </comment>
    <comment ref="G13" authorId="1">
      <text>
        <r>
          <rPr>
            <sz val="8"/>
            <rFont val="Tahoma"/>
            <family val="0"/>
          </rPr>
          <t>systeemdatum</t>
        </r>
      </text>
    </comment>
    <comment ref="H13" authorId="1">
      <text>
        <r>
          <rPr>
            <sz val="8"/>
            <rFont val="Tahoma"/>
            <family val="0"/>
          </rPr>
          <t>vervaldatum</t>
        </r>
      </text>
    </comment>
    <comment ref="K13" authorId="1">
      <text>
        <r>
          <rPr>
            <sz val="8"/>
            <rFont val="Tahoma"/>
            <family val="0"/>
          </rPr>
          <t>vervaldatum</t>
        </r>
      </text>
    </comment>
    <comment ref="H15" authorId="1">
      <text>
        <r>
          <rPr>
            <sz val="8"/>
            <rFont val="Tahoma"/>
            <family val="0"/>
          </rPr>
          <t>vervaldatum</t>
        </r>
      </text>
    </comment>
    <comment ref="G15" authorId="1">
      <text>
        <r>
          <rPr>
            <sz val="8"/>
            <rFont val="Tahoma"/>
            <family val="0"/>
          </rPr>
          <t>systeemdatum</t>
        </r>
      </text>
    </comment>
    <comment ref="K15" authorId="1">
      <text>
        <r>
          <rPr>
            <sz val="8"/>
            <rFont val="Tahoma"/>
            <family val="0"/>
          </rPr>
          <t>vervaldatum</t>
        </r>
      </text>
    </comment>
  </commentList>
</comments>
</file>

<file path=xl/sharedStrings.xml><?xml version="1.0" encoding="utf-8"?>
<sst xmlns="http://schemas.openxmlformats.org/spreadsheetml/2006/main" count="3642" uniqueCount="1961">
  <si>
    <r>
      <t xml:space="preserve">In het </t>
    </r>
    <r>
      <rPr>
        <i/>
        <u val="single"/>
        <sz val="9"/>
        <rFont val="Verdana"/>
        <family val="2"/>
      </rPr>
      <t>mutatieformulier</t>
    </r>
    <r>
      <rPr>
        <i/>
        <sz val="9"/>
        <rFont val="Verdana"/>
        <family val="2"/>
      </rPr>
      <t xml:space="preserve"> geeft u alleen de veranderingen op ten opzichte van de laatste afspraken. Dit geldt zowel voor het onderdeel budget als het onderdeel DBC's. Daarnaast kunt u in het werkblad ten behoeve van het budget volstaan met het invullen van kolom II. In kolom II vult u de aantallen in op kasbasis. Op het voorblad wordt u verzocht de datum van ingang van de wijziging in te vullen. De mutaties van de klinische productie worden op kasbasis ingevoerd per 1 januari 2009, het verschil tussen kas -en jaarbasis zal per 01-01-2010 in de rekenstaat worden verwerkt. Uitsluitend voor de klinische productie zal op basis van de datum van ingang in de rekenstaat tevens een omrekening plaatsvinden naar jaarbasis. Het budget voor 2009 blijft uiteraard gebaseerd op kasbasis.</t>
    </r>
  </si>
  <si>
    <t>Toelichting "regulier" werkblad '0000'</t>
  </si>
  <si>
    <t xml:space="preserve"> -In kolom I  kunt u (dit geldt overigens voor het gehele formulier behoudens voor wat betreft de capaciteitsgegevens) ter informatie de aantallen invullen volgens de meest recente rekenstaat 2009. De productieafspraak 2009 wordt in kolom II ingevuld. In kolom IV wordt het bedrag van de productieafspraak berekend. Aan de rechterzijde van het scherm ziet u, waar mogelijk, ter informatie per categorie een procentuele verdeling van de afgesproken productie 2008 en 2009.</t>
  </si>
  <si>
    <t>Capaciteitsgegevens 2009</t>
  </si>
  <si>
    <t>Dit betreft uitsluitend de in opleiding zijnde verpleegkundigen. Hierbij geldt dat het aantal in Kolom II niet meer mag zijn dan het aantal in kolom I. Zie hiervoor de beleidsregel CU-5005 'Loon en materiele intramurale GGZ ZVW'.</t>
  </si>
  <si>
    <t>Voor de extramurale zorg gelden integrale tarieven voor loon- en materiele kosten en kapitaalslasten. Geheel aan de rechter zijde van het scherm/ het formulier treft u de maximum tarieven voor 2009 aan. Dit betekent dat aanbieder en verzekeraars lagere tarieven overeen kunnen komen.</t>
  </si>
  <si>
    <t>Indien de opbrengsten uit DBC's hoger of lager zijn dan het berekende budget worden de DBC's verhoogd of verlaagd met een verrekenpercentage. In dit onderdeel wordt de berekening weergegeven van het verrekenpercentage op basis van de uitkomsten van dit formulier. De berekening is indicatief, ter informatie, en op jaarbasis. Het werkelijk te gebruiken verrekenpercentage zal, na verwerking van de afspraken, worden weergegeven in de tariefbeschikking.</t>
  </si>
  <si>
    <t>QBA010</t>
  </si>
  <si>
    <t>QBA011</t>
  </si>
  <si>
    <t>QBA012</t>
  </si>
  <si>
    <t>QBA013</t>
  </si>
  <si>
    <t>QBA014</t>
  </si>
  <si>
    <t>QBA015</t>
  </si>
  <si>
    <t>QBA016</t>
  </si>
  <si>
    <t>QBA017</t>
  </si>
  <si>
    <t>QBA018</t>
  </si>
  <si>
    <t>QBA019</t>
  </si>
  <si>
    <t>QBA020</t>
  </si>
  <si>
    <t>QBA021</t>
  </si>
  <si>
    <t>QBA022</t>
  </si>
  <si>
    <t>QBA023</t>
  </si>
  <si>
    <t>QBA024</t>
  </si>
  <si>
    <t>QBA025</t>
  </si>
  <si>
    <t>QBA026</t>
  </si>
  <si>
    <t>QBA027</t>
  </si>
  <si>
    <t>QBA028</t>
  </si>
  <si>
    <t>QBA029</t>
  </si>
  <si>
    <t>GGZ-centrum Westfriesland</t>
  </si>
  <si>
    <t>Groepsgewijs met volledige begeleiding</t>
  </si>
  <si>
    <t>Individueel met beperkte begeleiding</t>
  </si>
  <si>
    <t>Totaal bedden</t>
  </si>
  <si>
    <t>kapitaalslasten verblijf (kleinschalig wonen)</t>
  </si>
  <si>
    <t>Totaal bedden en plaatsen</t>
  </si>
  <si>
    <t>contr.tot</t>
  </si>
  <si>
    <t>Extramuraal volwassenen</t>
  </si>
  <si>
    <t>Extramuraal ouderen</t>
  </si>
  <si>
    <t>Extramuraal verslavingszorg</t>
  </si>
  <si>
    <t>Extramuraal kinderen en jeugd</t>
  </si>
  <si>
    <t>Extramurale zorg</t>
  </si>
  <si>
    <t xml:space="preserve">van dit formulier. Wij verzoeken u om, op vrijwillige basis, aan te geven hoe lang u bezig bent geweest met het invullen van dit formulier. </t>
  </si>
  <si>
    <t>Mocht u specifieke ideeën hebben over mogelijkheden om administratieve lasten te reduceren dan kunt u die mailen naar walz@nza.nl. Voor de</t>
  </si>
  <si>
    <t>Individueel verblijf licht *)</t>
  </si>
  <si>
    <t>Kleinschalig groepsverblijf licht *)</t>
  </si>
  <si>
    <t>De Wending</t>
  </si>
  <si>
    <t>Triversum</t>
  </si>
  <si>
    <t>OL</t>
  </si>
  <si>
    <t>PAAZ Diaconessenhuis Meppel</t>
  </si>
  <si>
    <t>PAAZ Isala Klinieken</t>
  </si>
  <si>
    <t>PAAZ IJsselmeer Ziekenhuizen</t>
  </si>
  <si>
    <t>BNA</t>
  </si>
  <si>
    <t>BNK</t>
  </si>
  <si>
    <t>BNV</t>
  </si>
  <si>
    <t>GGZ-groep Noord- en Midden-Limburg</t>
  </si>
  <si>
    <t>% verdeling</t>
  </si>
  <si>
    <t>oud</t>
  </si>
  <si>
    <t>nieuw</t>
  </si>
  <si>
    <t>Verzorgingsdagen kleinschalig wonen</t>
  </si>
  <si>
    <t>VV</t>
  </si>
  <si>
    <t>VF</t>
  </si>
  <si>
    <t>Dagen intensieve behandelingen</t>
  </si>
  <si>
    <t>VZTOT</t>
  </si>
  <si>
    <t>Activerende psych. thuiszorg</t>
  </si>
  <si>
    <t>F120</t>
  </si>
  <si>
    <t>Psychiatrische intensieve thuiszorg</t>
  </si>
  <si>
    <t>F127</t>
  </si>
  <si>
    <t>F128</t>
  </si>
  <si>
    <t>F130</t>
  </si>
  <si>
    <t>Loonindex</t>
  </si>
  <si>
    <t>Mat. index</t>
  </si>
  <si>
    <t>tekst</t>
  </si>
  <si>
    <t>TOELBUD</t>
  </si>
  <si>
    <t>TOELDBC</t>
  </si>
  <si>
    <t>Er is een aanmerkelijk verschil tussen de afgesproken verblijfsdagen en het aantal bedden /plaatsen.</t>
  </si>
  <si>
    <t>Er zijn in het budget verpleegdagen ingevuld. Er dienen dan ook verblijfs DBC's te worden ingevuld.</t>
  </si>
  <si>
    <t>Overige kindertijd - vanaf 1800 tot 3000 minuten</t>
  </si>
  <si>
    <t>Delirium dementie en overig - vanaf 250 tot 800 minuten  - variant 1</t>
  </si>
  <si>
    <t>Delirium dementie en overig - vanaf 250 tot 800 minuten  - variant 2</t>
  </si>
  <si>
    <t>Delirium dementie en overig - vanaf 800 tot 1800 minuten  - variant 1</t>
  </si>
  <si>
    <t>zonder Crisisopvang</t>
  </si>
  <si>
    <t>Delirium dementie en overig - vanaf 800 tot 1800 minuten  - variant 2</t>
  </si>
  <si>
    <t>met Crisisopvang</t>
  </si>
  <si>
    <t>Afsprakenformulier voor gebudgetteerde aanbieders, zoals omschreven in de Beleidsregel Invoering DBC's in de GGZ (CU- 5002), die zorg of diensten verlenen als omschreven bij of krachtens de Zorgverzekeringswet.</t>
  </si>
  <si>
    <t>Voor preventie geldt dat afspraken kunnen worden gemaakt voor hoog risico groepen. Het betreft zorg die onderdeel uitmaakt van de behandeling binnen een DBC. Preventie op grond van de 'Beleidsregel overige producten GGZ' (CU-5000) blijft buiten beschouwing in dit formulier.
De post dienstverlening telt, op basis van te maken afspraken, in 2009 mee in het budget als bedrag. Het bedrag dienstverlening in 2009 mag niet hoger zijn dan het bedrag van 2008 na kortingen. Evenals op de overige afspraken wordt op de post dienstverlening nagecalculeerd.</t>
  </si>
  <si>
    <t>De af te spreken DBC's dienen ter financiering van het afgesproken GGZ-budget. Met andere woorden, het budget wordt geïnd door middel van in rekening gebrachte DBC's. Indien de afgesproken omzet aan DBC's verschilt van het afgesproken budget worden de in rekening te brengen DBC's verhoogd of verlaagd met een verrekenpercentage zoals hiervoor is vermeld.</t>
  </si>
  <si>
    <t>Op het voorblad is uw instellingsnummer niet ingevuld.</t>
  </si>
  <si>
    <t>U heeft de naam van één of meer verzekeraars niet ingevuld. (Dit is van belang voor de juiste verzending van de rekenstaat naar de juiste zorgverzekeraar)</t>
  </si>
  <si>
    <t>Het budget aanvaardbare kosten is niet ingevuld in onderdeel 5.1  (waarvan totaal op regel 187).</t>
  </si>
  <si>
    <t>Er is nog geen korte toelichting gegeven op regel 215 (&gt;5% verschil DBC's tov budget).</t>
  </si>
  <si>
    <t>Er is nog geen korte toelichting gegeven op regel 214 (toe-afname budget).</t>
  </si>
  <si>
    <t>De eerder afgesproken opbrengsten DBC's zijn niet ingevuld op regel 204/ 205 (bij mutatieformulier).</t>
  </si>
  <si>
    <t>Er is een aanmerkelijk verschil tussen het aantal afgesproken DBC's verblijf en het aantal DBC's behandeling i.c.m. verblijf.</t>
  </si>
  <si>
    <t>Delirium dementie en overig - vanaf 1800 tot 3000 minuten</t>
  </si>
  <si>
    <t>Delirium dementie en overig - vanaf 3000 tot 6000 minuten</t>
  </si>
  <si>
    <t>Alcohol - vanaf 250 tot 800 minuten</t>
  </si>
  <si>
    <t>Alcohol - vanaf 800 tot 1800 minuten</t>
  </si>
  <si>
    <t>Alcohol - vanaf 1800 tot 3000 minuten</t>
  </si>
  <si>
    <t>Alcohol - vanaf 3000 tot 6000 minuten</t>
  </si>
  <si>
    <t>Overige aan een middel - vanaf 250 tot 800 minuten</t>
  </si>
  <si>
    <t>Totaal opleiding en energie ozb milieuheffingen</t>
  </si>
  <si>
    <t>QBA030</t>
  </si>
  <si>
    <t>QBA031</t>
  </si>
  <si>
    <t>QBA033</t>
  </si>
  <si>
    <t>QBA034</t>
  </si>
  <si>
    <t>QBA035</t>
  </si>
  <si>
    <t>QBA036</t>
  </si>
  <si>
    <t>QBA037</t>
  </si>
  <si>
    <t>QBA038</t>
  </si>
  <si>
    <t>QBA040</t>
  </si>
  <si>
    <t>QBA041</t>
  </si>
  <si>
    <t>QBA042</t>
  </si>
  <si>
    <t>QBA044</t>
  </si>
  <si>
    <t>QBA045</t>
  </si>
  <si>
    <t>QBA046</t>
  </si>
  <si>
    <t>QBA047</t>
  </si>
  <si>
    <t>QBA048</t>
  </si>
  <si>
    <t>QBA049</t>
  </si>
  <si>
    <t>QBA051</t>
  </si>
  <si>
    <t>QBA052</t>
  </si>
  <si>
    <t>QBA053</t>
  </si>
  <si>
    <t>QBA054</t>
  </si>
  <si>
    <t>QBA056</t>
  </si>
  <si>
    <t>QBA057</t>
  </si>
  <si>
    <t>QBA058</t>
  </si>
  <si>
    <t>QBA059</t>
  </si>
  <si>
    <t>QBA060</t>
  </si>
  <si>
    <t>QBA062</t>
  </si>
  <si>
    <t>QBA063</t>
  </si>
  <si>
    <t>QBA064</t>
  </si>
  <si>
    <t>QBA065</t>
  </si>
  <si>
    <t>QBA066</t>
  </si>
  <si>
    <t>QBA067</t>
  </si>
  <si>
    <t>QBA068</t>
  </si>
  <si>
    <t>QBA070</t>
  </si>
  <si>
    <t>QBA071</t>
  </si>
  <si>
    <t>QBA072</t>
  </si>
  <si>
    <t>QBA073</t>
  </si>
  <si>
    <t>QBA074</t>
  </si>
  <si>
    <t>QBA075</t>
  </si>
  <si>
    <t>QBA076</t>
  </si>
  <si>
    <t>QBA077</t>
  </si>
  <si>
    <t>QBA078</t>
  </si>
  <si>
    <t>QBA079</t>
  </si>
  <si>
    <t>QBA081</t>
  </si>
  <si>
    <t>QBA082</t>
  </si>
  <si>
    <t>QBA083</t>
  </si>
  <si>
    <t>QBA084</t>
  </si>
  <si>
    <t>QBA085</t>
  </si>
  <si>
    <t>QBA086</t>
  </si>
  <si>
    <t>QBA087</t>
  </si>
  <si>
    <t>QBA089</t>
  </si>
  <si>
    <t>QBA090</t>
  </si>
  <si>
    <t>QBA091</t>
  </si>
  <si>
    <t>QBA092</t>
  </si>
  <si>
    <t>QBA093</t>
  </si>
  <si>
    <t>QBA094</t>
  </si>
  <si>
    <t>QBA095</t>
  </si>
  <si>
    <t>QBA096</t>
  </si>
  <si>
    <t>QBA097</t>
  </si>
  <si>
    <t>QBA098</t>
  </si>
  <si>
    <t>QBA100</t>
  </si>
  <si>
    <t>QBA101</t>
  </si>
  <si>
    <t>QBA102</t>
  </si>
  <si>
    <t>QBA103</t>
  </si>
  <si>
    <t>QBA104</t>
  </si>
  <si>
    <t>QBA105</t>
  </si>
  <si>
    <t>QBA107</t>
  </si>
  <si>
    <t>QBA108</t>
  </si>
  <si>
    <t>QBA109</t>
  </si>
  <si>
    <t>QBA110</t>
  </si>
  <si>
    <t>QBA111</t>
  </si>
  <si>
    <t>QBA112</t>
  </si>
  <si>
    <t>QBA114</t>
  </si>
  <si>
    <t>QBA115</t>
  </si>
  <si>
    <t>QBA116</t>
  </si>
  <si>
    <t>QBA117</t>
  </si>
  <si>
    <t>QBA118</t>
  </si>
  <si>
    <t>QBA119</t>
  </si>
  <si>
    <t>QBA121</t>
  </si>
  <si>
    <t>QBA122</t>
  </si>
  <si>
    <t>QBA123</t>
  </si>
  <si>
    <t>QBA124</t>
  </si>
  <si>
    <t>QBA125</t>
  </si>
  <si>
    <t>QBA126</t>
  </si>
  <si>
    <t>QBA127</t>
  </si>
  <si>
    <t>QBA128</t>
  </si>
  <si>
    <t>QBA129</t>
  </si>
  <si>
    <t>QV000</t>
  </si>
  <si>
    <t>QV011</t>
  </si>
  <si>
    <t>QV012</t>
  </si>
  <si>
    <t>QV013</t>
  </si>
  <si>
    <t>QV014</t>
  </si>
  <si>
    <t>QV015</t>
  </si>
  <si>
    <t>QV021</t>
  </si>
  <si>
    <t>QV022</t>
  </si>
  <si>
    <t>QV023</t>
  </si>
  <si>
    <t>QV024</t>
  </si>
  <si>
    <t>QV025</t>
  </si>
  <si>
    <t>QV031</t>
  </si>
  <si>
    <t>QV032</t>
  </si>
  <si>
    <t>QV033</t>
  </si>
  <si>
    <t>QV034</t>
  </si>
  <si>
    <t>QV035</t>
  </si>
  <si>
    <t>QV041</t>
  </si>
  <si>
    <t>QV042</t>
  </si>
  <si>
    <t>QV043</t>
  </si>
  <si>
    <t>QV044</t>
  </si>
  <si>
    <t>QV045</t>
  </si>
  <si>
    <t>QV051</t>
  </si>
  <si>
    <t>QV052</t>
  </si>
  <si>
    <t>QV053</t>
  </si>
  <si>
    <t>QV054</t>
  </si>
  <si>
    <t>QV055</t>
  </si>
  <si>
    <t>QV061</t>
  </si>
  <si>
    <t>QV062</t>
  </si>
  <si>
    <t>QV063</t>
  </si>
  <si>
    <t>QV064</t>
  </si>
  <si>
    <t>QV065</t>
  </si>
  <si>
    <t>QV071</t>
  </si>
  <si>
    <t>QV072</t>
  </si>
  <si>
    <t>QV073</t>
  </si>
  <si>
    <t>QV074</t>
  </si>
  <si>
    <t>QV075</t>
  </si>
  <si>
    <t>QBV001</t>
  </si>
  <si>
    <t>QBV002</t>
  </si>
  <si>
    <t>QBV003</t>
  </si>
  <si>
    <t>QBV004</t>
  </si>
  <si>
    <t>QBV005</t>
  </si>
  <si>
    <t xml:space="preserve">Het werkblad waarop u de budgetafspraken moet invullen heeft als naam 0000. U wordt verzocht dit nummer te vervangen door het instellingsnummer en zonodig op te vullen tot vier cijfers. Instellingsnummer 104 wordt dan 0104. Hierdoor verschijnt bovenin het formulier de naam en het nummer van de instelling. </t>
  </si>
  <si>
    <r>
      <t xml:space="preserve">NB Het </t>
    </r>
    <r>
      <rPr>
        <b/>
        <u val="single"/>
        <sz val="9"/>
        <rFont val="Verdana"/>
        <family val="2"/>
      </rPr>
      <t>budget/DBC-jaarformulier</t>
    </r>
    <r>
      <rPr>
        <b/>
        <sz val="9"/>
        <rFont val="Verdana"/>
        <family val="2"/>
      </rPr>
      <t xml:space="preserve"> wordt gebruikt om het </t>
    </r>
    <r>
      <rPr>
        <b/>
        <u val="single"/>
        <sz val="9"/>
        <rFont val="Verdana"/>
        <family val="2"/>
      </rPr>
      <t>totale (productie)budget</t>
    </r>
    <r>
      <rPr>
        <b/>
        <sz val="9"/>
        <rFont val="Verdana"/>
        <family val="2"/>
      </rPr>
      <t xml:space="preserve"> vast te leggen. Het </t>
    </r>
    <r>
      <rPr>
        <b/>
        <u val="single"/>
        <sz val="9"/>
        <rFont val="Verdana"/>
        <family val="2"/>
      </rPr>
      <t>mutatieformulier</t>
    </r>
    <r>
      <rPr>
        <b/>
        <sz val="9"/>
        <rFont val="Verdana"/>
        <family val="2"/>
      </rPr>
      <t xml:space="preserve"> wordt gebruikt om alleen de </t>
    </r>
    <r>
      <rPr>
        <b/>
        <u val="single"/>
        <sz val="9"/>
        <rFont val="Verdana"/>
        <family val="2"/>
      </rPr>
      <t>mutaties</t>
    </r>
    <r>
      <rPr>
        <b/>
        <sz val="9"/>
        <rFont val="Verdana"/>
        <family val="2"/>
      </rPr>
      <t xml:space="preserve"> vast te leggen.</t>
    </r>
  </si>
  <si>
    <t>Andere aandoeninge - vanaf 800 tot 1800 minuten  - variant 2</t>
  </si>
  <si>
    <t>Andere aandoeninge - vanaf 1800 tot 3000 minuten</t>
  </si>
  <si>
    <t>Andere aandoeninge - vanaf 3000 tot 6000 minuten</t>
  </si>
  <si>
    <t>Restgroep diagnoses - vanaf 250 tot 800 minuten  - variant 1</t>
  </si>
  <si>
    <t>NF124</t>
  </si>
  <si>
    <t>Restgroep diagnoses - vanaf 250 tot 800 minuten  - variant 2</t>
  </si>
  <si>
    <t>Restgroep diagnoses - vanaf 800 tot 1800 minuten  - variant 1</t>
  </si>
  <si>
    <t>Restgroep diagnoses - vanaf 800 tot 1800 minuten  - variant 2</t>
  </si>
  <si>
    <t>Restgroep diagnoses - vanaf 1800 tot 3000 minuten</t>
  </si>
  <si>
    <t>EK</t>
  </si>
  <si>
    <t>EA</t>
  </si>
  <si>
    <t>EV</t>
  </si>
  <si>
    <t>EFK</t>
  </si>
  <si>
    <t>EFA</t>
  </si>
  <si>
    <t>De Viersprong</t>
  </si>
  <si>
    <t>GGZ West-Brabant</t>
  </si>
  <si>
    <t>Totaal plaatsen</t>
  </si>
  <si>
    <t>F207</t>
  </si>
  <si>
    <t>Cliënten zorgcoörd. i.c.m. casemanagement</t>
  </si>
  <si>
    <t>De Hoop</t>
  </si>
  <si>
    <t>id</t>
  </si>
  <si>
    <t>nr</t>
  </si>
  <si>
    <t>cc_code</t>
  </si>
  <si>
    <t>mw_code</t>
  </si>
  <si>
    <t>naam rekenstaat</t>
  </si>
  <si>
    <t>De Gelderse Roos</t>
  </si>
  <si>
    <t>Symfora Groep</t>
  </si>
  <si>
    <t>Meerkanten</t>
  </si>
  <si>
    <t>Altrecht</t>
  </si>
  <si>
    <t>Eleos</t>
  </si>
  <si>
    <t>nrs</t>
  </si>
  <si>
    <t>tabel dhr mevr</t>
  </si>
  <si>
    <t>Dhr</t>
  </si>
  <si>
    <t>Mevr</t>
  </si>
  <si>
    <t>Structuurbiedend met beperkte begel.</t>
  </si>
  <si>
    <t>Deeltijd kinderen en jeugd</t>
  </si>
  <si>
    <t>Deeltijd volwassenen en ouderen</t>
  </si>
  <si>
    <t>budget</t>
  </si>
  <si>
    <t>vervaldatum dit formulier(foutmelding)</t>
  </si>
  <si>
    <t>Deeltijd verslavingszorg</t>
  </si>
  <si>
    <t>VSGA</t>
  </si>
  <si>
    <t>ZIZ-bedden kinderen en jeugd</t>
  </si>
  <si>
    <t>Herstellingsoordfunctie</t>
  </si>
  <si>
    <t>Forensisch psychiatrische afdeling</t>
  </si>
  <si>
    <t>Klinisch intensieve behandeling</t>
  </si>
  <si>
    <t>BKZ</t>
  </si>
  <si>
    <t>BKB</t>
  </si>
  <si>
    <t>BKO</t>
  </si>
  <si>
    <t>BSGA</t>
  </si>
  <si>
    <t>BFO</t>
  </si>
  <si>
    <t>BFGK</t>
  </si>
  <si>
    <t>BFGG</t>
  </si>
  <si>
    <t>BH</t>
  </si>
  <si>
    <t>BO</t>
  </si>
  <si>
    <t>Dr. Leo Kannerhuis</t>
  </si>
  <si>
    <t>D</t>
  </si>
  <si>
    <t>Ondertekening namens het Bestuur van de zorgaanbieder: **)</t>
  </si>
  <si>
    <t>Overige aan een middel - vanaf 800 tot 1800 minuten  - variant 2</t>
  </si>
  <si>
    <t>Omschrijving behandelgroep</t>
  </si>
  <si>
    <t>Omschrijving verblijfgroep</t>
  </si>
  <si>
    <t>Verblijf DBC's inclusief behandeling</t>
  </si>
  <si>
    <t>Ambulante DBC's</t>
  </si>
  <si>
    <t>Verrekenpercentage verblijf-DBC</t>
  </si>
  <si>
    <t>Verrekenpercentage ambulante-DBC</t>
  </si>
  <si>
    <t>over</t>
  </si>
  <si>
    <t>Base Groep Groningen</t>
  </si>
  <si>
    <t>FortaGroep BV</t>
  </si>
  <si>
    <t>Behandeling kort - vanaf 400 tot 800 minuten  - variant 1</t>
  </si>
  <si>
    <t>Behandeling kort - vanaf 400 tot 800 minuten  - variant 2</t>
  </si>
  <si>
    <t>Behandeling kort - vanaf 800 minuten</t>
  </si>
  <si>
    <t xml:space="preserve">  </t>
  </si>
  <si>
    <t>Aandachtstekort- en gedrag - vanaf 250 tot 800 minuten</t>
  </si>
  <si>
    <t>urenwalz</t>
  </si>
  <si>
    <t>A</t>
  </si>
  <si>
    <t>Overwaal</t>
  </si>
  <si>
    <t>Nieuwe inschrijving</t>
  </si>
  <si>
    <t>Intakecontact</t>
  </si>
  <si>
    <t>4.</t>
  </si>
  <si>
    <t>Niet bezette bedden verslavingszorg</t>
  </si>
  <si>
    <t>Niet bezette bedden kinderen en jeugd</t>
  </si>
  <si>
    <t>Totaal afspraak verblijf</t>
  </si>
  <si>
    <t>Totaal afspraken</t>
  </si>
  <si>
    <t>A/B</t>
  </si>
  <si>
    <t>B+C</t>
  </si>
  <si>
    <t>index</t>
  </si>
  <si>
    <t>excl.index</t>
  </si>
  <si>
    <t>rekenstaat</t>
  </si>
  <si>
    <t>C</t>
  </si>
  <si>
    <t>Zonnehuizen Kind en Jeugd (Veldheim/Stenia)</t>
  </si>
  <si>
    <t>Dagen forensisch (niet strafrechtelijk)</t>
  </si>
  <si>
    <t>Forensische kliniek (niet strafrechtelijk)</t>
  </si>
  <si>
    <t>Forensische afdeling (niet strafrechtelijk)</t>
  </si>
  <si>
    <t>For.psych.Klin.&lt;55 bedden(niet strafr.)</t>
  </si>
  <si>
    <t>For.psych.klin.&gt;56 bedden(niet strafr.)</t>
  </si>
  <si>
    <t>Extramuraal forensisch (niet strafrechtelijk)</t>
  </si>
  <si>
    <t>Deeltijd forensisch (niet strafrechtelijk)</t>
  </si>
  <si>
    <t>F</t>
  </si>
  <si>
    <t>F-E</t>
  </si>
  <si>
    <t>De datum van ingang van de mutatie is op het voorblad niet ingevuld.</t>
  </si>
  <si>
    <r>
      <t xml:space="preserve">Om vertraging in de verwerking te voorkomen is het van belang dat formulieren juist en volledig worden ingevuld. Ter ondersteuning is daarom op een aantal punten in dit formulier een controle ingebouwd. Onderstaand treft u de controlelijst aan. Indien er op een onderdeel een onjuistheid wordt gesignaleerd dan wordt dat in onderstaande lijst aangegeven met </t>
    </r>
    <r>
      <rPr>
        <b/>
        <sz val="9"/>
        <rFont val="Verdana"/>
        <family val="2"/>
      </rPr>
      <t>fout</t>
    </r>
    <r>
      <rPr>
        <sz val="9"/>
        <rFont val="Verdana"/>
        <family val="2"/>
      </rPr>
      <t>. Zolang er sprake is van een foutmelding wordt dat gemeld op het voorblad in het vak waar de ondertekening moet plaatsvinden.</t>
    </r>
  </si>
  <si>
    <t>De vervaldatum van dit formulier is verstreken. Voor het doorgeven van gegevens verzoeken wij u een nieuw formulier van de website van NZa te downloaden.</t>
  </si>
  <si>
    <t>kolom F buitenwerking na maartronde harde 0 in kolom E</t>
  </si>
  <si>
    <t>Zorgverzekeraar 1</t>
  </si>
  <si>
    <t>Handtekening</t>
  </si>
  <si>
    <t>Zorgverzekeraar 2</t>
  </si>
  <si>
    <t>Zorgverzekeraar 3</t>
  </si>
  <si>
    <t>Totaal DBC afspraak</t>
  </si>
  <si>
    <t>Indicatief verrekenpercentage op jaarbasis amb/verblijf</t>
  </si>
  <si>
    <t>mutatie</t>
  </si>
  <si>
    <t>R.M.P.I.</t>
  </si>
  <si>
    <t>PAAZ Rode Kruis Ziekenhuis</t>
  </si>
  <si>
    <t>Systeemdatum</t>
  </si>
  <si>
    <t>De Rigg-ting</t>
  </si>
  <si>
    <t>PAAZ Maasziekenhuis Pantein</t>
  </si>
  <si>
    <t>1.1</t>
  </si>
  <si>
    <t>1.2</t>
  </si>
  <si>
    <t>1.3</t>
  </si>
  <si>
    <t>1.4</t>
  </si>
  <si>
    <t>3.1</t>
  </si>
  <si>
    <t>5.1</t>
  </si>
  <si>
    <t>5.2</t>
  </si>
  <si>
    <t>5.3</t>
  </si>
  <si>
    <t>5.4</t>
  </si>
  <si>
    <t>De indieningstermijn van het budgetformulier (1 maart) is verstreken.</t>
  </si>
  <si>
    <t>Gespecialiseerde begeleiding (BZW)</t>
  </si>
  <si>
    <t xml:space="preserve">Dagactiviteit GGZ-LZA </t>
  </si>
  <si>
    <t>BFK</t>
  </si>
  <si>
    <t>Mutatieformulier ZVW budget en DBC's GGZ</t>
  </si>
  <si>
    <t>Zeer intensief met (beperkte) begeleiding</t>
  </si>
  <si>
    <t>Herstellingsoord</t>
  </si>
  <si>
    <t>Resocialisatie FPA</t>
  </si>
  <si>
    <t>Behandeling FPA</t>
  </si>
  <si>
    <t>Long stay (basis) FPK</t>
  </si>
  <si>
    <t>Long stay (intensief) FPK</t>
  </si>
  <si>
    <t>Resocialisatie FPK</t>
  </si>
  <si>
    <t>Behandeling FPK</t>
  </si>
  <si>
    <t>V24</t>
  </si>
  <si>
    <t>V25</t>
  </si>
  <si>
    <t>VF12</t>
  </si>
  <si>
    <t>VF13</t>
  </si>
  <si>
    <t>VF14</t>
  </si>
  <si>
    <t>VF15</t>
  </si>
  <si>
    <t>VF16</t>
  </si>
  <si>
    <t>VF11</t>
  </si>
  <si>
    <t>Groepsgewijs met beperkte begeleiding</t>
  </si>
  <si>
    <t>Onderzoekscontact</t>
  </si>
  <si>
    <t>Psychotherapiecontact</t>
  </si>
  <si>
    <t>Groepscontact psychotherapie</t>
  </si>
  <si>
    <t>Groepscontact beh./begeleiding</t>
  </si>
  <si>
    <t>Eerste opnames</t>
  </si>
  <si>
    <t>For. psych. kliniek t/m 55 bedden</t>
  </si>
  <si>
    <t>For. psych. kliniek vanaf 56 bedden</t>
  </si>
  <si>
    <t>Alcohol- en drugsverslaafden</t>
  </si>
  <si>
    <t>BAD</t>
  </si>
  <si>
    <t>A.1.1</t>
  </si>
  <si>
    <t>VA11</t>
  </si>
  <si>
    <t>VA12</t>
  </si>
  <si>
    <t>VA13</t>
  </si>
  <si>
    <t>VA14</t>
  </si>
  <si>
    <t>VA15</t>
  </si>
  <si>
    <t>VA16</t>
  </si>
  <si>
    <t>VK12</t>
  </si>
  <si>
    <t>VK13</t>
  </si>
  <si>
    <t>VK14</t>
  </si>
  <si>
    <t>VK15</t>
  </si>
  <si>
    <t>VK16</t>
  </si>
  <si>
    <t>VK11</t>
  </si>
  <si>
    <t>V11</t>
  </si>
  <si>
    <t>V12</t>
  </si>
  <si>
    <t>V13</t>
  </si>
  <si>
    <t>V14</t>
  </si>
  <si>
    <t>V21</t>
  </si>
  <si>
    <t>V22</t>
  </si>
  <si>
    <t>V23</t>
  </si>
  <si>
    <t>Curium</t>
  </si>
  <si>
    <t>*) Bij de bezette bedden/ plaatsen wordt</t>
  </si>
  <si>
    <t>Emergis</t>
  </si>
  <si>
    <t>Totaal</t>
  </si>
  <si>
    <t>Rekenstaat</t>
  </si>
  <si>
    <t>2.</t>
  </si>
  <si>
    <t>totaal</t>
  </si>
  <si>
    <t>Niet</t>
  </si>
  <si>
    <t>Afspraak</t>
  </si>
  <si>
    <t>Mutatie</t>
  </si>
  <si>
    <t>PF101</t>
  </si>
  <si>
    <t>PF102</t>
  </si>
  <si>
    <t>PF103</t>
  </si>
  <si>
    <t>PF104</t>
  </si>
  <si>
    <t>PF105</t>
  </si>
  <si>
    <t>PF106</t>
  </si>
  <si>
    <t>PF107</t>
  </si>
  <si>
    <t>PF108</t>
  </si>
  <si>
    <t>PF109</t>
  </si>
  <si>
    <t>PF110</t>
  </si>
  <si>
    <t>PF128</t>
  </si>
  <si>
    <t>contr.getal</t>
  </si>
  <si>
    <t>Er is op het voorblad (links boven) nog geen keuze gemaakt welk type formulier moet worden ingestuurd. Zie ook de toelichting.</t>
  </si>
  <si>
    <t>(celverwijzing naar 0000'K10)</t>
  </si>
  <si>
    <t>Novadic-Kentron</t>
  </si>
  <si>
    <t>Sinai-Kliniek</t>
  </si>
  <si>
    <t>Verpleegkundigen in opleiding (zvw deel)</t>
  </si>
  <si>
    <t>GGZ Noord-Holland-Noord</t>
  </si>
  <si>
    <t>GGZ Delfland</t>
  </si>
  <si>
    <t>Verblijf - tussen 21 en 42 dagen - tussen 0 en 100 euro</t>
  </si>
  <si>
    <t>Verblijf - tussen 21 en 42 dagen - tussen 100 en 200 euro</t>
  </si>
  <si>
    <t>Verblijf - tussen 21 en 42 dagen - tussen 200 en 350 euro</t>
  </si>
  <si>
    <t>Verblijf - tussen 21 en 42 dagen - tussen 350 en 500 euro</t>
  </si>
  <si>
    <t>Verblijf - tussen 21 en 42 dagen - meer dan 500 euro</t>
  </si>
  <si>
    <t>Verblijf - tussen 42 en 63 dagen - tussen 0 en 100 euro</t>
  </si>
  <si>
    <t>Verblijf - tussen 42 en 63 dagen - tussen 100 en 200 euro</t>
  </si>
  <si>
    <t>Verblijf - tussen 42 en 63 dagen - tussen 200 en 350 euro</t>
  </si>
  <si>
    <t>Stabilisatie met (beperkte) begeleiding</t>
  </si>
  <si>
    <t>Stabilisatie met (intensieve) bescherming</t>
  </si>
  <si>
    <t>Toeslag categorie 2</t>
  </si>
  <si>
    <t>De in te vullen velden zijn grijsblauw gearceerd. Deze arcering kunt u in- en uitschakelen. Voor het uitprinten van gegevens wordt u geadviseerd de arcering uit te zetten</t>
  </si>
  <si>
    <t>Capaciteitswijzigingen en andere productie toe- of afnames die later dit jaar bekend zijn en leiden tot gewijzigde afspraken met verzekeraars kunt u tot 15 september 2009 bij de NZa indienen met het mutatieformulier.</t>
  </si>
  <si>
    <r>
      <t>II.</t>
    </r>
    <r>
      <rPr>
        <sz val="9"/>
        <rFont val="Verdana"/>
        <family val="2"/>
      </rPr>
      <t xml:space="preserve">  In dit formulier treft u de volgende werkbladen aan: voorblad, instructie, foutmeldingen,  het "reguliere budgetformulier" 0000, DBC's en tijdbesteding.</t>
    </r>
  </si>
  <si>
    <t xml:space="preserve"> -Op het voorblad dient ondertekening plaats te vinden door de  instelling en verzekeraars. De uitkomsten van belangrijke onderdelen van het formulier komen op het voorblad tot uitdrukking zoals het ZVW-budget 2009 en de DBC-afspraken.</t>
  </si>
  <si>
    <t xml:space="preserve"> -Het werkblad met de naam 0000 is het "reguliere" budget- of mutatieformulier. U wordt verzocht de naam van het werkblad te vervangen door het  instellingsnummer en zonodig op te vullen tot vier cijfers. Bijvoorbeeld instellingsnummer 450-104 wordt  0104. Door het invullen van uw instellingsnummer verschijnt op de werkbladen, ter identificatie, de naam van uw instelling.  U kunt de naam van het werkblad wijzigen door met de muis de naam 0000 aan te wijzen en vervolgens op de rechter muisknop te klikken. U kunt de naam van het werkblad ook wijzigen door eerst het werkblad 0000 te kiezen en vervolgens via het menu te kiezen voor Opmaak, Blad, Naam wijzigen.</t>
  </si>
  <si>
    <t>Onderstaande toelichting richt zich met name op het budget/DBC-jaarformulier voor de afspraken 2009 dat voor 1 maart 2009 moet worden ingediend.</t>
  </si>
  <si>
    <t>Op basis van de afspraken 2009 worden in dit onderdeel in de kolommen aan de rechterzijde het aantal te bezetten bedden en plaatsen berekend. Voor het aantal bedden en plaatsen dat moet worden ingevuld in kolom II kan van deze aantallen in beginsel niet worden afgeweken. Voor een goed inzicht in het verloop van de capaciteitsgegevens is het van belang om kolom I in te vullen met de juiste gegevens van de laatste rekenstaat 2009.</t>
  </si>
  <si>
    <t xml:space="preserve">rekening gehouden met de landelijk </t>
  </si>
  <si>
    <t>AGRT</t>
  </si>
  <si>
    <t>5.</t>
  </si>
  <si>
    <t>RIAGG IJsselland</t>
  </si>
  <si>
    <t>Psychiatrische crisisinterventie thuis</t>
  </si>
  <si>
    <t>Individueel verblijf licht</t>
  </si>
  <si>
    <t>Kleinschalig groepsverblijf licht</t>
  </si>
  <si>
    <t>Kleinschalig verblijf zwaar</t>
  </si>
  <si>
    <t>Niet bezette plaatsen kleinschalig wonen</t>
  </si>
  <si>
    <t>Bedden (klinisch verblijf)</t>
  </si>
  <si>
    <t>Plaatsen kleinschalig wonen</t>
  </si>
  <si>
    <t>Toeslag categorie 1</t>
  </si>
  <si>
    <t>PAAZ Medisch Spectrum Twente</t>
  </si>
  <si>
    <t>PAAZ Gelre Ziekenhuizen</t>
  </si>
  <si>
    <t>Intramurale individuele prijsafspraak</t>
  </si>
  <si>
    <t>Kies EERST hier uw juiste formulier !</t>
  </si>
  <si>
    <t>De Grote Rivieren</t>
  </si>
  <si>
    <t>Verslavingszorg Noord Nederland</t>
  </si>
  <si>
    <t>AMC De Meren</t>
  </si>
  <si>
    <t>PAAZ Laurentius Ziekenhuis Roermond</t>
  </si>
  <si>
    <t>kapitaalslasten verblijf (kliniek)</t>
  </si>
  <si>
    <t>Alg. en gezin geringe beg. (6-8u)</t>
  </si>
  <si>
    <t>Idem met beg. op afstand (4-6u)</t>
  </si>
  <si>
    <t>Idem met beg. op afstand (6-8u)</t>
  </si>
  <si>
    <t>Deeltijd met beperkte beg. (4-6u)</t>
  </si>
  <si>
    <t>Deeltijd met beperkte beg. (6-8u)</t>
  </si>
  <si>
    <t>PAAZ Sint Lucas Andreas Ziekenhuis</t>
  </si>
  <si>
    <t>PAAZ Albert Schweitzer Ziekenhuis</t>
  </si>
  <si>
    <t>PAAZ Streekziekenhuis Walcheren</t>
  </si>
  <si>
    <t>PAAZ Ziekenhuis Lievensberg</t>
  </si>
  <si>
    <t>Kinder- en jeugdpsychiatrie Karakter</t>
  </si>
  <si>
    <t>F451</t>
  </si>
  <si>
    <t>F453</t>
  </si>
  <si>
    <t>Deeltijdbehandeling (4-6u)</t>
  </si>
  <si>
    <t>Deeltijdbehandeling (6-8u)</t>
  </si>
  <si>
    <t>Opname en observatie (4-6u)</t>
  </si>
  <si>
    <t>Opname en observatie (6-8u)</t>
  </si>
  <si>
    <t>F461</t>
  </si>
  <si>
    <t>F463</t>
  </si>
  <si>
    <t>F465</t>
  </si>
  <si>
    <t>Alg. en gezin geringe beg. (4-6u)</t>
  </si>
  <si>
    <t>Verzorgingsdagen Beschermd Wonen</t>
  </si>
  <si>
    <t>F208</t>
  </si>
  <si>
    <t>APZ-Drenthe</t>
  </si>
  <si>
    <t>=E</t>
  </si>
  <si>
    <t>Verschil tussen ZVW budget en DBC-afspraken</t>
  </si>
  <si>
    <t>Verblijf DBC's incl. behandeling regel</t>
  </si>
  <si>
    <t>PBAN</t>
  </si>
  <si>
    <t>PAAZ Ziekenhuis Rijnstate</t>
  </si>
  <si>
    <t>De Kijvelanden</t>
  </si>
  <si>
    <t>Verblijf - tussen 42 en 63 dagen - tussen 350 en 500 euro</t>
  </si>
  <si>
    <t>Verblijf - tussen 42 en 63 dagen - meer dan 500 euro</t>
  </si>
  <si>
    <t>Verblijf - tussen 63 en 84 dagen - tussen 0 en 100 euro</t>
  </si>
  <si>
    <t>Verblijf - tussen 63 en 84 dagen - tussen 100 en 200 euro</t>
  </si>
  <si>
    <t>Verblijf - tussen 63 en 84 dagen - tussen 200 en 350 euro</t>
  </si>
  <si>
    <t>Verblijf - tussen 63 en 84 dagen - tussen 350 en 500 euro</t>
  </si>
  <si>
    <t>Verblijf - tussen 63 en 84 dagen - meer dan 500 euro</t>
  </si>
  <si>
    <t>aantal ambulant</t>
  </si>
  <si>
    <t>aantal verblijf</t>
  </si>
  <si>
    <t>omzet ambulant</t>
  </si>
  <si>
    <t>U heeft het werkblad met de naam 0000 gewijzigd in een instellingsnummer wat door het formulier niet wordt herkend. De naam van het werkblad kunt u wijzigen in 9999. Op het voorblad kunt u wel uw instellingsnummer vermelden.</t>
  </si>
  <si>
    <t>450</t>
  </si>
  <si>
    <t>Door ondertekening van dit formulier verzoeken partijen op grond van artikel 50 lid 1 van de WMG de Nza,  met in achtname van de geldende beleidsregels, om zowel de in het onderdeel "budget" als het in het onderdeel "DBC's" afgesproken productie vast te stellen.</t>
  </si>
  <si>
    <t>De Jutters</t>
  </si>
  <si>
    <t>Dagen verslavingszorg</t>
  </si>
  <si>
    <t>Dagen kinderen en jeugd</t>
  </si>
  <si>
    <t>Dagen volwassenen en ouderen</t>
  </si>
  <si>
    <t>Dagen forensisch</t>
  </si>
  <si>
    <t>GGzE (De Grote Beek)</t>
  </si>
  <si>
    <t>*) materiele kosten zijn inclusief onderhoud</t>
  </si>
  <si>
    <t>Prestaties GGZ gekoppeld aan de functie behandeling</t>
  </si>
  <si>
    <t>prijs</t>
  </si>
  <si>
    <t>Max.</t>
  </si>
  <si>
    <t>Methadonverstrekking (per deelnemer per jaar)</t>
  </si>
  <si>
    <t>Bezette bedden en</t>
  </si>
  <si>
    <t>plaatsen</t>
  </si>
  <si>
    <t>Bascule</t>
  </si>
  <si>
    <t>tabel formulierkeuze</t>
  </si>
  <si>
    <t>tabel tekst op formulier</t>
  </si>
  <si>
    <t>tabel inzenddata</t>
  </si>
  <si>
    <t>tabel toelichting mutatiedatum</t>
  </si>
  <si>
    <t xml:space="preserve">Instelling </t>
  </si>
  <si>
    <t>Plaats</t>
  </si>
  <si>
    <t>Contactpersoon</t>
  </si>
  <si>
    <t>Telefoon</t>
  </si>
  <si>
    <t>Fax</t>
  </si>
  <si>
    <t>E-mail</t>
  </si>
  <si>
    <t>(handtekening)</t>
  </si>
  <si>
    <t>(datum)</t>
  </si>
  <si>
    <t>(naam)</t>
  </si>
  <si>
    <t>TOELICHTING / INVULINSTRUCTIE</t>
  </si>
  <si>
    <t>FPP De Horst</t>
  </si>
  <si>
    <t xml:space="preserve">Uren </t>
  </si>
  <si>
    <t>NZa is deze informatie van belang om knelpunten te signaleren en reducties te bewerkstelligen.</t>
  </si>
  <si>
    <t>Middenkader</t>
  </si>
  <si>
    <t>Directie</t>
  </si>
  <si>
    <t>Opmerkingen:</t>
  </si>
  <si>
    <t>U heeft het werkblad met de naam 0000 nog niet gewijzigd in uw instellingsnummer. In de toelichting is uitgelegd op welke wijze u dit kunt doen.</t>
  </si>
  <si>
    <t>RIBW Mensana</t>
  </si>
  <si>
    <t>B</t>
  </si>
  <si>
    <t>Mediant GGZ</t>
  </si>
  <si>
    <t>E</t>
  </si>
  <si>
    <t>ILOA</t>
  </si>
  <si>
    <t>Depressie - vanaf 6000 tot 12000 minuten  - variant 1</t>
  </si>
  <si>
    <t>Depressie - vanaf 6000 tot 12000 minuten  - variant 2</t>
  </si>
  <si>
    <t>Bipolair en overig - vanaf 250 tot 800 minuten  - variant 1</t>
  </si>
  <si>
    <t>Bipolair en overig - vanaf 250 tot 800 minuten  - variant 2</t>
  </si>
  <si>
    <t>Bipolair en overig - vanaf 800 tot 1800 minuten  - variant 1</t>
  </si>
  <si>
    <t>Bipolair en overig - vanaf 800 tot 1800 minuten  - variant 2</t>
  </si>
  <si>
    <t>Bipolair en overig - vanaf 1800 tot 3000 minuten  - variant 1</t>
  </si>
  <si>
    <t>Bipolair en overig - vanaf 1800 tot 3000 minuten  - variant 2</t>
  </si>
  <si>
    <t>Bipolair en overig - vanaf 3000 tot 6000 minuten</t>
  </si>
  <si>
    <t>Angst - vanaf 250 tot 800 minuten  - variant 1</t>
  </si>
  <si>
    <t>Angst - vanaf 250 tot 800 minuten  - variant 2</t>
  </si>
  <si>
    <t>met Psychotherapie</t>
  </si>
  <si>
    <t>Angst - vanaf 800 tot 1800 minuten  - variant 1</t>
  </si>
  <si>
    <t>Angst - vanaf 800 tot 1800 minuten  - variant 2</t>
  </si>
  <si>
    <t>Angst - vanaf 1800 tot 3000 minuten  - variant 1</t>
  </si>
  <si>
    <t>Angst - vanaf 1800 tot 3000 minuten  - variant 2</t>
  </si>
  <si>
    <t>Angst - vanaf 3000 tot 6000 minuten  - variant 1</t>
  </si>
  <si>
    <t>Angst - vanaf 3000 tot 6000 minuten  - variant 2</t>
  </si>
  <si>
    <t>Angst - vanaf 6000 tot 12000 minuten  - variant 1</t>
  </si>
  <si>
    <t>Angst - vanaf 6000 tot 12000 minuten  - variant 2</t>
  </si>
  <si>
    <t>Aanpassing - vanaf 250 tot 800 minuten  - variant 1</t>
  </si>
  <si>
    <t>Aanpassing - vanaf 250 tot 800 minuten  - variant 2</t>
  </si>
  <si>
    <t>Aanpassing - vanaf 800 tot 1800 minuten  - variant 1</t>
  </si>
  <si>
    <t>Aanpassing - vanaf 800 tot 1800 minuten  - variant 2</t>
  </si>
  <si>
    <t>Aanpassing - vanaf 1800 tot 3000 minuten</t>
  </si>
  <si>
    <t>Aanpassing - vanaf 3000 tot 6000 minuten</t>
  </si>
  <si>
    <t>Andere aandoeninge - vanaf 250 tot 800 minuten  - variant 1</t>
  </si>
  <si>
    <t>Andere aandoeninge - vanaf 250 tot 800 minuten  - variant 2</t>
  </si>
  <si>
    <t>Andere aandoeninge - vanaf 800 tot 1800 minuten  - variant 1</t>
  </si>
  <si>
    <t>In dit onderdeel worden DBC afspraken samengevat in verblijf DBC's en ambulante DBC's. De afgesproken DBC's dienen ter dekking van het afgesproken budget zoals vermeld in 5.2 op regel B.
Zowel DBC's als het budget beogen elk afzonderlijk een volledige bekostiging van de zorg in te houden. Hiervan uitgaande dienen de opbrengsten van DBC's ongeveer gelijk te zijn aan het zvw budget.</t>
  </si>
  <si>
    <t>D=</t>
  </si>
  <si>
    <t>van B</t>
  </si>
  <si>
    <t>Behandeling/begeleidingscontact</t>
  </si>
  <si>
    <t>Crisiscontact binnen kantooruren</t>
  </si>
  <si>
    <t>Registratienummer NZa</t>
  </si>
  <si>
    <t>Groot Batelaar</t>
  </si>
  <si>
    <t>Overige GGZ-prestaties</t>
  </si>
  <si>
    <t>PAAZ Amphia Ziekenhuis</t>
  </si>
  <si>
    <t>PAAZ Sint Elisabeth Ziekenhuis</t>
  </si>
  <si>
    <t>PAAZ TweeSteden Ziekenhuis</t>
  </si>
  <si>
    <t>PAAZ Catharina Ziekenhuis</t>
  </si>
  <si>
    <t>PAAZ Elkerliek Ziekenhuis</t>
  </si>
  <si>
    <t>PAAZ Sint Jans Gasthuis</t>
  </si>
  <si>
    <t>PAAZ Atrium</t>
  </si>
  <si>
    <t>Dr. Henri van der Hoevenkliniek</t>
  </si>
  <si>
    <t>Totaal afspraak behandeling</t>
  </si>
  <si>
    <t>Productgroepen voor behandeling</t>
  </si>
  <si>
    <t>Productgroepen voor verblijf</t>
  </si>
  <si>
    <t>Overige inkomsten ter dekking van het budget</t>
  </si>
  <si>
    <t>Totaal te dekken budget door DBC declaraties</t>
  </si>
  <si>
    <t>Veranderingsgericht/volledige begeleiding</t>
  </si>
  <si>
    <t>VZ24</t>
  </si>
  <si>
    <t>Opleidingskosten</t>
  </si>
  <si>
    <t>regel</t>
  </si>
  <si>
    <t>Totaal verblijf loon- en materieel</t>
  </si>
  <si>
    <t>Crisiscontact buiten kantooruren</t>
  </si>
  <si>
    <t>Dagen klinisch intensieve behandeling</t>
  </si>
  <si>
    <t xml:space="preserve">Verslavingszorg </t>
  </si>
  <si>
    <t>mutatiedatum</t>
  </si>
  <si>
    <t>kasbasis/jaarbasis</t>
  </si>
  <si>
    <t>factor jaar naar kas</t>
  </si>
  <si>
    <t>factor kas naar jaar</t>
  </si>
  <si>
    <t>Het is van belang dat u bij een mutatie uitgaat van de eerder overeengekomen budgettarieven zoals vermeld in de rekenstaat. Indien prijscorrecties moeten plaatsvinden verzoeken wij u eerst contact op te nemen met de NZa.
De werkbladen onderhanden werk en tijdbesteding zijn bij het doorgeven van mutaties niet van toepassing.</t>
  </si>
  <si>
    <t>Overige bedden kinderen en jeugd</t>
  </si>
  <si>
    <t>I</t>
  </si>
  <si>
    <t>II</t>
  </si>
  <si>
    <t>III</t>
  </si>
  <si>
    <t>IV</t>
  </si>
  <si>
    <t>V</t>
  </si>
  <si>
    <t>Overige niet productiegebonden kosten</t>
  </si>
  <si>
    <t>Bedden volwassenen (overige)</t>
  </si>
  <si>
    <t>Totaal afspraak behandeling (ambulante DBC's)</t>
  </si>
  <si>
    <t>Totaal afspraak verblijf inclusief behandeling (klinische DBC's)</t>
  </si>
  <si>
    <t>Kies formulier voorblad</t>
  </si>
  <si>
    <t>Riagg Rijnmond</t>
  </si>
  <si>
    <t>Loon + materieel</t>
  </si>
  <si>
    <t>VA</t>
  </si>
  <si>
    <t>VK</t>
  </si>
  <si>
    <t>RIAGG Maastricht</t>
  </si>
  <si>
    <t>RIAGG Amersfoort e.o.</t>
  </si>
  <si>
    <t>Individueel met volledige begeleiding</t>
  </si>
  <si>
    <t>Continue tot zeer intensieve begeleiding</t>
  </si>
  <si>
    <t>Crisisinterventie</t>
  </si>
  <si>
    <t>Beperkte tot volledige begeleiding</t>
  </si>
  <si>
    <t>Continue tot zeer intensieve bescherming</t>
  </si>
  <si>
    <t>oud budget</t>
  </si>
  <si>
    <t>nieuwbudget</t>
  </si>
  <si>
    <t>dbcs</t>
  </si>
  <si>
    <t>Kleinschalig verblijf zwaar *)</t>
  </si>
  <si>
    <t>Kortdurend met beperkte begeleiding</t>
  </si>
  <si>
    <t>Waarvan met toeslag t.b.v. normatieve vergoeding kapitaalslasten</t>
  </si>
  <si>
    <t>PTCIKW</t>
  </si>
  <si>
    <t>KAP LST</t>
  </si>
  <si>
    <t>INVENT</t>
  </si>
  <si>
    <t>Totaal kapitaalslasten kleinschalig wonen</t>
  </si>
  <si>
    <t>GGZ zorgaanbieders</t>
  </si>
  <si>
    <t>PAAZ De Gelderse Vallei</t>
  </si>
  <si>
    <t>Niet bezette bedden volwassenen</t>
  </si>
  <si>
    <t>M2NEMO</t>
  </si>
  <si>
    <t>INTRAMURAAL</t>
  </si>
  <si>
    <t>Telefonisch behand./begel.contact</t>
  </si>
  <si>
    <t>F224</t>
  </si>
  <si>
    <t>F221</t>
  </si>
  <si>
    <t>F222</t>
  </si>
  <si>
    <t>F223</t>
  </si>
  <si>
    <t>F225</t>
  </si>
  <si>
    <t>Dienstverlening</t>
  </si>
  <si>
    <t>Preventie</t>
  </si>
  <si>
    <t>dbc contr.getal</t>
  </si>
  <si>
    <t>Zwolse Poort</t>
  </si>
  <si>
    <t>RiaggZuid</t>
  </si>
  <si>
    <t>Jellinek Mentrum</t>
  </si>
  <si>
    <t>Tactus, verslavingszorg</t>
  </si>
  <si>
    <t>Forum ggz Nijmegen</t>
  </si>
  <si>
    <t>Buitenamstel/Geestgronden</t>
  </si>
  <si>
    <t>Parnassia Bavo Groep</t>
  </si>
  <si>
    <t>GGZ Breburg Groep</t>
  </si>
  <si>
    <t>Mondriaan Zorggroep</t>
  </si>
  <si>
    <t>PAAZ Zaans Medisch Centrum</t>
  </si>
  <si>
    <t>PAAZ Maxima Medisch Centrum</t>
  </si>
  <si>
    <t>GGZ poli BovenIJ Ziekenhuis</t>
  </si>
  <si>
    <t>PUK Universitair Medisch Centrum Groningen</t>
  </si>
  <si>
    <t>PUK Universitair Medisch Centrum Sint Radboud</t>
  </si>
  <si>
    <t>PUK Universitair Medisch Centrum Utrecht</t>
  </si>
  <si>
    <t>PUK Academisch Medisch Centrum</t>
  </si>
  <si>
    <t>PUK Leids Universitair Medisch Centrum</t>
  </si>
  <si>
    <t>PUK Erasmus Medisch Centrum</t>
  </si>
  <si>
    <t>PUK Academisch Ziekenhuis Maastricht</t>
  </si>
  <si>
    <t>Afspraken DBC's GGZ  voor het jaar 2009 volgens productstrucuur DBC GGZ</t>
  </si>
  <si>
    <t>De werkbladen zijn beveiligd. Indien u een onjuistheid ondekt dan verzoeken wij u dit te melden via e-mail (inbox@nza.nl). De instelling wordt verzocht het definitief ingevulde formulier, nadat het overleg met de verzekeraars heeft plaatsgevonden eveneens naar dit e-mailadres op te sturen. U wordt verzocht de bestandsnaam van het formulier te wijzigen in 450-[instellingsnummer].xls. Het voorblad dient door partijen te worden ondertekend en via de post opgestuurd te worden naar de NZa.</t>
  </si>
  <si>
    <t>Na vervaldatum een nieuwe versie van het formulier downloaden van de website www.nza.nl</t>
  </si>
  <si>
    <t>De NZa streeft naar vermindering van administratieve lasten. Om inzicht te krijgen in de omvang van de administratieve last die met dit formulier te maken heeft verzoeken wij u op dit werkblad enkele vragen te beantwoorden.</t>
  </si>
  <si>
    <t>Op regel 66 van het formulier zijn te veel opleidingsplaatsen verpleegkundigen ingevuld. Kolom II is maximaal kolom I.</t>
  </si>
  <si>
    <t>Op regel 174 is te veel aan dienstverlening ingevuld.                                               Kolom II is maximaal kolom I.</t>
  </si>
  <si>
    <t>Talant (Friesland)</t>
  </si>
  <si>
    <t>De Eik</t>
  </si>
  <si>
    <t>AZZ</t>
  </si>
  <si>
    <t>Raphaelstichting (Noord-Holland Noord)</t>
  </si>
  <si>
    <t>Bartimeus-Sonneheerdt</t>
  </si>
  <si>
    <t>Zorggarant Thuiszorg, Friesland</t>
  </si>
  <si>
    <t>Thuiszorg H+B</t>
  </si>
  <si>
    <t>Mc Brain BV</t>
  </si>
  <si>
    <t>Het Helen Dowling Instituut</t>
  </si>
  <si>
    <t>Geriant</t>
  </si>
  <si>
    <t>Het Behouden Huys</t>
  </si>
  <si>
    <t>Stichting Psygro Zaanstreek Waterland</t>
  </si>
  <si>
    <t>De Praktijk</t>
  </si>
  <si>
    <t>Psychologenpraktijk Lionarons</t>
  </si>
  <si>
    <t>Zorginstelling Ruchama</t>
  </si>
  <si>
    <t>Psychotherapiepraktijk Maastricht</t>
  </si>
  <si>
    <t>Molendrift</t>
  </si>
  <si>
    <t>Huis in de Bocht</t>
  </si>
  <si>
    <t>Taborhuis</t>
  </si>
  <si>
    <t>kasofjaar</t>
  </si>
  <si>
    <t>Loon.incl</t>
  </si>
  <si>
    <t>Mat.incl</t>
  </si>
  <si>
    <t>Incl. definitief index 2008</t>
  </si>
  <si>
    <t>BR prijs</t>
  </si>
  <si>
    <t>kolom II is max. kolom I</t>
  </si>
  <si>
    <t>OL/OL</t>
  </si>
  <si>
    <t>NIIPA</t>
  </si>
  <si>
    <t>Verblijf - tussen 84 en 126 dagen - tussen 0 en 100 euro</t>
  </si>
  <si>
    <t>Verblijf - tussen 84 en 126 dagen - tussen 100 en 200 euro</t>
  </si>
  <si>
    <t>Verblijf - tussen 84 en 126 dagen - tussen 200 en 350 euro</t>
  </si>
  <si>
    <t>Verblijf - tussen 84 en 126 dagen - tussen 350 en 500 euro</t>
  </si>
  <si>
    <t>Verblijf - tussen 84 en 126 dagen - meer dan 500 euro</t>
  </si>
  <si>
    <t>Verblijf - tussen 126 en 168 dagen - tussen 0 en 100 euro</t>
  </si>
  <si>
    <t>Verblijf - tussen 126 en 168 dagen - tussen 100 en 200 euro</t>
  </si>
  <si>
    <t>Verblijf - tussen 126 en 168 dagen - tussen 200 en 350 euro</t>
  </si>
  <si>
    <t>Verblijf - tussen 126 en 168 dagen - meer dan 500 euro</t>
  </si>
  <si>
    <t>Verblijf - tussen 168 en 210 dagen - tussen 0 en 100 euro</t>
  </si>
  <si>
    <t>Verblijf - tussen 168 en 210 dagen - tussen 100 en 200 euro</t>
  </si>
  <si>
    <t>Verblijf - tussen 168 en 210 dagen - tussen 200 en 350 euro</t>
  </si>
  <si>
    <t>Verblijf - tussen 168 en 210 dagen - tussen 350 en 500 euro</t>
  </si>
  <si>
    <t>Verblijf - tussen 126 en 168 dagen - tussen 350 en 500 euro</t>
  </si>
  <si>
    <t>Verblijf - tussen 168 en 210 dagen - meer dan 500 euro</t>
  </si>
  <si>
    <t>Verblijf - tussen 210 en 252 dagen - tussen 0 en 100 euro</t>
  </si>
  <si>
    <t>Verblijf - tussen 210 en 252 dagen - tussen 100 en 200 euro</t>
  </si>
  <si>
    <t>Verblijf - tussen 210 en 252 dagen - tussen 200 en 350 euro</t>
  </si>
  <si>
    <t>Verblijf - tussen 210 en 252 dagen - tussen 350 en 500 euro</t>
  </si>
  <si>
    <t>Verblijf - tussen 210 en 252 dagen - meer dan 500 euro</t>
  </si>
  <si>
    <t>Verblijf - tussen 252 en 308 dagen - tussen 0 en 100 euro</t>
  </si>
  <si>
    <t>Verblijf - tussen 252 en 308 dagen - tussen 100 en 200 euro</t>
  </si>
  <si>
    <t>Verblijf - tussen 252 en 308 dagen - tussen 200 en 350 euro</t>
  </si>
  <si>
    <t>Verblijf - tussen 252 en 308 dagen - tussen 350 en 500 euro</t>
  </si>
  <si>
    <t>Verblijf - tussen 252 en 308 dagen - meer dan 500 euro</t>
  </si>
  <si>
    <t>Verblijf - tussen 308 en 364 dagen - tussen 0 en 100 euro</t>
  </si>
  <si>
    <t>Verblijf - tussen 308 en 364 dagen - tussen 100 en 200 euro</t>
  </si>
  <si>
    <t>Verblijf - tussen 308 en 364 dagen - tussen 200 en 350 euro</t>
  </si>
  <si>
    <t>Verblijf - tussen 308 en 364 dagen - tussen 350 en 500 euro</t>
  </si>
  <si>
    <t>Verblijf - tussen 308 en 364 dagen - meer dan 500 euro</t>
  </si>
  <si>
    <t>Verblijf - meer dan 364 dagen - tussen 0 en 100 euro</t>
  </si>
  <si>
    <t>Verblijf - meer dan 364 dagen - tussen 100 en 200 euro</t>
  </si>
  <si>
    <t>Verblijf - meer dan 364 dagen - tussen 200 en 350 euro</t>
  </si>
  <si>
    <t>Verblijf - meer dan 364 dagen - tussen 350 en 500 euro</t>
  </si>
  <si>
    <t>Verblijf - meer dan 364 dagen - meer dan 500 euro</t>
  </si>
  <si>
    <t>QV111</t>
  </si>
  <si>
    <t>QV112</t>
  </si>
  <si>
    <t>QV113</t>
  </si>
  <si>
    <t>QV114</t>
  </si>
  <si>
    <t>QV115</t>
  </si>
  <si>
    <t>QV121</t>
  </si>
  <si>
    <t>QV131</t>
  </si>
  <si>
    <t>QV141</t>
  </si>
  <si>
    <t>QV151</t>
  </si>
  <si>
    <t>QV161</t>
  </si>
  <si>
    <t>QV171</t>
  </si>
  <si>
    <t>QV122</t>
  </si>
  <si>
    <t>QV123</t>
  </si>
  <si>
    <t>QV124</t>
  </si>
  <si>
    <t>QV125</t>
  </si>
  <si>
    <t>QV132</t>
  </si>
  <si>
    <t>QV133</t>
  </si>
  <si>
    <t>QV134</t>
  </si>
  <si>
    <t>QV135</t>
  </si>
  <si>
    <t>QV142</t>
  </si>
  <si>
    <t>QV143</t>
  </si>
  <si>
    <t>QV144</t>
  </si>
  <si>
    <t>QV145</t>
  </si>
  <si>
    <t>QV152</t>
  </si>
  <si>
    <t>QV153</t>
  </si>
  <si>
    <t>QV154</t>
  </si>
  <si>
    <t>QV155</t>
  </si>
  <si>
    <t>QV162</t>
  </si>
  <si>
    <t>QV163</t>
  </si>
  <si>
    <t>QV164</t>
  </si>
  <si>
    <t>QV165</t>
  </si>
  <si>
    <t>QV172</t>
  </si>
  <si>
    <t>QV173</t>
  </si>
  <si>
    <t>QV174</t>
  </si>
  <si>
    <t>QV175</t>
  </si>
  <si>
    <t>QBA131</t>
  </si>
  <si>
    <t>QBA132</t>
  </si>
  <si>
    <t>QBV131</t>
  </si>
  <si>
    <t>QBV132</t>
  </si>
  <si>
    <t>QBA133</t>
  </si>
  <si>
    <t>QBA134</t>
  </si>
  <si>
    <t>QBV133</t>
  </si>
  <si>
    <t>QBV134</t>
  </si>
  <si>
    <t>QBA135</t>
  </si>
  <si>
    <t>QBA136</t>
  </si>
  <si>
    <t>QBV135</t>
  </si>
  <si>
    <t>QBV136</t>
  </si>
  <si>
    <t>QBA137</t>
  </si>
  <si>
    <t>QBA138</t>
  </si>
  <si>
    <t>QBV137</t>
  </si>
  <si>
    <t>QBV138</t>
  </si>
  <si>
    <t>QBA139</t>
  </si>
  <si>
    <t>QBA140</t>
  </si>
  <si>
    <t>QBV139</t>
  </si>
  <si>
    <t>QBV140</t>
  </si>
  <si>
    <t>QBA141</t>
  </si>
  <si>
    <t>QBA142</t>
  </si>
  <si>
    <t>QBV141</t>
  </si>
  <si>
    <t>QBV142</t>
  </si>
  <si>
    <t>QBA143</t>
  </si>
  <si>
    <t>QBA144</t>
  </si>
  <si>
    <t>QBA145</t>
  </si>
  <si>
    <t>QBV143</t>
  </si>
  <si>
    <t>QBV144</t>
  </si>
  <si>
    <t>QBV145</t>
  </si>
  <si>
    <t>QBV146</t>
  </si>
  <si>
    <t>QBA146</t>
  </si>
  <si>
    <t>QBA147</t>
  </si>
  <si>
    <t>QBV147</t>
  </si>
  <si>
    <t>QBA148</t>
  </si>
  <si>
    <t>QBA149</t>
  </si>
  <si>
    <t>QBV148</t>
  </si>
  <si>
    <t>QBV149</t>
  </si>
  <si>
    <t>QBA150</t>
  </si>
  <si>
    <t>QBA151</t>
  </si>
  <si>
    <t>QBV150</t>
  </si>
  <si>
    <t>QBV151</t>
  </si>
  <si>
    <t>QBA152</t>
  </si>
  <si>
    <t>QBA153</t>
  </si>
  <si>
    <t>QBV152</t>
  </si>
  <si>
    <t>QBV153</t>
  </si>
  <si>
    <t>QBA154</t>
  </si>
  <si>
    <t>QBA155</t>
  </si>
  <si>
    <t>QBV154</t>
  </si>
  <si>
    <t>QBV155</t>
  </si>
  <si>
    <t>QBA156</t>
  </si>
  <si>
    <t>QBA157</t>
  </si>
  <si>
    <t>QBV156</t>
  </si>
  <si>
    <t>QBV157</t>
  </si>
  <si>
    <t>QBA158</t>
  </si>
  <si>
    <t>QBA159</t>
  </si>
  <si>
    <t>QBV158</t>
  </si>
  <si>
    <t>QBV159</t>
  </si>
  <si>
    <t>Aandachtstekort- en gedrag - vanaf 6000 tot 12000 minuten</t>
  </si>
  <si>
    <t>Aandachtstekort- en gedrag - vanaf 12000 minuten</t>
  </si>
  <si>
    <t>Pervasief - vanaf 6000 tot 12000 minuten</t>
  </si>
  <si>
    <t>Pervasief - vanaf 12000 minuten</t>
  </si>
  <si>
    <r>
      <t>I.</t>
    </r>
    <r>
      <rPr>
        <sz val="9"/>
        <rFont val="Verdana"/>
        <family val="2"/>
      </rPr>
      <t xml:space="preserve">  Dit formulier kan door u worden gebruikt als budget/DBC-jaarformulier of als mutatieformulier.  Op het voorblad kunt u linksboven in een keuzevak aangeven welk type formulier u wenst te gebruiken. Het budget/DBC-jaarformulier dient vóór 1 maart 2009 door de NZa te zijn ontvangen. </t>
    </r>
  </si>
  <si>
    <t xml:space="preserve"> -Wijzigingen in de afspraken die in 2009 plaatsvinden moeten in het mutatieformulier worden verwerkt. Daarbij dienen de mutaties in capaciteit, verpleegdagen  of andere productie  op kasbasis te worden ingevoerd: dus de raming van de werkelijke productie die in 2009 zal plaatsvinden. </t>
  </si>
  <si>
    <t>Een eventuele individuele prijsafspraak op het intramurale deel kan hier worden ingevuld. Een prijsafspraak houdt in een korting op het budget.</t>
  </si>
  <si>
    <t xml:space="preserve">In het onderdeel 5.1 dient u de gegevens van de laatste rekenstaat 2009 in te vullen. In de rekenstaat is een voorlopige index voor het jaar 2009 verwerkt. De tarieven in het budgetformulier zijn gebaseerd op definitief prijspijl 2008. Om een juist beeld te krijgen van de verandering van het budget 2009 t.o.v. 2008 worden in dit onderdeel de rekenstaat gegevens omgerekend naar het niveau van het definitief prijspijl 2008. </t>
  </si>
  <si>
    <t xml:space="preserve">De productstructuur van de DBC's GGZ bestaat uit een tabel met productgroepen voor behandeling en een tabel met productgroepen voor verblijf. In de bedragen van beide tabellen is rekening gehouden met alle kosten (loonkosten, materiele kosten en kapitaalslasten). De tabel met de productgroepen voor behandeling is voorzien van twee kolommen. Eén kolom is voor de afspraken van de ambulante DBC's. De andere kolom is voor de afspraken van de behandeling die behoren bij de verblijfs DBC's. De prijzen en productgroepen zijn uiteraard gebaseerd op de productstructuur 2009. </t>
  </si>
  <si>
    <t>Bovenstaande "technische benadering" van de DBC omzet is wellicht met name ten aanzien van de post onderhanden werk per ultimo 2009 nog niet hard in te schatten omdat meer-jaren ervaringsgegevens ontbreken. Ter onderbouwing of bevestiging van bovenstaande uitkomst onder D zou echter wel gebruik gemaakt kunnen worden van de omvang van de werkelijk afgesloten DBC's op jaarbasis zoals deze blijkt uit de sinds 2006 gevoerde DBC-registratie.</t>
  </si>
  <si>
    <t xml:space="preserve">Tarief € </t>
  </si>
  <si>
    <t>Overige kindertijd - vanaf 3000 tot 6000 minuten</t>
  </si>
  <si>
    <t>Overige kindertijd - vanaf 6000 minuten</t>
  </si>
  <si>
    <t>Delirium dementie en overig - vanaf 6000 tot 12000 minuten</t>
  </si>
  <si>
    <t>Delirium dementie en overig - vanaf 12000 minuten</t>
  </si>
  <si>
    <t>Alcohol - vanaf 6000 tot 12000 minuten</t>
  </si>
  <si>
    <t>Alcohol - vanaf 12000 minuten</t>
  </si>
  <si>
    <t>Overige aan een middel - vanaf 6000 tot 12000 minuten</t>
  </si>
  <si>
    <t>Overige aan een middel - vanaf 12000 minuten</t>
  </si>
  <si>
    <t>Schizofrenie - vanaf 12000 tot 18000 minuten</t>
  </si>
  <si>
    <t>Schizofrenie - vanaf 18000 tot 24000 minuten</t>
  </si>
  <si>
    <t>Schizofrenie - vanaf 24000 minuten</t>
  </si>
  <si>
    <t>Depressie - vanaf 12000 tot 18000 minuten</t>
  </si>
  <si>
    <t>Depressie - vanaf 18000 minuten</t>
  </si>
  <si>
    <t>Bipolair en overig - vanaf 6000 tot 12000 minuten</t>
  </si>
  <si>
    <t>Bipolair en overig - vanaf 12000 minuten</t>
  </si>
  <si>
    <t>Angst - vanaf 12000 tot 18000 minuten</t>
  </si>
  <si>
    <t>Angst - vanaf 18000 minuten</t>
  </si>
  <si>
    <t>Aanpassing - vanaf 6000 tot 12000 minuten</t>
  </si>
  <si>
    <t>Aanpassing - vanaf 12000 minuten</t>
  </si>
  <si>
    <t>Andere aandoeninge - vanaf 6000 tot 12000 minuten</t>
  </si>
  <si>
    <t>Andere aandoeninge - vanaf 12000 minuten</t>
  </si>
  <si>
    <t>Restgroep diagnoses - vanaf 6000 tot 12000 minuten</t>
  </si>
  <si>
    <t>Restgroep diagnoses - vanaf 12000 minuten</t>
  </si>
  <si>
    <t>Persoonlijkheid - vanaf 12000 tot 18000 minuten</t>
  </si>
  <si>
    <t>Persoonlijkheid - vanaf 18000 minuten</t>
  </si>
  <si>
    <t>RIS</t>
  </si>
  <si>
    <t>TBA001</t>
  </si>
  <si>
    <t>TBV001</t>
  </si>
  <si>
    <t>tarief</t>
  </si>
  <si>
    <t>TBA002</t>
  </si>
  <si>
    <t>TBA003</t>
  </si>
  <si>
    <t>TBA004</t>
  </si>
  <si>
    <t>TBA005</t>
  </si>
  <si>
    <t>TBA006</t>
  </si>
  <si>
    <t>TBA007</t>
  </si>
  <si>
    <t>TBA008</t>
  </si>
  <si>
    <t>TBA009</t>
  </si>
  <si>
    <t>TBA010</t>
  </si>
  <si>
    <t>TBA011</t>
  </si>
  <si>
    <t>TBA012</t>
  </si>
  <si>
    <t>TBA013</t>
  </si>
  <si>
    <t>TBA014</t>
  </si>
  <si>
    <t>TBA015</t>
  </si>
  <si>
    <t>TBA016</t>
  </si>
  <si>
    <t>TBA017</t>
  </si>
  <si>
    <t>TBA018</t>
  </si>
  <si>
    <t>TBA019</t>
  </si>
  <si>
    <t>TBA020</t>
  </si>
  <si>
    <t>TBA021</t>
  </si>
  <si>
    <t>TBA022</t>
  </si>
  <si>
    <t>TBA023</t>
  </si>
  <si>
    <t>TBA024</t>
  </si>
  <si>
    <t>TBA025</t>
  </si>
  <si>
    <t>TBA026</t>
  </si>
  <si>
    <t>TBA027</t>
  </si>
  <si>
    <t>TBA028</t>
  </si>
  <si>
    <t>TBA029</t>
  </si>
  <si>
    <t>TBA030</t>
  </si>
  <si>
    <t>TBA031</t>
  </si>
  <si>
    <t>TBA033</t>
  </si>
  <si>
    <t>TBA034</t>
  </si>
  <si>
    <t>TBA035</t>
  </si>
  <si>
    <t>TBA036</t>
  </si>
  <si>
    <t>TBA037</t>
  </si>
  <si>
    <t>TBA038</t>
  </si>
  <si>
    <t>TBV002</t>
  </si>
  <si>
    <t>TBV003</t>
  </si>
  <si>
    <t>TBV004</t>
  </si>
  <si>
    <t>TBV005</t>
  </si>
  <si>
    <t>TBV006</t>
  </si>
  <si>
    <t>TBV007</t>
  </si>
  <si>
    <t>TBV008</t>
  </si>
  <si>
    <t>TBV009</t>
  </si>
  <si>
    <t>TBV010</t>
  </si>
  <si>
    <t>TBV011</t>
  </si>
  <si>
    <t>TBV012</t>
  </si>
  <si>
    <t>TBV013</t>
  </si>
  <si>
    <t>TBV014</t>
  </si>
  <si>
    <t>TBV015</t>
  </si>
  <si>
    <t>TBV016</t>
  </si>
  <si>
    <t>TBV017</t>
  </si>
  <si>
    <t>TBV018</t>
  </si>
  <si>
    <t>TBV019</t>
  </si>
  <si>
    <t>TBV020</t>
  </si>
  <si>
    <t>TBV021</t>
  </si>
  <si>
    <t>TBV022</t>
  </si>
  <si>
    <t>TBV023</t>
  </si>
  <si>
    <t>TBV024</t>
  </si>
  <si>
    <t>TBV025</t>
  </si>
  <si>
    <t>TBV026</t>
  </si>
  <si>
    <t>TBV027</t>
  </si>
  <si>
    <t>TBV028</t>
  </si>
  <si>
    <t>TBV029</t>
  </si>
  <si>
    <t>TBV030</t>
  </si>
  <si>
    <t>TBV031</t>
  </si>
  <si>
    <t>TBV033</t>
  </si>
  <si>
    <t>TBV034</t>
  </si>
  <si>
    <t>TBV035</t>
  </si>
  <si>
    <t>TBV036</t>
  </si>
  <si>
    <t>TBV037</t>
  </si>
  <si>
    <t>TBV038</t>
  </si>
  <si>
    <t>TBA040</t>
  </si>
  <si>
    <t>TBA041</t>
  </si>
  <si>
    <t>TBA042</t>
  </si>
  <si>
    <t>TBA044</t>
  </si>
  <si>
    <t>TBA045</t>
  </si>
  <si>
    <t>TBA046</t>
  </si>
  <si>
    <t>TBA047</t>
  </si>
  <si>
    <t>TBA048</t>
  </si>
  <si>
    <t>TBA049</t>
  </si>
  <si>
    <t>TBA051</t>
  </si>
  <si>
    <t>TBA052</t>
  </si>
  <si>
    <t>TBA053</t>
  </si>
  <si>
    <t>TBA054</t>
  </si>
  <si>
    <t>TBA056</t>
  </si>
  <si>
    <t>TBA057</t>
  </si>
  <si>
    <t>TBA058</t>
  </si>
  <si>
    <t>TBA059</t>
  </si>
  <si>
    <t>TBA060</t>
  </si>
  <si>
    <t>TBA062</t>
  </si>
  <si>
    <t>TBA063</t>
  </si>
  <si>
    <t>TBA064</t>
  </si>
  <si>
    <t>TBA065</t>
  </si>
  <si>
    <t>TBA066</t>
  </si>
  <si>
    <t>TBA067</t>
  </si>
  <si>
    <t>TBA068</t>
  </si>
  <si>
    <t>TBA070</t>
  </si>
  <si>
    <t>TBA071</t>
  </si>
  <si>
    <t>TBA072</t>
  </si>
  <si>
    <t>TBA073</t>
  </si>
  <si>
    <t>TBA074</t>
  </si>
  <si>
    <t>TBA075</t>
  </si>
  <si>
    <t>TBA076</t>
  </si>
  <si>
    <t>TBA077</t>
  </si>
  <si>
    <t>TBA078</t>
  </si>
  <si>
    <t>TBA079</t>
  </si>
  <si>
    <t>TBA081</t>
  </si>
  <si>
    <t>TBA082</t>
  </si>
  <si>
    <t>TBA083</t>
  </si>
  <si>
    <t>TBA084</t>
  </si>
  <si>
    <t>TBA085</t>
  </si>
  <si>
    <t>TBA086</t>
  </si>
  <si>
    <t>TBA087</t>
  </si>
  <si>
    <t>TBA089</t>
  </si>
  <si>
    <t>TBA090</t>
  </si>
  <si>
    <t>TBA091</t>
  </si>
  <si>
    <t>TBA092</t>
  </si>
  <si>
    <t>TBA093</t>
  </si>
  <si>
    <t>TBA094</t>
  </si>
  <si>
    <t>TBA095</t>
  </si>
  <si>
    <t>TBA096</t>
  </si>
  <si>
    <t>TBA097</t>
  </si>
  <si>
    <t>TBA098</t>
  </si>
  <si>
    <t>TBA100</t>
  </si>
  <si>
    <t>TBA101</t>
  </si>
  <si>
    <t>TBA102</t>
  </si>
  <si>
    <t>TBA103</t>
  </si>
  <si>
    <t>TBA104</t>
  </si>
  <si>
    <t>TBA105</t>
  </si>
  <si>
    <t>TBA107</t>
  </si>
  <si>
    <t>TBA108</t>
  </si>
  <si>
    <t>TBA109</t>
  </si>
  <si>
    <t>TBA110</t>
  </si>
  <si>
    <t>TBA111</t>
  </si>
  <si>
    <t>TBA112</t>
  </si>
  <si>
    <t>TBA114</t>
  </si>
  <si>
    <t>TBA115</t>
  </si>
  <si>
    <t>TBA116</t>
  </si>
  <si>
    <t>TBA117</t>
  </si>
  <si>
    <t>TBA118</t>
  </si>
  <si>
    <t>TBA119</t>
  </si>
  <si>
    <t>TBA121</t>
  </si>
  <si>
    <t>TBA122</t>
  </si>
  <si>
    <t>TBA123</t>
  </si>
  <si>
    <t>TBA124</t>
  </si>
  <si>
    <t>TBA125</t>
  </si>
  <si>
    <t>TBA126</t>
  </si>
  <si>
    <t>TBA127</t>
  </si>
  <si>
    <t>TBA128</t>
  </si>
  <si>
    <t>TBA129</t>
  </si>
  <si>
    <t>TBA131</t>
  </si>
  <si>
    <t>TBV131</t>
  </si>
  <si>
    <t>TBA132</t>
  </si>
  <si>
    <t>TBV132</t>
  </si>
  <si>
    <t>TBA133</t>
  </si>
  <si>
    <t>TBV133</t>
  </si>
  <si>
    <t>TBA134</t>
  </si>
  <si>
    <t>TBV134</t>
  </si>
  <si>
    <t>TBV040</t>
  </si>
  <si>
    <t>TBV041</t>
  </si>
  <si>
    <t>TBV042</t>
  </si>
  <si>
    <t>TBA135</t>
  </si>
  <si>
    <t>TBV135</t>
  </si>
  <si>
    <t>TBA136</t>
  </si>
  <si>
    <t>TBV136</t>
  </si>
  <si>
    <t>TBV044</t>
  </si>
  <si>
    <t>TBV045</t>
  </si>
  <si>
    <t>TBV046</t>
  </si>
  <si>
    <t>TBV047</t>
  </si>
  <si>
    <t>TBV048</t>
  </si>
  <si>
    <t>TBV049</t>
  </si>
  <si>
    <t>TBA137</t>
  </si>
  <si>
    <t>TBV137</t>
  </si>
  <si>
    <t>TBA138</t>
  </si>
  <si>
    <t>TBV138</t>
  </si>
  <si>
    <t>TBV051</t>
  </si>
  <si>
    <t>TBV052</t>
  </si>
  <si>
    <t>TBV053</t>
  </si>
  <si>
    <t>TBV054</t>
  </si>
  <si>
    <t>TBA139</t>
  </si>
  <si>
    <t>TBV139</t>
  </si>
  <si>
    <t>TBA140</t>
  </si>
  <si>
    <t>TBV140</t>
  </si>
  <si>
    <t>TBV056</t>
  </si>
  <si>
    <t>TBV057</t>
  </si>
  <si>
    <t>TBV058</t>
  </si>
  <si>
    <t>TBV059</t>
  </si>
  <si>
    <t>TBV060</t>
  </si>
  <si>
    <t>Teneinde een berekening te kunnen maken van het totale nieuwe budget is het ook nodig de eventuele overige budgetcomponenten, die zijn opgenomen in de rekenstaat 2009 onder de overige kosten, te vermelden.</t>
  </si>
  <si>
    <t>Bijlage bij circulaire CI_08_104c</t>
  </si>
  <si>
    <r>
      <t xml:space="preserve">Het GGZ-budget (in 2008 en 2009) wordt bepaald op basis van contacten en verblijfsdagen. Het is daarbij niet relevant of de cliënt ook al vorig jaar in zorg was of aan het einde van het kalenderjaar uit zorg is. DBC's worden pas gedeclareerd als de DBC wordt afgesloten, zoals bij ontslag van de cliënt. </t>
    </r>
    <r>
      <rPr>
        <sz val="9"/>
        <rFont val="Verdana"/>
        <family val="2"/>
      </rPr>
      <t xml:space="preserve"> Dit betekent dat de feitelijke DBC-omzet voor 2009 tot stand komt op basis van de volgende elementen:</t>
    </r>
  </si>
  <si>
    <t>TBA141</t>
  </si>
  <si>
    <t>TBV141</t>
  </si>
  <si>
    <t>TBA142</t>
  </si>
  <si>
    <t>TBV142</t>
  </si>
  <si>
    <t>TBV062</t>
  </si>
  <si>
    <t>TBV063</t>
  </si>
  <si>
    <t>TBV064</t>
  </si>
  <si>
    <t>TBV065</t>
  </si>
  <si>
    <t>TBV066</t>
  </si>
  <si>
    <t>TBV067</t>
  </si>
  <si>
    <t>TBV068</t>
  </si>
  <si>
    <t>TBA143</t>
  </si>
  <si>
    <t>TBV143</t>
  </si>
  <si>
    <t>TBA144</t>
  </si>
  <si>
    <t>TBV144</t>
  </si>
  <si>
    <t>TBA145</t>
  </si>
  <si>
    <t>TBV145</t>
  </si>
  <si>
    <t>TBV070</t>
  </si>
  <si>
    <t>TBV071</t>
  </si>
  <si>
    <t>TBV072</t>
  </si>
  <si>
    <t>TBV073</t>
  </si>
  <si>
    <t>TBV074</t>
  </si>
  <si>
    <t>TBV075</t>
  </si>
  <si>
    <t>TBV076</t>
  </si>
  <si>
    <t>TBV077</t>
  </si>
  <si>
    <t>TBV078</t>
  </si>
  <si>
    <t>TBV079</t>
  </si>
  <si>
    <t>TBA146</t>
  </si>
  <si>
    <t>TBV146</t>
  </si>
  <si>
    <t>TBA147</t>
  </si>
  <si>
    <t>TBV147</t>
  </si>
  <si>
    <t>TBV081</t>
  </si>
  <si>
    <t>TBV082</t>
  </si>
  <si>
    <t>TBV083</t>
  </si>
  <si>
    <t>TBV084</t>
  </si>
  <si>
    <t>TBV085</t>
  </si>
  <si>
    <t>TBV086</t>
  </si>
  <si>
    <t>TBV087</t>
  </si>
  <si>
    <t>TBA148</t>
  </si>
  <si>
    <t>TBV148</t>
  </si>
  <si>
    <t>TBA149</t>
  </si>
  <si>
    <t>TBV149</t>
  </si>
  <si>
    <t>TBV089</t>
  </si>
  <si>
    <t>TBV090</t>
  </si>
  <si>
    <t>TBV091</t>
  </si>
  <si>
    <t>TBV092</t>
  </si>
  <si>
    <t>TBV093</t>
  </si>
  <si>
    <t>TBV094</t>
  </si>
  <si>
    <t>TBV095</t>
  </si>
  <si>
    <t>TBV096</t>
  </si>
  <si>
    <t>TBV097</t>
  </si>
  <si>
    <t>TBV098</t>
  </si>
  <si>
    <t>TBA150</t>
  </si>
  <si>
    <t>TBV150</t>
  </si>
  <si>
    <t>TBA151</t>
  </si>
  <si>
    <t>TBV151</t>
  </si>
  <si>
    <t>TBV100</t>
  </si>
  <si>
    <t>TBV101</t>
  </si>
  <si>
    <t>TBV102</t>
  </si>
  <si>
    <t>TBV103</t>
  </si>
  <si>
    <t>TBV104</t>
  </si>
  <si>
    <t>TBV105</t>
  </si>
  <si>
    <t>TBA152</t>
  </si>
  <si>
    <t>TBV152</t>
  </si>
  <si>
    <t>TBA153</t>
  </si>
  <si>
    <t>TBV153</t>
  </si>
  <si>
    <t>TBV107</t>
  </si>
  <si>
    <t>TBV108</t>
  </si>
  <si>
    <t>TBV109</t>
  </si>
  <si>
    <t>TBV110</t>
  </si>
  <si>
    <t>TBV111</t>
  </si>
  <si>
    <t>TBV112</t>
  </si>
  <si>
    <t>TBA154</t>
  </si>
  <si>
    <t>TBV155</t>
  </si>
  <si>
    <t>TBV154</t>
  </si>
  <si>
    <t>TBA155</t>
  </si>
  <si>
    <t>TBV114</t>
  </si>
  <si>
    <t>TBV115</t>
  </si>
  <si>
    <t>TBV116</t>
  </si>
  <si>
    <t>TBV117</t>
  </si>
  <si>
    <t>TBV118</t>
  </si>
  <si>
    <t>TBV119</t>
  </si>
  <si>
    <t>TBA156</t>
  </si>
  <si>
    <t>TBV156</t>
  </si>
  <si>
    <t>TBA157</t>
  </si>
  <si>
    <t>TBV157</t>
  </si>
  <si>
    <t>TBV121</t>
  </si>
  <si>
    <t>TBV122</t>
  </si>
  <si>
    <t>TBV123</t>
  </si>
  <si>
    <t>TBV124</t>
  </si>
  <si>
    <t>TBV125</t>
  </si>
  <si>
    <t>TBV126</t>
  </si>
  <si>
    <t>TBV127</t>
  </si>
  <si>
    <t>TBV128</t>
  </si>
  <si>
    <t>TBV129</t>
  </si>
  <si>
    <t>TBA158</t>
  </si>
  <si>
    <t>TBV158</t>
  </si>
  <si>
    <t>TBA159</t>
  </si>
  <si>
    <t>TBV159</t>
  </si>
  <si>
    <t>Zorggroep Noorderbreedte</t>
  </si>
  <si>
    <t>Evean Zorg</t>
  </si>
  <si>
    <t>Psychologen Praktijk Veldhoven</t>
  </si>
  <si>
    <t>TilburgMentaal</t>
  </si>
  <si>
    <t>Zorggroep Meander</t>
  </si>
  <si>
    <t>Zwerfjongeren Limburg</t>
  </si>
  <si>
    <t>VGG Wijchen en Nijmegen</t>
  </si>
  <si>
    <t>Psychotherapiepraktijk Eindhoven Centrum</t>
  </si>
  <si>
    <t>Rubicon jeugdzorg</t>
  </si>
  <si>
    <t>Tender</t>
  </si>
  <si>
    <t>Hendriks &amp; Roosenboom</t>
  </si>
  <si>
    <t>Interapy Nederland</t>
  </si>
  <si>
    <t>Illuminatus</t>
  </si>
  <si>
    <t>Terwille</t>
  </si>
  <si>
    <t>De Vruchtenburg</t>
  </si>
  <si>
    <t>Miroya</t>
  </si>
  <si>
    <t>Jeugdzorg Drenthe</t>
  </si>
  <si>
    <t>Stichting KRAM</t>
  </si>
  <si>
    <t>NKCV</t>
  </si>
  <si>
    <t>Zorgmaatwerk</t>
  </si>
  <si>
    <t>Psygro Noord Holland Noord</t>
  </si>
  <si>
    <t>Psycho Eindhoven</t>
  </si>
  <si>
    <t>Autismetotaal.nl</t>
  </si>
  <si>
    <t>Spirit</t>
  </si>
  <si>
    <t>Surivival</t>
  </si>
  <si>
    <t>EDT Maastricht</t>
  </si>
  <si>
    <t>HSK</t>
  </si>
  <si>
    <t>Max Ernst</t>
  </si>
  <si>
    <t>Mentaal Beter</t>
  </si>
  <si>
    <t>Stichting 1nP</t>
  </si>
  <si>
    <t>Thuiszorg Nederland</t>
  </si>
  <si>
    <t>MoleMann Mental Health Clinics</t>
  </si>
  <si>
    <t>Centrum van Gurchom &amp; Partners</t>
  </si>
  <si>
    <t>Persoonlijkheid - vanaf 3000 tot 6000 minuten  - variant 1</t>
  </si>
  <si>
    <t>Persoonlijkheid - vanaf 3000 tot 6000 minuten  - variant 2</t>
  </si>
  <si>
    <t>Persoonlijkheid - vanaf 6000 tot 12000 minuten  - variant 1</t>
  </si>
  <si>
    <t>Persoonlijkheid - vanaf 6000 tot 12000 minuten  - variant 2</t>
  </si>
  <si>
    <t>Geen verblijf</t>
  </si>
  <si>
    <t>Verblijf - tussen 0 en 3 dagen - tussen 0 en 100 euro</t>
  </si>
  <si>
    <t>Verblijf - tussen 0 en 3 dagen - tussen 100 en 200 euro</t>
  </si>
  <si>
    <t>Verblijf - tussen 0 en 3 dagen - tussen 200 en 350 euro</t>
  </si>
  <si>
    <t>Verblijf - tussen 0 en 3 dagen - tussen 350 en 500 euro</t>
  </si>
  <si>
    <t>Verblijf - tussen 0 en 3 dagen - meer dan 500 euro</t>
  </si>
  <si>
    <t>Verblijf - tussen 3 en 7 dagen - tussen 0 en 100 euro</t>
  </si>
  <si>
    <t>Verblijf - tussen 3 en 7 dagen - tussen 100 en 200 euro</t>
  </si>
  <si>
    <t>Verblijf - tussen 3 en 7 dagen - tussen 200 en 350 euro</t>
  </si>
  <si>
    <t>Verblijf - tussen 3 en 7 dagen - tussen 350 en 500 euro</t>
  </si>
  <si>
    <t>Verblijf - tussen 3 en 7 dagen - meer dan 500 euro</t>
  </si>
  <si>
    <t>Verblijf - tussen 7 en 14 dagen - tussen 0 en 100 euro</t>
  </si>
  <si>
    <t>Verblijf - tussen 7 en 14 dagen - tussen 100 en 200 euro</t>
  </si>
  <si>
    <t>Verblijf - tussen 7 en 14 dagen - tussen 200 en 350 euro</t>
  </si>
  <si>
    <t>Verblijf - tussen 7 en 14 dagen - tussen 350 en 500 euro</t>
  </si>
  <si>
    <t>Verblijf - tussen 7 en 14 dagen - meer dan 500 euro</t>
  </si>
  <si>
    <t>Verblijf - tussen 14 en 21 dagen - tussen 0 en 100 euro</t>
  </si>
  <si>
    <t>Verblijf - tussen 14 en 21 dagen - tussen 100 en 200 euro</t>
  </si>
  <si>
    <t xml:space="preserve">Tijdbesteding gemoeid met het invullen van dit formulier </t>
  </si>
  <si>
    <t>Aandachtstekort- en gedrag - vanaf 800 tot 1800 minuten  - variant 1</t>
  </si>
  <si>
    <t>Aandachtstekort- en gedrag - vanaf 800 tot 1800 minuten  - variant 2</t>
  </si>
  <si>
    <t xml:space="preserve">met Psychodiagnostisch onderzoek </t>
  </si>
  <si>
    <t>Aandachtstekort- en gedrag - vanaf 1800 tot 3000 minuten</t>
  </si>
  <si>
    <t>Aandachtstekort- en gedrag - vanaf 3000 tot 6000 minuten</t>
  </si>
  <si>
    <t>Pervasief - vanaf 250 tot 800 minuten</t>
  </si>
  <si>
    <t>Pervasief - vanaf 800 tot 1800 minuten  - variant 1</t>
  </si>
  <si>
    <t>Pervasief - vanaf 800 tot 1800 minuten  - variant 2</t>
  </si>
  <si>
    <t>Pervasief - vanaf 1800 tot 3000 minuten  - variant 1</t>
  </si>
  <si>
    <t>Pervasief - vanaf 1800 tot 3000 minuten  - variant 2</t>
  </si>
  <si>
    <t>Pervasief - vanaf 3000 tot 6000 minuten</t>
  </si>
  <si>
    <t>Overige kindertijd - vanaf 250 tot 800 minuten</t>
  </si>
  <si>
    <t>Overige kindertijd - vanaf 800 tot 1800 minuten</t>
  </si>
  <si>
    <t>volgnr</t>
  </si>
  <si>
    <t>inst</t>
  </si>
  <si>
    <t>code</t>
  </si>
  <si>
    <t>categorie</t>
  </si>
  <si>
    <t>dbcba</t>
  </si>
  <si>
    <t>dbcbv</t>
  </si>
  <si>
    <t>dbcv</t>
  </si>
  <si>
    <t>klin</t>
  </si>
  <si>
    <t>amb</t>
  </si>
  <si>
    <t>ov</t>
  </si>
  <si>
    <t>U kunt  volstaan met het per post naar de NZa sturen van het ondertekende voorblad en eventuele bijlagen. Op het voorblad is een controletotaal vermeld. De NZa zal het controletotaal van het ondertekende voorblad vergelijken met het controletotaal van het per e-mail verzonden exemplaar en bij een eventuele afwijking contact opnemen met partijen aangezien er in dat geval kennelijk na ondertekening wijzigingen in het bestand zijn aangebracht.</t>
  </si>
  <si>
    <t>RIBW Midden-Brabant</t>
  </si>
  <si>
    <t>Rivierduinen</t>
  </si>
  <si>
    <t>GGZ Dijk en Duin</t>
  </si>
  <si>
    <t>Delta</t>
  </si>
  <si>
    <t>QBV006</t>
  </si>
  <si>
    <t>QBV007</t>
  </si>
  <si>
    <t>QBV008</t>
  </si>
  <si>
    <t>QBV009</t>
  </si>
  <si>
    <t>QBV010</t>
  </si>
  <si>
    <t>QBV011</t>
  </si>
  <si>
    <t>QBV012</t>
  </si>
  <si>
    <t>QBV013</t>
  </si>
  <si>
    <t>QBV014</t>
  </si>
  <si>
    <t>QBV015</t>
  </si>
  <si>
    <t>QBV016</t>
  </si>
  <si>
    <t>QBV017</t>
  </si>
  <si>
    <t>QBV018</t>
  </si>
  <si>
    <t>QBV019</t>
  </si>
  <si>
    <t>QBV020</t>
  </si>
  <si>
    <t>QBV021</t>
  </si>
  <si>
    <t>QBV022</t>
  </si>
  <si>
    <t>QBV023</t>
  </si>
  <si>
    <t>QBV024</t>
  </si>
  <si>
    <t>QBV025</t>
  </si>
  <si>
    <t>QBV026</t>
  </si>
  <si>
    <t>QBV027</t>
  </si>
  <si>
    <t>QBV028</t>
  </si>
  <si>
    <t>QBV029</t>
  </si>
  <si>
    <t>test instelling Stichting Altrecht</t>
  </si>
  <si>
    <t>test instelling De Zwolse Poort</t>
  </si>
  <si>
    <t>Accare Universitaire en Alg. KJP Nrd-Ned.</t>
  </si>
  <si>
    <t>F.P.C. Oldenkotte</t>
  </si>
  <si>
    <t>IrisZorg Arnhem e.o. (vh De Grift)</t>
  </si>
  <si>
    <t>Lievegoed Zorggroep (vh Arta-Lievegoedgroep)</t>
  </si>
  <si>
    <t>Stichting Bouman GGZ</t>
  </si>
  <si>
    <t>Virenze</t>
  </si>
  <si>
    <t>Stichting In de Bres</t>
  </si>
  <si>
    <t>PAAZ Ropcke-Zweers Ziekenhuis</t>
  </si>
  <si>
    <t>PAAZ Sint Anna Zorggroep</t>
  </si>
  <si>
    <t>GGZ poli Onze Lieve Vrouwe Gasthuis</t>
  </si>
  <si>
    <t>Tjallinga Hiem</t>
  </si>
  <si>
    <t>Transparant, centrum voor GGZ</t>
  </si>
  <si>
    <t>Pi - Groep</t>
  </si>
  <si>
    <t>Ambulatorium Ottho Gerhard Heldring</t>
  </si>
  <si>
    <t>Ortys depressiecentrum</t>
  </si>
  <si>
    <t>Gebudgetteerde instelling</t>
  </si>
  <si>
    <t>TV000</t>
  </si>
  <si>
    <t>TV011</t>
  </si>
  <si>
    <t>TV012</t>
  </si>
  <si>
    <t>TV013</t>
  </si>
  <si>
    <t>TV014</t>
  </si>
  <si>
    <t>TV015</t>
  </si>
  <si>
    <t>TV021</t>
  </si>
  <si>
    <t>TV022</t>
  </si>
  <si>
    <t>TV023</t>
  </si>
  <si>
    <t>TV024</t>
  </si>
  <si>
    <t>TV025</t>
  </si>
  <si>
    <t>TV031</t>
  </si>
  <si>
    <t>TV032</t>
  </si>
  <si>
    <t>TV033</t>
  </si>
  <si>
    <t>TV034</t>
  </si>
  <si>
    <t>TV035</t>
  </si>
  <si>
    <t>TV041</t>
  </si>
  <si>
    <t>TV042</t>
  </si>
  <si>
    <t>TV043</t>
  </si>
  <si>
    <t>TV044</t>
  </si>
  <si>
    <t>TV045</t>
  </si>
  <si>
    <t>TV051</t>
  </si>
  <si>
    <t>TV052</t>
  </si>
  <si>
    <t>TV053</t>
  </si>
  <si>
    <t>TV054</t>
  </si>
  <si>
    <t>TV055</t>
  </si>
  <si>
    <t>TV061</t>
  </si>
  <si>
    <t>TV062</t>
  </si>
  <si>
    <t>TV063</t>
  </si>
  <si>
    <t>TV064</t>
  </si>
  <si>
    <t>TV065</t>
  </si>
  <si>
    <t>TV071</t>
  </si>
  <si>
    <t>TV072</t>
  </si>
  <si>
    <t>TV073</t>
  </si>
  <si>
    <t>TV074</t>
  </si>
  <si>
    <t>TV075</t>
  </si>
  <si>
    <t>TV111</t>
  </si>
  <si>
    <t>TV112</t>
  </si>
  <si>
    <t>TV113</t>
  </si>
  <si>
    <t>TV114</t>
  </si>
  <si>
    <t>TV115</t>
  </si>
  <si>
    <t>TV121</t>
  </si>
  <si>
    <t>TV122</t>
  </si>
  <si>
    <t>TV123</t>
  </si>
  <si>
    <t>TV124</t>
  </si>
  <si>
    <t>TV125</t>
  </si>
  <si>
    <t>TV131</t>
  </si>
  <si>
    <t>TV132</t>
  </si>
  <si>
    <t>TV133</t>
  </si>
  <si>
    <t>TV134</t>
  </si>
  <si>
    <t>TV135</t>
  </si>
  <si>
    <t>TV141</t>
  </si>
  <si>
    <t>TV142</t>
  </si>
  <si>
    <t>TV143</t>
  </si>
  <si>
    <t>TV144</t>
  </si>
  <si>
    <t>TV145</t>
  </si>
  <si>
    <t>TV151</t>
  </si>
  <si>
    <t>TV152</t>
  </si>
  <si>
    <t>TV153</t>
  </si>
  <si>
    <t>TV154</t>
  </si>
  <si>
    <t>TV155</t>
  </si>
  <si>
    <t>TV161</t>
  </si>
  <si>
    <t>TV162</t>
  </si>
  <si>
    <t>TV163</t>
  </si>
  <si>
    <t>TV164</t>
  </si>
  <si>
    <t>TV165</t>
  </si>
  <si>
    <t>TV171</t>
  </si>
  <si>
    <t>TV172</t>
  </si>
  <si>
    <t>TV173</t>
  </si>
  <si>
    <t>TV174</t>
  </si>
  <si>
    <t>TV175</t>
  </si>
  <si>
    <t>zv</t>
  </si>
  <si>
    <t>tarief_ba</t>
  </si>
  <si>
    <t>tarief_v</t>
  </si>
  <si>
    <t>tarief_bv</t>
  </si>
  <si>
    <t>Invulvelden gearceeerd  J/N</t>
  </si>
  <si>
    <t>j</t>
  </si>
  <si>
    <t>Berekening aan zvw door te belasten kapitaalslasten</t>
  </si>
  <si>
    <t>CODE</t>
  </si>
  <si>
    <t>CAT</t>
  </si>
  <si>
    <t>Afschrijvingskosten</t>
  </si>
  <si>
    <t>uit formulier voorl. nac.</t>
  </si>
  <si>
    <t>KAFOV</t>
  </si>
  <si>
    <t>Rentekosten</t>
  </si>
  <si>
    <t>KRENTE</t>
  </si>
  <si>
    <t>Geïndexeerde huur en erfpacht</t>
  </si>
  <si>
    <t>KHUWIN</t>
  </si>
  <si>
    <t>Niet-geïndexeerde huur en erfpacht</t>
  </si>
  <si>
    <t>KHUNIN</t>
  </si>
  <si>
    <t>Doorberekende kap.lasten</t>
  </si>
  <si>
    <t>KDOOKA</t>
  </si>
  <si>
    <t>Instandhoudingsinvesteringen</t>
  </si>
  <si>
    <t>zie bestand specificatie zvw 120_v2</t>
  </si>
  <si>
    <t>KAFII</t>
  </si>
  <si>
    <t>Kapitaalslasten uitbesteding</t>
  </si>
  <si>
    <t>KAPUIT</t>
  </si>
  <si>
    <t>Tijdelijke kapitaalslastencomponent</t>
  </si>
  <si>
    <t>KCKEZ</t>
  </si>
  <si>
    <t>KAPOVK</t>
  </si>
  <si>
    <t>Kapitaalslasten inventaris kliniek</t>
  </si>
  <si>
    <t>KAPINK</t>
  </si>
  <si>
    <t>Totaal kapitaalslasten verblijf</t>
  </si>
  <si>
    <t>Berekend percentage bij splitsing</t>
  </si>
  <si>
    <t>Door te belasten kapitaalslasten kliniek aan zvw</t>
  </si>
  <si>
    <t>naar regel 190</t>
  </si>
  <si>
    <t>Analyse verrekenpercentage</t>
  </si>
  <si>
    <t>Budget</t>
  </si>
  <si>
    <t xml:space="preserve"> -verblijf</t>
  </si>
  <si>
    <t xml:space="preserve"> -ambulant</t>
  </si>
  <si>
    <t xml:space="preserve"> -overige kosten</t>
  </si>
  <si>
    <t>Correctie kap.lasten</t>
  </si>
  <si>
    <t>Correctie IC's *)</t>
  </si>
  <si>
    <t>Inclusief gemiddelde voorlopige index op budget</t>
  </si>
  <si>
    <t>dbc's ambulant</t>
  </si>
  <si>
    <t>van regel 197, negatief invoeren</t>
  </si>
  <si>
    <t>klinische dbc's</t>
  </si>
  <si>
    <t>verblijf tabel</t>
  </si>
  <si>
    <t xml:space="preserve">van excel regel 194, kolom H, werkblad dbc's </t>
  </si>
  <si>
    <t>behandelen icm verblijf</t>
  </si>
  <si>
    <t xml:space="preserve">van excel regel 139, kolom H, werkblad dbc's </t>
  </si>
  <si>
    <t>Te dekken door verreken% na correctie kapitaalsasten en IC's</t>
  </si>
  <si>
    <t>verreken% over klinische dbc's</t>
  </si>
  <si>
    <t>verreken% over totaal dbc's</t>
  </si>
  <si>
    <t xml:space="preserve"> *) voor zover niet in dbc's gecompenseerd</t>
  </si>
  <si>
    <t>Dekking kapitaalslasten verblijf</t>
  </si>
  <si>
    <t>verblijf</t>
  </si>
  <si>
    <t>behandel</t>
  </si>
  <si>
    <t>Totaal verwacht kapitaalslasten overig kliniek 2008 excl inventaris</t>
  </si>
  <si>
    <t>dbc</t>
  </si>
  <si>
    <t>opbrengst dbc's verblijf</t>
  </si>
  <si>
    <t>opbrengst dbc's verblijf behandeling</t>
  </si>
  <si>
    <t>idem substitutie ambulante dbc's</t>
  </si>
  <si>
    <t>Verwacht 2009 awbz+zvw *)</t>
  </si>
  <si>
    <t>Totaal verwacht kapitaalslasten overig kliniek 2009</t>
  </si>
  <si>
    <t>*) volgens formulier nacalculatie productie 2008</t>
  </si>
  <si>
    <t>Verwijzing naar regel 191</t>
  </si>
  <si>
    <t>Verwijzing naar regel 192</t>
  </si>
  <si>
    <t>Verwijzing naar regel 193</t>
  </si>
  <si>
    <t>Verwijzing naar regel 187 de gem. voorl. Index</t>
  </si>
  <si>
    <t>CAPACITEITSGEGEVENS 2009</t>
  </si>
  <si>
    <t>Transitieposten 2009</t>
  </si>
  <si>
    <t>Totaal ZVW budget vóór afspraken 2009</t>
  </si>
  <si>
    <t>Berekening indicatief verreken % op jaarbasis (ingangsdatum na 1-1-09 geeft ander %)</t>
  </si>
  <si>
    <t>Idem inclusief gemiddelde voorlopige index 2009</t>
  </si>
  <si>
    <t xml:space="preserve">Budget 2009 volgens regel </t>
  </si>
  <si>
    <t>kalenderdagen 2009</t>
  </si>
  <si>
    <t>Budget na corr</t>
  </si>
  <si>
    <t>Gem index formulier</t>
  </si>
  <si>
    <t>contr</t>
  </si>
  <si>
    <t xml:space="preserve"> Budget verblijf</t>
  </si>
  <si>
    <t xml:space="preserve"> Budget ambulant</t>
  </si>
  <si>
    <t xml:space="preserve"> Budget overige kosten</t>
  </si>
  <si>
    <t>Budget Incl. gem. voorlopige index op budget</t>
  </si>
  <si>
    <t>DBC's ambulant</t>
  </si>
  <si>
    <t>DBC verblijf</t>
  </si>
  <si>
    <t>DBC behandelen icm verblijf</t>
  </si>
  <si>
    <t>QBV030</t>
  </si>
  <si>
    <t>QBV031</t>
  </si>
  <si>
    <t>QBV033</t>
  </si>
  <si>
    <t>QBV034</t>
  </si>
  <si>
    <t>QBV035</t>
  </si>
  <si>
    <t>QBV036</t>
  </si>
  <si>
    <t>QBV037</t>
  </si>
  <si>
    <t>QBV038</t>
  </si>
  <si>
    <t>QBV040</t>
  </si>
  <si>
    <t>QBV041</t>
  </si>
  <si>
    <t>QBV042</t>
  </si>
  <si>
    <t>QBV044</t>
  </si>
  <si>
    <t>QBV045</t>
  </si>
  <si>
    <t>QBV046</t>
  </si>
  <si>
    <t>QBV047</t>
  </si>
  <si>
    <t>QBV048</t>
  </si>
  <si>
    <t>QBV049</t>
  </si>
  <si>
    <t>QBV051</t>
  </si>
  <si>
    <t>Overige aan een middel - vanaf 1800 tot 3000 minuten</t>
  </si>
  <si>
    <t>Overige aan een middel - vanaf 3000 tot 6000 minuten</t>
  </si>
  <si>
    <t>ODBCVE</t>
  </si>
  <si>
    <t>ODBCAM</t>
  </si>
  <si>
    <t>F010</t>
  </si>
  <si>
    <t>F011</t>
  </si>
  <si>
    <t>OPBOV</t>
  </si>
  <si>
    <t>opbr</t>
  </si>
  <si>
    <t>Schizofrenie - vanaf 250 tot 800 minuten  - variant 1</t>
  </si>
  <si>
    <t>zonder Diagnostiek</t>
  </si>
  <si>
    <t>Schizofrenie - vanaf 250 tot 800 minuten  - variant 2</t>
  </si>
  <si>
    <t xml:space="preserve">met Diagnostiek </t>
  </si>
  <si>
    <t>Schizofrenie - vanaf 800 tot 1800 minuten  - variant 1</t>
  </si>
  <si>
    <t>Schizofrenie - vanaf 800 tot 1800 minuten  - variant 2</t>
  </si>
  <si>
    <t>Schizofrenie - vanaf 1800 tot 3000 minuten</t>
  </si>
  <si>
    <t>Schizofrenie - vanaf 3000 tot 6000 minuten</t>
  </si>
  <si>
    <t>Schizofrenie - vanaf 6000 tot 12000 minuten</t>
  </si>
  <si>
    <t>Depressie - vanaf 250 tot 800 minuten  - variant 1</t>
  </si>
  <si>
    <t>zonder Psychotherapie</t>
  </si>
  <si>
    <t>Depressie - vanaf 250 tot 800 minuten  - variant 2</t>
  </si>
  <si>
    <t xml:space="preserve">met Psychotherapie </t>
  </si>
  <si>
    <t>Depressie - vanaf 800 tot 1800 minuten  - variant 1</t>
  </si>
  <si>
    <t>Depressie - vanaf 800 tot 1800 minuten  - variant 2</t>
  </si>
  <si>
    <t>Depressie - vanaf 1800 tot 3000 minuten  - variant 1</t>
  </si>
  <si>
    <t>Depressie - vanaf 1800 tot 3000 minuten  - variant 2</t>
  </si>
  <si>
    <t>Depressie - vanaf 3000 tot 6000 minuten  - variant 1</t>
  </si>
  <si>
    <t>zonder Vaktherapie</t>
  </si>
  <si>
    <t>Depressie - vanaf 3000 tot 6000 minuten  - variant 2</t>
  </si>
  <si>
    <t xml:space="preserve">met Vaktherapie </t>
  </si>
  <si>
    <t>GG &amp; GD Amsterdam</t>
  </si>
  <si>
    <t>PF120</t>
  </si>
  <si>
    <t>PF121</t>
  </si>
  <si>
    <t>PF122</t>
  </si>
  <si>
    <t>PF123</t>
  </si>
  <si>
    <t>PF125</t>
  </si>
  <si>
    <t>PF127</t>
  </si>
  <si>
    <t>PF130</t>
  </si>
  <si>
    <t>PF131</t>
  </si>
  <si>
    <t>PF132</t>
  </si>
  <si>
    <t>PF133</t>
  </si>
  <si>
    <t>PF134</t>
  </si>
  <si>
    <t>PF135</t>
  </si>
  <si>
    <t>PF136</t>
  </si>
  <si>
    <t>PF137</t>
  </si>
  <si>
    <t>PF138</t>
  </si>
  <si>
    <t>PF139</t>
  </si>
  <si>
    <t>PF140</t>
  </si>
  <si>
    <t>PF141</t>
  </si>
  <si>
    <t>PF142</t>
  </si>
  <si>
    <t>PF143</t>
  </si>
  <si>
    <t>PF144</t>
  </si>
  <si>
    <t>PF145</t>
  </si>
  <si>
    <t>PF146</t>
  </si>
  <si>
    <t>PF147</t>
  </si>
  <si>
    <t>PF148</t>
  </si>
  <si>
    <t>PF149</t>
  </si>
  <si>
    <t>PF150</t>
  </si>
  <si>
    <t>PF151</t>
  </si>
  <si>
    <t>Tijdbesteding</t>
  </si>
  <si>
    <t>Per functieniveau het aantal uren aangeven van de tijdbesteding*:</t>
  </si>
  <si>
    <t>PF152</t>
  </si>
  <si>
    <t>PF153</t>
  </si>
  <si>
    <t>PF154</t>
  </si>
  <si>
    <t>PF155</t>
  </si>
  <si>
    <t>PF156</t>
  </si>
  <si>
    <t>PF157</t>
  </si>
  <si>
    <t>PF158</t>
  </si>
  <si>
    <t>PF159</t>
  </si>
  <si>
    <t>PF160</t>
  </si>
  <si>
    <t>PF201</t>
  </si>
  <si>
    <t>PF202</t>
  </si>
  <si>
    <t>PF204</t>
  </si>
  <si>
    <t>PF205</t>
  </si>
  <si>
    <t>PF206</t>
  </si>
  <si>
    <t>PF207</t>
  </si>
  <si>
    <t>PF208</t>
  </si>
  <si>
    <t>PF221</t>
  </si>
  <si>
    <t>PF222</t>
  </si>
  <si>
    <t>PF223</t>
  </si>
  <si>
    <t>PF224</t>
  </si>
  <si>
    <t>PF225</t>
  </si>
  <si>
    <t>PF451</t>
  </si>
  <si>
    <t>PF452</t>
  </si>
  <si>
    <t>PF453</t>
  </si>
  <si>
    <t>PF454</t>
  </si>
  <si>
    <t>PF461</t>
  </si>
  <si>
    <t>PF462</t>
  </si>
  <si>
    <t>PF463</t>
  </si>
  <si>
    <t>PF464</t>
  </si>
  <si>
    <t>PF465</t>
  </si>
  <si>
    <t>PF466</t>
  </si>
  <si>
    <t>PF471</t>
  </si>
  <si>
    <t>PF472</t>
  </si>
  <si>
    <t>PF473</t>
  </si>
  <si>
    <t>PF474</t>
  </si>
  <si>
    <t>PF475</t>
  </si>
  <si>
    <t>PF476</t>
  </si>
  <si>
    <t>PF477</t>
  </si>
  <si>
    <t>PF478</t>
  </si>
  <si>
    <t>PF481</t>
  </si>
  <si>
    <t>PF482</t>
  </si>
  <si>
    <t>PF483</t>
  </si>
  <si>
    <t>PF484</t>
  </si>
  <si>
    <t>PF491</t>
  </si>
  <si>
    <t>Verblijf - tussen 14 en 21 dagen - tussen 200 en 350 euro</t>
  </si>
  <si>
    <t>RIBW Gooi en Vechtstreek</t>
  </si>
  <si>
    <t>PRODUCTIE AFSPRAKEN ZVW</t>
  </si>
  <si>
    <t>Algemeen</t>
  </si>
  <si>
    <t>versiedatum:</t>
  </si>
  <si>
    <t>VZ23</t>
  </si>
  <si>
    <t>* Het gaat om alle activiteiten die verricht worden voor het invullen van het formulier, dus ook het verzamelen, bewerken, opslaan en opleveren van</t>
  </si>
  <si>
    <t>data. Ook afstemming valt hieronder. Het gaat om het totaal aantal arbeidsuren, dus uren van meerdere medewerkers kunnen worden opgeteld.</t>
  </si>
  <si>
    <t>RIAGG Zwolle</t>
  </si>
  <si>
    <t xml:space="preserve"> -Juist en volledig ingevulde formulieren bespoedigen de afhandeling van de aanvraag en voorkomen misverstanden in de communicatie. Ter ondersteuning zijn daartoe in het formulier enkele controles ingebouwd. Indien er een onjuistheid wordt geconstateerd verschijnt er op het voorblad in het vak waar ondertekening moet plaatsvinden een melding dat er een fout is. Op het blad foutmeldingen treft u een controlelijst aan en kunt u op eenvoudige wijze vaststellen waar het probleem zich voordoet en deze opheffen.</t>
  </si>
  <si>
    <t>Centrum Maliebaan</t>
  </si>
  <si>
    <t>F131</t>
  </si>
  <si>
    <t>F132</t>
  </si>
  <si>
    <t>Loon</t>
  </si>
  <si>
    <t>Materieel</t>
  </si>
  <si>
    <t>Onderhanden werk per 31 december 2008</t>
  </si>
  <si>
    <t>+</t>
  </si>
  <si>
    <t>-</t>
  </si>
  <si>
    <t>Huidig ZVW budget volgens laatste rekenstaat 2009 kolom 5</t>
  </si>
  <si>
    <r>
      <t xml:space="preserve">In dit onderdeel wordt een samenvatting weergegeven van de afspraken 2009. Op regel </t>
    </r>
    <r>
      <rPr>
        <b/>
        <sz val="9"/>
        <rFont val="Verdana"/>
        <family val="2"/>
      </rPr>
      <t>C</t>
    </r>
    <r>
      <rPr>
        <sz val="9"/>
        <rFont val="Verdana"/>
        <family val="2"/>
      </rPr>
      <t xml:space="preserve"> wordt de toe- of afname berekend.</t>
    </r>
  </si>
  <si>
    <t>Afspraken DBC's GGZ 2009</t>
  </si>
  <si>
    <t>Berekening indicatief verrekenpercentage op jaarbasis (bij een ingangsdatum na 1-1-09 zal het % wijzigen)</t>
  </si>
  <si>
    <t>Afgesloten DBC's van 1 januari 2009 tot en met 31 december 2009:</t>
  </si>
  <si>
    <t>Onderhanden werk per 31 december 2009</t>
  </si>
  <si>
    <t>Omzet DBC's 2009</t>
  </si>
  <si>
    <t>Kapitaalslasten kleinschalig wonen</t>
  </si>
  <si>
    <t>QBV052</t>
  </si>
  <si>
    <t>QBV053</t>
  </si>
  <si>
    <t>QBV054</t>
  </si>
  <si>
    <t>QBV056</t>
  </si>
  <si>
    <t>QBV057</t>
  </si>
  <si>
    <t>QBV058</t>
  </si>
  <si>
    <t>QBV059</t>
  </si>
  <si>
    <t>QBV060</t>
  </si>
  <si>
    <t>QBV062</t>
  </si>
  <si>
    <t>QBV063</t>
  </si>
  <si>
    <t>QBV064</t>
  </si>
  <si>
    <t>QBV065</t>
  </si>
  <si>
    <t>QBV066</t>
  </si>
  <si>
    <t>QBV067</t>
  </si>
  <si>
    <t>QBV068</t>
  </si>
  <si>
    <t>QBV070</t>
  </si>
  <si>
    <t>QBV071</t>
  </si>
  <si>
    <t>QBV072</t>
  </si>
  <si>
    <t>QBV073</t>
  </si>
  <si>
    <t>QBV074</t>
  </si>
  <si>
    <t>QBV075</t>
  </si>
  <si>
    <t>QBV076</t>
  </si>
  <si>
    <t>QBV077</t>
  </si>
  <si>
    <t>QBV078</t>
  </si>
  <si>
    <t>QBV079</t>
  </si>
  <si>
    <t>QBV081</t>
  </si>
  <si>
    <t>QBV082</t>
  </si>
  <si>
    <t>QBV083</t>
  </si>
  <si>
    <t>QBV084</t>
  </si>
  <si>
    <t>QBV085</t>
  </si>
  <si>
    <t>QBV086</t>
  </si>
  <si>
    <t>QBV087</t>
  </si>
  <si>
    <t>QBV089</t>
  </si>
  <si>
    <t>QBV090</t>
  </si>
  <si>
    <t>QBV091</t>
  </si>
  <si>
    <t>QBV092</t>
  </si>
  <si>
    <t>QBV093</t>
  </si>
  <si>
    <t>QBV094</t>
  </si>
  <si>
    <t>QBV095</t>
  </si>
  <si>
    <t>QBV096</t>
  </si>
  <si>
    <t>QBV097</t>
  </si>
  <si>
    <t>QBV098</t>
  </si>
  <si>
    <t>QBV100</t>
  </si>
  <si>
    <t>QBV101</t>
  </si>
  <si>
    <t>QBV102</t>
  </si>
  <si>
    <t>QBV103</t>
  </si>
  <si>
    <t>QBV104</t>
  </si>
  <si>
    <t>QBV105</t>
  </si>
  <si>
    <t>QBV107</t>
  </si>
  <si>
    <t>QBV108</t>
  </si>
  <si>
    <t>QBV109</t>
  </si>
  <si>
    <t>QBV110</t>
  </si>
  <si>
    <t>QBV111</t>
  </si>
  <si>
    <t>QBV112</t>
  </si>
  <si>
    <t>QBV114</t>
  </si>
  <si>
    <t>QBV115</t>
  </si>
  <si>
    <t>QBV116</t>
  </si>
  <si>
    <t>QBV117</t>
  </si>
  <si>
    <t>QBV118</t>
  </si>
  <si>
    <t>QBV119</t>
  </si>
  <si>
    <t>QBV121</t>
  </si>
  <si>
    <t>QBV122</t>
  </si>
  <si>
    <t>QBV123</t>
  </si>
  <si>
    <t>QBV124</t>
  </si>
  <si>
    <t>QBV125</t>
  </si>
  <si>
    <t>QBV126</t>
  </si>
  <si>
    <t>QBV127</t>
  </si>
  <si>
    <t>QBV128</t>
  </si>
  <si>
    <t>QBV129</t>
  </si>
  <si>
    <t>De energiekosten worden automatisch op basis van de toegelaten capaciteit berekend.</t>
  </si>
  <si>
    <t xml:space="preserve">De kapitaalslasten worden automatisch berekend op basis van de afgesproken bezetting. Indien van toepassing, blijkend uit de toelating, kan een toeslag worden ingevuld. </t>
  </si>
  <si>
    <t>Logeerplaatsen</t>
  </si>
  <si>
    <t>BKL</t>
  </si>
  <si>
    <t xml:space="preserve">Verpleegkundigen in opleiding </t>
  </si>
  <si>
    <t>Niet invullen</t>
  </si>
  <si>
    <t>Aanvraag</t>
  </si>
  <si>
    <t>Datum</t>
  </si>
  <si>
    <t>Medewerker</t>
  </si>
  <si>
    <t>Toelichting bij electronisch formulier:</t>
  </si>
  <si>
    <t>cat.</t>
  </si>
  <si>
    <t>nr.</t>
  </si>
  <si>
    <t>Combi</t>
  </si>
  <si>
    <t xml:space="preserve"> </t>
  </si>
  <si>
    <t>Toeslag contact buiten de instelling</t>
  </si>
  <si>
    <t>o.b.v. prod.</t>
  </si>
  <si>
    <t>afspraken *)</t>
  </si>
  <si>
    <t>bez.</t>
  </si>
  <si>
    <t>gr.%</t>
  </si>
  <si>
    <t>inbox@nza.nl</t>
  </si>
  <si>
    <t>Budgetvergelijking, budgetberekening en berekening indicatief verrekenpercentage</t>
  </si>
  <si>
    <t>ingangdd</t>
  </si>
  <si>
    <t>In het "reguliere" budgetformulier treft u ondermeer de volgende onderwerpen aan:</t>
  </si>
  <si>
    <t>omzet verblijf</t>
  </si>
  <si>
    <t>dagen tot 2010</t>
  </si>
  <si>
    <t>aantal</t>
  </si>
  <si>
    <t>omzet</t>
  </si>
  <si>
    <t>F471</t>
  </si>
  <si>
    <t>F473</t>
  </si>
  <si>
    <t>F475</t>
  </si>
  <si>
    <t>F477</t>
  </si>
  <si>
    <t>F481</t>
  </si>
  <si>
    <t>F483</t>
  </si>
  <si>
    <t>Structuurbiedende dlt.beh. (4-6u)</t>
  </si>
  <si>
    <t>Structuurbiedende dlt.beh. (6-8u)</t>
  </si>
  <si>
    <t>Idem met beperkte beg. (4-6u)</t>
  </si>
  <si>
    <t>Idem met beperkte beg. (6-8u)</t>
  </si>
  <si>
    <t>Psychotherapeut. dlt. beh. (4-6u)</t>
  </si>
  <si>
    <t>Psychotherapeut. dlt. beh. (6-8u)</t>
  </si>
  <si>
    <t>Stabilisatie (4-6u)</t>
  </si>
  <si>
    <t>Stabilisatie (6-8u)</t>
  </si>
  <si>
    <t>Rehabilitatie (4-6u)</t>
  </si>
  <si>
    <t>Rehabilitatie (6-8u)</t>
  </si>
  <si>
    <t>Forensische beh. (6-8u)</t>
  </si>
  <si>
    <t>Code</t>
  </si>
  <si>
    <t>activiteit (geen vast onderdeel omschrijving productgroep)</t>
  </si>
  <si>
    <t>Geen behandeling bij 24-uurs verblijf</t>
  </si>
  <si>
    <t>Indirect - vanaf 0 tot 50 minuten</t>
  </si>
  <si>
    <t>Indirect - vanaf 50 tot 100 minuten</t>
  </si>
  <si>
    <t>Indirect - vanaf 100 tot 200 minuten</t>
  </si>
  <si>
    <t>Indirect - vanaf 200 tot 400 minuten</t>
  </si>
  <si>
    <t>Indirect - vanaf 400 minuten</t>
  </si>
  <si>
    <t>Diagnostiek - vanaf 0 tot 100 minuten</t>
  </si>
  <si>
    <t>Diagnostiek - vanaf 100 tot 200 minuten</t>
  </si>
  <si>
    <t>Diagnostiek - vanaf 200 tot 400 minuten</t>
  </si>
  <si>
    <t>Diagnostiek - vanaf 400 tot 800 minuten - variant 1</t>
  </si>
  <si>
    <t>zonder Psychodiagnostisch onderzoek</t>
  </si>
  <si>
    <t>Diagnostiek - vanaf 400 tot 800 minuten - variant 2</t>
  </si>
  <si>
    <t>met Psychodiagnostisch onderzoek</t>
  </si>
  <si>
    <t>Diagnostiek - vanaf 800 minuten</t>
  </si>
  <si>
    <t>Crisis - vanaf 0 tot 100 minuten</t>
  </si>
  <si>
    <t>Crisis - vanaf 100 tot 200 minuten</t>
  </si>
  <si>
    <t>Crisis - vanaf 200 tot 400 minuten</t>
  </si>
  <si>
    <t>Crisis - vanaf 400 tot 800 minuten</t>
  </si>
  <si>
    <t>Crisis - vanaf 800 minuten</t>
  </si>
  <si>
    <t>Behandeling kort - vanaf 0 tot 100 minuten  - variant 1</t>
  </si>
  <si>
    <t>zonder Farmacotherapie</t>
  </si>
  <si>
    <t>Behandeling kort - vanaf 0 tot 100 minuten  - variant 2</t>
  </si>
  <si>
    <t xml:space="preserve">met Farmacotherapie </t>
  </si>
  <si>
    <t>Behandeling kort - vanaf 100 tot 200 minuten  - variant 1</t>
  </si>
  <si>
    <t>Behandeling kort - vanaf 100 tot 200 minuten  - variant 2</t>
  </si>
  <si>
    <t>Behandeling kort - vanaf 200 tot 400 minuten  - variant 1</t>
  </si>
  <si>
    <t>Behandeling kort - vanaf 200 tot 400 minuten  - variant 2</t>
  </si>
  <si>
    <t>Vervaldatum:</t>
  </si>
  <si>
    <t>BOPZ-bedden kinderen en jeugd</t>
  </si>
  <si>
    <t>JBYR</t>
  </si>
  <si>
    <t>Formulier</t>
  </si>
  <si>
    <t>Kies</t>
  </si>
  <si>
    <t>invullen</t>
  </si>
  <si>
    <t>F151</t>
  </si>
  <si>
    <t>F152</t>
  </si>
  <si>
    <t>F153</t>
  </si>
  <si>
    <t>F154</t>
  </si>
  <si>
    <t>F155</t>
  </si>
  <si>
    <t>F156</t>
  </si>
  <si>
    <t>F157</t>
  </si>
  <si>
    <t>F101</t>
  </si>
  <si>
    <t>F102</t>
  </si>
  <si>
    <t>F103</t>
  </si>
  <si>
    <t>F104</t>
  </si>
  <si>
    <t>F105</t>
  </si>
  <si>
    <t>F106</t>
  </si>
  <si>
    <t>F107</t>
  </si>
  <si>
    <t>F201</t>
  </si>
  <si>
    <t>F202</t>
  </si>
  <si>
    <t>F204</t>
  </si>
  <si>
    <t>F205</t>
  </si>
  <si>
    <t>F206</t>
  </si>
  <si>
    <t>F158</t>
  </si>
  <si>
    <t>F159</t>
  </si>
  <si>
    <t>F160</t>
  </si>
  <si>
    <t>F108</t>
  </si>
  <si>
    <t>F109</t>
  </si>
  <si>
    <t>F110</t>
  </si>
  <si>
    <t>Overige kosten</t>
  </si>
  <si>
    <t>VZ25</t>
  </si>
  <si>
    <t>VZ2.5</t>
  </si>
  <si>
    <t>Jeugdigen in Ribw's</t>
  </si>
  <si>
    <t>Energiekosten, onroerendzaakbelasting en milieuheffingen</t>
  </si>
  <si>
    <t xml:space="preserve"> 1.</t>
  </si>
  <si>
    <t>EXTRAMURAAL</t>
  </si>
  <si>
    <t>waarde</t>
  </si>
  <si>
    <t>Idem met intensieve begel./bescherming</t>
  </si>
  <si>
    <t>Idem met volledige begeleiding</t>
  </si>
  <si>
    <t>Idem met continue/intensieve bescherming</t>
  </si>
  <si>
    <t>Veranderingsgericht met beperkte begel.</t>
  </si>
  <si>
    <t>Crisis met intensieve beg./bescherming</t>
  </si>
  <si>
    <t>VPAMB</t>
  </si>
  <si>
    <t>VPVERBL</t>
  </si>
  <si>
    <t>Energie etc.</t>
  </si>
  <si>
    <t>Normatieve m2 energie APZ / PAAZ</t>
  </si>
  <si>
    <t>3.</t>
  </si>
  <si>
    <t>PAAZ Militair Hospitaal</t>
  </si>
  <si>
    <t>Totaal extramuraal</t>
  </si>
  <si>
    <t>Totaal dagen</t>
  </si>
  <si>
    <t>TIJDBESTEDING</t>
  </si>
  <si>
    <t>De NZa streeft naar zo laag mogelijke administratieve lasten. Daarom wil de NZa inzicht verkrijgen in uw tijdbesteding aan het invullen</t>
  </si>
  <si>
    <t>Intramuraal</t>
  </si>
  <si>
    <t>Verblijf - tussen 14 en 21 dagen - tussen 350 en 500 euro</t>
  </si>
  <si>
    <t>Verblijf - tussen 14 en 21 dagen - meer dan 500 euro</t>
  </si>
  <si>
    <t>Extramuraal</t>
  </si>
  <si>
    <t>ZVW 2009</t>
  </si>
  <si>
    <t>Budget ZVW 2009</t>
  </si>
  <si>
    <t>Mutatie budget ZVW 2009</t>
  </si>
  <si>
    <t>Inzenden vóór 15 september 2009</t>
  </si>
  <si>
    <t>U kunt aan de berekeningen en bedragen in dit formulier geen rechten ontlenen. Pas als alle gegevens zijn verwerkt in de rekenstaat ontstaat zekerheid over de hoogte van het totale nieuwe budget, de DBC afspraken en het verrekenpercentage.</t>
  </si>
  <si>
    <t>Individ.afgerond!</t>
  </si>
  <si>
    <t>V.1.1</t>
  </si>
  <si>
    <t>V.1.2</t>
  </si>
  <si>
    <t>V.1.3</t>
  </si>
  <si>
    <t>V.1.4</t>
  </si>
  <si>
    <t>A.1.2</t>
  </si>
  <si>
    <t>A.1.3</t>
  </si>
  <si>
    <t>A.1.4</t>
  </si>
  <si>
    <t>A.1.5</t>
  </si>
  <si>
    <t>A.1.6</t>
  </si>
  <si>
    <t>K.1.1</t>
  </si>
  <si>
    <t>K.1.2</t>
  </si>
  <si>
    <t>K.1.3</t>
  </si>
  <si>
    <t>K.1.4</t>
  </si>
  <si>
    <t>K.1.5</t>
  </si>
  <si>
    <t>K.1.6</t>
  </si>
  <si>
    <t>V.2.1</t>
  </si>
  <si>
    <t>V.2.2</t>
  </si>
  <si>
    <t>V.2.3</t>
  </si>
  <si>
    <t>V.2.4</t>
  </si>
  <si>
    <t>V.2.5</t>
  </si>
  <si>
    <t>F.1.1</t>
  </si>
  <si>
    <t>F.1.2</t>
  </si>
  <si>
    <t>F.1.3</t>
  </si>
  <si>
    <t>F.1.4</t>
  </si>
  <si>
    <t>F.1.5</t>
  </si>
  <si>
    <t>F.1.6</t>
  </si>
  <si>
    <t>Kinderen en jeugd</t>
  </si>
  <si>
    <t>Volwassenen en ouderen</t>
  </si>
  <si>
    <t>Totaal verblijf</t>
  </si>
  <si>
    <t>F121</t>
  </si>
  <si>
    <t>F122</t>
  </si>
  <si>
    <t>F123</t>
  </si>
  <si>
    <t>F125</t>
  </si>
  <si>
    <t>Restgroep diagnoses - vanaf 3000 tot 6000 minuten</t>
  </si>
  <si>
    <t>Persoonlijkheid - vanaf 250 tot 800 minuten</t>
  </si>
  <si>
    <t>Persoonlijkheid - vanaf 800 tot 1800 minuten  - variant 1</t>
  </si>
  <si>
    <t>Persoonlijkheid - vanaf 800 tot 1800 minuten  - variant 2</t>
  </si>
  <si>
    <t>Persoonlijkheid - vanaf 1800 tot 3000 minuten  - variant 1</t>
  </si>
  <si>
    <t>Persoonlijkheid - vanaf 1800 tot 3000 minuten  - variant 2</t>
  </si>
  <si>
    <t>Loonkosten verblijf</t>
  </si>
  <si>
    <t>Materiele kosten verblijf</t>
  </si>
  <si>
    <t>F133</t>
  </si>
  <si>
    <t>F134</t>
  </si>
  <si>
    <t>F135</t>
  </si>
  <si>
    <t>F136</t>
  </si>
  <si>
    <t>F137</t>
  </si>
  <si>
    <t>F138</t>
  </si>
  <si>
    <t>F139</t>
  </si>
  <si>
    <t>F140</t>
  </si>
  <si>
    <t>F141</t>
  </si>
  <si>
    <t>F142</t>
  </si>
  <si>
    <t>F143</t>
  </si>
  <si>
    <t>F144</t>
  </si>
  <si>
    <t>F145</t>
  </si>
  <si>
    <t>F146</t>
  </si>
  <si>
    <t>F147</t>
  </si>
  <si>
    <t>F148</t>
  </si>
  <si>
    <t>F149</t>
  </si>
  <si>
    <t>F150</t>
  </si>
  <si>
    <t>VZ2.1</t>
  </si>
  <si>
    <t>VZ2.2</t>
  </si>
  <si>
    <t>VZ2.3</t>
  </si>
  <si>
    <t>VZ2.4</t>
  </si>
  <si>
    <t>F452</t>
  </si>
  <si>
    <t>F454</t>
  </si>
  <si>
    <t>F462</t>
  </si>
  <si>
    <t>F464</t>
  </si>
  <si>
    <t>F466</t>
  </si>
  <si>
    <t>F472</t>
  </si>
  <si>
    <t>F474</t>
  </si>
  <si>
    <t>F476</t>
  </si>
  <si>
    <t>F478</t>
  </si>
  <si>
    <t>F482</t>
  </si>
  <si>
    <t>F484</t>
  </si>
  <si>
    <t>F491</t>
  </si>
  <si>
    <t>Dhr/Mevr</t>
  </si>
  <si>
    <t>1.</t>
  </si>
  <si>
    <t>PAAZ Ziekenhuis Rivierenland</t>
  </si>
  <si>
    <t>PAAZ Hofpoort Ziekenhuis</t>
  </si>
  <si>
    <t>PAAZ Mesos Medisch Centrum</t>
  </si>
  <si>
    <t>PAAZ Streekziekenhuis Gooi-Noord</t>
  </si>
  <si>
    <t>PAAZ Medisch Centrum Alkmaar</t>
  </si>
  <si>
    <t>PAAZ Kennemer Gasthuis</t>
  </si>
  <si>
    <t>PAAZ Waterland Ziekenhuis</t>
  </si>
  <si>
    <t>Overzicht van de foutmeldingen</t>
  </si>
  <si>
    <t>RIAGG NPI</t>
  </si>
  <si>
    <t>GGZ Oost-Brabant</t>
  </si>
  <si>
    <t>Adhesie</t>
  </si>
  <si>
    <t>PAAZ Canisius-Wilhelmina Ziekenhuis</t>
  </si>
  <si>
    <t>PAAZ Ziekenhuis Eemland</t>
  </si>
  <si>
    <t>Toeslag categorie 3</t>
  </si>
  <si>
    <t>PIVLKW</t>
  </si>
  <si>
    <t>PGLKW</t>
  </si>
  <si>
    <t>PVZKW</t>
  </si>
  <si>
    <t>PTC1KW</t>
  </si>
  <si>
    <t>PTC2KW</t>
  </si>
  <si>
    <t>PTC3KW</t>
  </si>
  <si>
    <t>PNKW</t>
  </si>
  <si>
    <t>Structuur biedend/beperkte begeleiding</t>
  </si>
  <si>
    <t>VZ21</t>
  </si>
  <si>
    <t>Structuur biedend/volledige begeleiding</t>
  </si>
  <si>
    <t>VZ22</t>
  </si>
  <si>
    <t>Veranderingsgericht/beperkte begeleiding</t>
  </si>
  <si>
    <t>Controlelijst:</t>
  </si>
  <si>
    <t>Loon- en materiele kosten verblijf</t>
  </si>
  <si>
    <t>m2</t>
  </si>
  <si>
    <t>tot</t>
  </si>
  <si>
    <t>bed</t>
  </si>
  <si>
    <t>III. Toelichting werkblad DBC's</t>
  </si>
  <si>
    <t>V. Toelichting werkblad tijdbesteding</t>
  </si>
  <si>
    <t>U wordt verzocht het ingevulde formulier per e-mail naar de NZa te zenden.   Het adres is:      inbox@nza.nl</t>
  </si>
  <si>
    <t>Hiernaast geeft u de datum van ingang aan, in het formulier vermeldt u alleen de wijzigingen: bv in kolom II onderdeel verpleegdagen op regel 2 het aantal dagen op kasbasis</t>
  </si>
  <si>
    <t>KBON</t>
  </si>
  <si>
    <t>Lentis</t>
  </si>
  <si>
    <t>Instelling voor Cognitieve- en gedragstherapie</t>
  </si>
  <si>
    <t>GGZ Friesland</t>
  </si>
  <si>
    <t>GGNet (Netwerk voor Geestelijke Gezondheid)</t>
  </si>
  <si>
    <t>KBRE</t>
  </si>
  <si>
    <t>Bosman GGz</t>
  </si>
  <si>
    <t>Jeugdriagg Noord Holland Zuid</t>
  </si>
  <si>
    <t>Centrum 45</t>
  </si>
  <si>
    <t>Stichting Nehemia Hulpverlening</t>
  </si>
  <si>
    <t>Stichting Rehabilisatie Haagrand</t>
  </si>
  <si>
    <t>Reinier van Arkel Groep, loc. s-Hertogenbosch</t>
  </si>
  <si>
    <t>AmaCura GGZ Zorgcentrum B.V.</t>
  </si>
  <si>
    <t>Orbis PCC / PAAZ Maaslandziekenhuis</t>
  </si>
  <si>
    <t>Fier!Fryslan</t>
  </si>
  <si>
    <t>ZorgSaam Zeeuws Vlaanderen, locatie De Honte</t>
  </si>
  <si>
    <t>PAAZ Ziekenhuisgroep Twente</t>
  </si>
  <si>
    <t>t Kabouterhuis</t>
  </si>
  <si>
    <t>Dr. Leshan Stichting</t>
  </si>
  <si>
    <t>Bronlaak-Heimdal</t>
  </si>
  <si>
    <t>Koraal Groep</t>
  </si>
  <si>
    <t>Sensire/Thuiszorg Groningen</t>
  </si>
  <si>
    <t>Wonen en Psychiatrie</t>
  </si>
  <si>
    <t>Jeugdhulp Friesland</t>
  </si>
  <si>
    <t>Pro Psy BV</t>
  </si>
  <si>
    <t>De Brug</t>
  </si>
  <si>
    <t>Er is in het budget ambulante zorg ingevuld. Er dienen dan ook ambulante behandel-DBC's te worden ingevuld.</t>
  </si>
  <si>
    <t>Er zijn in het budget verpleegdagen ingevuld. Er dienen dan ook behandel-DBC's voor verblijf te worden ingevuld.</t>
  </si>
  <si>
    <t>Overige aan een middel - vanaf 800 tot 1800 minuten  - variant 1</t>
  </si>
  <si>
    <t>QBA001</t>
  </si>
  <si>
    <t>QBA002</t>
  </si>
  <si>
    <t>QBA003</t>
  </si>
  <si>
    <t>QBA004</t>
  </si>
  <si>
    <t>QBA005</t>
  </si>
  <si>
    <t>QBA006</t>
  </si>
  <si>
    <t>QBA007</t>
  </si>
  <si>
    <t>QBA008</t>
  </si>
  <si>
    <t>QBA009</t>
  </si>
  <si>
    <t>De indieningstermijn van het mutatieformulier (15 september) is verstreken.</t>
  </si>
  <si>
    <t>Indieningstermijnen</t>
  </si>
</sst>
</file>

<file path=xl/styles.xml><?xml version="1.0" encoding="utf-8"?>
<styleSheet xmlns="http://schemas.openxmlformats.org/spreadsheetml/2006/main">
  <numFmts count="5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quot;fl&quot;\ * #,##0_-;_-&quot;fl&quot;\ * #,##0\-;_-&quot;fl&quot;\ * &quot;-&quot;_-;_-@_-"/>
    <numFmt numFmtId="179" formatCode="_-&quot;fl&quot;\ * #,##0.00_-;_-&quot;fl&quot;\ * #,##0.00\-;_-&quot;fl&quot;\ * &quot;-&quot;??_-;_-@_-"/>
    <numFmt numFmtId="180" formatCode="\ \ƒ* #,##0_ \ ;\ \ƒ* ;\ \ƒ* "/>
    <numFmt numFmtId="181" formatCode="&quot;F&quot;\ #,##0_-;&quot;F&quot;\ #,##0\-"/>
    <numFmt numFmtId="182" formatCode="#,##0.0"/>
    <numFmt numFmtId="183" formatCode="0.0"/>
    <numFmt numFmtId="184" formatCode="0.0%"/>
    <numFmt numFmtId="185" formatCode="#,##0_ ;\(#,##0\);"/>
    <numFmt numFmtId="186" formatCode="\€* #,##0_ ;\€* \(#,##0\);\€* "/>
    <numFmt numFmtId="187" formatCode="#,##0_ ;\(#,##0\);0_ "/>
    <numFmt numFmtId="188" formatCode="#,##0.00_ ;\(#,##0.00\);"/>
    <numFmt numFmtId="189" formatCode="\ƒ* #,##0_ ;\ƒ* \(#,##0\);\ƒ* \ "/>
    <numFmt numFmtId="190" formatCode="#,##0.00_-"/>
    <numFmt numFmtId="191" formatCode="d/mm/yy;@"/>
    <numFmt numFmtId="192" formatCode="#,##0_ \ ;\(#,##0\)_ ;"/>
    <numFmt numFmtId="193" formatCode="d\ mmmm\ yyyy"/>
    <numFmt numFmtId="194" formatCode="dd/mm/yy;@"/>
    <numFmt numFmtId="195" formatCode="000"/>
    <numFmt numFmtId="196" formatCode="0.000"/>
    <numFmt numFmtId="197" formatCode="0.0000"/>
    <numFmt numFmtId="198" formatCode="dd\.mm\.yyyy;@"/>
    <numFmt numFmtId="199" formatCode="[$-409]dddd\,\ mmmm\ dd\,\ yyyy"/>
    <numFmt numFmtId="200" formatCode="m/d/yy;@"/>
    <numFmt numFmtId="201" formatCode="[$-413]dddd\ d\ mmmm\ yyyy"/>
    <numFmt numFmtId="202" formatCode="[$-413]d/mmm/yyyy;@"/>
    <numFmt numFmtId="203" formatCode="m/d/yyyy;@"/>
    <numFmt numFmtId="204" formatCode="dd\.mm\.yy;@"/>
    <numFmt numFmtId="205" formatCode="d/mm/yyyy;@"/>
    <numFmt numFmtId="206" formatCode="0.000000"/>
    <numFmt numFmtId="207" formatCode="ddmmyyyy"/>
    <numFmt numFmtId="208" formatCode="mmm/yyyy"/>
    <numFmt numFmtId="209" formatCode="#,##0.0000"/>
    <numFmt numFmtId="210" formatCode="&quot;€&quot;\ #,##0"/>
  </numFmts>
  <fonts count="33">
    <font>
      <sz val="10"/>
      <name val="Arial"/>
      <family val="0"/>
    </font>
    <font>
      <sz val="8"/>
      <name val="Tahoma"/>
      <family val="2"/>
    </font>
    <font>
      <sz val="9"/>
      <name val="Arial"/>
      <family val="2"/>
    </font>
    <font>
      <b/>
      <sz val="9"/>
      <name val="Arial"/>
      <family val="2"/>
    </font>
    <font>
      <sz val="8"/>
      <name val="Helv"/>
      <family val="0"/>
    </font>
    <font>
      <b/>
      <sz val="14"/>
      <name val="Helv"/>
      <family val="0"/>
    </font>
    <font>
      <sz val="24"/>
      <color indexed="13"/>
      <name val="Helv"/>
      <family val="0"/>
    </font>
    <font>
      <u val="single"/>
      <sz val="10"/>
      <color indexed="12"/>
      <name val="Arial"/>
      <family val="0"/>
    </font>
    <font>
      <sz val="9"/>
      <name val="Helv"/>
      <family val="0"/>
    </font>
    <font>
      <u val="single"/>
      <sz val="10"/>
      <color indexed="36"/>
      <name val="Arial"/>
      <family val="0"/>
    </font>
    <font>
      <sz val="8"/>
      <name val="Arial"/>
      <family val="0"/>
    </font>
    <font>
      <sz val="9"/>
      <name val="Verdana"/>
      <family val="2"/>
    </font>
    <font>
      <sz val="8"/>
      <name val="Verdana"/>
      <family val="2"/>
    </font>
    <font>
      <sz val="9"/>
      <color indexed="9"/>
      <name val="Verdana"/>
      <family val="2"/>
    </font>
    <font>
      <b/>
      <sz val="9"/>
      <name val="Verdana"/>
      <family val="2"/>
    </font>
    <font>
      <b/>
      <sz val="10"/>
      <name val="Verdana"/>
      <family val="2"/>
    </font>
    <font>
      <b/>
      <u val="single"/>
      <sz val="9"/>
      <name val="Verdana"/>
      <family val="2"/>
    </font>
    <font>
      <b/>
      <sz val="8.5"/>
      <name val="Verdana"/>
      <family val="2"/>
    </font>
    <font>
      <sz val="8.5"/>
      <name val="Verdana"/>
      <family val="2"/>
    </font>
    <font>
      <b/>
      <i/>
      <sz val="9"/>
      <name val="Verdana"/>
      <family val="2"/>
    </font>
    <font>
      <b/>
      <sz val="8"/>
      <name val="Tahoma"/>
      <family val="0"/>
    </font>
    <font>
      <b/>
      <sz val="12"/>
      <name val="Verdana"/>
      <family val="2"/>
    </font>
    <font>
      <i/>
      <sz val="9"/>
      <name val="Verdana"/>
      <family val="2"/>
    </font>
    <font>
      <i/>
      <sz val="10"/>
      <name val="Arial"/>
      <family val="0"/>
    </font>
    <font>
      <i/>
      <sz val="8"/>
      <color indexed="8"/>
      <name val="Verdana"/>
      <family val="2"/>
    </font>
    <font>
      <i/>
      <sz val="8"/>
      <name val="Verdana"/>
      <family val="2"/>
    </font>
    <font>
      <sz val="10"/>
      <color indexed="9"/>
      <name val="Arial"/>
      <family val="0"/>
    </font>
    <font>
      <i/>
      <u val="single"/>
      <sz val="9"/>
      <name val="Verdana"/>
      <family val="2"/>
    </font>
    <font>
      <u val="single"/>
      <sz val="9"/>
      <name val="Verdana"/>
      <family val="2"/>
    </font>
    <font>
      <u val="single"/>
      <sz val="10"/>
      <name val="Arial"/>
      <family val="0"/>
    </font>
    <font>
      <b/>
      <sz val="10"/>
      <name val="Arial"/>
      <family val="0"/>
    </font>
    <font>
      <b/>
      <sz val="9"/>
      <color indexed="9"/>
      <name val="Verdana"/>
      <family val="2"/>
    </font>
    <font>
      <b/>
      <sz val="8"/>
      <name val="Arial"/>
      <family val="2"/>
    </font>
  </fonts>
  <fills count="11">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8"/>
        <bgColor indexed="64"/>
      </patternFill>
    </fill>
    <fill>
      <patternFill patternType="solid">
        <fgColor indexed="22"/>
        <bgColor indexed="64"/>
      </patternFill>
    </fill>
    <fill>
      <patternFill patternType="solid">
        <fgColor indexed="8"/>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s>
  <borders count="67">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hair"/>
      <right>
        <color indexed="63"/>
      </right>
      <top style="hair"/>
      <bottom style="hair"/>
    </border>
    <border>
      <left style="hair"/>
      <right style="hair"/>
      <top style="hair"/>
      <bottom>
        <color indexed="63"/>
      </bottom>
    </border>
    <border>
      <left>
        <color indexed="63"/>
      </left>
      <right>
        <color indexed="63"/>
      </right>
      <top style="hair"/>
      <bottom style="hair"/>
    </border>
    <border>
      <left style="hair"/>
      <right style="hair"/>
      <top>
        <color indexed="63"/>
      </top>
      <bottom style="hair"/>
    </border>
    <border>
      <left style="hair"/>
      <right style="hair"/>
      <top style="hair"/>
      <bottom style="hair"/>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hair"/>
      <right style="hair"/>
      <top>
        <color indexed="63"/>
      </top>
      <bottom>
        <color indexed="63"/>
      </bottom>
    </border>
    <border>
      <left style="hair"/>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hair"/>
    </border>
    <border>
      <left>
        <color indexed="63"/>
      </left>
      <right style="thin"/>
      <top style="thin"/>
      <bottom>
        <color indexed="63"/>
      </bottom>
    </border>
    <border>
      <left>
        <color indexed="63"/>
      </left>
      <right style="thin"/>
      <top style="thin"/>
      <bottom style="thin"/>
    </border>
    <border>
      <left style="thin"/>
      <right>
        <color indexed="63"/>
      </right>
      <top style="hair"/>
      <bottom>
        <color indexed="63"/>
      </bottom>
    </border>
    <border>
      <left>
        <color indexed="63"/>
      </left>
      <right style="thin"/>
      <top style="hair"/>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hair"/>
      <bottom style="thin"/>
    </border>
    <border>
      <left>
        <color indexed="63"/>
      </left>
      <right>
        <color indexed="63"/>
      </right>
      <top style="hair"/>
      <bottom style="thin"/>
    </border>
    <border>
      <left style="hair"/>
      <right>
        <color indexed="63"/>
      </right>
      <top>
        <color indexed="63"/>
      </top>
      <bottom style="hair"/>
    </border>
    <border>
      <left style="thin"/>
      <right>
        <color indexed="63"/>
      </right>
      <top style="hair"/>
      <bottom style="hair"/>
    </border>
    <border>
      <left>
        <color indexed="63"/>
      </left>
      <right>
        <color indexed="63"/>
      </right>
      <top style="thin"/>
      <bottom style="hair"/>
    </border>
    <border>
      <left>
        <color indexed="63"/>
      </left>
      <right style="thin"/>
      <top style="thin"/>
      <bottom style="hair"/>
    </border>
    <border>
      <left>
        <color indexed="63"/>
      </left>
      <right style="hair"/>
      <top style="hair"/>
      <bottom style="thin"/>
    </border>
    <border>
      <left>
        <color indexed="63"/>
      </left>
      <right style="thin"/>
      <top>
        <color indexed="63"/>
      </top>
      <bottom style="thin"/>
    </border>
    <border>
      <left style="dashed"/>
      <right style="dashed"/>
      <top style="dashed"/>
      <bottom style="dashed"/>
    </border>
    <border>
      <left>
        <color indexed="63"/>
      </left>
      <right>
        <color indexed="63"/>
      </right>
      <top style="thin"/>
      <bottom style="double"/>
    </border>
    <border>
      <left>
        <color indexed="63"/>
      </left>
      <right style="hair"/>
      <top>
        <color indexed="63"/>
      </top>
      <bottom>
        <color indexed="63"/>
      </bottom>
    </border>
    <border>
      <left style="hair"/>
      <right>
        <color indexed="63"/>
      </right>
      <top style="hair"/>
      <bottom>
        <color indexed="63"/>
      </bottom>
    </border>
    <border>
      <left>
        <color indexed="63"/>
      </left>
      <right style="hair"/>
      <top>
        <color indexed="63"/>
      </top>
      <bottom style="hair"/>
    </border>
    <border>
      <left style="hair"/>
      <right style="hair"/>
      <top style="thin"/>
      <bottom style="thin"/>
    </border>
    <border>
      <left style="thin"/>
      <right style="hair"/>
      <top style="hair"/>
      <bottom style="hair"/>
    </border>
    <border>
      <left style="hair"/>
      <right style="hair"/>
      <top style="thin"/>
      <bottom style="hair"/>
    </border>
    <border>
      <left style="hair"/>
      <right style="hair"/>
      <top style="hair"/>
      <bottom style="thin"/>
    </border>
    <border>
      <left>
        <color indexed="63"/>
      </left>
      <right style="hair"/>
      <top style="thin"/>
      <bottom style="hair"/>
    </border>
    <border>
      <left style="hair"/>
      <right>
        <color indexed="63"/>
      </right>
      <top style="thin"/>
      <bottom style="hair"/>
    </border>
    <border>
      <left style="hair"/>
      <right style="hair"/>
      <top style="thin"/>
      <bottom style="double"/>
    </border>
    <border>
      <left style="hair"/>
      <right style="hair"/>
      <top style="double"/>
      <bottom style="hair"/>
    </border>
    <border>
      <left style="hair"/>
      <right style="hair"/>
      <top>
        <color indexed="63"/>
      </top>
      <bottom style="double"/>
    </border>
    <border>
      <left>
        <color indexed="63"/>
      </left>
      <right style="thin"/>
      <top style="hair"/>
      <bottom style="hair"/>
    </border>
    <border>
      <left>
        <color indexed="63"/>
      </left>
      <right style="thin"/>
      <top>
        <color indexed="63"/>
      </top>
      <bottom style="hair"/>
    </border>
    <border>
      <left>
        <color indexed="63"/>
      </left>
      <right style="thin"/>
      <top style="hair"/>
      <bottom>
        <color indexed="63"/>
      </bottom>
    </border>
    <border>
      <left>
        <color indexed="63"/>
      </left>
      <right style="thin"/>
      <top style="thin"/>
      <bottom style="double"/>
    </border>
    <border>
      <left style="thin"/>
      <right>
        <color indexed="63"/>
      </right>
      <top>
        <color indexed="63"/>
      </top>
      <bottom style="hair"/>
    </border>
    <border>
      <left style="hair"/>
      <right>
        <color indexed="63"/>
      </right>
      <top style="hair"/>
      <bottom style="thin"/>
    </border>
    <border>
      <left style="hair"/>
      <right>
        <color indexed="63"/>
      </right>
      <top>
        <color indexed="63"/>
      </top>
      <bottom style="thin"/>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4" fillId="0" borderId="1">
      <alignment/>
      <protection/>
    </xf>
    <xf numFmtId="44" fontId="0" fillId="0" borderId="0" applyFon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2" borderId="1">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9" fontId="0" fillId="0" borderId="0" applyFont="0" applyFill="0" applyBorder="0" applyAlignment="0" applyProtection="0"/>
    <xf numFmtId="0" fontId="4" fillId="0" borderId="0">
      <alignment/>
      <protection/>
    </xf>
    <xf numFmtId="0" fontId="0" fillId="0" borderId="0" applyFill="0" applyBorder="0">
      <alignment/>
      <protection/>
    </xf>
    <xf numFmtId="0" fontId="2" fillId="0" borderId="0">
      <alignment/>
      <protection/>
    </xf>
    <xf numFmtId="0" fontId="2" fillId="0" borderId="2" applyFill="0" applyBorder="0">
      <alignment/>
      <protection/>
    </xf>
    <xf numFmtId="180" fontId="2" fillId="0" borderId="2" applyFill="0" applyBorder="0">
      <alignment/>
      <protection/>
    </xf>
    <xf numFmtId="0" fontId="2" fillId="0" borderId="2" applyFill="0" applyBorder="0">
      <alignment/>
      <protection/>
    </xf>
    <xf numFmtId="0" fontId="3" fillId="3" borderId="3">
      <alignment/>
      <protection/>
    </xf>
    <xf numFmtId="181" fontId="0" fillId="3" borderId="3">
      <alignment/>
      <protection/>
    </xf>
    <xf numFmtId="192" fontId="3" fillId="3" borderId="3">
      <alignment/>
      <protection/>
    </xf>
    <xf numFmtId="192" fontId="2" fillId="0" borderId="2" applyFill="0" applyBorder="0">
      <alignment/>
      <protection/>
    </xf>
    <xf numFmtId="0" fontId="4" fillId="0" borderId="1">
      <alignment/>
      <protection/>
    </xf>
    <xf numFmtId="0" fontId="6" fillId="4" borderId="0">
      <alignment/>
      <protection/>
    </xf>
    <xf numFmtId="0" fontId="5" fillId="0" borderId="4">
      <alignment/>
      <protection/>
    </xf>
    <xf numFmtId="0" fontId="5" fillId="0" borderId="1">
      <alignment/>
      <protection/>
    </xf>
    <xf numFmtId="179" fontId="0" fillId="0" borderId="0" applyFont="0" applyFill="0" applyBorder="0" applyAlignment="0" applyProtection="0"/>
    <xf numFmtId="178" fontId="0" fillId="0" borderId="0" applyFont="0" applyFill="0" applyBorder="0" applyAlignment="0" applyProtection="0"/>
  </cellStyleXfs>
  <cellXfs count="793">
    <xf numFmtId="0" fontId="0" fillId="0" borderId="0" xfId="0" applyAlignment="1">
      <alignment/>
    </xf>
    <xf numFmtId="0" fontId="0" fillId="0" borderId="0" xfId="0" applyBorder="1" applyAlignment="1">
      <alignment/>
    </xf>
    <xf numFmtId="185" fontId="14" fillId="3" borderId="5" xfId="0" applyNumberFormat="1" applyFont="1" applyFill="1" applyBorder="1" applyAlignment="1" applyProtection="1">
      <alignment/>
      <protection/>
    </xf>
    <xf numFmtId="0" fontId="11" fillId="0" borderId="0" xfId="0" applyFont="1" applyFill="1" applyAlignment="1" applyProtection="1">
      <alignment/>
      <protection hidden="1"/>
    </xf>
    <xf numFmtId="0" fontId="11" fillId="0" borderId="0" xfId="0" applyFont="1" applyFill="1" applyBorder="1" applyAlignment="1" applyProtection="1">
      <alignment/>
      <protection hidden="1"/>
    </xf>
    <xf numFmtId="0" fontId="11" fillId="0" borderId="0" xfId="0" applyFont="1" applyFill="1" applyAlignment="1" applyProtection="1">
      <alignment/>
      <protection hidden="1"/>
    </xf>
    <xf numFmtId="1" fontId="11" fillId="0" borderId="0" xfId="0" applyNumberFormat="1" applyFont="1" applyAlignment="1" applyProtection="1">
      <alignment horizontal="center"/>
      <protection hidden="1"/>
    </xf>
    <xf numFmtId="4" fontId="11" fillId="0" borderId="0" xfId="0" applyNumberFormat="1" applyFont="1" applyFill="1" applyAlignment="1" applyProtection="1">
      <alignment/>
      <protection hidden="1"/>
    </xf>
    <xf numFmtId="0" fontId="11" fillId="5" borderId="0" xfId="0" applyFont="1" applyFill="1" applyAlignment="1" applyProtection="1">
      <alignment/>
      <protection hidden="1"/>
    </xf>
    <xf numFmtId="0" fontId="14" fillId="0" borderId="0" xfId="0" applyFont="1" applyFill="1" applyAlignment="1" applyProtection="1">
      <alignment/>
      <protection hidden="1"/>
    </xf>
    <xf numFmtId="0" fontId="11" fillId="0" borderId="0" xfId="0" applyFont="1" applyFill="1" applyBorder="1" applyAlignment="1" applyProtection="1">
      <alignment vertical="center"/>
      <protection hidden="1"/>
    </xf>
    <xf numFmtId="0" fontId="11" fillId="5" borderId="0" xfId="0" applyFont="1" applyFill="1" applyBorder="1" applyAlignment="1" applyProtection="1">
      <alignment vertical="center"/>
      <protection hidden="1"/>
    </xf>
    <xf numFmtId="0" fontId="14" fillId="0" borderId="0" xfId="0" applyFont="1" applyFill="1" applyAlignment="1" applyProtection="1">
      <alignment/>
      <protection hidden="1"/>
    </xf>
    <xf numFmtId="0" fontId="11" fillId="0" borderId="0" xfId="0" applyFont="1" applyFill="1" applyAlignment="1" applyProtection="1">
      <alignment horizontal="right"/>
      <protection hidden="1"/>
    </xf>
    <xf numFmtId="0" fontId="14" fillId="0" borderId="0" xfId="0" applyFont="1" applyFill="1" applyAlignment="1" applyProtection="1">
      <alignment horizontal="left"/>
      <protection hidden="1"/>
    </xf>
    <xf numFmtId="0" fontId="14" fillId="0" borderId="0" xfId="0" applyFont="1" applyFill="1" applyBorder="1" applyAlignment="1" applyProtection="1">
      <alignment/>
      <protection hidden="1"/>
    </xf>
    <xf numFmtId="0" fontId="14" fillId="0" borderId="0" xfId="0" applyFont="1" applyFill="1" applyBorder="1" applyAlignment="1" applyProtection="1">
      <alignment horizontal="center"/>
      <protection hidden="1"/>
    </xf>
    <xf numFmtId="0" fontId="14" fillId="3" borderId="6" xfId="0" applyFont="1" applyFill="1" applyBorder="1" applyAlignment="1" applyProtection="1">
      <alignment horizontal="center"/>
      <protection hidden="1"/>
    </xf>
    <xf numFmtId="0" fontId="11" fillId="6" borderId="0" xfId="0" applyFont="1" applyFill="1" applyBorder="1" applyAlignment="1" applyProtection="1">
      <alignment horizontal="center"/>
      <protection hidden="1"/>
    </xf>
    <xf numFmtId="0" fontId="14" fillId="3" borderId="7" xfId="0" applyFont="1" applyFill="1" applyBorder="1" applyAlignment="1" applyProtection="1">
      <alignment horizontal="center"/>
      <protection hidden="1"/>
    </xf>
    <xf numFmtId="0" fontId="14" fillId="0" borderId="0" xfId="0" applyFont="1" applyFill="1" applyAlignment="1" applyProtection="1">
      <alignment horizontal="left" wrapText="1"/>
      <protection hidden="1"/>
    </xf>
    <xf numFmtId="0" fontId="14" fillId="0" borderId="0" xfId="0" applyFont="1" applyFill="1" applyBorder="1" applyAlignment="1" applyProtection="1">
      <alignment horizontal="center" wrapText="1"/>
      <protection hidden="1"/>
    </xf>
    <xf numFmtId="0" fontId="14" fillId="3" borderId="8" xfId="0" applyFont="1" applyFill="1" applyBorder="1" applyAlignment="1" applyProtection="1">
      <alignment horizontal="center" wrapText="1"/>
      <protection hidden="1"/>
    </xf>
    <xf numFmtId="0" fontId="11" fillId="6" borderId="0" xfId="0" applyFont="1" applyFill="1" applyBorder="1" applyAlignment="1" applyProtection="1">
      <alignment horizontal="center" wrapText="1"/>
      <protection hidden="1"/>
    </xf>
    <xf numFmtId="4" fontId="14" fillId="3" borderId="8" xfId="0" applyNumberFormat="1" applyFont="1" applyFill="1" applyBorder="1" applyAlignment="1" applyProtection="1">
      <alignment horizontal="center"/>
      <protection hidden="1"/>
    </xf>
    <xf numFmtId="0" fontId="14" fillId="0" borderId="0" xfId="0" applyFont="1" applyFill="1" applyAlignment="1" applyProtection="1">
      <alignment horizontal="center"/>
      <protection hidden="1"/>
    </xf>
    <xf numFmtId="4" fontId="14" fillId="0" borderId="0" xfId="0" applyNumberFormat="1" applyFont="1" applyFill="1" applyAlignment="1" applyProtection="1">
      <alignment horizontal="center"/>
      <protection hidden="1"/>
    </xf>
    <xf numFmtId="14" fontId="14" fillId="0" borderId="0" xfId="0" applyNumberFormat="1" applyFont="1" applyFill="1" applyAlignment="1" applyProtection="1">
      <alignment/>
      <protection hidden="1"/>
    </xf>
    <xf numFmtId="4" fontId="11" fillId="0" borderId="0" xfId="0" applyNumberFormat="1" applyFont="1" applyFill="1" applyAlignment="1" applyProtection="1">
      <alignment/>
      <protection hidden="1"/>
    </xf>
    <xf numFmtId="0" fontId="11" fillId="0" borderId="0" xfId="0" applyFont="1" applyFill="1" applyBorder="1" applyAlignment="1" applyProtection="1">
      <alignment/>
      <protection/>
    </xf>
    <xf numFmtId="0" fontId="11" fillId="5" borderId="0" xfId="0" applyFont="1" applyFill="1" applyBorder="1" applyAlignment="1" applyProtection="1">
      <alignment/>
      <protection/>
    </xf>
    <xf numFmtId="0" fontId="14" fillId="3" borderId="9" xfId="0" applyFont="1" applyFill="1" applyBorder="1" applyAlignment="1" applyProtection="1">
      <alignment horizontal="left"/>
      <protection hidden="1"/>
    </xf>
    <xf numFmtId="0" fontId="11" fillId="0" borderId="7" xfId="0" applyFont="1" applyFill="1" applyBorder="1" applyAlignment="1" applyProtection="1">
      <alignment/>
      <protection hidden="1"/>
    </xf>
    <xf numFmtId="0" fontId="11" fillId="0" borderId="10" xfId="0" applyFont="1" applyFill="1" applyBorder="1" applyAlignment="1" applyProtection="1">
      <alignment horizontal="right"/>
      <protection hidden="1"/>
    </xf>
    <xf numFmtId="185" fontId="11" fillId="0" borderId="9" xfId="0" applyNumberFormat="1" applyFont="1" applyFill="1" applyBorder="1" applyAlignment="1" applyProtection="1">
      <alignment/>
      <protection locked="0"/>
    </xf>
    <xf numFmtId="189" fontId="11" fillId="5" borderId="0" xfId="0" applyNumberFormat="1" applyFont="1" applyFill="1" applyBorder="1" applyAlignment="1" applyProtection="1">
      <alignment/>
      <protection/>
    </xf>
    <xf numFmtId="0" fontId="14" fillId="3" borderId="6" xfId="0" applyFont="1" applyFill="1" applyBorder="1" applyAlignment="1" applyProtection="1">
      <alignment horizontal="left"/>
      <protection hidden="1"/>
    </xf>
    <xf numFmtId="185" fontId="11" fillId="5" borderId="0" xfId="0" applyNumberFormat="1" applyFont="1" applyFill="1" applyBorder="1" applyAlignment="1" applyProtection="1">
      <alignment/>
      <protection/>
    </xf>
    <xf numFmtId="0" fontId="11" fillId="0" borderId="11" xfId="0" applyFont="1" applyFill="1" applyBorder="1" applyAlignment="1" applyProtection="1">
      <alignment/>
      <protection hidden="1"/>
    </xf>
    <xf numFmtId="0" fontId="14" fillId="3" borderId="7" xfId="0" applyFont="1" applyFill="1" applyBorder="1" applyAlignment="1" applyProtection="1">
      <alignment/>
      <protection hidden="1"/>
    </xf>
    <xf numFmtId="185" fontId="14" fillId="3" borderId="9" xfId="0" applyNumberFormat="1" applyFont="1" applyFill="1" applyBorder="1" applyAlignment="1" applyProtection="1">
      <alignment/>
      <protection/>
    </xf>
    <xf numFmtId="185" fontId="14" fillId="3" borderId="10" xfId="0" applyNumberFormat="1" applyFont="1" applyFill="1" applyBorder="1" applyAlignment="1" applyProtection="1">
      <alignment/>
      <protection/>
    </xf>
    <xf numFmtId="0" fontId="14" fillId="0" borderId="0" xfId="0" applyFont="1" applyFill="1" applyBorder="1" applyAlignment="1" applyProtection="1">
      <alignment/>
      <protection/>
    </xf>
    <xf numFmtId="4" fontId="14" fillId="0" borderId="0" xfId="0" applyNumberFormat="1" applyFont="1" applyFill="1" applyAlignment="1" applyProtection="1">
      <alignment/>
      <protection hidden="1"/>
    </xf>
    <xf numFmtId="0" fontId="14" fillId="0" borderId="0" xfId="0" applyFont="1" applyFill="1" applyAlignment="1" applyProtection="1">
      <alignment/>
      <protection/>
    </xf>
    <xf numFmtId="0" fontId="14" fillId="0" borderId="0" xfId="0" applyFont="1" applyFill="1" applyAlignment="1" applyProtection="1">
      <alignment/>
      <protection/>
    </xf>
    <xf numFmtId="186" fontId="11" fillId="0" borderId="0" xfId="0" applyNumberFormat="1" applyFont="1" applyFill="1" applyBorder="1" applyAlignment="1" applyProtection="1">
      <alignment/>
      <protection/>
    </xf>
    <xf numFmtId="186" fontId="11" fillId="5" borderId="0" xfId="0" applyNumberFormat="1" applyFont="1" applyFill="1" applyBorder="1" applyAlignment="1" applyProtection="1">
      <alignment/>
      <protection/>
    </xf>
    <xf numFmtId="0" fontId="14" fillId="0" borderId="0" xfId="0" applyFont="1" applyFill="1" applyAlignment="1" applyProtection="1">
      <alignment horizontal="center" wrapText="1"/>
      <protection hidden="1"/>
    </xf>
    <xf numFmtId="0" fontId="14" fillId="3" borderId="10" xfId="0" applyFont="1" applyFill="1" applyBorder="1" applyAlignment="1" applyProtection="1">
      <alignment horizontal="center"/>
      <protection hidden="1"/>
    </xf>
    <xf numFmtId="185" fontId="11" fillId="0" borderId="9" xfId="35" applyNumberFormat="1" applyFont="1" applyFill="1" applyBorder="1" applyAlignment="1" applyProtection="1">
      <alignment/>
      <protection locked="0"/>
    </xf>
    <xf numFmtId="185" fontId="11" fillId="0" borderId="0" xfId="0" applyNumberFormat="1" applyFont="1" applyFill="1" applyBorder="1" applyAlignment="1" applyProtection="1">
      <alignment/>
      <protection/>
    </xf>
    <xf numFmtId="0" fontId="11" fillId="0" borderId="10" xfId="0" applyFont="1" applyFill="1" applyBorder="1" applyAlignment="1" applyProtection="1">
      <alignment horizontal="left"/>
      <protection hidden="1"/>
    </xf>
    <xf numFmtId="0" fontId="11" fillId="0" borderId="12" xfId="0" applyFont="1" applyFill="1" applyBorder="1" applyAlignment="1" applyProtection="1">
      <alignment horizontal="left"/>
      <protection hidden="1"/>
    </xf>
    <xf numFmtId="185" fontId="14" fillId="3" borderId="9" xfId="0" applyNumberFormat="1" applyFont="1" applyFill="1" applyBorder="1" applyAlignment="1" applyProtection="1">
      <alignment/>
      <protection/>
    </xf>
    <xf numFmtId="185" fontId="14" fillId="3" borderId="10" xfId="0" applyNumberFormat="1" applyFont="1" applyFill="1" applyBorder="1" applyAlignment="1" applyProtection="1">
      <alignment/>
      <protection/>
    </xf>
    <xf numFmtId="0" fontId="11" fillId="3" borderId="7" xfId="0" applyFont="1" applyFill="1" applyBorder="1" applyAlignment="1" applyProtection="1">
      <alignment/>
      <protection hidden="1"/>
    </xf>
    <xf numFmtId="0" fontId="11" fillId="0" borderId="10" xfId="0" applyFont="1" applyFill="1" applyBorder="1" applyAlignment="1" applyProtection="1">
      <alignment horizontal="center"/>
      <protection hidden="1"/>
    </xf>
    <xf numFmtId="0" fontId="14" fillId="0" borderId="0" xfId="0" applyFont="1" applyFill="1" applyBorder="1" applyAlignment="1" applyProtection="1">
      <alignment/>
      <protection/>
    </xf>
    <xf numFmtId="0" fontId="14" fillId="3" borderId="10" xfId="0" applyFont="1" applyFill="1" applyBorder="1" applyAlignment="1" applyProtection="1">
      <alignment/>
      <protection hidden="1"/>
    </xf>
    <xf numFmtId="185" fontId="14" fillId="0" borderId="0" xfId="0" applyNumberFormat="1" applyFont="1" applyFill="1" applyBorder="1" applyAlignment="1" applyProtection="1">
      <alignment/>
      <protection/>
    </xf>
    <xf numFmtId="185" fontId="14" fillId="0" borderId="0" xfId="0" applyNumberFormat="1" applyFont="1" applyFill="1" applyBorder="1" applyAlignment="1" applyProtection="1">
      <alignment/>
      <protection/>
    </xf>
    <xf numFmtId="0" fontId="14" fillId="0" borderId="0" xfId="0" applyFont="1" applyFill="1" applyBorder="1" applyAlignment="1" applyProtection="1">
      <alignment horizontal="left"/>
      <protection hidden="1"/>
    </xf>
    <xf numFmtId="4" fontId="14" fillId="0" borderId="0" xfId="0" applyNumberFormat="1" applyFont="1" applyFill="1" applyBorder="1" applyAlignment="1" applyProtection="1">
      <alignment/>
      <protection hidden="1"/>
    </xf>
    <xf numFmtId="37" fontId="11" fillId="0" borderId="5" xfId="0" applyNumberFormat="1" applyFont="1" applyFill="1" applyBorder="1" applyAlignment="1" applyProtection="1">
      <alignment horizontal="left"/>
      <protection hidden="1"/>
    </xf>
    <xf numFmtId="0" fontId="11" fillId="0" borderId="9" xfId="0" applyFont="1" applyBorder="1" applyAlignment="1">
      <alignment horizontal="left"/>
    </xf>
    <xf numFmtId="0" fontId="14" fillId="0" borderId="0" xfId="0" applyFont="1" applyFill="1" applyBorder="1" applyAlignment="1" applyProtection="1">
      <alignment/>
      <protection hidden="1"/>
    </xf>
    <xf numFmtId="0" fontId="14" fillId="0" borderId="10" xfId="0" applyFont="1" applyFill="1" applyBorder="1" applyAlignment="1" applyProtection="1">
      <alignment/>
      <protection hidden="1"/>
    </xf>
    <xf numFmtId="0" fontId="14" fillId="0" borderId="10" xfId="0" applyFont="1" applyFill="1" applyBorder="1" applyAlignment="1" applyProtection="1">
      <alignment/>
      <protection hidden="1"/>
    </xf>
    <xf numFmtId="37" fontId="11" fillId="0" borderId="0" xfId="0" applyNumberFormat="1" applyFont="1" applyFill="1" applyBorder="1" applyAlignment="1" applyProtection="1">
      <alignment horizontal="left"/>
      <protection hidden="1"/>
    </xf>
    <xf numFmtId="37" fontId="11" fillId="0" borderId="7" xfId="0" applyNumberFormat="1" applyFont="1" applyFill="1" applyBorder="1" applyAlignment="1" applyProtection="1">
      <alignment/>
      <protection hidden="1"/>
    </xf>
    <xf numFmtId="0" fontId="11" fillId="0" borderId="7" xfId="0" applyFont="1" applyFill="1" applyBorder="1" applyAlignment="1" applyProtection="1">
      <alignment horizontal="center"/>
      <protection/>
    </xf>
    <xf numFmtId="0" fontId="14" fillId="5" borderId="0" xfId="0" applyFont="1" applyFill="1" applyBorder="1" applyAlignment="1" applyProtection="1">
      <alignment horizontal="center" wrapText="1"/>
      <protection hidden="1"/>
    </xf>
    <xf numFmtId="189" fontId="14" fillId="7" borderId="0" xfId="0" applyNumberFormat="1" applyFont="1" applyFill="1" applyBorder="1" applyAlignment="1" applyProtection="1">
      <alignment/>
      <protection/>
    </xf>
    <xf numFmtId="0" fontId="14" fillId="3" borderId="5" xfId="0" applyFont="1" applyFill="1" applyBorder="1" applyAlignment="1" applyProtection="1">
      <alignment/>
      <protection hidden="1"/>
    </xf>
    <xf numFmtId="0" fontId="11" fillId="0" borderId="13" xfId="0" applyFont="1" applyFill="1" applyBorder="1" applyAlignment="1" applyProtection="1">
      <alignment/>
      <protection hidden="1"/>
    </xf>
    <xf numFmtId="0" fontId="11" fillId="0" borderId="13" xfId="0" applyFont="1" applyFill="1" applyBorder="1" applyAlignment="1" applyProtection="1">
      <alignment/>
      <protection hidden="1"/>
    </xf>
    <xf numFmtId="187" fontId="11" fillId="0" borderId="13" xfId="35" applyNumberFormat="1" applyFont="1" applyFill="1" applyBorder="1" applyAlignment="1" applyProtection="1">
      <alignment/>
      <protection/>
    </xf>
    <xf numFmtId="0" fontId="11" fillId="0" borderId="10" xfId="0" applyFont="1" applyFill="1" applyBorder="1" applyAlignment="1" applyProtection="1">
      <alignment/>
      <protection hidden="1"/>
    </xf>
    <xf numFmtId="185" fontId="11" fillId="0" borderId="10" xfId="0" applyNumberFormat="1" applyFont="1" applyBorder="1" applyAlignment="1" applyProtection="1">
      <alignment/>
      <protection/>
    </xf>
    <xf numFmtId="4" fontId="11" fillId="0" borderId="14" xfId="0" applyNumberFormat="1" applyFont="1" applyFill="1" applyBorder="1" applyAlignment="1" applyProtection="1">
      <alignment/>
      <protection hidden="1"/>
    </xf>
    <xf numFmtId="0" fontId="11" fillId="0" borderId="5" xfId="0" applyFont="1" applyFill="1" applyBorder="1" applyAlignment="1" applyProtection="1">
      <alignment/>
      <protection hidden="1"/>
    </xf>
    <xf numFmtId="0" fontId="14" fillId="0" borderId="0" xfId="0" applyFont="1" applyFill="1" applyBorder="1" applyAlignment="1" applyProtection="1">
      <alignment horizontal="center" vertical="top"/>
      <protection hidden="1"/>
    </xf>
    <xf numFmtId="0" fontId="11" fillId="0" borderId="0" xfId="0" applyFont="1" applyFill="1" applyBorder="1" applyAlignment="1" applyProtection="1">
      <alignment/>
      <protection/>
    </xf>
    <xf numFmtId="0" fontId="11" fillId="0" borderId="10" xfId="0" applyFont="1" applyFill="1" applyBorder="1" applyAlignment="1" applyProtection="1">
      <alignment/>
      <protection hidden="1"/>
    </xf>
    <xf numFmtId="185" fontId="11" fillId="0" borderId="0" xfId="35" applyNumberFormat="1" applyFont="1" applyFill="1" applyBorder="1" applyAlignment="1" applyProtection="1">
      <alignment/>
      <protection/>
    </xf>
    <xf numFmtId="0" fontId="11" fillId="0" borderId="0" xfId="0" applyFont="1" applyBorder="1" applyAlignment="1">
      <alignment/>
    </xf>
    <xf numFmtId="0" fontId="14" fillId="0" borderId="7" xfId="0" applyFont="1" applyFill="1" applyBorder="1" applyAlignment="1" applyProtection="1">
      <alignment/>
      <protection hidden="1"/>
    </xf>
    <xf numFmtId="37" fontId="11" fillId="0" borderId="5" xfId="0" applyNumberFormat="1" applyFont="1" applyFill="1" applyBorder="1" applyAlignment="1" applyProtection="1">
      <alignment/>
      <protection hidden="1"/>
    </xf>
    <xf numFmtId="0" fontId="11" fillId="0" borderId="0" xfId="0" applyFont="1" applyBorder="1" applyAlignment="1">
      <alignment/>
    </xf>
    <xf numFmtId="0" fontId="11" fillId="0" borderId="0" xfId="0" applyFont="1" applyAlignment="1">
      <alignment/>
    </xf>
    <xf numFmtId="0" fontId="11" fillId="5" borderId="0" xfId="0" applyFont="1" applyFill="1" applyBorder="1" applyAlignment="1" applyProtection="1">
      <alignment/>
      <protection hidden="1"/>
    </xf>
    <xf numFmtId="3" fontId="11" fillId="0" borderId="5" xfId="0" applyNumberFormat="1" applyFont="1" applyBorder="1" applyAlignment="1" applyProtection="1">
      <alignment/>
      <protection hidden="1"/>
    </xf>
    <xf numFmtId="0" fontId="11" fillId="5" borderId="0" xfId="0" applyFont="1" applyFill="1" applyBorder="1" applyAlignment="1" applyProtection="1">
      <alignment/>
      <protection/>
    </xf>
    <xf numFmtId="185" fontId="11" fillId="0" borderId="0" xfId="35" applyNumberFormat="1" applyFont="1" applyFill="1" applyBorder="1" applyAlignment="1" applyProtection="1">
      <alignment/>
      <protection hidden="1"/>
    </xf>
    <xf numFmtId="0" fontId="14" fillId="5" borderId="0" xfId="0" applyFont="1" applyFill="1" applyBorder="1" applyAlignment="1" applyProtection="1">
      <alignment/>
      <protection hidden="1"/>
    </xf>
    <xf numFmtId="0" fontId="14" fillId="0" borderId="0" xfId="0" applyFont="1" applyBorder="1" applyAlignment="1">
      <alignment/>
    </xf>
    <xf numFmtId="0" fontId="11" fillId="0" borderId="0" xfId="0" applyFont="1" applyAlignment="1" applyProtection="1">
      <alignment/>
      <protection/>
    </xf>
    <xf numFmtId="0" fontId="11" fillId="0" borderId="0" xfId="0" applyFont="1" applyAlignment="1" applyProtection="1">
      <alignment/>
      <protection hidden="1"/>
    </xf>
    <xf numFmtId="4" fontId="14" fillId="0" borderId="0" xfId="0" applyNumberFormat="1" applyFont="1" applyFill="1" applyAlignment="1" applyProtection="1">
      <alignment horizontal="center" wrapText="1"/>
      <protection hidden="1"/>
    </xf>
    <xf numFmtId="0" fontId="14" fillId="0" borderId="13" xfId="0" applyFont="1" applyFill="1" applyBorder="1" applyAlignment="1" applyProtection="1">
      <alignment/>
      <protection hidden="1"/>
    </xf>
    <xf numFmtId="185" fontId="14" fillId="3" borderId="10" xfId="0" applyNumberFormat="1" applyFont="1" applyFill="1" applyBorder="1" applyAlignment="1" applyProtection="1">
      <alignment horizontal="right"/>
      <protection/>
    </xf>
    <xf numFmtId="0" fontId="11" fillId="0" borderId="0" xfId="0" applyFont="1" applyFill="1" applyAlignment="1" applyProtection="1">
      <alignment/>
      <protection/>
    </xf>
    <xf numFmtId="0" fontId="11" fillId="0" borderId="7" xfId="0" applyFont="1" applyFill="1" applyBorder="1" applyAlignment="1" applyProtection="1">
      <alignment/>
      <protection/>
    </xf>
    <xf numFmtId="0" fontId="11" fillId="6" borderId="0" xfId="0" applyFont="1" applyFill="1" applyBorder="1" applyAlignment="1" applyProtection="1">
      <alignment/>
      <protection hidden="1"/>
    </xf>
    <xf numFmtId="4" fontId="11" fillId="0" borderId="0" xfId="0" applyNumberFormat="1" applyFont="1" applyFill="1" applyBorder="1" applyAlignment="1" applyProtection="1">
      <alignment/>
      <protection hidden="1"/>
    </xf>
    <xf numFmtId="4" fontId="14" fillId="0" borderId="0" xfId="0" applyNumberFormat="1" applyFont="1" applyFill="1" applyAlignment="1" applyProtection="1">
      <alignment/>
      <protection hidden="1"/>
    </xf>
    <xf numFmtId="185" fontId="11" fillId="0" borderId="0" xfId="0" applyNumberFormat="1" applyFont="1" applyFill="1" applyAlignment="1" applyProtection="1">
      <alignment/>
      <protection hidden="1"/>
    </xf>
    <xf numFmtId="185" fontId="11" fillId="6" borderId="15" xfId="35" applyNumberFormat="1" applyFont="1" applyFill="1" applyBorder="1" applyAlignment="1" applyProtection="1">
      <alignment/>
      <protection hidden="1"/>
    </xf>
    <xf numFmtId="2" fontId="11" fillId="0" borderId="0" xfId="0" applyNumberFormat="1" applyFont="1" applyAlignment="1">
      <alignment/>
    </xf>
    <xf numFmtId="4" fontId="11" fillId="0" borderId="0" xfId="0" applyNumberFormat="1" applyFont="1" applyAlignment="1">
      <alignment/>
    </xf>
    <xf numFmtId="185" fontId="11" fillId="6" borderId="0" xfId="35" applyNumberFormat="1" applyFont="1" applyFill="1" applyBorder="1" applyAlignment="1" applyProtection="1">
      <alignment/>
      <protection hidden="1"/>
    </xf>
    <xf numFmtId="0" fontId="11" fillId="0" borderId="7" xfId="0" applyFont="1" applyBorder="1" applyAlignment="1">
      <alignment/>
    </xf>
    <xf numFmtId="0" fontId="11" fillId="0" borderId="13" xfId="0" applyFont="1" applyBorder="1" applyAlignment="1">
      <alignment/>
    </xf>
    <xf numFmtId="185" fontId="11" fillId="0" borderId="9" xfId="0" applyNumberFormat="1" applyFont="1" applyBorder="1" applyAlignment="1" applyProtection="1">
      <alignment/>
      <protection/>
    </xf>
    <xf numFmtId="0" fontId="11" fillId="0" borderId="0" xfId="0" applyFont="1" applyAlignment="1" applyProtection="1">
      <alignment/>
      <protection hidden="1"/>
    </xf>
    <xf numFmtId="0" fontId="11" fillId="5" borderId="0" xfId="0" applyFont="1" applyFill="1" applyBorder="1" applyAlignment="1">
      <alignment horizontal="center"/>
    </xf>
    <xf numFmtId="0" fontId="11" fillId="0" borderId="0" xfId="0" applyFont="1" applyBorder="1" applyAlignment="1" applyProtection="1">
      <alignment/>
      <protection hidden="1"/>
    </xf>
    <xf numFmtId="0" fontId="11" fillId="6" borderId="0" xfId="0" applyFont="1" applyFill="1" applyBorder="1" applyAlignment="1" applyProtection="1">
      <alignment/>
      <protection hidden="1"/>
    </xf>
    <xf numFmtId="0" fontId="11" fillId="0" borderId="9" xfId="0" applyFont="1" applyBorder="1" applyAlignment="1">
      <alignment/>
    </xf>
    <xf numFmtId="0" fontId="11" fillId="0" borderId="0" xfId="0" applyNumberFormat="1" applyFont="1" applyAlignment="1">
      <alignment/>
    </xf>
    <xf numFmtId="3" fontId="11" fillId="0" borderId="9" xfId="0" applyNumberFormat="1" applyFont="1" applyBorder="1" applyAlignment="1">
      <alignment/>
    </xf>
    <xf numFmtId="0" fontId="11" fillId="0" borderId="0" xfId="0" applyFont="1" applyFill="1" applyBorder="1" applyAlignment="1">
      <alignment/>
    </xf>
    <xf numFmtId="185" fontId="11" fillId="6" borderId="0" xfId="0" applyNumberFormat="1" applyFont="1" applyFill="1" applyBorder="1" applyAlignment="1" applyProtection="1">
      <alignment/>
      <protection hidden="1"/>
    </xf>
    <xf numFmtId="40" fontId="11" fillId="0" borderId="9" xfId="20" applyNumberFormat="1" applyFont="1" applyBorder="1" applyAlignment="1">
      <alignment vertical="center" wrapText="1"/>
    </xf>
    <xf numFmtId="40" fontId="11" fillId="0" borderId="0" xfId="20" applyNumberFormat="1" applyFont="1" applyBorder="1" applyAlignment="1">
      <alignment vertical="center" wrapText="1"/>
    </xf>
    <xf numFmtId="40" fontId="11" fillId="0" borderId="0" xfId="20" applyNumberFormat="1" applyFont="1" applyBorder="1" applyAlignment="1">
      <alignment horizontal="right" vertical="center" wrapText="1"/>
    </xf>
    <xf numFmtId="0" fontId="11" fillId="0" borderId="0" xfId="0" applyFont="1" applyFill="1" applyAlignment="1">
      <alignment/>
    </xf>
    <xf numFmtId="0" fontId="11" fillId="0" borderId="0" xfId="0" applyFont="1" applyFill="1" applyBorder="1" applyAlignment="1">
      <alignment/>
    </xf>
    <xf numFmtId="0" fontId="14" fillId="0" borderId="0" xfId="0" applyFont="1" applyAlignment="1">
      <alignment/>
    </xf>
    <xf numFmtId="0" fontId="14" fillId="0" borderId="0" xfId="0" applyFont="1" applyBorder="1" applyAlignment="1" applyProtection="1">
      <alignment/>
      <protection/>
    </xf>
    <xf numFmtId="0" fontId="14" fillId="0" borderId="0" xfId="0" applyFont="1" applyAlignment="1" applyProtection="1">
      <alignment/>
      <protection/>
    </xf>
    <xf numFmtId="0" fontId="14" fillId="0" borderId="0" xfId="0" applyFont="1" applyAlignment="1" applyProtection="1">
      <alignment/>
      <protection/>
    </xf>
    <xf numFmtId="0" fontId="11" fillId="0" borderId="0" xfId="0" applyFont="1" applyAlignment="1" applyProtection="1">
      <alignment/>
      <protection/>
    </xf>
    <xf numFmtId="0" fontId="11" fillId="0" borderId="0" xfId="0" applyFont="1" applyBorder="1" applyAlignment="1" applyProtection="1">
      <alignment/>
      <protection/>
    </xf>
    <xf numFmtId="0" fontId="11" fillId="0" borderId="16" xfId="0" applyFont="1" applyBorder="1" applyAlignment="1" applyProtection="1">
      <alignment vertical="center"/>
      <protection/>
    </xf>
    <xf numFmtId="37" fontId="11" fillId="0" borderId="16" xfId="0" applyNumberFormat="1" applyFont="1" applyBorder="1" applyAlignment="1" applyProtection="1">
      <alignment/>
      <protection/>
    </xf>
    <xf numFmtId="0" fontId="11" fillId="0" borderId="0" xfId="0" applyFont="1" applyBorder="1" applyAlignment="1" applyProtection="1">
      <alignment/>
      <protection/>
    </xf>
    <xf numFmtId="0" fontId="11" fillId="0" borderId="16" xfId="0" applyFont="1" applyBorder="1" applyAlignment="1" applyProtection="1">
      <alignment/>
      <protection/>
    </xf>
    <xf numFmtId="0" fontId="11" fillId="0" borderId="17" xfId="0" applyFont="1" applyBorder="1" applyAlignment="1" applyProtection="1">
      <alignment/>
      <protection/>
    </xf>
    <xf numFmtId="0" fontId="11" fillId="0" borderId="18" xfId="0" applyFont="1" applyBorder="1" applyAlignment="1" applyProtection="1">
      <alignment vertical="center"/>
      <protection/>
    </xf>
    <xf numFmtId="191" fontId="11" fillId="0" borderId="0" xfId="0" applyNumberFormat="1" applyFont="1" applyAlignment="1" applyProtection="1">
      <alignment/>
      <protection locked="0"/>
    </xf>
    <xf numFmtId="0" fontId="14" fillId="0" borderId="0" xfId="0" applyFont="1" applyBorder="1" applyAlignment="1" applyProtection="1">
      <alignment vertical="center"/>
      <protection/>
    </xf>
    <xf numFmtId="0" fontId="14" fillId="0" borderId="0" xfId="0" applyFont="1" applyBorder="1" applyAlignment="1" applyProtection="1">
      <alignment horizontal="center" wrapText="1"/>
      <protection/>
    </xf>
    <xf numFmtId="0" fontId="11" fillId="0" borderId="0" xfId="0" applyFont="1" applyAlignment="1" applyProtection="1">
      <alignment horizontal="justify" wrapText="1"/>
      <protection/>
    </xf>
    <xf numFmtId="0" fontId="11" fillId="0" borderId="19" xfId="0" applyFont="1" applyBorder="1" applyAlignment="1" applyProtection="1">
      <alignment/>
      <protection/>
    </xf>
    <xf numFmtId="0" fontId="14" fillId="0" borderId="20" xfId="0" applyFont="1" applyBorder="1" applyAlignment="1" applyProtection="1">
      <alignment/>
      <protection/>
    </xf>
    <xf numFmtId="0" fontId="11" fillId="0" borderId="20" xfId="0" applyFont="1" applyBorder="1" applyAlignment="1" applyProtection="1">
      <alignment/>
      <protection/>
    </xf>
    <xf numFmtId="0" fontId="11" fillId="0" borderId="20" xfId="0" applyFont="1" applyBorder="1" applyAlignment="1" applyProtection="1">
      <alignment/>
      <protection/>
    </xf>
    <xf numFmtId="0" fontId="11" fillId="0" borderId="21" xfId="0" applyFont="1" applyBorder="1" applyAlignment="1" applyProtection="1">
      <alignment/>
      <protection/>
    </xf>
    <xf numFmtId="0" fontId="11" fillId="0" borderId="3" xfId="0" applyFont="1" applyBorder="1" applyAlignment="1">
      <alignment horizontal="right"/>
    </xf>
    <xf numFmtId="0" fontId="11" fillId="0" borderId="3" xfId="0" applyFont="1" applyBorder="1" applyAlignment="1">
      <alignment/>
    </xf>
    <xf numFmtId="0" fontId="11" fillId="0" borderId="22" xfId="0" applyFont="1" applyBorder="1" applyAlignment="1" applyProtection="1">
      <alignment/>
      <protection/>
    </xf>
    <xf numFmtId="0" fontId="11" fillId="0" borderId="23" xfId="0" applyFont="1" applyBorder="1" applyAlignment="1" applyProtection="1">
      <alignment/>
      <protection/>
    </xf>
    <xf numFmtId="0" fontId="11" fillId="0" borderId="2" xfId="0" applyFont="1" applyBorder="1" applyAlignment="1">
      <alignment horizontal="right"/>
    </xf>
    <xf numFmtId="0" fontId="11" fillId="0" borderId="2" xfId="0" applyFont="1" applyBorder="1" applyAlignment="1">
      <alignment/>
    </xf>
    <xf numFmtId="0" fontId="11" fillId="0" borderId="24" xfId="0" applyFont="1" applyBorder="1" applyAlignment="1">
      <alignment horizontal="right"/>
    </xf>
    <xf numFmtId="0" fontId="11" fillId="0" borderId="24" xfId="0" applyFont="1" applyBorder="1" applyAlignment="1">
      <alignment/>
    </xf>
    <xf numFmtId="193" fontId="11" fillId="0" borderId="3" xfId="0" applyNumberFormat="1" applyFont="1" applyBorder="1" applyAlignment="1">
      <alignment/>
    </xf>
    <xf numFmtId="1" fontId="11" fillId="0" borderId="3" xfId="0" applyNumberFormat="1" applyFont="1" applyBorder="1" applyAlignment="1">
      <alignment/>
    </xf>
    <xf numFmtId="0" fontId="11" fillId="0" borderId="0" xfId="0" applyFont="1" applyBorder="1" applyAlignment="1" applyProtection="1">
      <alignment vertical="top" wrapText="1"/>
      <protection/>
    </xf>
    <xf numFmtId="0" fontId="11" fillId="0" borderId="23" xfId="0" applyFont="1" applyBorder="1" applyAlignment="1" applyProtection="1">
      <alignment/>
      <protection/>
    </xf>
    <xf numFmtId="193" fontId="11" fillId="0" borderId="25" xfId="0" applyNumberFormat="1" applyFont="1" applyBorder="1" applyAlignment="1">
      <alignment/>
    </xf>
    <xf numFmtId="1" fontId="11" fillId="0" borderId="25" xfId="0" applyNumberFormat="1" applyFont="1" applyBorder="1" applyAlignment="1">
      <alignment/>
    </xf>
    <xf numFmtId="0" fontId="11" fillId="0" borderId="26" xfId="0" applyFont="1" applyFill="1" applyBorder="1" applyAlignment="1" applyProtection="1">
      <alignment/>
      <protection/>
    </xf>
    <xf numFmtId="0" fontId="11" fillId="0" borderId="27" xfId="0" applyFont="1" applyFill="1" applyBorder="1" applyAlignment="1" applyProtection="1">
      <alignment/>
      <protection/>
    </xf>
    <xf numFmtId="0" fontId="11" fillId="0" borderId="27" xfId="0" applyFont="1" applyFill="1" applyBorder="1" applyAlignment="1" applyProtection="1">
      <alignment vertical="top" wrapText="1"/>
      <protection/>
    </xf>
    <xf numFmtId="0" fontId="11" fillId="0" borderId="27" xfId="0" applyFont="1" applyFill="1" applyBorder="1" applyAlignment="1" applyProtection="1">
      <alignment vertical="top"/>
      <protection/>
    </xf>
    <xf numFmtId="0" fontId="11" fillId="0" borderId="28" xfId="0" applyFont="1" applyFill="1" applyBorder="1" applyAlignment="1" applyProtection="1">
      <alignment/>
      <protection/>
    </xf>
    <xf numFmtId="0" fontId="11" fillId="0" borderId="0" xfId="0" applyFont="1" applyFill="1" applyBorder="1" applyAlignment="1" applyProtection="1">
      <alignment vertical="top" wrapText="1"/>
      <protection/>
    </xf>
    <xf numFmtId="0" fontId="11" fillId="0" borderId="0" xfId="0" applyFont="1" applyFill="1" applyBorder="1" applyAlignment="1" applyProtection="1">
      <alignment vertical="top"/>
      <protection/>
    </xf>
    <xf numFmtId="191" fontId="11" fillId="8" borderId="3" xfId="0" applyNumberFormat="1" applyFont="1" applyFill="1" applyBorder="1" applyAlignment="1">
      <alignment/>
    </xf>
    <xf numFmtId="191" fontId="11" fillId="0" borderId="0" xfId="0" applyNumberFormat="1" applyFont="1" applyFill="1" applyBorder="1" applyAlignment="1" applyProtection="1">
      <alignment/>
      <protection/>
    </xf>
    <xf numFmtId="0" fontId="11" fillId="0" borderId="18" xfId="0" applyFont="1" applyBorder="1" applyAlignment="1">
      <alignment/>
    </xf>
    <xf numFmtId="0" fontId="11" fillId="0" borderId="17" xfId="0" applyFont="1" applyBorder="1" applyAlignment="1">
      <alignment/>
    </xf>
    <xf numFmtId="191" fontId="11" fillId="0" borderId="3" xfId="0" applyNumberFormat="1" applyFont="1" applyBorder="1" applyAlignment="1">
      <alignment horizontal="center"/>
    </xf>
    <xf numFmtId="1" fontId="11" fillId="0" borderId="3" xfId="0" applyNumberFormat="1" applyFont="1" applyBorder="1" applyAlignment="1">
      <alignment horizontal="center"/>
    </xf>
    <xf numFmtId="0" fontId="14" fillId="0" borderId="29" xfId="0" applyFont="1" applyBorder="1" applyAlignment="1" applyProtection="1">
      <alignment/>
      <protection/>
    </xf>
    <xf numFmtId="0" fontId="11" fillId="0" borderId="30" xfId="0" applyFont="1" applyBorder="1" applyAlignment="1">
      <alignment/>
    </xf>
    <xf numFmtId="0" fontId="14" fillId="0" borderId="18" xfId="0" applyFont="1" applyBorder="1" applyAlignment="1" applyProtection="1">
      <alignment vertical="center"/>
      <protection/>
    </xf>
    <xf numFmtId="0" fontId="11" fillId="0" borderId="17" xfId="0" applyFont="1" applyBorder="1" applyAlignment="1" applyProtection="1">
      <alignment vertical="center"/>
      <protection/>
    </xf>
    <xf numFmtId="37" fontId="11" fillId="0" borderId="18" xfId="0" applyNumberFormat="1" applyFont="1" applyFill="1" applyBorder="1" applyAlignment="1" applyProtection="1">
      <alignment vertical="center"/>
      <protection locked="0"/>
    </xf>
    <xf numFmtId="37" fontId="11" fillId="0" borderId="31" xfId="0" applyNumberFormat="1" applyFont="1" applyFill="1" applyBorder="1" applyAlignment="1" applyProtection="1">
      <alignment vertical="center"/>
      <protection locked="0"/>
    </xf>
    <xf numFmtId="0" fontId="11" fillId="0" borderId="0" xfId="0" applyFont="1" applyBorder="1" applyAlignment="1" applyProtection="1">
      <alignment vertical="center"/>
      <protection/>
    </xf>
    <xf numFmtId="0" fontId="11" fillId="0" borderId="32" xfId="0" applyFont="1" applyBorder="1" applyAlignment="1" applyProtection="1">
      <alignment/>
      <protection/>
    </xf>
    <xf numFmtId="0" fontId="11" fillId="0" borderId="33" xfId="0" applyFont="1" applyBorder="1" applyAlignment="1">
      <alignment/>
    </xf>
    <xf numFmtId="0" fontId="11" fillId="0" borderId="25" xfId="0" applyFont="1" applyBorder="1" applyAlignment="1" applyProtection="1">
      <alignment vertical="center"/>
      <protection/>
    </xf>
    <xf numFmtId="1" fontId="11" fillId="0" borderId="3" xfId="0" applyNumberFormat="1" applyFont="1" applyFill="1" applyBorder="1" applyAlignment="1" applyProtection="1">
      <alignment horizontal="left" vertical="center"/>
      <protection locked="0"/>
    </xf>
    <xf numFmtId="0" fontId="14" fillId="0" borderId="18" xfId="0" applyFont="1" applyBorder="1" applyAlignment="1" applyProtection="1">
      <alignment/>
      <protection/>
    </xf>
    <xf numFmtId="0" fontId="11" fillId="0" borderId="31" xfId="0" applyFont="1" applyBorder="1" applyAlignment="1">
      <alignment/>
    </xf>
    <xf numFmtId="0" fontId="11" fillId="0" borderId="34" xfId="0" applyFont="1" applyBorder="1" applyAlignment="1" applyProtection="1">
      <alignment vertical="center"/>
      <protection/>
    </xf>
    <xf numFmtId="0" fontId="11" fillId="0" borderId="35" xfId="0" applyFont="1" applyBorder="1" applyAlignment="1" applyProtection="1">
      <alignment vertical="center"/>
      <protection/>
    </xf>
    <xf numFmtId="0" fontId="14" fillId="0" borderId="36" xfId="0" applyFont="1" applyBorder="1" applyAlignment="1" applyProtection="1">
      <alignment vertical="center"/>
      <protection/>
    </xf>
    <xf numFmtId="0" fontId="11" fillId="0" borderId="0" xfId="0" applyFont="1" applyAlignment="1" applyProtection="1">
      <alignment vertical="center"/>
      <protection/>
    </xf>
    <xf numFmtId="0" fontId="14" fillId="0" borderId="37" xfId="0" applyFont="1" applyBorder="1" applyAlignment="1" applyProtection="1">
      <alignment vertical="center"/>
      <protection/>
    </xf>
    <xf numFmtId="0" fontId="14" fillId="0" borderId="25" xfId="0" applyFont="1" applyBorder="1" applyAlignment="1" applyProtection="1">
      <alignment vertical="center"/>
      <protection/>
    </xf>
    <xf numFmtId="0" fontId="11" fillId="0" borderId="38" xfId="0" applyFont="1" applyBorder="1" applyAlignment="1" applyProtection="1">
      <alignment vertical="center"/>
      <protection/>
    </xf>
    <xf numFmtId="0" fontId="11" fillId="0" borderId="39" xfId="0" applyFont="1" applyBorder="1" applyAlignment="1" applyProtection="1">
      <alignment vertical="center"/>
      <protection/>
    </xf>
    <xf numFmtId="185" fontId="11" fillId="0" borderId="40" xfId="0" applyNumberFormat="1" applyFont="1" applyBorder="1" applyAlignment="1" applyProtection="1">
      <alignment/>
      <protection locked="0"/>
    </xf>
    <xf numFmtId="0" fontId="11" fillId="0" borderId="41" xfId="0" applyFont="1" applyBorder="1" applyAlignment="1" applyProtection="1">
      <alignment vertical="center"/>
      <protection/>
    </xf>
    <xf numFmtId="0" fontId="11" fillId="0" borderId="7" xfId="0" applyFont="1" applyBorder="1" applyAlignment="1" applyProtection="1">
      <alignment vertical="center"/>
      <protection/>
    </xf>
    <xf numFmtId="0" fontId="11" fillId="0" borderId="36" xfId="0" applyFont="1" applyBorder="1" applyAlignment="1" applyProtection="1">
      <alignment vertical="center"/>
      <protection/>
    </xf>
    <xf numFmtId="0" fontId="14" fillId="0" borderId="29" xfId="0" applyFont="1" applyBorder="1" applyAlignment="1" applyProtection="1">
      <alignment vertical="center"/>
      <protection/>
    </xf>
    <xf numFmtId="0" fontId="11" fillId="0" borderId="42" xfId="0" applyFont="1" applyBorder="1" applyAlignment="1" applyProtection="1">
      <alignment vertical="center"/>
      <protection/>
    </xf>
    <xf numFmtId="0" fontId="11" fillId="0" borderId="43" xfId="0" applyFont="1" applyBorder="1" applyAlignment="1" applyProtection="1">
      <alignment vertical="center"/>
      <protection/>
    </xf>
    <xf numFmtId="185" fontId="14" fillId="0" borderId="36" xfId="0" applyNumberFormat="1" applyFont="1" applyFill="1" applyBorder="1" applyAlignment="1" applyProtection="1">
      <alignment vertical="center"/>
      <protection/>
    </xf>
    <xf numFmtId="37" fontId="11" fillId="0" borderId="0" xfId="0" applyNumberFormat="1" applyFont="1" applyFill="1" applyBorder="1" applyAlignment="1" applyProtection="1">
      <alignment vertical="center"/>
      <protection/>
    </xf>
    <xf numFmtId="37" fontId="11" fillId="0" borderId="35" xfId="0" applyNumberFormat="1" applyFont="1" applyFill="1" applyBorder="1" applyAlignment="1" applyProtection="1">
      <alignment vertical="center"/>
      <protection/>
    </xf>
    <xf numFmtId="185" fontId="19" fillId="0" borderId="36" xfId="0" applyNumberFormat="1" applyFont="1" applyFill="1" applyBorder="1" applyAlignment="1" applyProtection="1">
      <alignment vertical="center"/>
      <protection hidden="1"/>
    </xf>
    <xf numFmtId="37" fontId="11" fillId="0" borderId="35" xfId="0" applyNumberFormat="1" applyFont="1" applyFill="1" applyBorder="1" applyAlignment="1" applyProtection="1">
      <alignment horizontal="right" vertical="center"/>
      <protection/>
    </xf>
    <xf numFmtId="37" fontId="11" fillId="0" borderId="44" xfId="0" applyNumberFormat="1" applyFont="1" applyFill="1" applyBorder="1" applyAlignment="1" applyProtection="1">
      <alignment vertical="center"/>
      <protection/>
    </xf>
    <xf numFmtId="37" fontId="11" fillId="0" borderId="33" xfId="0" applyNumberFormat="1" applyFont="1" applyFill="1" applyBorder="1" applyAlignment="1" applyProtection="1">
      <alignment vertical="center"/>
      <protection/>
    </xf>
    <xf numFmtId="0" fontId="11" fillId="0" borderId="18" xfId="0" applyFont="1" applyBorder="1" applyAlignment="1">
      <alignment/>
    </xf>
    <xf numFmtId="0" fontId="11" fillId="0" borderId="17" xfId="0" applyFont="1" applyBorder="1" applyAlignment="1">
      <alignment/>
    </xf>
    <xf numFmtId="3" fontId="14" fillId="0" borderId="3" xfId="0" applyNumberFormat="1" applyFont="1" applyBorder="1" applyAlignment="1" applyProtection="1">
      <alignment horizontal="right"/>
      <protection hidden="1"/>
    </xf>
    <xf numFmtId="3" fontId="14" fillId="0" borderId="0" xfId="0" applyNumberFormat="1" applyFont="1" applyAlignment="1">
      <alignment horizontal="left"/>
    </xf>
    <xf numFmtId="0" fontId="11" fillId="0" borderId="0" xfId="0" applyFont="1" applyBorder="1" applyAlignment="1">
      <alignment horizontal="center"/>
    </xf>
    <xf numFmtId="37" fontId="14" fillId="9" borderId="0" xfId="0" applyNumberFormat="1" applyFont="1" applyFill="1" applyBorder="1" applyAlignment="1" applyProtection="1">
      <alignment horizontal="center" vertical="center"/>
      <protection hidden="1"/>
    </xf>
    <xf numFmtId="0" fontId="14" fillId="0" borderId="0" xfId="0" applyFont="1" applyBorder="1" applyAlignment="1">
      <alignment horizontal="center"/>
    </xf>
    <xf numFmtId="193" fontId="11" fillId="0" borderId="0" xfId="0" applyNumberFormat="1" applyFont="1" applyBorder="1" applyAlignment="1">
      <alignment/>
    </xf>
    <xf numFmtId="1" fontId="11" fillId="0" borderId="0" xfId="0" applyNumberFormat="1" applyFont="1" applyBorder="1" applyAlignment="1">
      <alignment/>
    </xf>
    <xf numFmtId="0" fontId="17" fillId="0" borderId="0" xfId="0" applyFont="1" applyBorder="1" applyAlignment="1" applyProtection="1">
      <alignment vertical="top"/>
      <protection/>
    </xf>
    <xf numFmtId="0" fontId="18" fillId="0" borderId="0" xfId="0" applyFont="1" applyBorder="1" applyAlignment="1" applyProtection="1">
      <alignment vertical="top" wrapText="1"/>
      <protection/>
    </xf>
    <xf numFmtId="0" fontId="14" fillId="0" borderId="0" xfId="0" applyFont="1" applyAlignment="1" applyProtection="1">
      <alignment/>
      <protection hidden="1"/>
    </xf>
    <xf numFmtId="0" fontId="15" fillId="0" borderId="17" xfId="0" applyFont="1" applyBorder="1" applyAlignment="1" applyProtection="1">
      <alignment horizontal="center" vertical="center"/>
      <protection/>
    </xf>
    <xf numFmtId="0" fontId="11" fillId="0" borderId="0" xfId="0" applyFont="1" applyAlignment="1">
      <alignment/>
    </xf>
    <xf numFmtId="0" fontId="11" fillId="0" borderId="16" xfId="0" applyFont="1" applyBorder="1" applyAlignment="1">
      <alignment/>
    </xf>
    <xf numFmtId="0" fontId="14" fillId="0" borderId="0" xfId="0" applyFont="1" applyAlignment="1">
      <alignment horizontal="left"/>
    </xf>
    <xf numFmtId="0" fontId="11" fillId="0" borderId="0" xfId="0" applyFont="1" applyBorder="1" applyAlignment="1" applyProtection="1">
      <alignment horizontal="left"/>
      <protection/>
    </xf>
    <xf numFmtId="0" fontId="14" fillId="0" borderId="37" xfId="0" applyFont="1" applyBorder="1" applyAlignment="1" applyProtection="1">
      <alignment/>
      <protection hidden="1"/>
    </xf>
    <xf numFmtId="0" fontId="14" fillId="0" borderId="25" xfId="0" applyFont="1" applyBorder="1" applyAlignment="1" applyProtection="1">
      <alignment/>
      <protection hidden="1"/>
    </xf>
    <xf numFmtId="0" fontId="14" fillId="0" borderId="30" xfId="0" applyFont="1" applyBorder="1" applyAlignment="1" applyProtection="1">
      <alignment/>
      <protection hidden="1"/>
    </xf>
    <xf numFmtId="0" fontId="14" fillId="0" borderId="34" xfId="0" applyFont="1" applyBorder="1" applyAlignment="1" applyProtection="1">
      <alignment/>
      <protection hidden="1"/>
    </xf>
    <xf numFmtId="0" fontId="14" fillId="0" borderId="16" xfId="0" applyFont="1" applyBorder="1" applyAlignment="1" applyProtection="1">
      <alignment/>
      <protection hidden="1"/>
    </xf>
    <xf numFmtId="0" fontId="11" fillId="0" borderId="45" xfId="0" applyFont="1" applyBorder="1" applyAlignment="1" applyProtection="1">
      <alignment vertical="top" wrapText="1"/>
      <protection hidden="1"/>
    </xf>
    <xf numFmtId="0" fontId="11" fillId="0" borderId="18" xfId="0" applyFont="1" applyBorder="1" applyAlignment="1" applyProtection="1">
      <alignment/>
      <protection hidden="1"/>
    </xf>
    <xf numFmtId="0" fontId="11" fillId="0" borderId="17" xfId="0" applyFont="1" applyBorder="1" applyAlignment="1" applyProtection="1">
      <alignment/>
      <protection hidden="1"/>
    </xf>
    <xf numFmtId="0" fontId="19" fillId="0" borderId="31" xfId="0" applyFont="1" applyBorder="1" applyAlignment="1" applyProtection="1">
      <alignment/>
      <protection hidden="1"/>
    </xf>
    <xf numFmtId="0" fontId="11" fillId="0" borderId="46" xfId="0" applyFont="1" applyBorder="1" applyAlignment="1" applyProtection="1">
      <alignment/>
      <protection hidden="1"/>
    </xf>
    <xf numFmtId="0" fontId="14" fillId="0" borderId="46" xfId="0" applyFont="1" applyBorder="1" applyAlignment="1" applyProtection="1">
      <alignment/>
      <protection hidden="1"/>
    </xf>
    <xf numFmtId="0" fontId="11" fillId="0" borderId="46" xfId="0" applyFont="1" applyBorder="1" applyAlignment="1" applyProtection="1">
      <alignment vertical="top" wrapText="1"/>
      <protection hidden="1"/>
    </xf>
    <xf numFmtId="0" fontId="14" fillId="0" borderId="46" xfId="0" applyFont="1" applyBorder="1" applyAlignment="1" applyProtection="1">
      <alignment vertical="top" wrapText="1"/>
      <protection hidden="1"/>
    </xf>
    <xf numFmtId="1" fontId="11" fillId="0" borderId="0" xfId="0" applyNumberFormat="1" applyFont="1" applyBorder="1" applyAlignment="1" applyProtection="1">
      <alignment/>
      <protection hidden="1"/>
    </xf>
    <xf numFmtId="1" fontId="11" fillId="0" borderId="0" xfId="0" applyNumberFormat="1" applyFont="1" applyAlignment="1" applyProtection="1">
      <alignment/>
      <protection hidden="1"/>
    </xf>
    <xf numFmtId="191" fontId="11" fillId="0" borderId="0" xfId="0" applyNumberFormat="1" applyFont="1" applyFill="1" applyAlignment="1" applyProtection="1">
      <alignment/>
      <protection hidden="1"/>
    </xf>
    <xf numFmtId="194" fontId="11" fillId="0" borderId="0" xfId="0" applyNumberFormat="1" applyFont="1" applyAlignment="1" applyProtection="1">
      <alignment/>
      <protection hidden="1"/>
    </xf>
    <xf numFmtId="0" fontId="14" fillId="0" borderId="0" xfId="0" applyFont="1" applyBorder="1" applyAlignment="1" applyProtection="1">
      <alignment/>
      <protection hidden="1"/>
    </xf>
    <xf numFmtId="0" fontId="11" fillId="0" borderId="47" xfId="0" applyFont="1" applyBorder="1" applyAlignment="1" applyProtection="1">
      <alignment/>
      <protection hidden="1"/>
    </xf>
    <xf numFmtId="0" fontId="14" fillId="0" borderId="0" xfId="0" applyFont="1" applyFill="1" applyAlignment="1" applyProtection="1">
      <alignment horizontal="left" vertical="center"/>
      <protection hidden="1"/>
    </xf>
    <xf numFmtId="185" fontId="11" fillId="0" borderId="15" xfId="35" applyNumberFormat="1" applyFont="1" applyFill="1" applyBorder="1" applyAlignment="1" applyProtection="1">
      <alignment/>
      <protection hidden="1"/>
    </xf>
    <xf numFmtId="0" fontId="14" fillId="3" borderId="18" xfId="0" applyFont="1" applyFill="1" applyBorder="1" applyAlignment="1" applyProtection="1">
      <alignment vertical="center"/>
      <protection hidden="1"/>
    </xf>
    <xf numFmtId="0" fontId="14" fillId="3" borderId="17" xfId="0" applyFont="1" applyFill="1" applyBorder="1" applyAlignment="1" applyProtection="1">
      <alignment vertical="center"/>
      <protection hidden="1" locked="0"/>
    </xf>
    <xf numFmtId="0" fontId="14" fillId="3" borderId="17" xfId="0" applyFont="1" applyFill="1" applyBorder="1" applyAlignment="1" applyProtection="1">
      <alignment vertical="center"/>
      <protection hidden="1"/>
    </xf>
    <xf numFmtId="0" fontId="14" fillId="3" borderId="31" xfId="0" applyFont="1" applyFill="1" applyBorder="1" applyAlignment="1" applyProtection="1">
      <alignment vertical="center"/>
      <protection hidden="1"/>
    </xf>
    <xf numFmtId="14" fontId="11" fillId="0" borderId="0" xfId="0" applyNumberFormat="1" applyFont="1" applyFill="1" applyAlignment="1" applyProtection="1">
      <alignment horizontal="left"/>
      <protection hidden="1"/>
    </xf>
    <xf numFmtId="4" fontId="11" fillId="0" borderId="0" xfId="0" applyNumberFormat="1" applyFont="1" applyAlignment="1" applyProtection="1">
      <alignment/>
      <protection hidden="1"/>
    </xf>
    <xf numFmtId="0" fontId="11" fillId="5" borderId="0" xfId="0" applyFont="1" applyFill="1" applyBorder="1" applyAlignment="1">
      <alignment horizontal="center" wrapText="1"/>
    </xf>
    <xf numFmtId="0" fontId="11" fillId="5" borderId="0" xfId="0" applyFont="1" applyFill="1" applyBorder="1" applyAlignment="1">
      <alignment/>
    </xf>
    <xf numFmtId="0" fontId="11" fillId="5" borderId="0" xfId="0" applyFont="1" applyFill="1" applyBorder="1" applyAlignment="1">
      <alignment/>
    </xf>
    <xf numFmtId="2" fontId="11" fillId="0" borderId="0" xfId="0" applyNumberFormat="1" applyFont="1" applyBorder="1" applyAlignment="1">
      <alignment/>
    </xf>
    <xf numFmtId="0" fontId="11" fillId="0" borderId="0" xfId="0" applyFont="1" applyBorder="1" applyAlignment="1" applyProtection="1">
      <alignment horizontal="center"/>
      <protection hidden="1"/>
    </xf>
    <xf numFmtId="0" fontId="11" fillId="0" borderId="0" xfId="0" applyFont="1" applyAlignment="1">
      <alignment horizontal="left"/>
    </xf>
    <xf numFmtId="185" fontId="11" fillId="0" borderId="0" xfId="0" applyNumberFormat="1" applyFont="1" applyBorder="1" applyAlignment="1">
      <alignment/>
    </xf>
    <xf numFmtId="4" fontId="14" fillId="0" borderId="0" xfId="0" applyNumberFormat="1" applyFont="1" applyFill="1" applyAlignment="1" applyProtection="1">
      <alignment horizontal="left"/>
      <protection hidden="1"/>
    </xf>
    <xf numFmtId="0" fontId="11" fillId="3" borderId="7" xfId="0" applyFont="1" applyFill="1" applyBorder="1" applyAlignment="1">
      <alignment/>
    </xf>
    <xf numFmtId="189" fontId="11" fillId="5" borderId="0" xfId="0" applyNumberFormat="1" applyFont="1" applyFill="1" applyBorder="1" applyAlignment="1">
      <alignment/>
    </xf>
    <xf numFmtId="0" fontId="11" fillId="0" borderId="10" xfId="0" applyFont="1" applyBorder="1" applyAlignment="1">
      <alignment/>
    </xf>
    <xf numFmtId="185" fontId="11" fillId="0" borderId="0" xfId="0" applyNumberFormat="1" applyFont="1" applyAlignment="1">
      <alignment/>
    </xf>
    <xf numFmtId="0" fontId="12" fillId="0" borderId="0" xfId="0" applyFont="1" applyBorder="1" applyAlignment="1">
      <alignment/>
    </xf>
    <xf numFmtId="0" fontId="12" fillId="0" borderId="0" xfId="0" applyFont="1" applyFill="1" applyBorder="1" applyAlignment="1" applyProtection="1">
      <alignment/>
      <protection hidden="1"/>
    </xf>
    <xf numFmtId="0" fontId="15" fillId="0" borderId="0" xfId="0" applyFont="1" applyFill="1" applyAlignment="1" applyProtection="1">
      <alignment/>
      <protection hidden="1"/>
    </xf>
    <xf numFmtId="0" fontId="18" fillId="3" borderId="6" xfId="0" applyFont="1" applyFill="1" applyBorder="1" applyAlignment="1" applyProtection="1">
      <alignment horizontal="center"/>
      <protection hidden="1"/>
    </xf>
    <xf numFmtId="0" fontId="18" fillId="3" borderId="8" xfId="0" applyFont="1" applyFill="1" applyBorder="1" applyAlignment="1" applyProtection="1">
      <alignment horizontal="center"/>
      <protection hidden="1"/>
    </xf>
    <xf numFmtId="0" fontId="11" fillId="9" borderId="0" xfId="0" applyFont="1" applyFill="1" applyBorder="1" applyAlignment="1" applyProtection="1">
      <alignment vertical="top"/>
      <protection hidden="1"/>
    </xf>
    <xf numFmtId="0" fontId="11" fillId="0" borderId="37" xfId="0" applyFont="1" applyBorder="1" applyAlignment="1" applyProtection="1">
      <alignment/>
      <protection hidden="1"/>
    </xf>
    <xf numFmtId="0" fontId="11" fillId="0" borderId="25" xfId="0" applyFont="1" applyBorder="1" applyAlignment="1" applyProtection="1">
      <alignment/>
      <protection hidden="1"/>
    </xf>
    <xf numFmtId="0" fontId="11" fillId="0" borderId="31" xfId="0" applyFont="1" applyBorder="1" applyAlignment="1" applyProtection="1">
      <alignment vertical="center"/>
      <protection/>
    </xf>
    <xf numFmtId="0" fontId="11" fillId="0" borderId="9" xfId="0" applyFont="1" applyFill="1" applyBorder="1" applyAlignment="1" applyProtection="1">
      <alignment/>
      <protection hidden="1"/>
    </xf>
    <xf numFmtId="4" fontId="11" fillId="0" borderId="0" xfId="0" applyNumberFormat="1" applyFont="1" applyFill="1" applyBorder="1" applyAlignment="1" applyProtection="1">
      <alignment horizontal="center"/>
      <protection hidden="1"/>
    </xf>
    <xf numFmtId="0" fontId="11" fillId="0" borderId="9" xfId="0" applyFont="1" applyFill="1" applyBorder="1" applyAlignment="1" applyProtection="1">
      <alignment horizontal="center"/>
      <protection hidden="1"/>
    </xf>
    <xf numFmtId="0" fontId="11" fillId="0" borderId="9" xfId="0" applyFont="1" applyFill="1" applyBorder="1" applyAlignment="1" applyProtection="1">
      <alignment horizontal="right"/>
      <protection hidden="1"/>
    </xf>
    <xf numFmtId="0" fontId="11" fillId="3" borderId="9" xfId="0" applyFont="1" applyFill="1" applyBorder="1" applyAlignment="1" applyProtection="1">
      <alignment/>
      <protection hidden="1"/>
    </xf>
    <xf numFmtId="0" fontId="14" fillId="0" borderId="11" xfId="0" applyFont="1" applyFill="1" applyBorder="1" applyAlignment="1" applyProtection="1">
      <alignment horizontal="center"/>
      <protection hidden="1"/>
    </xf>
    <xf numFmtId="185" fontId="11" fillId="0" borderId="9" xfId="35" applyNumberFormat="1" applyFont="1" applyFill="1" applyBorder="1" applyAlignment="1" applyProtection="1">
      <alignment/>
      <protection/>
    </xf>
    <xf numFmtId="0" fontId="11" fillId="0" borderId="48" xfId="0" applyFont="1" applyBorder="1" applyAlignment="1">
      <alignment/>
    </xf>
    <xf numFmtId="185" fontId="11" fillId="6" borderId="15" xfId="0" applyNumberFormat="1" applyFont="1" applyFill="1" applyBorder="1" applyAlignment="1" applyProtection="1">
      <alignment/>
      <protection hidden="1"/>
    </xf>
    <xf numFmtId="4" fontId="11" fillId="0" borderId="0" xfId="0" applyNumberFormat="1" applyFont="1" applyAlignment="1">
      <alignment/>
    </xf>
    <xf numFmtId="9" fontId="11" fillId="0" borderId="9" xfId="35" applyNumberFormat="1" applyFont="1" applyFill="1" applyBorder="1" applyAlignment="1" applyProtection="1">
      <alignment/>
      <protection hidden="1"/>
    </xf>
    <xf numFmtId="185" fontId="11" fillId="0" borderId="13" xfId="0" applyNumberFormat="1" applyFont="1" applyBorder="1" applyAlignment="1" applyProtection="1">
      <alignment/>
      <protection/>
    </xf>
    <xf numFmtId="0" fontId="11" fillId="0" borderId="12" xfId="0" applyFont="1" applyBorder="1" applyAlignment="1" applyProtection="1">
      <alignment horizontal="center"/>
      <protection hidden="1"/>
    </xf>
    <xf numFmtId="9" fontId="14" fillId="3" borderId="5" xfId="0" applyNumberFormat="1" applyFont="1" applyFill="1" applyBorder="1" applyAlignment="1" applyProtection="1">
      <alignment/>
      <protection/>
    </xf>
    <xf numFmtId="4" fontId="14" fillId="3" borderId="9" xfId="0" applyNumberFormat="1" applyFont="1" applyFill="1" applyBorder="1" applyAlignment="1" applyProtection="1">
      <alignment/>
      <protection hidden="1"/>
    </xf>
    <xf numFmtId="185" fontId="11" fillId="6" borderId="0" xfId="0" applyNumberFormat="1" applyFont="1" applyFill="1" applyBorder="1" applyAlignment="1" applyProtection="1">
      <alignment/>
      <protection hidden="1"/>
    </xf>
    <xf numFmtId="4" fontId="14" fillId="0" borderId="0" xfId="0" applyNumberFormat="1" applyFont="1" applyFill="1" applyBorder="1" applyAlignment="1" applyProtection="1">
      <alignment/>
      <protection hidden="1"/>
    </xf>
    <xf numFmtId="185" fontId="11" fillId="3" borderId="9" xfId="35" applyNumberFormat="1" applyFont="1" applyFill="1" applyBorder="1" applyAlignment="1" applyProtection="1">
      <alignment/>
      <protection/>
    </xf>
    <xf numFmtId="185" fontId="11" fillId="0" borderId="9" xfId="0" applyNumberFormat="1" applyFont="1" applyFill="1" applyBorder="1" applyAlignment="1" applyProtection="1">
      <alignment/>
      <protection/>
    </xf>
    <xf numFmtId="0" fontId="14" fillId="3" borderId="9" xfId="0" applyFont="1" applyFill="1" applyBorder="1" applyAlignment="1" applyProtection="1">
      <alignment/>
      <protection hidden="1"/>
    </xf>
    <xf numFmtId="4" fontId="14" fillId="0" borderId="6" xfId="0" applyNumberFormat="1" applyFont="1" applyFill="1" applyBorder="1" applyAlignment="1" applyProtection="1">
      <alignment/>
      <protection hidden="1"/>
    </xf>
    <xf numFmtId="4" fontId="11" fillId="0" borderId="6" xfId="0" applyNumberFormat="1" applyFont="1" applyFill="1" applyBorder="1" applyAlignment="1" applyProtection="1">
      <alignment/>
      <protection hidden="1"/>
    </xf>
    <xf numFmtId="0" fontId="14" fillId="3" borderId="49" xfId="0" applyFont="1" applyFill="1" applyBorder="1" applyAlignment="1" applyProtection="1">
      <alignment horizontal="left" vertical="top"/>
      <protection hidden="1"/>
    </xf>
    <xf numFmtId="0" fontId="14" fillId="3" borderId="12" xfId="0" applyFont="1" applyFill="1" applyBorder="1" applyAlignment="1" applyProtection="1">
      <alignment horizontal="left" vertical="top"/>
      <protection hidden="1"/>
    </xf>
    <xf numFmtId="0" fontId="14" fillId="3" borderId="40" xfId="0" applyFont="1" applyFill="1" applyBorder="1" applyAlignment="1" applyProtection="1">
      <alignment horizontal="left" vertical="top"/>
      <protection hidden="1"/>
    </xf>
    <xf numFmtId="0" fontId="14" fillId="3" borderId="50" xfId="0" applyFont="1" applyFill="1" applyBorder="1" applyAlignment="1" applyProtection="1">
      <alignment horizontal="left" vertical="top"/>
      <protection hidden="1"/>
    </xf>
    <xf numFmtId="1" fontId="11" fillId="0" borderId="9" xfId="0" applyNumberFormat="1" applyFont="1" applyFill="1" applyBorder="1" applyAlignment="1" applyProtection="1">
      <alignment horizontal="center" vertical="center"/>
      <protection locked="0"/>
    </xf>
    <xf numFmtId="4" fontId="11" fillId="0" borderId="0" xfId="0" applyNumberFormat="1" applyFont="1" applyFill="1" applyBorder="1" applyAlignment="1" applyProtection="1">
      <alignment/>
      <protection hidden="1"/>
    </xf>
    <xf numFmtId="185" fontId="11" fillId="0" borderId="0" xfId="0" applyNumberFormat="1" applyFont="1" applyBorder="1" applyAlignment="1" applyProtection="1">
      <alignment/>
      <protection/>
    </xf>
    <xf numFmtId="49" fontId="14" fillId="0" borderId="0" xfId="0" applyNumberFormat="1" applyFont="1" applyAlignment="1">
      <alignment vertical="top"/>
    </xf>
    <xf numFmtId="0" fontId="3" fillId="0" borderId="0" xfId="0" applyFont="1" applyAlignment="1">
      <alignment vertical="top"/>
    </xf>
    <xf numFmtId="49" fontId="11" fillId="0" borderId="0" xfId="0" applyNumberFormat="1" applyFont="1" applyAlignment="1">
      <alignment/>
    </xf>
    <xf numFmtId="195" fontId="11" fillId="3" borderId="9" xfId="0" applyNumberFormat="1" applyFont="1" applyFill="1" applyBorder="1" applyAlignment="1">
      <alignment/>
    </xf>
    <xf numFmtId="49" fontId="11" fillId="3" borderId="9" xfId="0" applyNumberFormat="1" applyFont="1" applyFill="1" applyBorder="1" applyAlignment="1">
      <alignment/>
    </xf>
    <xf numFmtId="0" fontId="11" fillId="3" borderId="9" xfId="0" applyFont="1" applyFill="1" applyBorder="1" applyAlignment="1">
      <alignment/>
    </xf>
    <xf numFmtId="0" fontId="15" fillId="0" borderId="0" xfId="0" applyNumberFormat="1" applyFont="1" applyAlignment="1">
      <alignment/>
    </xf>
    <xf numFmtId="49" fontId="14" fillId="0" borderId="0" xfId="0" applyNumberFormat="1" applyFont="1" applyAlignment="1">
      <alignment/>
    </xf>
    <xf numFmtId="49" fontId="14" fillId="0" borderId="0" xfId="0" applyNumberFormat="1" applyFont="1" applyAlignment="1">
      <alignment horizontal="right"/>
    </xf>
    <xf numFmtId="0" fontId="14" fillId="3" borderId="9" xfId="0" applyFont="1" applyFill="1" applyBorder="1" applyAlignment="1">
      <alignment/>
    </xf>
    <xf numFmtId="0" fontId="14" fillId="3" borderId="3" xfId="0" applyFont="1" applyFill="1" applyBorder="1" applyAlignment="1">
      <alignment/>
    </xf>
    <xf numFmtId="0" fontId="11" fillId="0" borderId="5" xfId="0" applyFont="1" applyBorder="1" applyAlignment="1">
      <alignment/>
    </xf>
    <xf numFmtId="185" fontId="11" fillId="0" borderId="10" xfId="0" applyNumberFormat="1" applyFont="1" applyFill="1" applyBorder="1" applyAlignment="1" applyProtection="1">
      <alignment/>
      <protection locked="0"/>
    </xf>
    <xf numFmtId="0" fontId="2" fillId="0" borderId="9" xfId="0" applyFont="1" applyBorder="1" applyAlignment="1">
      <alignment/>
    </xf>
    <xf numFmtId="0" fontId="2" fillId="0" borderId="9" xfId="0" applyFont="1" applyFill="1" applyBorder="1" applyAlignment="1">
      <alignment/>
    </xf>
    <xf numFmtId="195" fontId="2" fillId="3" borderId="9" xfId="0" applyNumberFormat="1" applyFont="1" applyFill="1" applyBorder="1" applyAlignment="1">
      <alignment horizontal="right"/>
    </xf>
    <xf numFmtId="0" fontId="14" fillId="0" borderId="11" xfId="0" applyFont="1" applyFill="1" applyBorder="1" applyAlignment="1" applyProtection="1">
      <alignment/>
      <protection hidden="1"/>
    </xf>
    <xf numFmtId="0" fontId="11" fillId="0" borderId="11" xfId="0" applyFont="1" applyFill="1" applyBorder="1" applyAlignment="1" applyProtection="1">
      <alignment/>
      <protection/>
    </xf>
    <xf numFmtId="0" fontId="14" fillId="3" borderId="8" xfId="0" applyFont="1" applyFill="1" applyBorder="1" applyAlignment="1" applyProtection="1">
      <alignment horizontal="left"/>
      <protection hidden="1"/>
    </xf>
    <xf numFmtId="0" fontId="11" fillId="0" borderId="0" xfId="0" applyFont="1" applyAlignment="1">
      <alignment vertical="top" wrapText="1"/>
    </xf>
    <xf numFmtId="195" fontId="11" fillId="3" borderId="8" xfId="0" applyNumberFormat="1" applyFont="1" applyFill="1" applyBorder="1" applyAlignment="1">
      <alignment/>
    </xf>
    <xf numFmtId="0" fontId="11" fillId="0" borderId="8" xfId="0" applyFont="1" applyBorder="1" applyAlignment="1">
      <alignment/>
    </xf>
    <xf numFmtId="3" fontId="11" fillId="0" borderId="8" xfId="0" applyNumberFormat="1" applyFont="1" applyBorder="1" applyAlignment="1">
      <alignment/>
    </xf>
    <xf numFmtId="185" fontId="11" fillId="0" borderId="8" xfId="0" applyNumberFormat="1" applyFont="1" applyFill="1" applyBorder="1" applyAlignment="1" applyProtection="1">
      <alignment/>
      <protection locked="0"/>
    </xf>
    <xf numFmtId="49" fontId="14" fillId="3" borderId="3" xfId="0" applyNumberFormat="1" applyFont="1" applyFill="1" applyBorder="1" applyAlignment="1">
      <alignment wrapText="1"/>
    </xf>
    <xf numFmtId="0" fontId="14" fillId="3" borderId="3" xfId="0" applyFont="1" applyFill="1" applyBorder="1" applyAlignment="1">
      <alignment wrapText="1"/>
    </xf>
    <xf numFmtId="0" fontId="14" fillId="3" borderId="3" xfId="0" applyFont="1" applyFill="1" applyBorder="1" applyAlignment="1">
      <alignment vertical="top" wrapText="1"/>
    </xf>
    <xf numFmtId="195" fontId="2" fillId="3" borderId="8" xfId="0" applyNumberFormat="1" applyFont="1" applyFill="1" applyBorder="1" applyAlignment="1">
      <alignment horizontal="right"/>
    </xf>
    <xf numFmtId="0" fontId="2" fillId="0" borderId="8" xfId="0" applyFont="1" applyBorder="1" applyAlignment="1">
      <alignment/>
    </xf>
    <xf numFmtId="185" fontId="11" fillId="0" borderId="50" xfId="0" applyNumberFormat="1" applyFont="1" applyFill="1" applyBorder="1" applyAlignment="1" applyProtection="1">
      <alignment/>
      <protection locked="0"/>
    </xf>
    <xf numFmtId="0" fontId="11" fillId="0" borderId="40" xfId="0" applyFont="1" applyBorder="1" applyAlignment="1">
      <alignment/>
    </xf>
    <xf numFmtId="0" fontId="11" fillId="3" borderId="3" xfId="0" applyFont="1" applyFill="1" applyBorder="1" applyAlignment="1">
      <alignment/>
    </xf>
    <xf numFmtId="0" fontId="11" fillId="0" borderId="18" xfId="0" applyFont="1" applyBorder="1" applyAlignment="1" applyProtection="1">
      <alignment horizontal="center" wrapText="1"/>
      <protection/>
    </xf>
    <xf numFmtId="0" fontId="11" fillId="0" borderId="31" xfId="0" applyFont="1" applyBorder="1" applyAlignment="1">
      <alignment horizontal="center" wrapText="1"/>
    </xf>
    <xf numFmtId="14" fontId="14" fillId="0" borderId="29" xfId="0" applyNumberFormat="1" applyFont="1" applyBorder="1" applyAlignment="1" applyProtection="1" quotePrefix="1">
      <alignment horizontal="center" wrapText="1"/>
      <protection/>
    </xf>
    <xf numFmtId="0" fontId="14" fillId="0" borderId="38" xfId="0" applyFont="1" applyBorder="1" applyAlignment="1" applyProtection="1">
      <alignment horizontal="center" wrapText="1"/>
      <protection/>
    </xf>
    <xf numFmtId="0" fontId="11" fillId="0" borderId="33" xfId="0" applyFont="1" applyBorder="1" applyAlignment="1">
      <alignment horizontal="center" wrapText="1"/>
    </xf>
    <xf numFmtId="0" fontId="14" fillId="0" borderId="18" xfId="0" applyFont="1" applyBorder="1" applyAlignment="1" applyProtection="1">
      <alignment horizontal="center" wrapText="1"/>
      <protection/>
    </xf>
    <xf numFmtId="0" fontId="11" fillId="0" borderId="9" xfId="0" applyNumberFormat="1" applyFont="1" applyBorder="1" applyAlignment="1">
      <alignment/>
    </xf>
    <xf numFmtId="0" fontId="11" fillId="0" borderId="11" xfId="0" applyFont="1" applyBorder="1" applyAlignment="1">
      <alignment/>
    </xf>
    <xf numFmtId="0" fontId="11" fillId="0" borderId="40" xfId="0" applyFont="1" applyFill="1" applyBorder="1" applyAlignment="1" applyProtection="1">
      <alignment/>
      <protection hidden="1"/>
    </xf>
    <xf numFmtId="0" fontId="11" fillId="0" borderId="13" xfId="0" applyFont="1" applyBorder="1" applyAlignment="1">
      <alignment/>
    </xf>
    <xf numFmtId="0" fontId="14" fillId="0" borderId="18" xfId="0" applyFont="1" applyFill="1" applyBorder="1" applyAlignment="1" applyProtection="1">
      <alignment horizontal="left" wrapText="1"/>
      <protection hidden="1"/>
    </xf>
    <xf numFmtId="0" fontId="14" fillId="0" borderId="17" xfId="0" applyFont="1" applyFill="1" applyBorder="1" applyAlignment="1" applyProtection="1">
      <alignment/>
      <protection hidden="1"/>
    </xf>
    <xf numFmtId="0" fontId="14" fillId="0" borderId="18" xfId="0" applyFont="1" applyFill="1" applyBorder="1" applyAlignment="1" applyProtection="1">
      <alignment horizontal="left"/>
      <protection hidden="1"/>
    </xf>
    <xf numFmtId="0" fontId="11" fillId="0" borderId="17" xfId="0" applyFont="1" applyFill="1" applyBorder="1" applyAlignment="1" applyProtection="1">
      <alignment/>
      <protection hidden="1"/>
    </xf>
    <xf numFmtId="0" fontId="11" fillId="0" borderId="17" xfId="0" applyFont="1" applyFill="1" applyBorder="1" applyAlignment="1" applyProtection="1">
      <alignment/>
      <protection/>
    </xf>
    <xf numFmtId="0" fontId="11" fillId="0" borderId="51" xfId="0" applyFont="1" applyFill="1" applyBorder="1" applyAlignment="1" applyProtection="1">
      <alignment horizontal="right"/>
      <protection/>
    </xf>
    <xf numFmtId="0" fontId="11" fillId="0" borderId="13" xfId="0" applyFont="1" applyFill="1" applyBorder="1" applyAlignment="1" applyProtection="1">
      <alignment/>
      <protection/>
    </xf>
    <xf numFmtId="0" fontId="14" fillId="0" borderId="17" xfId="0" applyFont="1" applyBorder="1" applyAlignment="1">
      <alignment/>
    </xf>
    <xf numFmtId="0" fontId="14" fillId="9" borderId="7" xfId="0" applyFont="1" applyFill="1" applyBorder="1" applyAlignment="1" applyProtection="1">
      <alignment horizontal="center"/>
      <protection hidden="1"/>
    </xf>
    <xf numFmtId="0" fontId="11" fillId="0" borderId="7" xfId="0" applyFont="1" applyBorder="1" applyAlignment="1" applyProtection="1">
      <alignment horizontal="center"/>
      <protection hidden="1"/>
    </xf>
    <xf numFmtId="0" fontId="21" fillId="0" borderId="0" xfId="0" applyFont="1" applyBorder="1" applyAlignment="1" applyProtection="1">
      <alignment vertical="center"/>
      <protection/>
    </xf>
    <xf numFmtId="0" fontId="11" fillId="0" borderId="10" xfId="0" applyFont="1" applyBorder="1" applyAlignment="1" applyProtection="1">
      <alignment vertical="center"/>
      <protection/>
    </xf>
    <xf numFmtId="0" fontId="11" fillId="0" borderId="5" xfId="0" applyFont="1" applyBorder="1" applyAlignment="1" applyProtection="1">
      <alignment vertical="center"/>
      <protection/>
    </xf>
    <xf numFmtId="0" fontId="11" fillId="0" borderId="52" xfId="0" applyFont="1" applyBorder="1" applyAlignment="1" applyProtection="1">
      <alignment vertical="center"/>
      <protection/>
    </xf>
    <xf numFmtId="184" fontId="14" fillId="0" borderId="3" xfId="0" applyNumberFormat="1" applyFont="1" applyBorder="1" applyAlignment="1" applyProtection="1">
      <alignment/>
      <protection hidden="1"/>
    </xf>
    <xf numFmtId="184" fontId="14" fillId="0" borderId="3" xfId="0" applyNumberFormat="1" applyFont="1" applyBorder="1" applyAlignment="1">
      <alignment/>
    </xf>
    <xf numFmtId="0" fontId="11" fillId="0" borderId="34" xfId="0" applyFont="1" applyBorder="1" applyAlignment="1">
      <alignment/>
    </xf>
    <xf numFmtId="0" fontId="11" fillId="0" borderId="32" xfId="0" applyFont="1" applyBorder="1" applyAlignment="1" applyProtection="1">
      <alignment vertical="center"/>
      <protection/>
    </xf>
    <xf numFmtId="0" fontId="11" fillId="0" borderId="11" xfId="0" applyFont="1" applyBorder="1" applyAlignment="1" applyProtection="1">
      <alignment vertical="center"/>
      <protection/>
    </xf>
    <xf numFmtId="0" fontId="11" fillId="0" borderId="12" xfId="0" applyFont="1" applyBorder="1" applyAlignment="1" applyProtection="1">
      <alignment vertical="center"/>
      <protection/>
    </xf>
    <xf numFmtId="0" fontId="14" fillId="0" borderId="0" xfId="0" applyFont="1" applyFill="1" applyBorder="1" applyAlignment="1" applyProtection="1">
      <alignment horizontal="right" wrapText="1"/>
      <protection hidden="1"/>
    </xf>
    <xf numFmtId="0" fontId="14" fillId="0" borderId="0" xfId="0" applyFont="1" applyFill="1" applyBorder="1" applyAlignment="1" applyProtection="1">
      <alignment horizontal="right"/>
      <protection hidden="1"/>
    </xf>
    <xf numFmtId="0" fontId="14" fillId="0" borderId="0" xfId="0" applyFont="1" applyFill="1" applyAlignment="1" applyProtection="1">
      <alignment horizontal="right"/>
      <protection hidden="1"/>
    </xf>
    <xf numFmtId="3" fontId="14" fillId="3" borderId="5" xfId="0" applyNumberFormat="1" applyFont="1" applyFill="1" applyBorder="1" applyAlignment="1" applyProtection="1">
      <alignment/>
      <protection/>
    </xf>
    <xf numFmtId="185" fontId="11" fillId="0" borderId="8" xfId="0" applyNumberFormat="1" applyFont="1" applyFill="1" applyBorder="1" applyAlignment="1" applyProtection="1">
      <alignment/>
      <protection/>
    </xf>
    <xf numFmtId="185" fontId="11" fillId="0" borderId="7" xfId="0" applyNumberFormat="1" applyFont="1" applyFill="1" applyBorder="1" applyAlignment="1" applyProtection="1">
      <alignment/>
      <protection/>
    </xf>
    <xf numFmtId="0" fontId="11" fillId="0" borderId="31" xfId="0" applyFont="1" applyBorder="1" applyAlignment="1">
      <alignment horizontal="center"/>
    </xf>
    <xf numFmtId="0" fontId="14" fillId="0" borderId="3" xfId="0" applyFont="1" applyFill="1" applyBorder="1" applyAlignment="1" applyProtection="1">
      <alignment horizontal="center"/>
      <protection hidden="1"/>
    </xf>
    <xf numFmtId="0" fontId="14" fillId="0" borderId="31" xfId="0" applyFont="1" applyBorder="1" applyAlignment="1">
      <alignment horizontal="center"/>
    </xf>
    <xf numFmtId="0" fontId="14" fillId="0" borderId="3" xfId="0" applyFont="1" applyFill="1" applyBorder="1" applyAlignment="1" applyProtection="1">
      <alignment/>
      <protection hidden="1"/>
    </xf>
    <xf numFmtId="0" fontId="14" fillId="0" borderId="16" xfId="0" applyFont="1" applyFill="1" applyBorder="1" applyAlignment="1" applyProtection="1">
      <alignment/>
      <protection hidden="1"/>
    </xf>
    <xf numFmtId="185" fontId="11" fillId="0" borderId="53" xfId="0" applyNumberFormat="1" applyFont="1" applyFill="1" applyBorder="1" applyAlignment="1" applyProtection="1">
      <alignment/>
      <protection/>
    </xf>
    <xf numFmtId="185" fontId="11" fillId="0" borderId="54" xfId="0" applyNumberFormat="1" applyFont="1" applyFill="1" applyBorder="1" applyAlignment="1" applyProtection="1">
      <alignment/>
      <protection/>
    </xf>
    <xf numFmtId="185" fontId="14" fillId="3" borderId="7" xfId="0" applyNumberFormat="1" applyFont="1" applyFill="1" applyBorder="1" applyAlignment="1" applyProtection="1">
      <alignment horizontal="right"/>
      <protection/>
    </xf>
    <xf numFmtId="3" fontId="11" fillId="0" borderId="5" xfId="0" applyNumberFormat="1" applyFont="1" applyFill="1" applyBorder="1" applyAlignment="1" applyProtection="1">
      <alignment/>
      <protection locked="0"/>
    </xf>
    <xf numFmtId="3" fontId="11" fillId="3" borderId="9" xfId="0" applyNumberFormat="1" applyFont="1" applyFill="1" applyBorder="1" applyAlignment="1" applyProtection="1">
      <alignment horizontal="right"/>
      <protection/>
    </xf>
    <xf numFmtId="0" fontId="14" fillId="3" borderId="7" xfId="0" applyFont="1" applyFill="1" applyBorder="1" applyAlignment="1">
      <alignment/>
    </xf>
    <xf numFmtId="185" fontId="14" fillId="3" borderId="7" xfId="0" applyNumberFormat="1" applyFont="1" applyFill="1" applyBorder="1" applyAlignment="1" applyProtection="1">
      <alignment horizontal="left"/>
      <protection/>
    </xf>
    <xf numFmtId="0" fontId="14" fillId="0" borderId="16" xfId="0" applyFont="1" applyBorder="1" applyAlignment="1">
      <alignment/>
    </xf>
    <xf numFmtId="0" fontId="11" fillId="0" borderId="55" xfId="0" applyFont="1" applyBorder="1" applyAlignment="1">
      <alignment/>
    </xf>
    <xf numFmtId="0" fontId="11" fillId="0" borderId="42" xfId="0" applyFont="1" applyFill="1" applyBorder="1" applyAlignment="1" applyProtection="1">
      <alignment/>
      <protection hidden="1"/>
    </xf>
    <xf numFmtId="0" fontId="14" fillId="0" borderId="42" xfId="0" applyFont="1" applyFill="1" applyBorder="1" applyAlignment="1" applyProtection="1">
      <alignment/>
      <protection hidden="1"/>
    </xf>
    <xf numFmtId="196" fontId="11" fillId="0" borderId="55" xfId="0" applyNumberFormat="1" applyFont="1" applyFill="1" applyBorder="1" applyAlignment="1" applyProtection="1">
      <alignment/>
      <protection/>
    </xf>
    <xf numFmtId="196" fontId="11" fillId="0" borderId="10" xfId="0" applyNumberFormat="1" applyFont="1" applyFill="1" applyBorder="1" applyAlignment="1" applyProtection="1">
      <alignment/>
      <protection/>
    </xf>
    <xf numFmtId="185" fontId="14" fillId="0" borderId="42" xfId="0" applyNumberFormat="1" applyFont="1" applyBorder="1" applyAlignment="1">
      <alignment horizontal="left"/>
    </xf>
    <xf numFmtId="185" fontId="14" fillId="0" borderId="0" xfId="0" applyNumberFormat="1" applyFont="1" applyBorder="1" applyAlignment="1">
      <alignment horizontal="right"/>
    </xf>
    <xf numFmtId="185" fontId="14" fillId="0" borderId="7" xfId="0" applyNumberFormat="1" applyFont="1" applyBorder="1" applyAlignment="1">
      <alignment horizontal="left"/>
    </xf>
    <xf numFmtId="185" fontId="14" fillId="0" borderId="13" xfId="0" applyNumberFormat="1" applyFont="1" applyBorder="1" applyAlignment="1">
      <alignment horizontal="left"/>
    </xf>
    <xf numFmtId="185" fontId="11" fillId="0" borderId="10" xfId="0" applyNumberFormat="1" applyFont="1" applyFill="1" applyBorder="1" applyAlignment="1" applyProtection="1">
      <alignment/>
      <protection/>
    </xf>
    <xf numFmtId="3" fontId="11" fillId="0" borderId="9" xfId="0" applyNumberFormat="1" applyFont="1" applyBorder="1" applyAlignment="1">
      <alignment/>
    </xf>
    <xf numFmtId="3" fontId="11" fillId="0" borderId="7" xfId="0" applyNumberFormat="1" applyFont="1" applyBorder="1" applyAlignment="1">
      <alignment/>
    </xf>
    <xf numFmtId="3" fontId="11" fillId="0" borderId="7" xfId="0" applyNumberFormat="1" applyFont="1" applyBorder="1" applyAlignment="1">
      <alignment horizontal="right"/>
    </xf>
    <xf numFmtId="3" fontId="11" fillId="0" borderId="7" xfId="0" applyNumberFormat="1" applyFont="1" applyBorder="1" applyAlignment="1">
      <alignment/>
    </xf>
    <xf numFmtId="3" fontId="14" fillId="3" borderId="7" xfId="0" applyNumberFormat="1" applyFont="1" applyFill="1" applyBorder="1" applyAlignment="1" applyProtection="1">
      <alignment/>
      <protection/>
    </xf>
    <xf numFmtId="0" fontId="14" fillId="3" borderId="5" xfId="0" applyFont="1" applyFill="1" applyBorder="1" applyAlignment="1" applyProtection="1">
      <alignment horizontal="left"/>
      <protection hidden="1"/>
    </xf>
    <xf numFmtId="0" fontId="11" fillId="0" borderId="56" xfId="0" applyFont="1" applyFill="1" applyBorder="1" applyAlignment="1" applyProtection="1">
      <alignment/>
      <protection hidden="1"/>
    </xf>
    <xf numFmtId="0" fontId="11" fillId="0" borderId="15" xfId="0" applyFont="1" applyFill="1" applyBorder="1" applyAlignment="1" applyProtection="1">
      <alignment/>
      <protection hidden="1"/>
    </xf>
    <xf numFmtId="0" fontId="11" fillId="0" borderId="18" xfId="0" applyFont="1" applyFill="1" applyBorder="1" applyAlignment="1" applyProtection="1">
      <alignment/>
      <protection hidden="1"/>
    </xf>
    <xf numFmtId="185" fontId="11" fillId="0" borderId="13" xfId="35" applyNumberFormat="1" applyFont="1" applyFill="1" applyBorder="1" applyAlignment="1" applyProtection="1">
      <alignment/>
      <protection/>
    </xf>
    <xf numFmtId="195" fontId="11" fillId="0" borderId="0" xfId="0" applyNumberFormat="1" applyFont="1" applyAlignment="1">
      <alignment/>
    </xf>
    <xf numFmtId="3" fontId="11" fillId="0" borderId="0" xfId="0" applyNumberFormat="1" applyFont="1" applyAlignment="1">
      <alignment/>
    </xf>
    <xf numFmtId="1" fontId="11" fillId="0" borderId="0" xfId="0" applyNumberFormat="1" applyFont="1" applyAlignment="1">
      <alignment/>
    </xf>
    <xf numFmtId="0" fontId="11" fillId="0" borderId="0" xfId="0" applyNumberFormat="1" applyFont="1" applyBorder="1" applyAlignment="1">
      <alignment/>
    </xf>
    <xf numFmtId="185" fontId="11" fillId="3" borderId="9" xfId="0" applyNumberFormat="1" applyFont="1" applyFill="1" applyBorder="1" applyAlignment="1" applyProtection="1">
      <alignment horizontal="right"/>
      <protection/>
    </xf>
    <xf numFmtId="4" fontId="11" fillId="0" borderId="6" xfId="35" applyNumberFormat="1" applyFont="1" applyFill="1" applyBorder="1" applyAlignment="1" applyProtection="1">
      <alignment/>
      <protection locked="0"/>
    </xf>
    <xf numFmtId="3" fontId="11" fillId="0" borderId="0" xfId="0" applyNumberFormat="1" applyFont="1" applyAlignment="1" applyProtection="1">
      <alignment/>
      <protection hidden="1"/>
    </xf>
    <xf numFmtId="1" fontId="11" fillId="0" borderId="0" xfId="0" applyNumberFormat="1" applyFont="1" applyAlignment="1">
      <alignment horizontal="right"/>
    </xf>
    <xf numFmtId="1" fontId="11" fillId="0" borderId="47" xfId="0" applyNumberFormat="1" applyFont="1" applyBorder="1" applyAlignment="1">
      <alignment/>
    </xf>
    <xf numFmtId="0" fontId="11" fillId="0" borderId="0" xfId="34" applyFont="1" applyProtection="1">
      <alignment/>
      <protection/>
    </xf>
    <xf numFmtId="0" fontId="11" fillId="0" borderId="0" xfId="34" applyFont="1" applyBorder="1" applyProtection="1">
      <alignment/>
      <protection/>
    </xf>
    <xf numFmtId="190" fontId="11" fillId="0" borderId="0" xfId="34" applyNumberFormat="1" applyFont="1" applyBorder="1" applyProtection="1">
      <alignment/>
      <protection/>
    </xf>
    <xf numFmtId="0" fontId="11" fillId="0" borderId="0" xfId="34" applyFont="1" applyBorder="1" applyAlignment="1" applyProtection="1">
      <alignment horizontal="center"/>
      <protection/>
    </xf>
    <xf numFmtId="0" fontId="14" fillId="0" borderId="0" xfId="34" applyFont="1">
      <alignment/>
      <protection/>
    </xf>
    <xf numFmtId="0" fontId="11" fillId="0" borderId="0" xfId="34" applyFont="1">
      <alignment/>
      <protection/>
    </xf>
    <xf numFmtId="0" fontId="11" fillId="0" borderId="0" xfId="34" applyFont="1" applyAlignment="1" applyProtection="1">
      <alignment vertical="center"/>
      <protection/>
    </xf>
    <xf numFmtId="0" fontId="22" fillId="0" borderId="0" xfId="34" applyFont="1">
      <alignment/>
      <protection/>
    </xf>
    <xf numFmtId="2" fontId="11" fillId="10" borderId="9" xfId="34" applyNumberFormat="1" applyFont="1" applyFill="1" applyBorder="1" applyProtection="1">
      <alignment/>
      <protection locked="0"/>
    </xf>
    <xf numFmtId="0" fontId="22" fillId="0" borderId="5" xfId="34" applyFont="1" applyBorder="1" applyAlignment="1">
      <alignment vertical="center"/>
      <protection/>
    </xf>
    <xf numFmtId="0" fontId="11" fillId="0" borderId="7" xfId="34" applyFont="1" applyBorder="1">
      <alignment/>
      <protection/>
    </xf>
    <xf numFmtId="0" fontId="11" fillId="0" borderId="10" xfId="34" applyFont="1" applyBorder="1">
      <alignment/>
      <protection/>
    </xf>
    <xf numFmtId="0" fontId="24" fillId="0" borderId="0" xfId="34" applyFont="1" applyAlignment="1">
      <alignment/>
      <protection/>
    </xf>
    <xf numFmtId="0" fontId="25" fillId="0" borderId="0" xfId="34" applyFont="1" applyAlignment="1">
      <alignment/>
      <protection/>
    </xf>
    <xf numFmtId="0" fontId="25" fillId="0" borderId="0" xfId="34" applyFont="1">
      <alignment/>
      <protection/>
    </xf>
    <xf numFmtId="0" fontId="11" fillId="0" borderId="0" xfId="34" applyFont="1" applyAlignment="1" applyProtection="1">
      <alignment horizontal="center"/>
      <protection/>
    </xf>
    <xf numFmtId="0" fontId="11" fillId="0" borderId="0" xfId="0" applyNumberFormat="1" applyFont="1" applyBorder="1" applyAlignment="1" applyProtection="1">
      <alignment/>
      <protection hidden="1"/>
    </xf>
    <xf numFmtId="2" fontId="11" fillId="0" borderId="3" xfId="0" applyNumberFormat="1" applyFont="1" applyBorder="1" applyAlignment="1">
      <alignment/>
    </xf>
    <xf numFmtId="0" fontId="15" fillId="0" borderId="0" xfId="34" applyFont="1" applyProtection="1">
      <alignment/>
      <protection/>
    </xf>
    <xf numFmtId="37" fontId="14" fillId="0" borderId="0" xfId="34" applyNumberFormat="1" applyFont="1" applyBorder="1" applyProtection="1">
      <alignment/>
      <protection/>
    </xf>
    <xf numFmtId="1" fontId="14" fillId="0" borderId="0" xfId="34" applyNumberFormat="1" applyFont="1" applyBorder="1" applyProtection="1">
      <alignment/>
      <protection/>
    </xf>
    <xf numFmtId="0" fontId="22" fillId="0" borderId="5" xfId="34" applyFont="1" applyFill="1" applyBorder="1">
      <alignment/>
      <protection/>
    </xf>
    <xf numFmtId="0" fontId="11" fillId="0" borderId="7" xfId="0" applyFont="1" applyBorder="1" applyAlignment="1" applyProtection="1">
      <alignment/>
      <protection hidden="1"/>
    </xf>
    <xf numFmtId="185" fontId="11" fillId="0" borderId="11" xfId="35" applyNumberFormat="1" applyFont="1" applyFill="1" applyBorder="1" applyAlignment="1" applyProtection="1">
      <alignment/>
      <protection/>
    </xf>
    <xf numFmtId="0" fontId="26" fillId="0" borderId="0" xfId="0" applyFont="1" applyAlignment="1" applyProtection="1">
      <alignment/>
      <protection hidden="1" locked="0"/>
    </xf>
    <xf numFmtId="0" fontId="11" fillId="0" borderId="0" xfId="0" applyFont="1" applyAlignment="1" applyProtection="1">
      <alignment/>
      <protection hidden="1" locked="0"/>
    </xf>
    <xf numFmtId="0" fontId="13" fillId="0" borderId="0" xfId="0" applyFont="1" applyAlignment="1" applyProtection="1">
      <alignment/>
      <protection hidden="1" locked="0"/>
    </xf>
    <xf numFmtId="185" fontId="11" fillId="9" borderId="8" xfId="35" applyNumberFormat="1" applyFont="1" applyFill="1" applyBorder="1" applyAlignment="1" applyProtection="1">
      <alignment/>
      <protection/>
    </xf>
    <xf numFmtId="185" fontId="11" fillId="9" borderId="9" xfId="35" applyNumberFormat="1" applyFont="1" applyFill="1" applyBorder="1" applyAlignment="1" applyProtection="1">
      <alignment/>
      <protection/>
    </xf>
    <xf numFmtId="0" fontId="14" fillId="3" borderId="3" xfId="0" applyFont="1" applyFill="1" applyBorder="1" applyAlignment="1" applyProtection="1">
      <alignment vertical="top" wrapText="1"/>
      <protection/>
    </xf>
    <xf numFmtId="185" fontId="11" fillId="3" borderId="9" xfId="0" applyNumberFormat="1" applyFont="1" applyFill="1" applyBorder="1" applyAlignment="1" applyProtection="1">
      <alignment/>
      <protection/>
    </xf>
    <xf numFmtId="0" fontId="11" fillId="3" borderId="3" xfId="0" applyFont="1" applyFill="1" applyBorder="1" applyAlignment="1" applyProtection="1">
      <alignment/>
      <protection/>
    </xf>
    <xf numFmtId="0" fontId="14" fillId="3" borderId="3" xfId="0" applyFont="1" applyFill="1" applyBorder="1" applyAlignment="1" applyProtection="1">
      <alignment/>
      <protection/>
    </xf>
    <xf numFmtId="0" fontId="11" fillId="0" borderId="50" xfId="0" applyFont="1" applyBorder="1" applyAlignment="1" applyProtection="1">
      <alignment/>
      <protection/>
    </xf>
    <xf numFmtId="0" fontId="11" fillId="0" borderId="10" xfId="0" applyFont="1" applyBorder="1" applyAlignment="1" applyProtection="1">
      <alignment/>
      <protection/>
    </xf>
    <xf numFmtId="185" fontId="11" fillId="0" borderId="57" xfId="0" applyNumberFormat="1" applyFont="1" applyBorder="1" applyAlignment="1">
      <alignment/>
    </xf>
    <xf numFmtId="185" fontId="11" fillId="0" borderId="58" xfId="0" applyNumberFormat="1" applyFont="1" applyBorder="1" applyAlignment="1">
      <alignment/>
    </xf>
    <xf numFmtId="185" fontId="14" fillId="3" borderId="57" xfId="0" applyNumberFormat="1" applyFont="1" applyFill="1" applyBorder="1" applyAlignment="1" applyProtection="1">
      <alignment/>
      <protection/>
    </xf>
    <xf numFmtId="185" fontId="11" fillId="0" borderId="6" xfId="35" applyNumberFormat="1" applyFont="1" applyFill="1" applyBorder="1" applyAlignment="1" applyProtection="1">
      <alignment/>
      <protection/>
    </xf>
    <xf numFmtId="4" fontId="11" fillId="0" borderId="9" xfId="35" applyNumberFormat="1" applyFont="1" applyFill="1" applyBorder="1" applyAlignment="1" applyProtection="1">
      <alignment/>
      <protection locked="0"/>
    </xf>
    <xf numFmtId="37" fontId="11" fillId="0" borderId="18" xfId="0" applyNumberFormat="1" applyFont="1" applyFill="1" applyBorder="1" applyAlignment="1" applyProtection="1">
      <alignment horizontal="right" vertical="center"/>
      <protection/>
    </xf>
    <xf numFmtId="185" fontId="11" fillId="3" borderId="57" xfId="0" applyNumberFormat="1" applyFont="1" applyFill="1" applyBorder="1" applyAlignment="1" applyProtection="1">
      <alignment/>
      <protection/>
    </xf>
    <xf numFmtId="185" fontId="11" fillId="3" borderId="6" xfId="0" applyNumberFormat="1" applyFont="1" applyFill="1" applyBorder="1" applyAlignment="1" applyProtection="1">
      <alignment/>
      <protection/>
    </xf>
    <xf numFmtId="0" fontId="11" fillId="3" borderId="10" xfId="0" applyFont="1" applyFill="1" applyBorder="1" applyAlignment="1">
      <alignment/>
    </xf>
    <xf numFmtId="0" fontId="14" fillId="3" borderId="5" xfId="0" applyFont="1" applyFill="1" applyBorder="1" applyAlignment="1">
      <alignment/>
    </xf>
    <xf numFmtId="185" fontId="11" fillId="3" borderId="57" xfId="0" applyNumberFormat="1" applyFont="1" applyFill="1" applyBorder="1" applyAlignment="1">
      <alignment/>
    </xf>
    <xf numFmtId="0" fontId="11" fillId="3" borderId="10" xfId="0" applyFont="1" applyFill="1" applyBorder="1" applyAlignment="1" applyProtection="1">
      <alignment/>
      <protection/>
    </xf>
    <xf numFmtId="0" fontId="11" fillId="3" borderId="5" xfId="0" applyFont="1" applyFill="1" applyBorder="1" applyAlignment="1">
      <alignment/>
    </xf>
    <xf numFmtId="185" fontId="11" fillId="3" borderId="10" xfId="0" applyNumberFormat="1" applyFont="1" applyFill="1" applyBorder="1" applyAlignment="1" applyProtection="1">
      <alignment/>
      <protection/>
    </xf>
    <xf numFmtId="14" fontId="12" fillId="0" borderId="9" xfId="33" applyNumberFormat="1" applyFont="1" applyBorder="1">
      <alignment/>
      <protection/>
    </xf>
    <xf numFmtId="0" fontId="11" fillId="0" borderId="9" xfId="33" applyFont="1" applyBorder="1">
      <alignment/>
      <protection/>
    </xf>
    <xf numFmtId="0" fontId="14" fillId="0" borderId="9" xfId="33" applyFont="1" applyBorder="1">
      <alignment/>
      <protection/>
    </xf>
    <xf numFmtId="4" fontId="14" fillId="0" borderId="9" xfId="33" applyNumberFormat="1" applyFont="1" applyBorder="1">
      <alignment/>
      <protection/>
    </xf>
    <xf numFmtId="4" fontId="11" fillId="0" borderId="9" xfId="33" applyNumberFormat="1" applyFont="1" applyBorder="1">
      <alignment/>
      <protection/>
    </xf>
    <xf numFmtId="0" fontId="14" fillId="0" borderId="9" xfId="33" applyFont="1" applyFill="1" applyBorder="1" applyProtection="1">
      <alignment/>
      <protection hidden="1"/>
    </xf>
    <xf numFmtId="0" fontId="14" fillId="0" borderId="9" xfId="33" applyFont="1" applyBorder="1" applyAlignment="1">
      <alignment horizontal="center"/>
      <protection/>
    </xf>
    <xf numFmtId="37" fontId="11" fillId="0" borderId="9" xfId="33" applyNumberFormat="1" applyFont="1" applyFill="1" applyBorder="1" applyAlignment="1" applyProtection="1">
      <alignment/>
      <protection hidden="1"/>
    </xf>
    <xf numFmtId="0" fontId="11" fillId="0" borderId="9" xfId="33" applyFont="1" applyFill="1" applyBorder="1" applyProtection="1">
      <alignment/>
      <protection hidden="1"/>
    </xf>
    <xf numFmtId="10" fontId="11" fillId="8" borderId="9" xfId="33" applyNumberFormat="1" applyFont="1" applyFill="1" applyBorder="1">
      <alignment/>
      <protection/>
    </xf>
    <xf numFmtId="10" fontId="11" fillId="0" borderId="9" xfId="33" applyNumberFormat="1" applyFont="1" applyBorder="1">
      <alignment/>
      <protection/>
    </xf>
    <xf numFmtId="4" fontId="11" fillId="0" borderId="9" xfId="33" applyNumberFormat="1" applyFont="1" applyFill="1" applyBorder="1">
      <alignment/>
      <protection/>
    </xf>
    <xf numFmtId="37" fontId="14" fillId="0" borderId="9" xfId="33" applyNumberFormat="1" applyFont="1" applyFill="1" applyBorder="1" applyAlignment="1" applyProtection="1">
      <alignment/>
      <protection hidden="1"/>
    </xf>
    <xf numFmtId="0" fontId="14" fillId="0" borderId="9" xfId="0" applyFont="1" applyFill="1" applyBorder="1" applyAlignment="1" applyProtection="1">
      <alignment/>
      <protection hidden="1"/>
    </xf>
    <xf numFmtId="0" fontId="11" fillId="0" borderId="9" xfId="0" applyFont="1" applyFill="1" applyBorder="1" applyAlignment="1" applyProtection="1">
      <alignment/>
      <protection hidden="1"/>
    </xf>
    <xf numFmtId="3" fontId="11" fillId="0" borderId="9" xfId="33" applyNumberFormat="1" applyFont="1" applyFill="1" applyBorder="1" applyProtection="1">
      <alignment/>
      <protection hidden="1"/>
    </xf>
    <xf numFmtId="0" fontId="11" fillId="0" borderId="9" xfId="33" applyFont="1" applyFill="1" applyBorder="1">
      <alignment/>
      <protection/>
    </xf>
    <xf numFmtId="10" fontId="11" fillId="0" borderId="9" xfId="33" applyNumberFormat="1" applyFont="1" applyFill="1" applyBorder="1">
      <alignment/>
      <protection/>
    </xf>
    <xf numFmtId="3" fontId="11" fillId="0" borderId="9" xfId="33" applyNumberFormat="1" applyFont="1" applyBorder="1" applyProtection="1">
      <alignment/>
      <protection hidden="1"/>
    </xf>
    <xf numFmtId="0" fontId="14" fillId="0" borderId="9" xfId="33" applyNumberFormat="1" applyFont="1" applyFill="1" applyBorder="1" applyAlignment="1" applyProtection="1">
      <alignment horizontal="left"/>
      <protection hidden="1"/>
    </xf>
    <xf numFmtId="37" fontId="11" fillId="0" borderId="9" xfId="0" applyNumberFormat="1" applyFont="1" applyFill="1" applyBorder="1" applyAlignment="1" applyProtection="1">
      <alignment/>
      <protection hidden="1"/>
    </xf>
    <xf numFmtId="0" fontId="0" fillId="0" borderId="9" xfId="0" applyBorder="1" applyAlignment="1">
      <alignment/>
    </xf>
    <xf numFmtId="0" fontId="14" fillId="3" borderId="8" xfId="0" applyFont="1" applyFill="1" applyBorder="1" applyAlignment="1" applyProtection="1">
      <alignment horizontal="center"/>
      <protection hidden="1"/>
    </xf>
    <xf numFmtId="0" fontId="11" fillId="0" borderId="36" xfId="0" applyFont="1" applyBorder="1" applyAlignment="1">
      <alignment/>
    </xf>
    <xf numFmtId="185" fontId="11" fillId="0" borderId="59" xfId="0" applyNumberFormat="1" applyFont="1" applyFill="1" applyBorder="1" applyAlignment="1" applyProtection="1">
      <alignment horizontal="right"/>
      <protection/>
    </xf>
    <xf numFmtId="185" fontId="11" fillId="0" borderId="57" xfId="35" applyNumberFormat="1" applyFont="1" applyFill="1" applyBorder="1" applyAlignment="1" applyProtection="1">
      <alignment/>
      <protection/>
    </xf>
    <xf numFmtId="0" fontId="0" fillId="0" borderId="0" xfId="0" applyFill="1" applyAlignment="1">
      <alignment/>
    </xf>
    <xf numFmtId="185" fontId="14" fillId="3" borderId="7" xfId="0" applyNumberFormat="1" applyFont="1" applyFill="1" applyBorder="1" applyAlignment="1" applyProtection="1">
      <alignment horizontal="center"/>
      <protection/>
    </xf>
    <xf numFmtId="9" fontId="14" fillId="3" borderId="7" xfId="0" applyNumberFormat="1" applyFont="1" applyFill="1" applyBorder="1" applyAlignment="1">
      <alignment horizontal="center"/>
    </xf>
    <xf numFmtId="197" fontId="14" fillId="3" borderId="5" xfId="0" applyNumberFormat="1" applyFont="1" applyFill="1" applyBorder="1" applyAlignment="1" applyProtection="1">
      <alignment horizontal="right"/>
      <protection/>
    </xf>
    <xf numFmtId="197" fontId="11" fillId="0" borderId="10" xfId="0" applyNumberFormat="1" applyFont="1" applyFill="1" applyBorder="1" applyAlignment="1" applyProtection="1">
      <alignment/>
      <protection/>
    </xf>
    <xf numFmtId="2" fontId="11" fillId="10" borderId="9" xfId="34" applyNumberFormat="1" applyFont="1" applyFill="1" applyBorder="1" applyProtection="1">
      <alignment/>
      <protection hidden="1"/>
    </xf>
    <xf numFmtId="0" fontId="14" fillId="0" borderId="3" xfId="0" applyFont="1" applyBorder="1" applyAlignment="1">
      <alignment/>
    </xf>
    <xf numFmtId="1" fontId="14" fillId="0" borderId="18" xfId="0" applyNumberFormat="1" applyFont="1" applyBorder="1" applyAlignment="1" applyProtection="1">
      <alignment horizontal="right"/>
      <protection hidden="1"/>
    </xf>
    <xf numFmtId="0" fontId="11" fillId="0" borderId="11" xfId="0" applyFont="1" applyFill="1" applyBorder="1" applyAlignment="1" applyProtection="1">
      <alignment/>
      <protection locked="0"/>
    </xf>
    <xf numFmtId="0" fontId="11" fillId="0" borderId="12" xfId="0" applyFont="1" applyFill="1" applyBorder="1" applyAlignment="1" applyProtection="1">
      <alignment/>
      <protection locked="0"/>
    </xf>
    <xf numFmtId="182" fontId="11" fillId="0" borderId="9" xfId="0" applyNumberFormat="1" applyFont="1" applyFill="1" applyBorder="1" applyAlignment="1" applyProtection="1">
      <alignment/>
      <protection hidden="1"/>
    </xf>
    <xf numFmtId="2" fontId="11" fillId="0" borderId="9" xfId="0" applyNumberFormat="1" applyFont="1" applyFill="1" applyBorder="1" applyAlignment="1" applyProtection="1">
      <alignment horizontal="right"/>
      <protection/>
    </xf>
    <xf numFmtId="2" fontId="11" fillId="0" borderId="6" xfId="0" applyNumberFormat="1" applyFont="1" applyFill="1" applyBorder="1" applyAlignment="1" applyProtection="1">
      <alignment horizontal="right" vertical="center"/>
      <protection/>
    </xf>
    <xf numFmtId="2" fontId="11" fillId="0" borderId="14" xfId="0" applyNumberFormat="1" applyFont="1" applyFill="1" applyBorder="1" applyAlignment="1" applyProtection="1">
      <alignment horizontal="right" vertical="center"/>
      <protection/>
    </xf>
    <xf numFmtId="2" fontId="11" fillId="0" borderId="8" xfId="0" applyNumberFormat="1" applyFont="1" applyFill="1" applyBorder="1" applyAlignment="1" applyProtection="1">
      <alignment horizontal="right" vertical="center"/>
      <protection/>
    </xf>
    <xf numFmtId="2" fontId="11" fillId="0" borderId="8" xfId="0" applyNumberFormat="1" applyFont="1" applyBorder="1" applyAlignment="1" applyProtection="1">
      <alignment horizontal="right" vertical="center"/>
      <protection/>
    </xf>
    <xf numFmtId="2" fontId="11" fillId="0" borderId="9" xfId="0" applyNumberFormat="1" applyFont="1" applyFill="1" applyBorder="1" applyAlignment="1" applyProtection="1">
      <alignment horizontal="center" vertical="center"/>
      <protection/>
    </xf>
    <xf numFmtId="206" fontId="11" fillId="0" borderId="3" xfId="0" applyNumberFormat="1" applyFont="1" applyBorder="1" applyAlignment="1">
      <alignment/>
    </xf>
    <xf numFmtId="0" fontId="11" fillId="0" borderId="16" xfId="0" applyNumberFormat="1" applyFont="1" applyBorder="1" applyAlignment="1" applyProtection="1">
      <alignment/>
      <protection/>
    </xf>
    <xf numFmtId="191" fontId="11" fillId="0" borderId="30" xfId="0" applyNumberFormat="1" applyFont="1" applyBorder="1" applyAlignment="1" applyProtection="1">
      <alignment/>
      <protection hidden="1"/>
    </xf>
    <xf numFmtId="0" fontId="28" fillId="0" borderId="0" xfId="19" applyFont="1" applyAlignment="1" applyProtection="1">
      <alignment/>
      <protection/>
    </xf>
    <xf numFmtId="0" fontId="29" fillId="0" borderId="0" xfId="19" applyFont="1" applyBorder="1" applyAlignment="1" applyProtection="1">
      <alignment/>
      <protection/>
    </xf>
    <xf numFmtId="0" fontId="28" fillId="0" borderId="0" xfId="19" applyFont="1" applyAlignment="1">
      <alignment/>
    </xf>
    <xf numFmtId="0" fontId="11" fillId="0" borderId="27" xfId="0" applyFont="1" applyBorder="1" applyAlignment="1" applyProtection="1">
      <alignment vertical="top" wrapText="1"/>
      <protection locked="0"/>
    </xf>
    <xf numFmtId="0" fontId="14" fillId="0" borderId="37" xfId="0" applyFont="1" applyBorder="1" applyAlignment="1" applyProtection="1">
      <alignment vertical="center"/>
      <protection hidden="1"/>
    </xf>
    <xf numFmtId="0" fontId="0" fillId="0" borderId="0" xfId="0" applyFont="1" applyFill="1" applyAlignment="1" applyProtection="1">
      <alignment horizontal="right" vertical="top"/>
      <protection hidden="1"/>
    </xf>
    <xf numFmtId="0" fontId="11" fillId="0" borderId="0" xfId="0" applyFont="1" applyFill="1" applyAlignment="1" applyProtection="1">
      <alignment/>
      <protection hidden="1" locked="0"/>
    </xf>
    <xf numFmtId="0" fontId="11" fillId="0" borderId="0" xfId="0" applyFont="1" applyBorder="1" applyAlignment="1" applyProtection="1">
      <alignment vertical="top" wrapText="1"/>
      <protection hidden="1" locked="0"/>
    </xf>
    <xf numFmtId="1" fontId="11" fillId="0" borderId="0" xfId="0" applyNumberFormat="1" applyFont="1" applyFill="1" applyAlignment="1" applyProtection="1">
      <alignment horizontal="center"/>
      <protection hidden="1"/>
    </xf>
    <xf numFmtId="0" fontId="14" fillId="0" borderId="0" xfId="0" applyFont="1" applyFill="1" applyBorder="1" applyAlignment="1" applyProtection="1">
      <alignment vertical="center"/>
      <protection hidden="1"/>
    </xf>
    <xf numFmtId="185" fontId="11" fillId="9" borderId="0" xfId="0" applyNumberFormat="1" applyFont="1" applyFill="1" applyBorder="1" applyAlignment="1" applyProtection="1">
      <alignment/>
      <protection hidden="1"/>
    </xf>
    <xf numFmtId="185" fontId="11" fillId="9" borderId="0" xfId="0" applyNumberFormat="1" applyFont="1" applyFill="1" applyAlignment="1" applyProtection="1">
      <alignment/>
      <protection hidden="1"/>
    </xf>
    <xf numFmtId="185" fontId="11" fillId="0" borderId="0" xfId="0" applyNumberFormat="1" applyFont="1" applyAlignment="1" applyProtection="1">
      <alignment/>
      <protection hidden="1"/>
    </xf>
    <xf numFmtId="0" fontId="0" fillId="0" borderId="50" xfId="0" applyFont="1" applyBorder="1" applyAlignment="1">
      <alignment/>
    </xf>
    <xf numFmtId="0" fontId="0" fillId="0" borderId="10" xfId="0" applyFont="1" applyBorder="1" applyAlignment="1">
      <alignment/>
    </xf>
    <xf numFmtId="0" fontId="0" fillId="0" borderId="0" xfId="0" applyFont="1" applyAlignment="1">
      <alignment/>
    </xf>
    <xf numFmtId="4" fontId="11" fillId="0" borderId="9" xfId="0" applyNumberFormat="1" applyFont="1" applyFill="1" applyBorder="1" applyAlignment="1" applyProtection="1">
      <alignment/>
      <protection hidden="1"/>
    </xf>
    <xf numFmtId="188" fontId="11" fillId="0" borderId="9" xfId="0" applyNumberFormat="1" applyFont="1" applyFill="1" applyBorder="1" applyAlignment="1" applyProtection="1">
      <alignment/>
      <protection hidden="1"/>
    </xf>
    <xf numFmtId="195" fontId="11" fillId="3" borderId="0" xfId="0" applyNumberFormat="1" applyFont="1" applyFill="1" applyBorder="1" applyAlignment="1">
      <alignment/>
    </xf>
    <xf numFmtId="0" fontId="0" fillId="0" borderId="0" xfId="0" applyFont="1" applyAlignment="1" applyProtection="1">
      <alignment/>
      <protection hidden="1"/>
    </xf>
    <xf numFmtId="10" fontId="30" fillId="0" borderId="7" xfId="0" applyNumberFormat="1" applyFont="1" applyBorder="1" applyAlignment="1">
      <alignment/>
    </xf>
    <xf numFmtId="0" fontId="0" fillId="0" borderId="0" xfId="0" applyFont="1" applyAlignment="1">
      <alignment/>
    </xf>
    <xf numFmtId="0" fontId="0" fillId="8" borderId="0" xfId="0" applyFont="1" applyFill="1" applyAlignment="1" applyProtection="1">
      <alignment horizontal="center"/>
      <protection locked="0"/>
    </xf>
    <xf numFmtId="0" fontId="0" fillId="0" borderId="25" xfId="0" applyFont="1" applyBorder="1" applyAlignment="1" applyProtection="1">
      <alignment/>
      <protection locked="0"/>
    </xf>
    <xf numFmtId="1" fontId="0" fillId="9" borderId="30" xfId="0" applyNumberFormat="1" applyFont="1" applyFill="1" applyBorder="1" applyAlignment="1" applyProtection="1">
      <alignment/>
      <protection locked="0"/>
    </xf>
    <xf numFmtId="0" fontId="0" fillId="0" borderId="34" xfId="0" applyFont="1" applyBorder="1" applyAlignment="1" applyProtection="1">
      <alignment/>
      <protection locked="0"/>
    </xf>
    <xf numFmtId="0" fontId="0" fillId="0" borderId="16" xfId="0" applyFont="1" applyBorder="1" applyAlignment="1" applyProtection="1">
      <alignment/>
      <protection locked="0"/>
    </xf>
    <xf numFmtId="0" fontId="30" fillId="0" borderId="0" xfId="0" applyFont="1" applyAlignment="1">
      <alignment/>
    </xf>
    <xf numFmtId="0" fontId="30" fillId="0" borderId="16"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37" xfId="0" applyFont="1" applyBorder="1" applyAlignment="1">
      <alignment/>
    </xf>
    <xf numFmtId="0" fontId="0" fillId="0" borderId="25" xfId="0" applyFont="1" applyBorder="1" applyAlignment="1">
      <alignment/>
    </xf>
    <xf numFmtId="3" fontId="0" fillId="9" borderId="30" xfId="0" applyNumberFormat="1" applyFont="1" applyFill="1" applyBorder="1" applyAlignment="1" applyProtection="1">
      <alignment/>
      <protection locked="0"/>
    </xf>
    <xf numFmtId="0" fontId="0" fillId="0" borderId="41" xfId="0" applyFont="1" applyBorder="1" applyAlignment="1">
      <alignment/>
    </xf>
    <xf numFmtId="0" fontId="0" fillId="0" borderId="7" xfId="0" applyFont="1" applyBorder="1" applyAlignment="1">
      <alignment/>
    </xf>
    <xf numFmtId="3" fontId="0" fillId="9" borderId="60" xfId="0" applyNumberFormat="1" applyFont="1" applyFill="1" applyBorder="1" applyAlignment="1" applyProtection="1">
      <alignment/>
      <protection locked="0"/>
    </xf>
    <xf numFmtId="0" fontId="0" fillId="0" borderId="0" xfId="0" applyFont="1" applyBorder="1" applyAlignment="1">
      <alignment/>
    </xf>
    <xf numFmtId="3" fontId="0" fillId="9" borderId="33" xfId="0" applyNumberFormat="1" applyFont="1" applyFill="1" applyBorder="1" applyAlignment="1" applyProtection="1">
      <alignment/>
      <protection locked="0"/>
    </xf>
    <xf numFmtId="3" fontId="0" fillId="0" borderId="61" xfId="0" applyNumberFormat="1" applyFont="1" applyBorder="1" applyAlignment="1">
      <alignment/>
    </xf>
    <xf numFmtId="3" fontId="0" fillId="0" borderId="60" xfId="0" applyNumberFormat="1" applyFont="1" applyBorder="1" applyAlignment="1">
      <alignment/>
    </xf>
    <xf numFmtId="3" fontId="0" fillId="0" borderId="0" xfId="0" applyNumberFormat="1" applyFont="1" applyAlignment="1">
      <alignment/>
    </xf>
    <xf numFmtId="3" fontId="0" fillId="9" borderId="62" xfId="0" applyNumberFormat="1" applyFont="1" applyFill="1" applyBorder="1" applyAlignment="1" applyProtection="1">
      <alignment/>
      <protection locked="0"/>
    </xf>
    <xf numFmtId="3" fontId="0" fillId="0" borderId="63" xfId="0" applyNumberFormat="1" applyFont="1" applyBorder="1" applyAlignment="1">
      <alignment/>
    </xf>
    <xf numFmtId="3" fontId="0" fillId="0" borderId="25" xfId="0" applyNumberFormat="1" applyFont="1" applyBorder="1" applyAlignment="1">
      <alignment/>
    </xf>
    <xf numFmtId="10" fontId="0" fillId="9" borderId="61" xfId="0" applyNumberFormat="1" applyFont="1" applyFill="1" applyBorder="1" applyAlignment="1" applyProtection="1">
      <alignment/>
      <protection locked="0"/>
    </xf>
    <xf numFmtId="3" fontId="30" fillId="0" borderId="60" xfId="0" applyNumberFormat="1" applyFont="1" applyBorder="1" applyAlignment="1">
      <alignment/>
    </xf>
    <xf numFmtId="0" fontId="0" fillId="0" borderId="60" xfId="0" applyFont="1" applyBorder="1" applyAlignment="1">
      <alignment/>
    </xf>
    <xf numFmtId="3" fontId="0" fillId="0" borderId="7" xfId="0" applyNumberFormat="1" applyFont="1" applyBorder="1" applyAlignment="1">
      <alignment/>
    </xf>
    <xf numFmtId="0" fontId="0" fillId="0" borderId="34" xfId="0" applyFont="1" applyBorder="1" applyAlignment="1">
      <alignment/>
    </xf>
    <xf numFmtId="0" fontId="0" fillId="0" borderId="16" xfId="0" applyFont="1" applyBorder="1" applyAlignment="1">
      <alignment/>
    </xf>
    <xf numFmtId="0" fontId="0" fillId="0" borderId="45" xfId="0" applyFont="1" applyBorder="1" applyAlignment="1">
      <alignment/>
    </xf>
    <xf numFmtId="0" fontId="0" fillId="0" borderId="29" xfId="0" applyFont="1" applyBorder="1" applyAlignment="1">
      <alignment/>
    </xf>
    <xf numFmtId="0" fontId="0" fillId="0" borderId="42" xfId="0" applyFont="1" applyBorder="1" applyAlignment="1">
      <alignment/>
    </xf>
    <xf numFmtId="3" fontId="0" fillId="0" borderId="42" xfId="0" applyNumberFormat="1" applyFont="1" applyBorder="1" applyAlignment="1">
      <alignment/>
    </xf>
    <xf numFmtId="0" fontId="0" fillId="0" borderId="43" xfId="0" applyFont="1" applyBorder="1" applyAlignment="1">
      <alignment/>
    </xf>
    <xf numFmtId="0" fontId="0" fillId="0" borderId="64" xfId="0" applyFont="1" applyBorder="1" applyAlignment="1">
      <alignment/>
    </xf>
    <xf numFmtId="0" fontId="0" fillId="0" borderId="13" xfId="0" applyFont="1" applyBorder="1" applyAlignment="1">
      <alignment/>
    </xf>
    <xf numFmtId="3" fontId="0" fillId="0" borderId="13" xfId="0" applyNumberFormat="1" applyFont="1" applyBorder="1" applyAlignment="1">
      <alignment/>
    </xf>
    <xf numFmtId="3" fontId="0" fillId="9" borderId="61" xfId="0" applyNumberFormat="1" applyFont="1" applyFill="1" applyBorder="1" applyAlignment="1" applyProtection="1">
      <alignment/>
      <protection/>
    </xf>
    <xf numFmtId="3" fontId="0" fillId="9" borderId="60" xfId="0" applyNumberFormat="1" applyFont="1" applyFill="1" applyBorder="1" applyAlignment="1" applyProtection="1">
      <alignment/>
      <protection/>
    </xf>
    <xf numFmtId="3" fontId="0" fillId="9" borderId="33" xfId="0" applyNumberFormat="1" applyFont="1" applyFill="1" applyBorder="1" applyAlignment="1" applyProtection="1">
      <alignment/>
      <protection/>
    </xf>
    <xf numFmtId="209" fontId="0" fillId="9" borderId="7" xfId="0" applyNumberFormat="1" applyFont="1" applyFill="1" applyBorder="1" applyAlignment="1" applyProtection="1">
      <alignment/>
      <protection/>
    </xf>
    <xf numFmtId="10" fontId="0" fillId="0" borderId="7" xfId="0" applyNumberFormat="1" applyFont="1" applyBorder="1" applyAlignment="1">
      <alignment/>
    </xf>
    <xf numFmtId="3" fontId="0" fillId="9" borderId="7" xfId="0" applyNumberFormat="1" applyFont="1" applyFill="1" applyBorder="1" applyAlignment="1" applyProtection="1">
      <alignment/>
      <protection/>
    </xf>
    <xf numFmtId="3" fontId="0" fillId="0" borderId="33" xfId="0" applyNumberFormat="1" applyFont="1" applyBorder="1" applyAlignment="1">
      <alignment/>
    </xf>
    <xf numFmtId="3" fontId="0" fillId="0" borderId="62" xfId="0" applyNumberFormat="1" applyFont="1" applyBorder="1" applyAlignment="1">
      <alignment/>
    </xf>
    <xf numFmtId="0" fontId="0" fillId="0" borderId="32" xfId="0" applyFont="1" applyBorder="1" applyAlignment="1">
      <alignment/>
    </xf>
    <xf numFmtId="0" fontId="0" fillId="0" borderId="11" xfId="0" applyFont="1" applyBorder="1" applyAlignment="1">
      <alignment/>
    </xf>
    <xf numFmtId="3" fontId="0" fillId="0" borderId="11" xfId="0" applyNumberFormat="1" applyFont="1" applyBorder="1" applyAlignment="1">
      <alignment/>
    </xf>
    <xf numFmtId="3" fontId="0" fillId="0" borderId="35" xfId="0" applyNumberFormat="1" applyFont="1" applyBorder="1" applyAlignment="1">
      <alignment/>
    </xf>
    <xf numFmtId="3" fontId="0" fillId="0" borderId="43" xfId="0" applyNumberFormat="1" applyFont="1" applyBorder="1" applyAlignment="1">
      <alignment/>
    </xf>
    <xf numFmtId="0" fontId="0" fillId="0" borderId="0" xfId="0" applyFont="1" applyAlignment="1">
      <alignment horizontal="center"/>
    </xf>
    <xf numFmtId="3" fontId="0" fillId="0" borderId="47" xfId="0" applyNumberFormat="1" applyFont="1" applyBorder="1" applyAlignment="1">
      <alignment/>
    </xf>
    <xf numFmtId="183" fontId="11" fillId="0" borderId="5" xfId="0" applyNumberFormat="1" applyFont="1" applyFill="1" applyBorder="1" applyAlignment="1" applyProtection="1">
      <alignment horizontal="center"/>
      <protection locked="0"/>
    </xf>
    <xf numFmtId="183" fontId="11" fillId="0" borderId="6" xfId="0" applyNumberFormat="1" applyFont="1" applyFill="1" applyBorder="1" applyAlignment="1" applyProtection="1">
      <alignment horizontal="center" vertical="center"/>
      <protection/>
    </xf>
    <xf numFmtId="183" fontId="11" fillId="0" borderId="14" xfId="0" applyNumberFormat="1" applyFont="1" applyFill="1" applyBorder="1" applyAlignment="1">
      <alignment horizontal="center" vertical="center"/>
    </xf>
    <xf numFmtId="183" fontId="11" fillId="0" borderId="8" xfId="0" applyNumberFormat="1" applyFont="1" applyFill="1" applyBorder="1" applyAlignment="1">
      <alignment horizontal="center" vertical="center"/>
    </xf>
    <xf numFmtId="1" fontId="11" fillId="0" borderId="6" xfId="0" applyNumberFormat="1" applyFont="1" applyFill="1" applyBorder="1" applyAlignment="1" applyProtection="1">
      <alignment horizontal="center" vertical="center"/>
      <protection locked="0"/>
    </xf>
    <xf numFmtId="1" fontId="11" fillId="0" borderId="8" xfId="0" applyNumberFormat="1" applyFont="1" applyFill="1" applyBorder="1" applyAlignment="1">
      <alignment horizontal="center" vertical="center"/>
    </xf>
    <xf numFmtId="1" fontId="11" fillId="0" borderId="5" xfId="0" applyNumberFormat="1" applyFont="1" applyFill="1" applyBorder="1" applyAlignment="1" applyProtection="1">
      <alignment horizontal="center"/>
      <protection locked="0"/>
    </xf>
    <xf numFmtId="3" fontId="0" fillId="0" borderId="0" xfId="0" applyNumberFormat="1" applyFill="1" applyAlignment="1">
      <alignment/>
    </xf>
    <xf numFmtId="10" fontId="0" fillId="0" borderId="0" xfId="0" applyNumberFormat="1" applyFill="1" applyAlignment="1">
      <alignment/>
    </xf>
    <xf numFmtId="0" fontId="0" fillId="0" borderId="0" xfId="0" applyNumberFormat="1" applyFill="1" applyAlignment="1">
      <alignment/>
    </xf>
    <xf numFmtId="1" fontId="0" fillId="0" borderId="0" xfId="0" applyNumberFormat="1" applyFill="1" applyAlignment="1">
      <alignment/>
    </xf>
    <xf numFmtId="3" fontId="11" fillId="0" borderId="10" xfId="0" applyNumberFormat="1" applyFont="1" applyBorder="1" applyAlignment="1" applyProtection="1">
      <alignment/>
      <protection/>
    </xf>
    <xf numFmtId="0" fontId="0" fillId="0" borderId="7" xfId="0" applyFont="1" applyFill="1" applyBorder="1" applyAlignment="1">
      <alignment/>
    </xf>
    <xf numFmtId="0" fontId="30" fillId="9" borderId="37" xfId="0" applyFont="1" applyFill="1" applyBorder="1" applyAlignment="1" applyProtection="1">
      <alignment/>
      <protection/>
    </xf>
    <xf numFmtId="0" fontId="30" fillId="0" borderId="16" xfId="0" applyFont="1" applyBorder="1" applyAlignment="1" applyProtection="1">
      <alignment/>
      <protection/>
    </xf>
    <xf numFmtId="1" fontId="30" fillId="9" borderId="45" xfId="0" applyNumberFormat="1" applyFont="1" applyFill="1" applyBorder="1" applyAlignment="1" applyProtection="1">
      <alignment/>
      <protection/>
    </xf>
    <xf numFmtId="0" fontId="30" fillId="0" borderId="25" xfId="0" applyFont="1" applyFill="1" applyBorder="1" applyAlignment="1" applyProtection="1">
      <alignment/>
      <protection/>
    </xf>
    <xf numFmtId="0" fontId="30" fillId="0" borderId="0" xfId="0" applyFont="1" applyFill="1" applyAlignment="1">
      <alignment/>
    </xf>
    <xf numFmtId="0" fontId="30" fillId="0" borderId="0" xfId="0" applyFont="1" applyAlignment="1">
      <alignment/>
    </xf>
    <xf numFmtId="197" fontId="11" fillId="0" borderId="9" xfId="0" applyNumberFormat="1" applyFont="1" applyFill="1" applyBorder="1" applyAlignment="1" applyProtection="1">
      <alignment/>
      <protection/>
    </xf>
    <xf numFmtId="0" fontId="14" fillId="0" borderId="0" xfId="0" applyFont="1" applyFill="1" applyAlignment="1">
      <alignment/>
    </xf>
    <xf numFmtId="2" fontId="11" fillId="0" borderId="0" xfId="0" applyNumberFormat="1" applyFont="1" applyFill="1" applyAlignment="1">
      <alignment/>
    </xf>
    <xf numFmtId="1" fontId="11" fillId="0" borderId="0" xfId="0" applyNumberFormat="1" applyFont="1" applyFill="1" applyAlignment="1">
      <alignment/>
    </xf>
    <xf numFmtId="194" fontId="0" fillId="0" borderId="0" xfId="0" applyNumberFormat="1" applyFill="1" applyAlignment="1">
      <alignment/>
    </xf>
    <xf numFmtId="4" fontId="11" fillId="0" borderId="0" xfId="0" applyNumberFormat="1" applyFont="1" applyFill="1" applyAlignment="1">
      <alignment/>
    </xf>
    <xf numFmtId="183" fontId="11" fillId="0" borderId="0" xfId="0" applyNumberFormat="1" applyFont="1" applyFill="1" applyAlignment="1">
      <alignment/>
    </xf>
    <xf numFmtId="197" fontId="0" fillId="0" borderId="0" xfId="0" applyNumberFormat="1" applyFill="1" applyAlignment="1">
      <alignment/>
    </xf>
    <xf numFmtId="0" fontId="14" fillId="0" borderId="0" xfId="0" applyNumberFormat="1" applyFont="1" applyFill="1" applyAlignment="1" applyProtection="1">
      <alignment/>
      <protection/>
    </xf>
    <xf numFmtId="0" fontId="11" fillId="0" borderId="0" xfId="0" applyFont="1" applyFill="1" applyAlignment="1" applyProtection="1">
      <alignment horizontal="justify"/>
      <protection/>
    </xf>
    <xf numFmtId="0" fontId="14" fillId="0" borderId="0" xfId="0" applyFont="1" applyFill="1" applyBorder="1" applyAlignment="1" applyProtection="1">
      <alignment horizontal="justify"/>
      <protection/>
    </xf>
    <xf numFmtId="0" fontId="14" fillId="0" borderId="0" xfId="0" applyNumberFormat="1" applyFont="1" applyFill="1" applyAlignment="1" applyProtection="1">
      <alignment horizontal="justify"/>
      <protection/>
    </xf>
    <xf numFmtId="0" fontId="11" fillId="0" borderId="0" xfId="0" applyFont="1" applyFill="1" applyBorder="1" applyAlignment="1" applyProtection="1">
      <alignment horizontal="justify"/>
      <protection/>
    </xf>
    <xf numFmtId="0" fontId="11" fillId="0" borderId="0" xfId="0" applyFont="1" applyFill="1" applyAlignment="1" applyProtection="1">
      <alignment/>
      <protection/>
    </xf>
    <xf numFmtId="182" fontId="11" fillId="0" borderId="0" xfId="0" applyNumberFormat="1" applyFont="1" applyFill="1" applyAlignment="1" applyProtection="1">
      <alignment/>
      <protection/>
    </xf>
    <xf numFmtId="0" fontId="11" fillId="0" borderId="0" xfId="0" applyNumberFormat="1" applyFont="1" applyFill="1" applyAlignment="1" applyProtection="1">
      <alignment/>
      <protection/>
    </xf>
    <xf numFmtId="0" fontId="14" fillId="0" borderId="0" xfId="0" applyNumberFormat="1" applyFont="1" applyFill="1" applyAlignment="1" applyProtection="1">
      <alignment horizontal="left"/>
      <protection/>
    </xf>
    <xf numFmtId="182" fontId="14" fillId="0" borderId="0" xfId="0" applyNumberFormat="1" applyFont="1" applyFill="1" applyAlignment="1" applyProtection="1">
      <alignment/>
      <protection/>
    </xf>
    <xf numFmtId="37" fontId="11" fillId="0" borderId="0" xfId="0" applyNumberFormat="1" applyFont="1" applyFill="1" applyAlignment="1" applyProtection="1">
      <alignment/>
      <protection/>
    </xf>
    <xf numFmtId="0" fontId="11" fillId="0" borderId="0" xfId="0" applyFont="1" applyFill="1" applyAlignment="1" applyProtection="1">
      <alignment vertical="top" wrapText="1"/>
      <protection/>
    </xf>
    <xf numFmtId="0" fontId="14" fillId="0" borderId="0" xfId="0" applyFont="1" applyFill="1" applyAlignment="1" applyProtection="1">
      <alignment horizontal="left" vertical="top" wrapText="1"/>
      <protection/>
    </xf>
    <xf numFmtId="0" fontId="14" fillId="0" borderId="0" xfId="0" applyFont="1" applyFill="1" applyAlignment="1" applyProtection="1">
      <alignment horizontal="justify" vertical="top" wrapText="1"/>
      <protection/>
    </xf>
    <xf numFmtId="0" fontId="11" fillId="0" borderId="0" xfId="0" applyFont="1" applyFill="1" applyAlignment="1" applyProtection="1">
      <alignment horizontal="justify" vertical="top" wrapText="1"/>
      <protection/>
    </xf>
    <xf numFmtId="0" fontId="14" fillId="0" borderId="0" xfId="0" applyFont="1" applyFill="1" applyAlignment="1">
      <alignment vertical="top"/>
    </xf>
    <xf numFmtId="0" fontId="11" fillId="0" borderId="0" xfId="0" applyFont="1" applyFill="1" applyAlignment="1">
      <alignment/>
    </xf>
    <xf numFmtId="0" fontId="11" fillId="0" borderId="0" xfId="0" applyFont="1" applyFill="1" applyAlignment="1">
      <alignment vertical="top"/>
    </xf>
    <xf numFmtId="0" fontId="11" fillId="0" borderId="0" xfId="0" applyFont="1" applyFill="1" applyAlignment="1" applyProtection="1">
      <alignment wrapText="1"/>
      <protection/>
    </xf>
    <xf numFmtId="0" fontId="11" fillId="0" borderId="0" xfId="0" applyFont="1" applyFill="1" applyAlignment="1" applyProtection="1">
      <alignment horizontal="left"/>
      <protection/>
    </xf>
    <xf numFmtId="0" fontId="11" fillId="0" borderId="0" xfId="0" applyFont="1" applyFill="1" applyAlignment="1">
      <alignment horizontal="right"/>
    </xf>
    <xf numFmtId="0" fontId="11" fillId="0" borderId="47" xfId="0" applyFont="1" applyFill="1" applyBorder="1" applyAlignment="1">
      <alignment horizontal="right"/>
    </xf>
    <xf numFmtId="0" fontId="13" fillId="0" borderId="27" xfId="0" applyFont="1" applyBorder="1" applyAlignment="1" applyProtection="1">
      <alignment vertical="top" wrapText="1"/>
      <protection locked="0"/>
    </xf>
    <xf numFmtId="0" fontId="13" fillId="0" borderId="0" xfId="0" applyNumberFormat="1" applyFont="1" applyAlignment="1">
      <alignment wrapText="1"/>
    </xf>
    <xf numFmtId="0" fontId="13" fillId="0" borderId="0" xfId="0" applyFont="1" applyBorder="1" applyAlignment="1" applyProtection="1">
      <alignment/>
      <protection hidden="1" locked="0"/>
    </xf>
    <xf numFmtId="0" fontId="11" fillId="0" borderId="46" xfId="0" applyFont="1" applyFill="1" applyBorder="1" applyAlignment="1" applyProtection="1">
      <alignment vertical="top" wrapText="1"/>
      <protection hidden="1"/>
    </xf>
    <xf numFmtId="1" fontId="14" fillId="3" borderId="9" xfId="0" applyNumberFormat="1" applyFont="1" applyFill="1" applyBorder="1" applyAlignment="1" applyProtection="1">
      <alignment/>
      <protection/>
    </xf>
    <xf numFmtId="3" fontId="11" fillId="0" borderId="9" xfId="0" applyNumberFormat="1" applyFont="1" applyFill="1" applyBorder="1" applyAlignment="1" applyProtection="1">
      <alignment/>
      <protection hidden="1"/>
    </xf>
    <xf numFmtId="3" fontId="14" fillId="3" borderId="9" xfId="0" applyNumberFormat="1" applyFont="1" applyFill="1" applyBorder="1" applyAlignment="1" applyProtection="1">
      <alignment/>
      <protection/>
    </xf>
    <xf numFmtId="3" fontId="14" fillId="3" borderId="9" xfId="0" applyNumberFormat="1" applyFont="1" applyFill="1" applyBorder="1" applyAlignment="1" applyProtection="1">
      <alignment/>
      <protection/>
    </xf>
    <xf numFmtId="3" fontId="14" fillId="3" borderId="57" xfId="0" applyNumberFormat="1" applyFont="1" applyFill="1" applyBorder="1" applyAlignment="1" applyProtection="1">
      <alignment/>
      <protection/>
    </xf>
    <xf numFmtId="3" fontId="11" fillId="0" borderId="0" xfId="0" applyNumberFormat="1" applyFont="1" applyBorder="1" applyAlignment="1" applyProtection="1">
      <alignment/>
      <protection hidden="1"/>
    </xf>
    <xf numFmtId="0" fontId="13" fillId="0" borderId="0" xfId="0" applyFont="1" applyAlignment="1">
      <alignment/>
    </xf>
    <xf numFmtId="4" fontId="31" fillId="0" borderId="0" xfId="0" applyNumberFormat="1" applyFont="1" applyFill="1" applyAlignment="1" applyProtection="1">
      <alignment/>
      <protection hidden="1"/>
    </xf>
    <xf numFmtId="4" fontId="13" fillId="0" borderId="0" xfId="0" applyNumberFormat="1" applyFont="1" applyAlignment="1">
      <alignment/>
    </xf>
    <xf numFmtId="0" fontId="13" fillId="0" borderId="0" xfId="0" applyFont="1" applyAlignment="1" applyProtection="1">
      <alignment/>
      <protection hidden="1"/>
    </xf>
    <xf numFmtId="3" fontId="13" fillId="0" borderId="0" xfId="0" applyNumberFormat="1" applyFont="1" applyAlignment="1" applyProtection="1">
      <alignment/>
      <protection hidden="1"/>
    </xf>
    <xf numFmtId="4" fontId="13" fillId="0" borderId="0" xfId="0" applyNumberFormat="1" applyFont="1" applyAlignment="1" applyProtection="1">
      <alignment/>
      <protection hidden="1"/>
    </xf>
    <xf numFmtId="9" fontId="31" fillId="0" borderId="0" xfId="0" applyNumberFormat="1" applyFont="1" applyFill="1" applyAlignment="1" applyProtection="1">
      <alignment/>
      <protection hidden="1"/>
    </xf>
    <xf numFmtId="9" fontId="11" fillId="0" borderId="0" xfId="0" applyNumberFormat="1" applyFont="1" applyAlignment="1" applyProtection="1">
      <alignment/>
      <protection hidden="1"/>
    </xf>
    <xf numFmtId="40" fontId="11" fillId="0" borderId="9" xfId="20" applyNumberFormat="1" applyFont="1" applyFill="1" applyBorder="1" applyAlignment="1">
      <alignment vertical="center" wrapText="1"/>
    </xf>
    <xf numFmtId="0" fontId="14" fillId="0" borderId="25" xfId="0" applyNumberFormat="1" applyFont="1" applyFill="1" applyBorder="1" applyAlignment="1" applyProtection="1">
      <alignment horizontal="justify" vertical="top" wrapText="1"/>
      <protection/>
    </xf>
    <xf numFmtId="182" fontId="11" fillId="0" borderId="0" xfId="0" applyNumberFormat="1" applyFont="1" applyFill="1" applyAlignment="1" applyProtection="1">
      <alignment horizontal="justify"/>
      <protection/>
    </xf>
    <xf numFmtId="0" fontId="11" fillId="0" borderId="54" xfId="0" applyFont="1" applyBorder="1" applyAlignment="1">
      <alignment/>
    </xf>
    <xf numFmtId="3" fontId="11" fillId="0" borderId="65" xfId="0" applyNumberFormat="1" applyFont="1" applyBorder="1" applyAlignment="1">
      <alignment/>
    </xf>
    <xf numFmtId="185" fontId="11" fillId="0" borderId="54" xfId="0" applyNumberFormat="1" applyFont="1" applyFill="1" applyBorder="1" applyAlignment="1" applyProtection="1">
      <alignment/>
      <protection locked="0"/>
    </xf>
    <xf numFmtId="185" fontId="11" fillId="9" borderId="39" xfId="35" applyNumberFormat="1" applyFont="1" applyFill="1" applyBorder="1" applyAlignment="1" applyProtection="1">
      <alignment/>
      <protection/>
    </xf>
    <xf numFmtId="185" fontId="11" fillId="9" borderId="44" xfId="35" applyNumberFormat="1" applyFont="1" applyFill="1" applyBorder="1" applyAlignment="1" applyProtection="1">
      <alignment/>
      <protection/>
    </xf>
    <xf numFmtId="0" fontId="14" fillId="0" borderId="0" xfId="0" applyFont="1" applyFill="1" applyBorder="1" applyAlignment="1" applyProtection="1">
      <alignment vertical="center"/>
      <protection/>
    </xf>
    <xf numFmtId="185" fontId="14" fillId="0" borderId="7" xfId="0" applyNumberFormat="1" applyFont="1" applyFill="1" applyBorder="1" applyAlignment="1" applyProtection="1">
      <alignment/>
      <protection/>
    </xf>
    <xf numFmtId="185" fontId="14" fillId="3" borderId="57" xfId="35" applyNumberFormat="1" applyFont="1" applyFill="1" applyBorder="1" applyAlignment="1" applyProtection="1">
      <alignment/>
      <protection/>
    </xf>
    <xf numFmtId="3" fontId="11" fillId="0" borderId="9" xfId="35" applyNumberFormat="1" applyFont="1" applyFill="1" applyBorder="1" applyAlignment="1" applyProtection="1">
      <alignment/>
      <protection locked="0"/>
    </xf>
    <xf numFmtId="185" fontId="11" fillId="9" borderId="54" xfId="35" applyNumberFormat="1" applyFont="1" applyFill="1" applyBorder="1" applyAlignment="1" applyProtection="1">
      <alignment/>
      <protection/>
    </xf>
    <xf numFmtId="0" fontId="11" fillId="0" borderId="18" xfId="0" applyFont="1" applyBorder="1" applyAlignment="1">
      <alignment vertical="top"/>
    </xf>
    <xf numFmtId="0" fontId="0" fillId="0" borderId="17" xfId="0" applyFont="1" applyBorder="1" applyAlignment="1">
      <alignment vertical="top"/>
    </xf>
    <xf numFmtId="0" fontId="0" fillId="0" borderId="31" xfId="0" applyFont="1" applyBorder="1" applyAlignment="1">
      <alignment vertical="top"/>
    </xf>
    <xf numFmtId="3" fontId="11" fillId="0" borderId="31" xfId="0" applyNumberFormat="1" applyFont="1" applyBorder="1" applyAlignment="1" applyProtection="1">
      <alignment/>
      <protection hidden="1"/>
    </xf>
    <xf numFmtId="0" fontId="11" fillId="0" borderId="37" xfId="0" applyFont="1" applyBorder="1" applyAlignment="1">
      <alignment vertical="top"/>
    </xf>
    <xf numFmtId="0" fontId="0" fillId="0" borderId="25" xfId="0" applyFont="1" applyBorder="1" applyAlignment="1">
      <alignment vertical="top"/>
    </xf>
    <xf numFmtId="0" fontId="0" fillId="0" borderId="35" xfId="0" applyFont="1" applyBorder="1" applyAlignment="1">
      <alignment vertical="top"/>
    </xf>
    <xf numFmtId="0" fontId="0" fillId="0" borderId="61" xfId="0" applyFont="1" applyBorder="1" applyAlignment="1" applyProtection="1">
      <alignment horizontal="left"/>
      <protection locked="0"/>
    </xf>
    <xf numFmtId="3" fontId="14" fillId="0" borderId="18" xfId="0" applyNumberFormat="1" applyFont="1" applyBorder="1" applyAlignment="1" applyProtection="1">
      <alignment/>
      <protection hidden="1"/>
    </xf>
    <xf numFmtId="0" fontId="14" fillId="0" borderId="43" xfId="0" applyFont="1" applyBorder="1" applyAlignment="1">
      <alignment horizontal="center" wrapText="1"/>
    </xf>
    <xf numFmtId="185" fontId="11" fillId="0" borderId="5" xfId="0" applyNumberFormat="1" applyFont="1" applyBorder="1" applyAlignment="1" applyProtection="1">
      <alignment/>
      <protection locked="0"/>
    </xf>
    <xf numFmtId="0" fontId="0" fillId="0" borderId="7" xfId="0" applyFont="1" applyBorder="1" applyAlignment="1" applyProtection="1">
      <alignment/>
      <protection locked="0"/>
    </xf>
    <xf numFmtId="0" fontId="0" fillId="0" borderId="60" xfId="0" applyFont="1" applyBorder="1" applyAlignment="1" applyProtection="1">
      <alignment/>
      <protection locked="0"/>
    </xf>
    <xf numFmtId="185" fontId="29" fillId="0" borderId="65" xfId="19" applyNumberFormat="1" applyFont="1" applyBorder="1" applyAlignment="1" applyProtection="1">
      <alignment/>
      <protection locked="0"/>
    </xf>
    <xf numFmtId="0" fontId="0" fillId="0" borderId="39" xfId="0" applyFont="1" applyBorder="1" applyAlignment="1" applyProtection="1">
      <alignment/>
      <protection locked="0"/>
    </xf>
    <xf numFmtId="0" fontId="0" fillId="0" borderId="33" xfId="0" applyFont="1" applyBorder="1" applyAlignment="1" applyProtection="1">
      <alignment/>
      <protection locked="0"/>
    </xf>
    <xf numFmtId="185" fontId="11" fillId="0" borderId="56" xfId="0" applyNumberFormat="1" applyFont="1" applyBorder="1" applyAlignment="1" applyProtection="1">
      <alignment/>
      <protection locked="0"/>
    </xf>
    <xf numFmtId="0" fontId="0" fillId="0" borderId="42" xfId="0" applyFont="1" applyBorder="1" applyAlignment="1" applyProtection="1">
      <alignment/>
      <protection locked="0"/>
    </xf>
    <xf numFmtId="0" fontId="0" fillId="0" borderId="43" xfId="0" applyFont="1" applyBorder="1" applyAlignment="1" applyProtection="1">
      <alignment/>
      <protection locked="0"/>
    </xf>
    <xf numFmtId="185" fontId="11" fillId="0" borderId="65" xfId="0" applyNumberFormat="1" applyFont="1" applyBorder="1" applyAlignment="1" applyProtection="1">
      <alignment/>
      <protection locked="0"/>
    </xf>
    <xf numFmtId="0" fontId="0" fillId="0" borderId="39" xfId="0" applyFont="1" applyBorder="1" applyAlignment="1" applyProtection="1">
      <alignment/>
      <protection locked="0"/>
    </xf>
    <xf numFmtId="0" fontId="0" fillId="0" borderId="33" xfId="0" applyFont="1" applyBorder="1" applyAlignment="1" applyProtection="1">
      <alignment/>
      <protection locked="0"/>
    </xf>
    <xf numFmtId="185" fontId="11" fillId="0" borderId="42" xfId="0" applyNumberFormat="1" applyFont="1" applyBorder="1" applyAlignment="1" applyProtection="1">
      <alignment/>
      <protection locked="0"/>
    </xf>
    <xf numFmtId="185" fontId="11" fillId="0" borderId="7" xfId="0" applyNumberFormat="1" applyFont="1" applyBorder="1" applyAlignment="1" applyProtection="1">
      <alignment/>
      <protection locked="0"/>
    </xf>
    <xf numFmtId="0" fontId="0" fillId="0" borderId="7" xfId="0" applyFont="1" applyBorder="1" applyAlignment="1" applyProtection="1">
      <alignment/>
      <protection locked="0"/>
    </xf>
    <xf numFmtId="0" fontId="0" fillId="0" borderId="60" xfId="0" applyFont="1" applyBorder="1" applyAlignment="1" applyProtection="1">
      <alignment/>
      <protection locked="0"/>
    </xf>
    <xf numFmtId="49" fontId="11" fillId="0" borderId="5" xfId="0" applyNumberFormat="1" applyFont="1" applyBorder="1" applyAlignment="1" applyProtection="1">
      <alignment horizontal="left"/>
      <protection locked="0"/>
    </xf>
    <xf numFmtId="49" fontId="0" fillId="0" borderId="7" xfId="0" applyNumberFormat="1" applyFont="1" applyBorder="1" applyAlignment="1" applyProtection="1">
      <alignment horizontal="left"/>
      <protection locked="0"/>
    </xf>
    <xf numFmtId="49" fontId="0" fillId="0" borderId="60" xfId="0" applyNumberFormat="1" applyFont="1" applyBorder="1" applyAlignment="1" applyProtection="1">
      <alignment horizontal="left"/>
      <protection locked="0"/>
    </xf>
    <xf numFmtId="185" fontId="11" fillId="0" borderId="49" xfId="0" applyNumberFormat="1"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62" xfId="0" applyFont="1" applyBorder="1" applyAlignment="1" applyProtection="1">
      <alignment horizontal="left"/>
      <protection locked="0"/>
    </xf>
    <xf numFmtId="185" fontId="11" fillId="0" borderId="40" xfId="0" applyNumberFormat="1" applyFont="1" applyBorder="1" applyAlignment="1" applyProtection="1">
      <alignment horizontal="left"/>
      <protection locked="0"/>
    </xf>
    <xf numFmtId="0" fontId="0" fillId="0" borderId="13" xfId="0" applyFont="1" applyBorder="1" applyAlignment="1" applyProtection="1">
      <alignment horizontal="left"/>
      <protection locked="0"/>
    </xf>
    <xf numFmtId="0" fontId="11" fillId="0" borderId="0" xfId="0" applyFont="1" applyFill="1" applyBorder="1" applyAlignment="1" applyProtection="1">
      <alignment vertical="top" wrapText="1"/>
      <protection/>
    </xf>
    <xf numFmtId="0" fontId="11" fillId="0" borderId="0" xfId="0" applyFont="1" applyAlignment="1">
      <alignment vertical="top" wrapText="1"/>
    </xf>
    <xf numFmtId="185" fontId="11" fillId="0" borderId="56" xfId="0" applyNumberFormat="1" applyFont="1" applyBorder="1" applyAlignment="1" applyProtection="1">
      <alignment horizontal="left"/>
      <protection locked="0"/>
    </xf>
    <xf numFmtId="0" fontId="0" fillId="0" borderId="42" xfId="0" applyFont="1" applyBorder="1" applyAlignment="1" applyProtection="1">
      <alignment/>
      <protection locked="0"/>
    </xf>
    <xf numFmtId="0" fontId="0" fillId="0" borderId="43" xfId="0" applyFont="1" applyBorder="1" applyAlignment="1" applyProtection="1">
      <alignment/>
      <protection locked="0"/>
    </xf>
    <xf numFmtId="185" fontId="11" fillId="0" borderId="66" xfId="0" applyNumberFormat="1" applyFont="1" applyBorder="1" applyAlignment="1" applyProtection="1">
      <alignment horizontal="left"/>
      <protection locked="0"/>
    </xf>
    <xf numFmtId="0" fontId="0" fillId="0" borderId="16" xfId="0" applyFont="1" applyBorder="1" applyAlignment="1" applyProtection="1">
      <alignment horizontal="left"/>
      <protection locked="0"/>
    </xf>
    <xf numFmtId="0" fontId="0" fillId="0" borderId="45" xfId="0" applyFont="1" applyBorder="1" applyAlignment="1" applyProtection="1">
      <alignment horizontal="left"/>
      <protection locked="0"/>
    </xf>
    <xf numFmtId="49" fontId="11" fillId="0" borderId="38" xfId="0" applyNumberFormat="1" applyFont="1" applyFill="1" applyBorder="1" applyAlignment="1" applyProtection="1">
      <alignment vertical="top"/>
      <protection locked="0"/>
    </xf>
    <xf numFmtId="0" fontId="0" fillId="0" borderId="39" xfId="0" applyFont="1" applyBorder="1" applyAlignment="1" applyProtection="1">
      <alignment vertical="top"/>
      <protection locked="0"/>
    </xf>
    <xf numFmtId="37" fontId="11" fillId="0" borderId="65" xfId="0" applyNumberFormat="1" applyFont="1" applyFill="1" applyBorder="1" applyAlignment="1" applyProtection="1">
      <alignment horizontal="left" vertical="top"/>
      <protection locked="0"/>
    </xf>
    <xf numFmtId="0" fontId="0" fillId="0" borderId="39" xfId="0" applyFont="1" applyBorder="1" applyAlignment="1" applyProtection="1">
      <alignment horizontal="left" vertical="top"/>
      <protection locked="0"/>
    </xf>
    <xf numFmtId="185" fontId="11" fillId="0" borderId="42" xfId="0" applyNumberFormat="1" applyFont="1" applyBorder="1" applyAlignment="1" applyProtection="1">
      <alignment horizontal="left"/>
      <protection locked="0"/>
    </xf>
    <xf numFmtId="185" fontId="11" fillId="0" borderId="43" xfId="0" applyNumberFormat="1" applyFont="1" applyBorder="1" applyAlignment="1" applyProtection="1">
      <alignment horizontal="left"/>
      <protection locked="0"/>
    </xf>
    <xf numFmtId="0" fontId="11" fillId="0" borderId="0" xfId="0" applyFont="1" applyFill="1" applyAlignment="1" applyProtection="1">
      <alignment horizontal="justify" vertical="top" wrapText="1"/>
      <protection/>
    </xf>
    <xf numFmtId="0" fontId="11" fillId="0" borderId="0" xfId="0" applyFont="1" applyFill="1" applyAlignment="1">
      <alignment horizontal="justify" vertical="top" wrapText="1"/>
    </xf>
    <xf numFmtId="0" fontId="11" fillId="0" borderId="0" xfId="0" applyFont="1" applyBorder="1" applyAlignment="1" applyProtection="1">
      <alignment horizontal="justify" vertical="top" wrapText="1"/>
      <protection/>
    </xf>
    <xf numFmtId="0" fontId="11" fillId="0" borderId="0" xfId="0" applyFont="1" applyBorder="1" applyAlignment="1" applyProtection="1">
      <alignment horizontal="left" vertical="top" wrapText="1"/>
      <protection/>
    </xf>
    <xf numFmtId="0" fontId="11" fillId="0" borderId="0" xfId="0" applyFont="1" applyAlignment="1">
      <alignment horizontal="left" vertical="top" wrapText="1"/>
    </xf>
    <xf numFmtId="0" fontId="0" fillId="0" borderId="0" xfId="0" applyFont="1" applyAlignment="1">
      <alignment horizontal="left" vertical="top" wrapText="1"/>
    </xf>
    <xf numFmtId="185" fontId="14" fillId="0" borderId="18" xfId="0" applyNumberFormat="1" applyFont="1" applyBorder="1" applyAlignment="1" applyProtection="1">
      <alignment vertical="center" wrapText="1"/>
      <protection hidden="1"/>
    </xf>
    <xf numFmtId="0" fontId="11" fillId="0" borderId="17" xfId="0" applyFont="1" applyBorder="1" applyAlignment="1" applyProtection="1">
      <alignment vertical="center" wrapText="1"/>
      <protection hidden="1"/>
    </xf>
    <xf numFmtId="0" fontId="11" fillId="0" borderId="31" xfId="0" applyFont="1" applyBorder="1" applyAlignment="1" applyProtection="1">
      <alignment vertical="center" wrapText="1"/>
      <protection hidden="1"/>
    </xf>
    <xf numFmtId="0" fontId="14" fillId="0" borderId="17" xfId="0" applyFont="1" applyBorder="1" applyAlignment="1" applyProtection="1">
      <alignment vertical="center" wrapText="1"/>
      <protection hidden="1"/>
    </xf>
    <xf numFmtId="0" fontId="11" fillId="0" borderId="17" xfId="0" applyFont="1" applyBorder="1" applyAlignment="1" applyProtection="1">
      <alignment/>
      <protection hidden="1"/>
    </xf>
    <xf numFmtId="191" fontId="11" fillId="0" borderId="17" xfId="0" applyNumberFormat="1" applyFont="1" applyFill="1" applyBorder="1" applyAlignment="1" applyProtection="1">
      <alignment vertical="center"/>
      <protection/>
    </xf>
    <xf numFmtId="191" fontId="11" fillId="0" borderId="31" xfId="0" applyNumberFormat="1" applyFont="1" applyFill="1" applyBorder="1" applyAlignment="1" applyProtection="1">
      <alignment vertical="center"/>
      <protection/>
    </xf>
    <xf numFmtId="0" fontId="11" fillId="9" borderId="0" xfId="0" applyFont="1" applyFill="1" applyBorder="1" applyAlignment="1" applyProtection="1">
      <alignment vertical="top" wrapText="1"/>
      <protection hidden="1"/>
    </xf>
    <xf numFmtId="0" fontId="11" fillId="0" borderId="0" xfId="0" applyFont="1" applyAlignment="1" applyProtection="1">
      <alignment/>
      <protection hidden="1"/>
    </xf>
    <xf numFmtId="0" fontId="11" fillId="0" borderId="36" xfId="0" applyFont="1" applyBorder="1" applyAlignment="1" applyProtection="1">
      <alignment vertical="top" wrapText="1"/>
      <protection hidden="1"/>
    </xf>
    <xf numFmtId="0" fontId="0" fillId="0" borderId="0" xfId="0" applyFont="1" applyBorder="1" applyAlignment="1">
      <alignment vertical="top" wrapText="1"/>
    </xf>
    <xf numFmtId="0" fontId="0" fillId="0" borderId="35" xfId="0" applyFont="1" applyBorder="1" applyAlignment="1">
      <alignment vertical="top" wrapText="1"/>
    </xf>
    <xf numFmtId="0" fontId="0" fillId="0" borderId="34" xfId="0" applyFont="1" applyBorder="1" applyAlignment="1">
      <alignment vertical="top" wrapText="1"/>
    </xf>
    <xf numFmtId="0" fontId="0" fillId="0" borderId="16" xfId="0" applyFont="1" applyBorder="1" applyAlignment="1">
      <alignment vertical="top" wrapText="1"/>
    </xf>
    <xf numFmtId="0" fontId="0" fillId="0" borderId="45" xfId="0" applyFont="1" applyBorder="1" applyAlignment="1">
      <alignment vertical="top" wrapText="1"/>
    </xf>
    <xf numFmtId="0" fontId="11" fillId="0" borderId="0" xfId="0" applyFont="1" applyFill="1" applyAlignment="1" applyProtection="1">
      <alignment horizontal="justify" vertical="top"/>
      <protection locked="0"/>
    </xf>
    <xf numFmtId="0" fontId="11" fillId="0" borderId="0" xfId="0" applyFont="1" applyFill="1" applyAlignment="1">
      <alignment/>
    </xf>
    <xf numFmtId="0" fontId="11" fillId="0" borderId="0" xfId="0" applyNumberFormat="1" applyFont="1" applyFill="1" applyAlignment="1" applyProtection="1">
      <alignment vertical="top" wrapText="1"/>
      <protection locked="0"/>
    </xf>
    <xf numFmtId="0" fontId="11" fillId="0" borderId="0" xfId="0" applyNumberFormat="1" applyFont="1" applyFill="1" applyAlignment="1" applyProtection="1">
      <alignment horizontal="justify" vertical="top" wrapText="1"/>
      <protection/>
    </xf>
    <xf numFmtId="0" fontId="14" fillId="0" borderId="0" xfId="0" applyFont="1" applyFill="1" applyAlignment="1" applyProtection="1">
      <alignment horizontal="justify" vertical="top" wrapText="1"/>
      <protection/>
    </xf>
    <xf numFmtId="0" fontId="11" fillId="0" borderId="0" xfId="0" applyFont="1" applyFill="1" applyAlignment="1" applyProtection="1">
      <alignment horizontal="justify" vertical="top"/>
      <protection/>
    </xf>
    <xf numFmtId="0" fontId="0" fillId="0" borderId="0" xfId="0" applyFill="1" applyAlignment="1">
      <alignment horizontal="justify" vertical="top" wrapText="1"/>
    </xf>
    <xf numFmtId="0" fontId="14" fillId="0" borderId="0" xfId="0" applyNumberFormat="1" applyFont="1" applyFill="1" applyAlignment="1" applyProtection="1">
      <alignment horizontal="justify" vertical="top" wrapText="1"/>
      <protection/>
    </xf>
    <xf numFmtId="0" fontId="11" fillId="0" borderId="0" xfId="0" applyFont="1" applyFill="1" applyAlignment="1" applyProtection="1">
      <alignment vertical="top" wrapText="1"/>
      <protection/>
    </xf>
    <xf numFmtId="0" fontId="11" fillId="0" borderId="0" xfId="0" applyFont="1" applyFill="1" applyAlignment="1">
      <alignment/>
    </xf>
    <xf numFmtId="0" fontId="14" fillId="0" borderId="0" xfId="0" applyNumberFormat="1" applyFont="1" applyFill="1" applyBorder="1" applyAlignment="1" applyProtection="1">
      <alignment horizontal="justify" vertical="top" wrapText="1"/>
      <protection/>
    </xf>
    <xf numFmtId="0" fontId="14" fillId="0" borderId="0" xfId="0" applyFont="1" applyFill="1" applyAlignment="1">
      <alignment horizontal="justify" vertical="top" wrapText="1"/>
    </xf>
    <xf numFmtId="0" fontId="14" fillId="0" borderId="0" xfId="0" applyNumberFormat="1" applyFont="1" applyFill="1" applyBorder="1" applyAlignment="1" applyProtection="1">
      <alignment vertical="top" wrapText="1"/>
      <protection/>
    </xf>
    <xf numFmtId="0" fontId="0" fillId="0" borderId="0" xfId="0" applyFill="1" applyAlignment="1">
      <alignment wrapText="1"/>
    </xf>
    <xf numFmtId="0" fontId="22" fillId="0" borderId="37" xfId="0" applyNumberFormat="1" applyFont="1" applyFill="1" applyBorder="1" applyAlignment="1" applyProtection="1">
      <alignment horizontal="justify" vertical="top" wrapText="1"/>
      <protection/>
    </xf>
    <xf numFmtId="0" fontId="22" fillId="0" borderId="25" xfId="0" applyFont="1" applyFill="1" applyBorder="1" applyAlignment="1">
      <alignment horizontal="justify" vertical="top" wrapText="1"/>
    </xf>
    <xf numFmtId="0" fontId="22" fillId="0" borderId="30" xfId="0" applyFont="1" applyFill="1" applyBorder="1" applyAlignment="1">
      <alignment horizontal="justify" vertical="top" wrapText="1"/>
    </xf>
    <xf numFmtId="0" fontId="22" fillId="0" borderId="34" xfId="0" applyNumberFormat="1" applyFont="1" applyFill="1" applyBorder="1" applyAlignment="1" applyProtection="1">
      <alignment horizontal="justify" vertical="top" wrapText="1"/>
      <protection/>
    </xf>
    <xf numFmtId="0" fontId="22" fillId="0" borderId="16" xfId="0" applyFont="1" applyFill="1" applyBorder="1" applyAlignment="1">
      <alignment horizontal="justify" vertical="top" wrapText="1"/>
    </xf>
    <xf numFmtId="0" fontId="22" fillId="0" borderId="45" xfId="0" applyFont="1" applyFill="1" applyBorder="1" applyAlignment="1">
      <alignment horizontal="justify" vertical="top" wrapText="1"/>
    </xf>
    <xf numFmtId="49" fontId="11" fillId="0" borderId="0" xfId="0" applyNumberFormat="1" applyFont="1" applyFill="1" applyAlignment="1" applyProtection="1">
      <alignment horizontal="justify" vertical="top" wrapText="1"/>
      <protection/>
    </xf>
    <xf numFmtId="0" fontId="11" fillId="0" borderId="5" xfId="0" applyNumberFormat="1" applyFont="1" applyBorder="1" applyAlignment="1" applyProtection="1">
      <alignment/>
      <protection locked="0"/>
    </xf>
    <xf numFmtId="0" fontId="11" fillId="0" borderId="7" xfId="0" applyNumberFormat="1" applyFont="1" applyBorder="1" applyAlignment="1" applyProtection="1">
      <alignment/>
      <protection locked="0"/>
    </xf>
    <xf numFmtId="0" fontId="11" fillId="0" borderId="10" xfId="0" applyNumberFormat="1" applyFont="1" applyBorder="1" applyAlignment="1" applyProtection="1">
      <alignment/>
      <protection locked="0"/>
    </xf>
    <xf numFmtId="0" fontId="14" fillId="3" borderId="7" xfId="0" applyFont="1" applyFill="1" applyBorder="1" applyAlignment="1" applyProtection="1">
      <alignment horizontal="left"/>
      <protection hidden="1"/>
    </xf>
    <xf numFmtId="0" fontId="14" fillId="3" borderId="10" xfId="0" applyFont="1" applyFill="1" applyBorder="1" applyAlignment="1" applyProtection="1">
      <alignment horizontal="left"/>
      <protection hidden="1"/>
    </xf>
    <xf numFmtId="4" fontId="14" fillId="3" borderId="5" xfId="0" applyNumberFormat="1" applyFont="1" applyFill="1" applyBorder="1" applyAlignment="1" applyProtection="1">
      <alignment horizontal="center"/>
      <protection hidden="1"/>
    </xf>
    <xf numFmtId="4" fontId="14" fillId="3" borderId="10" xfId="0" applyNumberFormat="1" applyFont="1" applyFill="1" applyBorder="1" applyAlignment="1" applyProtection="1">
      <alignment horizontal="center"/>
      <protection hidden="1"/>
    </xf>
    <xf numFmtId="0" fontId="14" fillId="3" borderId="5" xfId="0" applyFont="1" applyFill="1" applyBorder="1" applyAlignment="1" applyProtection="1">
      <alignment/>
      <protection hidden="1"/>
    </xf>
    <xf numFmtId="0" fontId="0" fillId="0" borderId="7" xfId="0" applyFont="1" applyBorder="1" applyAlignment="1">
      <alignment/>
    </xf>
    <xf numFmtId="0" fontId="22" fillId="0" borderId="5" xfId="0" applyFont="1" applyFill="1" applyBorder="1" applyAlignment="1" applyProtection="1">
      <alignment/>
      <protection hidden="1"/>
    </xf>
    <xf numFmtId="0" fontId="23" fillId="0" borderId="7" xfId="0" applyFont="1" applyBorder="1" applyAlignment="1">
      <alignment/>
    </xf>
    <xf numFmtId="0" fontId="23" fillId="0" borderId="10" xfId="0" applyFont="1" applyBorder="1" applyAlignment="1">
      <alignment/>
    </xf>
    <xf numFmtId="184" fontId="11" fillId="0" borderId="7" xfId="0" applyNumberFormat="1" applyFont="1" applyFill="1" applyBorder="1" applyAlignment="1" applyProtection="1">
      <alignment/>
      <protection/>
    </xf>
    <xf numFmtId="184" fontId="11" fillId="0" borderId="7" xfId="0" applyNumberFormat="1" applyFont="1" applyFill="1" applyBorder="1" applyAlignment="1" applyProtection="1">
      <alignment horizontal="right"/>
      <protection/>
    </xf>
    <xf numFmtId="0" fontId="0" fillId="0" borderId="7" xfId="0" applyFont="1" applyBorder="1" applyAlignment="1">
      <alignment horizontal="right"/>
    </xf>
    <xf numFmtId="0" fontId="14" fillId="3" borderId="5" xfId="0" applyFont="1" applyFill="1" applyBorder="1" applyAlignment="1" applyProtection="1">
      <alignment horizontal="center"/>
      <protection hidden="1"/>
    </xf>
    <xf numFmtId="0" fontId="11" fillId="0" borderId="10" xfId="0" applyFont="1" applyBorder="1" applyAlignment="1">
      <alignment horizontal="center"/>
    </xf>
    <xf numFmtId="185" fontId="11" fillId="0" borderId="17" xfId="0" applyNumberFormat="1" applyFont="1" applyFill="1" applyBorder="1" applyAlignment="1" applyProtection="1">
      <alignment/>
      <protection/>
    </xf>
    <xf numFmtId="0" fontId="0" fillId="0" borderId="31" xfId="0" applyFont="1" applyBorder="1" applyAlignment="1">
      <alignment/>
    </xf>
    <xf numFmtId="185" fontId="11" fillId="0" borderId="11" xfId="0" applyNumberFormat="1" applyFont="1" applyFill="1" applyBorder="1" applyAlignment="1" applyProtection="1">
      <alignment/>
      <protection/>
    </xf>
    <xf numFmtId="0" fontId="11" fillId="0" borderId="11" xfId="0" applyFont="1" applyBorder="1" applyAlignment="1">
      <alignment/>
    </xf>
    <xf numFmtId="0" fontId="14" fillId="0" borderId="16" xfId="0" applyFont="1" applyFill="1" applyBorder="1" applyAlignment="1" applyProtection="1">
      <alignment/>
      <protection hidden="1"/>
    </xf>
    <xf numFmtId="0" fontId="0" fillId="0" borderId="16" xfId="0" applyFont="1" applyBorder="1" applyAlignment="1">
      <alignment/>
    </xf>
    <xf numFmtId="0" fontId="11" fillId="0" borderId="10" xfId="0" applyFont="1" applyBorder="1" applyAlignment="1" applyProtection="1">
      <alignment horizontal="center"/>
      <protection hidden="1"/>
    </xf>
    <xf numFmtId="0" fontId="0" fillId="0" borderId="10" xfId="0" applyFont="1" applyBorder="1" applyAlignment="1">
      <alignment horizontal="center"/>
    </xf>
    <xf numFmtId="49" fontId="14" fillId="0" borderId="0" xfId="0" applyNumberFormat="1" applyFont="1" applyAlignment="1">
      <alignment vertical="top"/>
    </xf>
    <xf numFmtId="0" fontId="3" fillId="0" borderId="0" xfId="0" applyFont="1" applyAlignment="1">
      <alignment vertical="top"/>
    </xf>
    <xf numFmtId="0" fontId="14" fillId="3" borderId="36" xfId="0" applyFont="1" applyFill="1" applyBorder="1" applyAlignment="1" applyProtection="1">
      <alignment vertical="center"/>
      <protection hidden="1"/>
    </xf>
    <xf numFmtId="0" fontId="0" fillId="0" borderId="0" xfId="0" applyFont="1" applyAlignment="1" applyProtection="1">
      <alignment/>
      <protection/>
    </xf>
    <xf numFmtId="0" fontId="11" fillId="10" borderId="15" xfId="34" applyFont="1" applyFill="1" applyBorder="1" applyAlignment="1" applyProtection="1">
      <alignment/>
      <protection locked="0"/>
    </xf>
    <xf numFmtId="0" fontId="2" fillId="0" borderId="0" xfId="34" applyFont="1" applyBorder="1" applyAlignment="1">
      <alignment/>
      <protection/>
    </xf>
    <xf numFmtId="0" fontId="2" fillId="0" borderId="48" xfId="34" applyFont="1" applyBorder="1" applyAlignment="1">
      <alignment/>
      <protection/>
    </xf>
    <xf numFmtId="0" fontId="11" fillId="10" borderId="40" xfId="34" applyFont="1" applyFill="1" applyBorder="1" applyAlignment="1" applyProtection="1">
      <alignment/>
      <protection locked="0"/>
    </xf>
    <xf numFmtId="0" fontId="2" fillId="0" borderId="13" xfId="34" applyFont="1" applyBorder="1" applyAlignment="1">
      <alignment/>
      <protection/>
    </xf>
    <xf numFmtId="0" fontId="2" fillId="0" borderId="50" xfId="34" applyFont="1" applyBorder="1" applyAlignment="1">
      <alignment/>
      <protection/>
    </xf>
    <xf numFmtId="0" fontId="11" fillId="10" borderId="49" xfId="34" applyFont="1" applyFill="1" applyBorder="1" applyAlignment="1" applyProtection="1">
      <alignment/>
      <protection locked="0"/>
    </xf>
    <xf numFmtId="0" fontId="2" fillId="0" borderId="11" xfId="34" applyFont="1" applyBorder="1" applyAlignment="1">
      <alignment/>
      <protection/>
    </xf>
    <xf numFmtId="0" fontId="2" fillId="0" borderId="12" xfId="34" applyFont="1" applyBorder="1" applyAlignment="1">
      <alignment/>
      <protection/>
    </xf>
  </cellXfs>
  <cellStyles count="34">
    <cellStyle name="Normal" xfId="0"/>
    <cellStyle name="Custom - Opmaakprofiel8" xfId="15"/>
    <cellStyle name="Data   - Opmaakprofiel2" xfId="16"/>
    <cellStyle name="Euro" xfId="17"/>
    <cellStyle name="Followed Hyperlink" xfId="18"/>
    <cellStyle name="Hyperlink" xfId="19"/>
    <cellStyle name="Comma" xfId="20"/>
    <cellStyle name="Comma [0]" xfId="21"/>
    <cellStyle name="Labels - Opmaakprofiel3" xfId="22"/>
    <cellStyle name="Normal - Opmaakprofiel1" xfId="23"/>
    <cellStyle name="Normal - Opmaakprofiel2" xfId="24"/>
    <cellStyle name="Normal - Opmaakprofiel3" xfId="25"/>
    <cellStyle name="Normal - Opmaakprofiel4" xfId="26"/>
    <cellStyle name="Normal - Opmaakprofiel5" xfId="27"/>
    <cellStyle name="Normal - Opmaakprofiel6" xfId="28"/>
    <cellStyle name="Normal - Opmaakprofiel7" xfId="29"/>
    <cellStyle name="Normal - Opmaakprofiel8" xfId="30"/>
    <cellStyle name="Percent" xfId="31"/>
    <cellStyle name="Reset  - Opmaakprofiel7" xfId="32"/>
    <cellStyle name="Standaard_26Nacalculatieformulier GGZ 2005 versie 051021" xfId="33"/>
    <cellStyle name="Standaard_Budgetformulier 2008 GHZ versie 1.1" xfId="34"/>
    <cellStyle name="Tabelstandaard" xfId="35"/>
    <cellStyle name="Tabelstandaard financieel" xfId="36"/>
    <cellStyle name="Tabelstandaard negatief" xfId="37"/>
    <cellStyle name="Tabelstandaard Totaal" xfId="38"/>
    <cellStyle name="Tabelstandaard Totaal Negatief" xfId="39"/>
    <cellStyle name="Tabelstandaard Totaal_1077029755_GGZ-01c nacalculatieformulier ribw 2003 versie 040217(1)" xfId="40"/>
    <cellStyle name="Tabelstandaard_1077029755_GGZ-01c nacalculatieformulier ribw 2003 versie 040217(1)" xfId="41"/>
    <cellStyle name="Table  - Opmaakprofiel6" xfId="42"/>
    <cellStyle name="Title  - Opmaakprofiel1" xfId="43"/>
    <cellStyle name="TotCol - Opmaakprofiel5" xfId="44"/>
    <cellStyle name="TotRow - Opmaakprofiel4" xfId="45"/>
    <cellStyle name="Currency" xfId="46"/>
    <cellStyle name="Currency [0]" xfId="47"/>
  </cellStyles>
  <dxfs count="17">
    <dxf>
      <fill>
        <patternFill>
          <bgColor rgb="FFE2DCD3"/>
        </patternFill>
      </fill>
      <border>
        <left>
          <color rgb="FF000000"/>
        </left>
        <right>
          <color rgb="FF000000"/>
        </right>
        <top>
          <color rgb="FF000000"/>
        </top>
        <bottom>
          <color rgb="FF000000"/>
        </bottom>
      </border>
    </dxf>
    <dxf>
      <fill>
        <patternFill>
          <bgColor rgb="FFD7DCEF"/>
        </patternFill>
      </fill>
      <border>
        <left style="thin">
          <color rgb="FF000000"/>
        </left>
        <right style="thin">
          <color rgb="FF000000"/>
        </right>
        <top style="thin"/>
        <bottom style="thin">
          <color rgb="FF000000"/>
        </bottom>
      </border>
    </dxf>
    <dxf>
      <fill>
        <patternFill>
          <bgColor rgb="FFD7DCEF"/>
        </patternFill>
      </fill>
      <border/>
    </dxf>
    <dxf>
      <fill>
        <patternFill>
          <bgColor rgb="FFFF0000"/>
        </patternFill>
      </fill>
      <border/>
    </dxf>
    <dxf>
      <font>
        <color rgb="FF000000"/>
      </font>
      <fill>
        <patternFill>
          <bgColor rgb="FFD7DCEF"/>
        </patternFill>
      </fill>
      <border/>
    </dxf>
    <dxf>
      <fill>
        <patternFill>
          <bgColor rgb="FFFF0000"/>
        </patternFill>
      </fill>
      <border>
        <left style="thin">
          <color rgb="FF000000"/>
        </left>
        <right style="thin">
          <color rgb="FF000000"/>
        </right>
        <top style="thin"/>
        <bottom style="thin">
          <color rgb="FF000000"/>
        </bottom>
      </border>
    </dxf>
    <dxf>
      <fill>
        <patternFill>
          <bgColor rgb="FFFF0000"/>
        </patternFill>
      </fill>
      <border>
        <left>
          <color rgb="FF000000"/>
        </left>
        <right>
          <color rgb="FF000000"/>
        </right>
        <top>
          <color rgb="FF000000"/>
        </top>
        <bottom>
          <color rgb="FF000000"/>
        </bottom>
      </border>
    </dxf>
    <dxf>
      <fill>
        <patternFill>
          <bgColor rgb="FFFF0000"/>
        </patternFill>
      </fill>
      <border>
        <left>
          <color rgb="FF000000"/>
        </left>
        <right>
          <color rgb="FF000000"/>
        </right>
        <top style="thin">
          <color rgb="FF000000"/>
        </top>
        <bottom>
          <color rgb="FF000000"/>
        </bottom>
      </border>
    </dxf>
    <dxf>
      <fill>
        <patternFill>
          <bgColor rgb="FFFF0000"/>
        </patternFill>
      </fill>
      <border>
        <left>
          <color rgb="FF000000"/>
        </left>
        <right>
          <color rgb="FF000000"/>
        </right>
        <top/>
        <bottom style="thin">
          <color rgb="FF000000"/>
        </bottom>
      </border>
    </dxf>
    <dxf>
      <fill>
        <patternFill>
          <bgColor rgb="FF99CCFF"/>
        </patternFill>
      </fill>
      <border/>
    </dxf>
    <dxf>
      <font>
        <color rgb="FF800000"/>
      </font>
      <fill>
        <patternFill>
          <bgColor rgb="FFFFFFCC"/>
        </patternFill>
      </fill>
      <border/>
    </dxf>
    <dxf>
      <font>
        <b/>
        <i val="0"/>
        <color rgb="FF800000"/>
      </font>
      <fill>
        <patternFill patternType="none">
          <bgColor indexed="65"/>
        </patternFill>
      </fill>
      <border/>
    </dxf>
    <dxf>
      <font>
        <color rgb="FFFFFFFF"/>
      </font>
      <fill>
        <patternFill patternType="none">
          <bgColor indexed="65"/>
        </patternFill>
      </fill>
      <border>
        <left>
          <color rgb="FF000000"/>
        </left>
        <right>
          <color rgb="FF000000"/>
        </right>
        <top>
          <color rgb="FF000000"/>
        </top>
        <bottom>
          <color rgb="FF000000"/>
        </bottom>
      </border>
    </dxf>
    <dxf>
      <font>
        <color auto="1"/>
      </font>
      <fill>
        <patternFill>
          <bgColor rgb="FFC0C0C0"/>
        </patternFill>
      </fill>
      <border/>
    </dxf>
    <dxf>
      <border/>
    </dxf>
    <dxf>
      <fill>
        <patternFill patternType="solid">
          <bgColor rgb="FFD7DCEF"/>
        </patternFill>
      </fill>
      <border/>
    </dxf>
    <dxf>
      <font>
        <color rgb="FFD7DCE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DCEF"/>
      <rgbColor rgb="00E2DCD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23</xdr:row>
      <xdr:rowOff>47625</xdr:rowOff>
    </xdr:from>
    <xdr:to>
      <xdr:col>2</xdr:col>
      <xdr:colOff>180975</xdr:colOff>
      <xdr:row>23</xdr:row>
      <xdr:rowOff>123825</xdr:rowOff>
    </xdr:to>
    <xdr:sp>
      <xdr:nvSpPr>
        <xdr:cNvPr id="1" name="Rectangle 8"/>
        <xdr:cNvSpPr>
          <a:spLocks/>
        </xdr:cNvSpPr>
      </xdr:nvSpPr>
      <xdr:spPr>
        <a:xfrm>
          <a:off x="1247775" y="464820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17</xdr:row>
      <xdr:rowOff>47625</xdr:rowOff>
    </xdr:from>
    <xdr:to>
      <xdr:col>2</xdr:col>
      <xdr:colOff>180975</xdr:colOff>
      <xdr:row>17</xdr:row>
      <xdr:rowOff>123825</xdr:rowOff>
    </xdr:to>
    <xdr:sp>
      <xdr:nvSpPr>
        <xdr:cNvPr id="2" name="Rectangle 17"/>
        <xdr:cNvSpPr>
          <a:spLocks/>
        </xdr:cNvSpPr>
      </xdr:nvSpPr>
      <xdr:spPr>
        <a:xfrm>
          <a:off x="1247775" y="377190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12</xdr:row>
      <xdr:rowOff>47625</xdr:rowOff>
    </xdr:from>
    <xdr:to>
      <xdr:col>2</xdr:col>
      <xdr:colOff>180975</xdr:colOff>
      <xdr:row>12</xdr:row>
      <xdr:rowOff>123825</xdr:rowOff>
    </xdr:to>
    <xdr:sp>
      <xdr:nvSpPr>
        <xdr:cNvPr id="3" name="Rectangle 18"/>
        <xdr:cNvSpPr>
          <a:spLocks/>
        </xdr:cNvSpPr>
      </xdr:nvSpPr>
      <xdr:spPr>
        <a:xfrm>
          <a:off x="1247775" y="303847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295275</xdr:colOff>
      <xdr:row>0</xdr:row>
      <xdr:rowOff>0</xdr:rowOff>
    </xdr:from>
    <xdr:to>
      <xdr:col>13</xdr:col>
      <xdr:colOff>457200</xdr:colOff>
      <xdr:row>3</xdr:row>
      <xdr:rowOff>352425</xdr:rowOff>
    </xdr:to>
    <xdr:pic>
      <xdr:nvPicPr>
        <xdr:cNvPr id="4" name="Picture 110"/>
        <xdr:cNvPicPr preferRelativeResize="1">
          <a:picLocks noChangeAspect="1"/>
        </xdr:cNvPicPr>
      </xdr:nvPicPr>
      <xdr:blipFill>
        <a:blip r:embed="rId1"/>
        <a:stretch>
          <a:fillRect/>
        </a:stretch>
      </xdr:blipFill>
      <xdr:spPr>
        <a:xfrm>
          <a:off x="8191500" y="0"/>
          <a:ext cx="1905000" cy="9525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37</xdr:row>
      <xdr:rowOff>0</xdr:rowOff>
    </xdr:from>
    <xdr:to>
      <xdr:col>10</xdr:col>
      <xdr:colOff>0</xdr:colOff>
      <xdr:row>37</xdr:row>
      <xdr:rowOff>0</xdr:rowOff>
    </xdr:to>
    <xdr:grpSp>
      <xdr:nvGrpSpPr>
        <xdr:cNvPr id="1" name="Group 6"/>
        <xdr:cNvGrpSpPr>
          <a:grpSpLocks/>
        </xdr:cNvGrpSpPr>
      </xdr:nvGrpSpPr>
      <xdr:grpSpPr>
        <a:xfrm>
          <a:off x="7553325" y="12839700"/>
          <a:ext cx="0" cy="0"/>
          <a:chOff x="769" y="35"/>
          <a:chExt cx="110" cy="41"/>
        </a:xfrm>
        <a:solidFill>
          <a:srgbClr val="FFFFFF"/>
        </a:solidFill>
      </xdr:grpSpPr>
      <xdr:sp>
        <xdr:nvSpPr>
          <xdr:cNvPr id="2"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0</xdr:colOff>
      <xdr:row>57</xdr:row>
      <xdr:rowOff>0</xdr:rowOff>
    </xdr:from>
    <xdr:to>
      <xdr:col>10</xdr:col>
      <xdr:colOff>0</xdr:colOff>
      <xdr:row>57</xdr:row>
      <xdr:rowOff>0</xdr:rowOff>
    </xdr:to>
    <xdr:grpSp>
      <xdr:nvGrpSpPr>
        <xdr:cNvPr id="6" name="Group 36"/>
        <xdr:cNvGrpSpPr>
          <a:grpSpLocks/>
        </xdr:cNvGrpSpPr>
      </xdr:nvGrpSpPr>
      <xdr:grpSpPr>
        <a:xfrm>
          <a:off x="7553325" y="19488150"/>
          <a:ext cx="0" cy="0"/>
          <a:chOff x="769" y="35"/>
          <a:chExt cx="110" cy="41"/>
        </a:xfrm>
        <a:solidFill>
          <a:srgbClr val="FFFFFF"/>
        </a:solidFill>
      </xdr:grpSpPr>
      <xdr:sp>
        <xdr:nvSpPr>
          <xdr:cNvPr id="7" name="Rectangle 3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3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3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4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0</xdr:colOff>
      <xdr:row>50</xdr:row>
      <xdr:rowOff>0</xdr:rowOff>
    </xdr:from>
    <xdr:to>
      <xdr:col>10</xdr:col>
      <xdr:colOff>0</xdr:colOff>
      <xdr:row>50</xdr:row>
      <xdr:rowOff>0</xdr:rowOff>
    </xdr:to>
    <xdr:grpSp>
      <xdr:nvGrpSpPr>
        <xdr:cNvPr id="11" name="Group 46"/>
        <xdr:cNvGrpSpPr>
          <a:grpSpLocks/>
        </xdr:cNvGrpSpPr>
      </xdr:nvGrpSpPr>
      <xdr:grpSpPr>
        <a:xfrm>
          <a:off x="7553325" y="17230725"/>
          <a:ext cx="0" cy="0"/>
          <a:chOff x="769" y="35"/>
          <a:chExt cx="110" cy="41"/>
        </a:xfrm>
        <a:solidFill>
          <a:srgbClr val="FFFFFF"/>
        </a:solidFill>
      </xdr:grpSpPr>
      <xdr:sp>
        <xdr:nvSpPr>
          <xdr:cNvPr id="12" name="Rectangle 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mr3\ggz\Budgetaanvragen\Standaard\2002\test\1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ihot\Local%20Settings\Temporary%20Internet%20Files\OLK13\normen%20200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IHOT\Local%20Settings\Temporary%20Internet%20Files\OLKA5\Budgetformulier%202008%20V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mr3\ggz\Budgetaanvragen\Formulieren\2002\test\1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kmr3\ggz\Budgetaanvragen\Budget%202002\1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YGNUS\iloa$\kmr3\ggz\Budgetaanvragen\Standaard\2002\test\1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YGNUS\iloa$\kmr3\ggz\Budgetaanvragen\Formulieren\2002\test\1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ygnus\afd\DOCUME~1\by\LOCALS~1\Temp\Mp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ihot\Local%20Settings\Temporary%20Internet%20Files\OLK13\NACALCULATIEFORMULIEREN%202004\LAY-OUT%20(definitief).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ihot\Local%20Settings\Temporary%20Internet%20Files\OLK472\LAY-OUT%20(definitief).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ihot\Local%20Settings\Temporary%20Internet%20Files\OLK13\LAY-OUT%20(definitie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erekening normen"/>
      <sheetName val="factor"/>
      <sheetName val="norme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Voorblad"/>
      <sheetName val="Toelichting Budget 2008"/>
      <sheetName val="Budget 2008"/>
      <sheetName val="Toelichting ZZP-gegevens 2008"/>
      <sheetName val="ZZP-gegevens 2008"/>
      <sheetName val="Herallocatie"/>
      <sheetName val="AO IC"/>
      <sheetName val="Toelichting nac. op productie "/>
      <sheetName val="Nac. geleverde productie 2007"/>
      <sheetName val="Vragenlijst"/>
      <sheetName val="Verantw. document prod. 2007"/>
      <sheetName val="M02_07_K_KOL5_1"/>
      <sheetName val="M02_07_K_KOL5_2"/>
      <sheetName val="M02_07_A_KOL5_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beschrijving)"/>
      <sheetName val="Voorbeeld"/>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beschrijving)"/>
      <sheetName val="Voorbeeld"/>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beschrijving)"/>
      <sheetName val="Voorbeeld"/>
      <sheetName val="#VER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nza.nl"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vmlDrawing" Target="../drawings/vmlDrawing6.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002"/>
  <sheetViews>
    <sheetView workbookViewId="0" topLeftCell="A328">
      <selection activeCell="K338" sqref="K338"/>
    </sheetView>
  </sheetViews>
  <sheetFormatPr defaultColWidth="9.140625" defaultRowHeight="12.75"/>
  <cols>
    <col min="1" max="1" width="8.00390625" style="491" bestFit="1" customWidth="1"/>
    <col min="2" max="2" width="5.57421875" style="491" bestFit="1" customWidth="1"/>
    <col min="3" max="3" width="12.8515625" style="491" bestFit="1" customWidth="1"/>
    <col min="4" max="4" width="14.421875" style="491" customWidth="1"/>
    <col min="5" max="5" width="8.57421875" style="491" bestFit="1" customWidth="1"/>
    <col min="6" max="6" width="10.7109375" style="491" bestFit="1" customWidth="1"/>
    <col min="7" max="7" width="13.57421875" style="491" customWidth="1"/>
    <col min="8" max="8" width="10.140625" style="491" bestFit="1" customWidth="1"/>
    <col min="9" max="11" width="9.140625" style="491" customWidth="1"/>
  </cols>
  <sheetData>
    <row r="1" spans="1:8" ht="12.75">
      <c r="A1" s="491" t="s">
        <v>1242</v>
      </c>
      <c r="B1" s="491" t="s">
        <v>1243</v>
      </c>
      <c r="C1" s="491" t="s">
        <v>1244</v>
      </c>
      <c r="D1" s="491" t="s">
        <v>1783</v>
      </c>
      <c r="E1" s="491" t="s">
        <v>1245</v>
      </c>
      <c r="F1" s="491" t="s">
        <v>69</v>
      </c>
      <c r="G1" s="491" t="s">
        <v>706</v>
      </c>
      <c r="H1" s="491" t="s">
        <v>1693</v>
      </c>
    </row>
    <row r="2" spans="1:8" ht="12.75">
      <c r="A2" s="491">
        <f>B2*1000</f>
        <v>0</v>
      </c>
      <c r="B2" s="127">
        <f>'0000'!A3</f>
        <v>0</v>
      </c>
      <c r="C2" s="606" t="str">
        <f>'dbc''s'!J7</f>
        <v>QBA001</v>
      </c>
      <c r="D2" s="607">
        <f>'dbc''s'!K7</f>
        <v>0</v>
      </c>
      <c r="E2" s="491" t="s">
        <v>1246</v>
      </c>
      <c r="G2" s="595">
        <f>D2</f>
        <v>0</v>
      </c>
      <c r="H2" s="608">
        <v>39814</v>
      </c>
    </row>
    <row r="3" spans="1:8" ht="12.75">
      <c r="A3" s="491">
        <f>A2+1</f>
        <v>1</v>
      </c>
      <c r="B3" s="127">
        <f aca="true" t="shared" si="0" ref="B3:B67">B2</f>
        <v>0</v>
      </c>
      <c r="C3" s="606" t="str">
        <f>'dbc''s'!J8</f>
        <v>QBA002</v>
      </c>
      <c r="D3" s="607">
        <f>'dbc''s'!K8</f>
        <v>0</v>
      </c>
      <c r="E3" s="491" t="s">
        <v>1246</v>
      </c>
      <c r="G3" s="595">
        <f aca="true" t="shared" si="1" ref="G3:G61">D3</f>
        <v>0</v>
      </c>
      <c r="H3" s="608">
        <v>39814</v>
      </c>
    </row>
    <row r="4" spans="1:8" ht="12.75">
      <c r="A4" s="491">
        <f aca="true" t="shared" si="2" ref="A4:A68">A3+1</f>
        <v>2</v>
      </c>
      <c r="B4" s="127">
        <f t="shared" si="0"/>
        <v>0</v>
      </c>
      <c r="C4" s="606" t="str">
        <f>'dbc''s'!J9</f>
        <v>QBA003</v>
      </c>
      <c r="D4" s="607">
        <f>'dbc''s'!K9</f>
        <v>0</v>
      </c>
      <c r="E4" s="491" t="s">
        <v>1246</v>
      </c>
      <c r="G4" s="595">
        <f t="shared" si="1"/>
        <v>0</v>
      </c>
      <c r="H4" s="608">
        <v>39814</v>
      </c>
    </row>
    <row r="5" spans="1:8" ht="12.75">
      <c r="A5" s="491">
        <f t="shared" si="2"/>
        <v>3</v>
      </c>
      <c r="B5" s="127">
        <f t="shared" si="0"/>
        <v>0</v>
      </c>
      <c r="C5" s="606" t="str">
        <f>'dbc''s'!J10</f>
        <v>QBA004</v>
      </c>
      <c r="D5" s="607">
        <f>'dbc''s'!K10</f>
        <v>0</v>
      </c>
      <c r="E5" s="491" t="s">
        <v>1246</v>
      </c>
      <c r="G5" s="595">
        <f t="shared" si="1"/>
        <v>0</v>
      </c>
      <c r="H5" s="608">
        <v>39814</v>
      </c>
    </row>
    <row r="6" spans="1:8" ht="12.75">
      <c r="A6" s="491">
        <f t="shared" si="2"/>
        <v>4</v>
      </c>
      <c r="B6" s="127">
        <f t="shared" si="0"/>
        <v>0</v>
      </c>
      <c r="C6" s="606" t="str">
        <f>'dbc''s'!J11</f>
        <v>QBA005</v>
      </c>
      <c r="D6" s="607">
        <f>'dbc''s'!K11</f>
        <v>0</v>
      </c>
      <c r="E6" s="491" t="s">
        <v>1246</v>
      </c>
      <c r="G6" s="595">
        <f t="shared" si="1"/>
        <v>0</v>
      </c>
      <c r="H6" s="608">
        <v>39814</v>
      </c>
    </row>
    <row r="7" spans="1:8" ht="12.75">
      <c r="A7" s="491">
        <f t="shared" si="2"/>
        <v>5</v>
      </c>
      <c r="B7" s="127">
        <f t="shared" si="0"/>
        <v>0</v>
      </c>
      <c r="C7" s="606" t="str">
        <f>'dbc''s'!J12</f>
        <v>QBA006</v>
      </c>
      <c r="D7" s="607">
        <f>'dbc''s'!K12</f>
        <v>0</v>
      </c>
      <c r="E7" s="491" t="s">
        <v>1246</v>
      </c>
      <c r="G7" s="595">
        <f t="shared" si="1"/>
        <v>0</v>
      </c>
      <c r="H7" s="608">
        <v>39814</v>
      </c>
    </row>
    <row r="8" spans="1:8" ht="12.75">
      <c r="A8" s="491">
        <f t="shared" si="2"/>
        <v>6</v>
      </c>
      <c r="B8" s="127">
        <f t="shared" si="0"/>
        <v>0</v>
      </c>
      <c r="C8" s="606" t="str">
        <f>'dbc''s'!J13</f>
        <v>QBA007</v>
      </c>
      <c r="D8" s="607">
        <f>'dbc''s'!K13</f>
        <v>0</v>
      </c>
      <c r="E8" s="491" t="s">
        <v>1246</v>
      </c>
      <c r="G8" s="595">
        <f t="shared" si="1"/>
        <v>0</v>
      </c>
      <c r="H8" s="608">
        <v>39814</v>
      </c>
    </row>
    <row r="9" spans="1:8" ht="12.75">
      <c r="A9" s="491">
        <f t="shared" si="2"/>
        <v>7</v>
      </c>
      <c r="B9" s="127">
        <f t="shared" si="0"/>
        <v>0</v>
      </c>
      <c r="C9" s="606" t="str">
        <f>'dbc''s'!J14</f>
        <v>QBA008</v>
      </c>
      <c r="D9" s="607">
        <f>'dbc''s'!K14</f>
        <v>0</v>
      </c>
      <c r="E9" s="491" t="s">
        <v>1246</v>
      </c>
      <c r="G9" s="595">
        <f t="shared" si="1"/>
        <v>0</v>
      </c>
      <c r="H9" s="608">
        <v>39814</v>
      </c>
    </row>
    <row r="10" spans="1:8" ht="12.75">
      <c r="A10" s="491">
        <f t="shared" si="2"/>
        <v>8</v>
      </c>
      <c r="B10" s="127">
        <f t="shared" si="0"/>
        <v>0</v>
      </c>
      <c r="C10" s="606" t="str">
        <f>'dbc''s'!J15</f>
        <v>QBA009</v>
      </c>
      <c r="D10" s="607">
        <f>'dbc''s'!K15</f>
        <v>0</v>
      </c>
      <c r="E10" s="491" t="s">
        <v>1246</v>
      </c>
      <c r="G10" s="595">
        <f t="shared" si="1"/>
        <v>0</v>
      </c>
      <c r="H10" s="608">
        <v>39814</v>
      </c>
    </row>
    <row r="11" spans="1:8" ht="12.75">
      <c r="A11" s="491">
        <f t="shared" si="2"/>
        <v>9</v>
      </c>
      <c r="B11" s="127">
        <f t="shared" si="0"/>
        <v>0</v>
      </c>
      <c r="C11" s="606" t="str">
        <f>'dbc''s'!J16</f>
        <v>QBA010</v>
      </c>
      <c r="D11" s="607">
        <f>'dbc''s'!K16</f>
        <v>0</v>
      </c>
      <c r="E11" s="491" t="s">
        <v>1246</v>
      </c>
      <c r="G11" s="595">
        <f t="shared" si="1"/>
        <v>0</v>
      </c>
      <c r="H11" s="608">
        <v>39814</v>
      </c>
    </row>
    <row r="12" spans="1:8" ht="12.75">
      <c r="A12" s="491">
        <f t="shared" si="2"/>
        <v>10</v>
      </c>
      <c r="B12" s="127">
        <f t="shared" si="0"/>
        <v>0</v>
      </c>
      <c r="C12" s="606" t="str">
        <f>'dbc''s'!J17</f>
        <v>QBA011</v>
      </c>
      <c r="D12" s="607">
        <f>'dbc''s'!K17</f>
        <v>0</v>
      </c>
      <c r="E12" s="491" t="s">
        <v>1246</v>
      </c>
      <c r="G12" s="595">
        <f t="shared" si="1"/>
        <v>0</v>
      </c>
      <c r="H12" s="608">
        <v>39814</v>
      </c>
    </row>
    <row r="13" spans="1:8" ht="12.75">
      <c r="A13" s="491">
        <f t="shared" si="2"/>
        <v>11</v>
      </c>
      <c r="B13" s="127">
        <f t="shared" si="0"/>
        <v>0</v>
      </c>
      <c r="C13" s="606" t="str">
        <f>'dbc''s'!J18</f>
        <v>QBA012</v>
      </c>
      <c r="D13" s="607">
        <f>'dbc''s'!K18</f>
        <v>0</v>
      </c>
      <c r="E13" s="491" t="s">
        <v>1246</v>
      </c>
      <c r="G13" s="595">
        <f t="shared" si="1"/>
        <v>0</v>
      </c>
      <c r="H13" s="608">
        <v>39814</v>
      </c>
    </row>
    <row r="14" spans="1:8" ht="12.75">
      <c r="A14" s="491">
        <f t="shared" si="2"/>
        <v>12</v>
      </c>
      <c r="B14" s="127">
        <f t="shared" si="0"/>
        <v>0</v>
      </c>
      <c r="C14" s="606" t="str">
        <f>'dbc''s'!J19</f>
        <v>QBA013</v>
      </c>
      <c r="D14" s="607">
        <f>'dbc''s'!K19</f>
        <v>0</v>
      </c>
      <c r="E14" s="491" t="s">
        <v>1246</v>
      </c>
      <c r="G14" s="595">
        <f t="shared" si="1"/>
        <v>0</v>
      </c>
      <c r="H14" s="608">
        <v>39814</v>
      </c>
    </row>
    <row r="15" spans="1:8" ht="12.75">
      <c r="A15" s="491">
        <f t="shared" si="2"/>
        <v>13</v>
      </c>
      <c r="B15" s="127">
        <f t="shared" si="0"/>
        <v>0</v>
      </c>
      <c r="C15" s="606" t="str">
        <f>'dbc''s'!J20</f>
        <v>QBA014</v>
      </c>
      <c r="D15" s="607">
        <f>'dbc''s'!K20</f>
        <v>0</v>
      </c>
      <c r="E15" s="491" t="s">
        <v>1246</v>
      </c>
      <c r="G15" s="595">
        <f t="shared" si="1"/>
        <v>0</v>
      </c>
      <c r="H15" s="608">
        <v>39814</v>
      </c>
    </row>
    <row r="16" spans="1:8" ht="12.75">
      <c r="A16" s="491">
        <f t="shared" si="2"/>
        <v>14</v>
      </c>
      <c r="B16" s="127">
        <f t="shared" si="0"/>
        <v>0</v>
      </c>
      <c r="C16" s="606" t="str">
        <f>'dbc''s'!J21</f>
        <v>QBA015</v>
      </c>
      <c r="D16" s="607">
        <f>'dbc''s'!K21</f>
        <v>0</v>
      </c>
      <c r="E16" s="491" t="s">
        <v>1246</v>
      </c>
      <c r="G16" s="595">
        <f t="shared" si="1"/>
        <v>0</v>
      </c>
      <c r="H16" s="608">
        <v>39814</v>
      </c>
    </row>
    <row r="17" spans="1:8" ht="12.75">
      <c r="A17" s="491">
        <f t="shared" si="2"/>
        <v>15</v>
      </c>
      <c r="B17" s="127">
        <f t="shared" si="0"/>
        <v>0</v>
      </c>
      <c r="C17" s="606" t="str">
        <f>'dbc''s'!J22</f>
        <v>QBA016</v>
      </c>
      <c r="D17" s="607">
        <f>'dbc''s'!K22</f>
        <v>0</v>
      </c>
      <c r="E17" s="491" t="s">
        <v>1246</v>
      </c>
      <c r="G17" s="595">
        <f t="shared" si="1"/>
        <v>0</v>
      </c>
      <c r="H17" s="608">
        <v>39814</v>
      </c>
    </row>
    <row r="18" spans="1:8" ht="12.75">
      <c r="A18" s="491">
        <f t="shared" si="2"/>
        <v>16</v>
      </c>
      <c r="B18" s="127">
        <f t="shared" si="0"/>
        <v>0</v>
      </c>
      <c r="C18" s="606" t="str">
        <f>'dbc''s'!J23</f>
        <v>QBA017</v>
      </c>
      <c r="D18" s="607">
        <f>'dbc''s'!K23</f>
        <v>0</v>
      </c>
      <c r="E18" s="491" t="s">
        <v>1246</v>
      </c>
      <c r="G18" s="595">
        <f t="shared" si="1"/>
        <v>0</v>
      </c>
      <c r="H18" s="608">
        <v>39814</v>
      </c>
    </row>
    <row r="19" spans="1:8" ht="12.75">
      <c r="A19" s="491">
        <f t="shared" si="2"/>
        <v>17</v>
      </c>
      <c r="B19" s="127">
        <f t="shared" si="0"/>
        <v>0</v>
      </c>
      <c r="C19" s="606" t="str">
        <f>'dbc''s'!J24</f>
        <v>QBA018</v>
      </c>
      <c r="D19" s="607">
        <f>'dbc''s'!K24</f>
        <v>0</v>
      </c>
      <c r="E19" s="491" t="s">
        <v>1246</v>
      </c>
      <c r="G19" s="595">
        <f t="shared" si="1"/>
        <v>0</v>
      </c>
      <c r="H19" s="608">
        <v>39814</v>
      </c>
    </row>
    <row r="20" spans="1:8" ht="12.75">
      <c r="A20" s="491">
        <f t="shared" si="2"/>
        <v>18</v>
      </c>
      <c r="B20" s="127">
        <f t="shared" si="0"/>
        <v>0</v>
      </c>
      <c r="C20" s="606" t="str">
        <f>'dbc''s'!J25</f>
        <v>QBA019</v>
      </c>
      <c r="D20" s="607">
        <f>'dbc''s'!K25</f>
        <v>0</v>
      </c>
      <c r="E20" s="491" t="s">
        <v>1246</v>
      </c>
      <c r="G20" s="595">
        <f t="shared" si="1"/>
        <v>0</v>
      </c>
      <c r="H20" s="608">
        <v>39814</v>
      </c>
    </row>
    <row r="21" spans="1:8" ht="12.75">
      <c r="A21" s="491">
        <f t="shared" si="2"/>
        <v>19</v>
      </c>
      <c r="B21" s="127">
        <f t="shared" si="0"/>
        <v>0</v>
      </c>
      <c r="C21" s="606" t="str">
        <f>'dbc''s'!J26</f>
        <v>QBA020</v>
      </c>
      <c r="D21" s="607">
        <f>'dbc''s'!K26</f>
        <v>0</v>
      </c>
      <c r="E21" s="491" t="s">
        <v>1246</v>
      </c>
      <c r="G21" s="595">
        <f t="shared" si="1"/>
        <v>0</v>
      </c>
      <c r="H21" s="608">
        <v>39814</v>
      </c>
    </row>
    <row r="22" spans="1:8" ht="12.75">
      <c r="A22" s="491">
        <f t="shared" si="2"/>
        <v>20</v>
      </c>
      <c r="B22" s="127">
        <f t="shared" si="0"/>
        <v>0</v>
      </c>
      <c r="C22" s="606" t="str">
        <f>'dbc''s'!J27</f>
        <v>QBA021</v>
      </c>
      <c r="D22" s="607">
        <f>'dbc''s'!K27</f>
        <v>0</v>
      </c>
      <c r="E22" s="491" t="s">
        <v>1246</v>
      </c>
      <c r="G22" s="595">
        <f t="shared" si="1"/>
        <v>0</v>
      </c>
      <c r="H22" s="608">
        <v>39814</v>
      </c>
    </row>
    <row r="23" spans="1:8" ht="12.75">
      <c r="A23" s="491">
        <f t="shared" si="2"/>
        <v>21</v>
      </c>
      <c r="B23" s="127">
        <f t="shared" si="0"/>
        <v>0</v>
      </c>
      <c r="C23" s="606" t="str">
        <f>'dbc''s'!J28</f>
        <v>QBA022</v>
      </c>
      <c r="D23" s="607">
        <f>'dbc''s'!K28</f>
        <v>0</v>
      </c>
      <c r="E23" s="491" t="s">
        <v>1246</v>
      </c>
      <c r="G23" s="595">
        <f t="shared" si="1"/>
        <v>0</v>
      </c>
      <c r="H23" s="608">
        <v>39814</v>
      </c>
    </row>
    <row r="24" spans="1:8" ht="12.75">
      <c r="A24" s="491">
        <f t="shared" si="2"/>
        <v>22</v>
      </c>
      <c r="B24" s="127">
        <f t="shared" si="0"/>
        <v>0</v>
      </c>
      <c r="C24" s="606" t="str">
        <f>'dbc''s'!J29</f>
        <v>QBA023</v>
      </c>
      <c r="D24" s="607">
        <f>'dbc''s'!K29</f>
        <v>0</v>
      </c>
      <c r="E24" s="491" t="s">
        <v>1246</v>
      </c>
      <c r="G24" s="595">
        <f t="shared" si="1"/>
        <v>0</v>
      </c>
      <c r="H24" s="608">
        <v>39814</v>
      </c>
    </row>
    <row r="25" spans="1:8" ht="12.75">
      <c r="A25" s="491">
        <f t="shared" si="2"/>
        <v>23</v>
      </c>
      <c r="B25" s="127">
        <f t="shared" si="0"/>
        <v>0</v>
      </c>
      <c r="C25" s="606" t="str">
        <f>'dbc''s'!J30</f>
        <v>QBA024</v>
      </c>
      <c r="D25" s="607">
        <f>'dbc''s'!K30</f>
        <v>0</v>
      </c>
      <c r="E25" s="491" t="s">
        <v>1246</v>
      </c>
      <c r="G25" s="595">
        <f t="shared" si="1"/>
        <v>0</v>
      </c>
      <c r="H25" s="608">
        <v>39814</v>
      </c>
    </row>
    <row r="26" spans="1:8" ht="12.75">
      <c r="A26" s="491">
        <f t="shared" si="2"/>
        <v>24</v>
      </c>
      <c r="B26" s="127">
        <f t="shared" si="0"/>
        <v>0</v>
      </c>
      <c r="C26" s="606" t="str">
        <f>'dbc''s'!J31</f>
        <v>QBA025</v>
      </c>
      <c r="D26" s="607">
        <f>'dbc''s'!K31</f>
        <v>0</v>
      </c>
      <c r="E26" s="491" t="s">
        <v>1246</v>
      </c>
      <c r="G26" s="595">
        <f t="shared" si="1"/>
        <v>0</v>
      </c>
      <c r="H26" s="608">
        <v>39814</v>
      </c>
    </row>
    <row r="27" spans="1:8" ht="12.75">
      <c r="A27" s="491">
        <f t="shared" si="2"/>
        <v>25</v>
      </c>
      <c r="B27" s="127">
        <f t="shared" si="0"/>
        <v>0</v>
      </c>
      <c r="C27" s="606" t="str">
        <f>'dbc''s'!J32</f>
        <v>QBA026</v>
      </c>
      <c r="D27" s="607">
        <f>'dbc''s'!K32</f>
        <v>0</v>
      </c>
      <c r="E27" s="491" t="s">
        <v>1246</v>
      </c>
      <c r="G27" s="595">
        <f t="shared" si="1"/>
        <v>0</v>
      </c>
      <c r="H27" s="608">
        <v>39814</v>
      </c>
    </row>
    <row r="28" spans="1:8" ht="12.75">
      <c r="A28" s="491">
        <f t="shared" si="2"/>
        <v>26</v>
      </c>
      <c r="B28" s="127">
        <f t="shared" si="0"/>
        <v>0</v>
      </c>
      <c r="C28" s="606" t="str">
        <f>'dbc''s'!J33</f>
        <v>QBA027</v>
      </c>
      <c r="D28" s="607">
        <f>'dbc''s'!K33</f>
        <v>0</v>
      </c>
      <c r="E28" s="491" t="s">
        <v>1246</v>
      </c>
      <c r="G28" s="595">
        <f t="shared" si="1"/>
        <v>0</v>
      </c>
      <c r="H28" s="608">
        <v>39814</v>
      </c>
    </row>
    <row r="29" spans="1:8" ht="12.75">
      <c r="A29" s="491">
        <f t="shared" si="2"/>
        <v>27</v>
      </c>
      <c r="B29" s="127">
        <f t="shared" si="0"/>
        <v>0</v>
      </c>
      <c r="C29" s="606" t="str">
        <f>'dbc''s'!J34</f>
        <v>QBA028</v>
      </c>
      <c r="D29" s="607">
        <f>'dbc''s'!K34</f>
        <v>0</v>
      </c>
      <c r="E29" s="491" t="s">
        <v>1246</v>
      </c>
      <c r="G29" s="595">
        <f t="shared" si="1"/>
        <v>0</v>
      </c>
      <c r="H29" s="608">
        <v>39814</v>
      </c>
    </row>
    <row r="30" spans="1:8" ht="12.75">
      <c r="A30" s="491">
        <f t="shared" si="2"/>
        <v>28</v>
      </c>
      <c r="B30" s="127">
        <f t="shared" si="0"/>
        <v>0</v>
      </c>
      <c r="C30" s="606" t="str">
        <f>'dbc''s'!J35</f>
        <v>QBA029</v>
      </c>
      <c r="D30" s="607">
        <f>'dbc''s'!K35</f>
        <v>0</v>
      </c>
      <c r="E30" s="491" t="s">
        <v>1246</v>
      </c>
      <c r="G30" s="595">
        <f t="shared" si="1"/>
        <v>0</v>
      </c>
      <c r="H30" s="608">
        <v>39814</v>
      </c>
    </row>
    <row r="31" spans="1:8" ht="12.75">
      <c r="A31" s="491">
        <f t="shared" si="2"/>
        <v>29</v>
      </c>
      <c r="B31" s="127">
        <f t="shared" si="0"/>
        <v>0</v>
      </c>
      <c r="C31" s="606" t="str">
        <f>'dbc''s'!J36</f>
        <v>QBA030</v>
      </c>
      <c r="D31" s="607">
        <f>'dbc''s'!K36</f>
        <v>0</v>
      </c>
      <c r="E31" s="491" t="s">
        <v>1246</v>
      </c>
      <c r="G31" s="595">
        <f t="shared" si="1"/>
        <v>0</v>
      </c>
      <c r="H31" s="608">
        <v>39814</v>
      </c>
    </row>
    <row r="32" spans="1:8" ht="12.75">
      <c r="A32" s="491">
        <f t="shared" si="2"/>
        <v>30</v>
      </c>
      <c r="B32" s="127">
        <f t="shared" si="0"/>
        <v>0</v>
      </c>
      <c r="C32" s="606" t="str">
        <f>'dbc''s'!J37</f>
        <v>QBA031</v>
      </c>
      <c r="D32" s="607">
        <f>'dbc''s'!K37</f>
        <v>0</v>
      </c>
      <c r="E32" s="491" t="s">
        <v>1246</v>
      </c>
      <c r="G32" s="595">
        <f t="shared" si="1"/>
        <v>0</v>
      </c>
      <c r="H32" s="608">
        <v>39814</v>
      </c>
    </row>
    <row r="33" spans="1:8" ht="12.75">
      <c r="A33" s="491">
        <f t="shared" si="2"/>
        <v>31</v>
      </c>
      <c r="B33" s="127">
        <f t="shared" si="0"/>
        <v>0</v>
      </c>
      <c r="C33" s="606" t="str">
        <f>'dbc''s'!J38</f>
        <v>QBA131</v>
      </c>
      <c r="D33" s="607">
        <f>'dbc''s'!K38</f>
        <v>0</v>
      </c>
      <c r="E33" s="491" t="s">
        <v>1246</v>
      </c>
      <c r="G33" s="595">
        <f t="shared" si="1"/>
        <v>0</v>
      </c>
      <c r="H33" s="608">
        <v>39814</v>
      </c>
    </row>
    <row r="34" spans="1:8" ht="12.75">
      <c r="A34" s="491">
        <f t="shared" si="2"/>
        <v>32</v>
      </c>
      <c r="B34" s="127">
        <f t="shared" si="0"/>
        <v>0</v>
      </c>
      <c r="C34" s="606" t="str">
        <f>'dbc''s'!J39</f>
        <v>QBA132</v>
      </c>
      <c r="D34" s="607">
        <f>'dbc''s'!K39</f>
        <v>0</v>
      </c>
      <c r="E34" s="491" t="s">
        <v>1246</v>
      </c>
      <c r="G34" s="595">
        <f t="shared" si="1"/>
        <v>0</v>
      </c>
      <c r="H34" s="608">
        <v>39814</v>
      </c>
    </row>
    <row r="35" spans="1:8" ht="12.75">
      <c r="A35" s="491">
        <f t="shared" si="2"/>
        <v>33</v>
      </c>
      <c r="B35" s="127">
        <f>B33</f>
        <v>0</v>
      </c>
      <c r="C35" s="606" t="str">
        <f>'dbc''s'!J40</f>
        <v>QBA033</v>
      </c>
      <c r="D35" s="607">
        <f>'dbc''s'!K40</f>
        <v>0</v>
      </c>
      <c r="E35" s="491" t="s">
        <v>1246</v>
      </c>
      <c r="G35" s="595">
        <f t="shared" si="1"/>
        <v>0</v>
      </c>
      <c r="H35" s="608">
        <v>39814</v>
      </c>
    </row>
    <row r="36" spans="1:8" ht="12.75">
      <c r="A36" s="491">
        <f t="shared" si="2"/>
        <v>34</v>
      </c>
      <c r="B36" s="127">
        <f t="shared" si="0"/>
        <v>0</v>
      </c>
      <c r="C36" s="606" t="str">
        <f>'dbc''s'!J41</f>
        <v>QBA034</v>
      </c>
      <c r="D36" s="607">
        <f>'dbc''s'!K41</f>
        <v>0</v>
      </c>
      <c r="E36" s="491" t="s">
        <v>1246</v>
      </c>
      <c r="G36" s="595">
        <f t="shared" si="1"/>
        <v>0</v>
      </c>
      <c r="H36" s="608">
        <v>39814</v>
      </c>
    </row>
    <row r="37" spans="1:8" ht="12.75">
      <c r="A37" s="491">
        <f t="shared" si="2"/>
        <v>35</v>
      </c>
      <c r="B37" s="127">
        <f t="shared" si="0"/>
        <v>0</v>
      </c>
      <c r="C37" s="606" t="str">
        <f>'dbc''s'!J42</f>
        <v>QBA035</v>
      </c>
      <c r="D37" s="607">
        <f>'dbc''s'!K42</f>
        <v>0</v>
      </c>
      <c r="E37" s="491" t="s">
        <v>1246</v>
      </c>
      <c r="G37" s="595">
        <f t="shared" si="1"/>
        <v>0</v>
      </c>
      <c r="H37" s="608">
        <v>39814</v>
      </c>
    </row>
    <row r="38" spans="1:8" ht="12.75">
      <c r="A38" s="491">
        <f t="shared" si="2"/>
        <v>36</v>
      </c>
      <c r="B38" s="127">
        <f t="shared" si="0"/>
        <v>0</v>
      </c>
      <c r="C38" s="606" t="str">
        <f>'dbc''s'!J43</f>
        <v>QBA036</v>
      </c>
      <c r="D38" s="607">
        <f>'dbc''s'!K43</f>
        <v>0</v>
      </c>
      <c r="E38" s="491" t="s">
        <v>1246</v>
      </c>
      <c r="G38" s="595">
        <f t="shared" si="1"/>
        <v>0</v>
      </c>
      <c r="H38" s="608">
        <v>39814</v>
      </c>
    </row>
    <row r="39" spans="1:8" ht="12.75">
      <c r="A39" s="491">
        <f t="shared" si="2"/>
        <v>37</v>
      </c>
      <c r="B39" s="127">
        <f t="shared" si="0"/>
        <v>0</v>
      </c>
      <c r="C39" s="606" t="str">
        <f>'dbc''s'!J44</f>
        <v>QBA037</v>
      </c>
      <c r="D39" s="607">
        <f>'dbc''s'!K44</f>
        <v>0</v>
      </c>
      <c r="E39" s="491" t="s">
        <v>1246</v>
      </c>
      <c r="G39" s="595">
        <f t="shared" si="1"/>
        <v>0</v>
      </c>
      <c r="H39" s="608">
        <v>39814</v>
      </c>
    </row>
    <row r="40" spans="1:8" ht="12.75">
      <c r="A40" s="491">
        <f t="shared" si="2"/>
        <v>38</v>
      </c>
      <c r="B40" s="127">
        <f t="shared" si="0"/>
        <v>0</v>
      </c>
      <c r="C40" s="606" t="str">
        <f>'dbc''s'!J45</f>
        <v>QBA038</v>
      </c>
      <c r="D40" s="607">
        <f>'dbc''s'!K45</f>
        <v>0</v>
      </c>
      <c r="E40" s="491" t="s">
        <v>1246</v>
      </c>
      <c r="G40" s="595">
        <f t="shared" si="1"/>
        <v>0</v>
      </c>
      <c r="H40" s="608">
        <v>39814</v>
      </c>
    </row>
    <row r="41" spans="1:8" ht="12.75">
      <c r="A41" s="491">
        <f t="shared" si="2"/>
        <v>39</v>
      </c>
      <c r="B41" s="127">
        <f t="shared" si="0"/>
        <v>0</v>
      </c>
      <c r="C41" s="606" t="str">
        <f>'dbc''s'!J46</f>
        <v>QBA133</v>
      </c>
      <c r="D41" s="607">
        <f>'dbc''s'!K46</f>
        <v>0</v>
      </c>
      <c r="E41" s="491" t="s">
        <v>1246</v>
      </c>
      <c r="G41" s="595">
        <f t="shared" si="1"/>
        <v>0</v>
      </c>
      <c r="H41" s="608">
        <v>39814</v>
      </c>
    </row>
    <row r="42" spans="1:8" ht="12.75">
      <c r="A42" s="491">
        <f t="shared" si="2"/>
        <v>40</v>
      </c>
      <c r="B42" s="127">
        <f t="shared" si="0"/>
        <v>0</v>
      </c>
      <c r="C42" s="606" t="str">
        <f>'dbc''s'!J47</f>
        <v>QBA134</v>
      </c>
      <c r="D42" s="607">
        <f>'dbc''s'!K47</f>
        <v>0</v>
      </c>
      <c r="E42" s="491" t="s">
        <v>1246</v>
      </c>
      <c r="G42" s="595">
        <f t="shared" si="1"/>
        <v>0</v>
      </c>
      <c r="H42" s="608">
        <v>39814</v>
      </c>
    </row>
    <row r="43" spans="1:8" ht="12.75">
      <c r="A43" s="491">
        <f t="shared" si="2"/>
        <v>41</v>
      </c>
      <c r="B43" s="127">
        <f t="shared" si="0"/>
        <v>0</v>
      </c>
      <c r="C43" s="606" t="str">
        <f>'dbc''s'!J48</f>
        <v>QBA040</v>
      </c>
      <c r="D43" s="607">
        <f>'dbc''s'!K48</f>
        <v>0</v>
      </c>
      <c r="E43" s="491" t="s">
        <v>1246</v>
      </c>
      <c r="G43" s="595">
        <f t="shared" si="1"/>
        <v>0</v>
      </c>
      <c r="H43" s="608">
        <v>39814</v>
      </c>
    </row>
    <row r="44" spans="1:8" ht="12.75">
      <c r="A44" s="491">
        <f t="shared" si="2"/>
        <v>42</v>
      </c>
      <c r="B44" s="127">
        <f t="shared" si="0"/>
        <v>0</v>
      </c>
      <c r="C44" s="606" t="str">
        <f>'dbc''s'!J49</f>
        <v>QBA041</v>
      </c>
      <c r="D44" s="607">
        <f>'dbc''s'!K49</f>
        <v>0</v>
      </c>
      <c r="E44" s="491" t="s">
        <v>1246</v>
      </c>
      <c r="G44" s="595">
        <f t="shared" si="1"/>
        <v>0</v>
      </c>
      <c r="H44" s="608">
        <v>39814</v>
      </c>
    </row>
    <row r="45" spans="1:8" ht="12.75">
      <c r="A45" s="491">
        <f t="shared" si="2"/>
        <v>43</v>
      </c>
      <c r="B45" s="127">
        <f t="shared" si="0"/>
        <v>0</v>
      </c>
      <c r="C45" s="606" t="str">
        <f>'dbc''s'!J50</f>
        <v>QBA042</v>
      </c>
      <c r="D45" s="607">
        <f>'dbc''s'!K50</f>
        <v>0</v>
      </c>
      <c r="E45" s="491" t="s">
        <v>1246</v>
      </c>
      <c r="G45" s="595">
        <f t="shared" si="1"/>
        <v>0</v>
      </c>
      <c r="H45" s="608">
        <v>39814</v>
      </c>
    </row>
    <row r="46" spans="1:8" ht="12.75">
      <c r="A46" s="491">
        <f t="shared" si="2"/>
        <v>44</v>
      </c>
      <c r="B46" s="127">
        <f t="shared" si="0"/>
        <v>0</v>
      </c>
      <c r="C46" s="606" t="str">
        <f>'dbc''s'!J51</f>
        <v>QBA135</v>
      </c>
      <c r="D46" s="607">
        <f>'dbc''s'!K51</f>
        <v>0</v>
      </c>
      <c r="E46" s="491" t="s">
        <v>1246</v>
      </c>
      <c r="G46" s="595">
        <f t="shared" si="1"/>
        <v>0</v>
      </c>
      <c r="H46" s="608">
        <v>39814</v>
      </c>
    </row>
    <row r="47" spans="1:8" ht="12.75">
      <c r="A47" s="491">
        <f t="shared" si="2"/>
        <v>45</v>
      </c>
      <c r="B47" s="127">
        <f t="shared" si="0"/>
        <v>0</v>
      </c>
      <c r="C47" s="606" t="str">
        <f>'dbc''s'!J52</f>
        <v>QBA136</v>
      </c>
      <c r="D47" s="607">
        <f>'dbc''s'!K52</f>
        <v>0</v>
      </c>
      <c r="E47" s="491" t="s">
        <v>1246</v>
      </c>
      <c r="G47" s="595">
        <f t="shared" si="1"/>
        <v>0</v>
      </c>
      <c r="H47" s="608">
        <v>39814</v>
      </c>
    </row>
    <row r="48" spans="1:8" ht="12.75">
      <c r="A48" s="491">
        <f t="shared" si="2"/>
        <v>46</v>
      </c>
      <c r="B48" s="127">
        <f t="shared" si="0"/>
        <v>0</v>
      </c>
      <c r="C48" s="606" t="str">
        <f>'dbc''s'!J53</f>
        <v>QBA044</v>
      </c>
      <c r="D48" s="607">
        <f>'dbc''s'!K53</f>
        <v>0</v>
      </c>
      <c r="E48" s="491" t="s">
        <v>1246</v>
      </c>
      <c r="G48" s="595">
        <f t="shared" si="1"/>
        <v>0</v>
      </c>
      <c r="H48" s="608">
        <v>39814</v>
      </c>
    </row>
    <row r="49" spans="1:8" ht="12.75">
      <c r="A49" s="491">
        <f t="shared" si="2"/>
        <v>47</v>
      </c>
      <c r="B49" s="127">
        <f t="shared" si="0"/>
        <v>0</v>
      </c>
      <c r="C49" s="606" t="str">
        <f>'dbc''s'!J54</f>
        <v>QBA045</v>
      </c>
      <c r="D49" s="607">
        <f>'dbc''s'!K54</f>
        <v>0</v>
      </c>
      <c r="E49" s="491" t="s">
        <v>1246</v>
      </c>
      <c r="G49" s="595">
        <f t="shared" si="1"/>
        <v>0</v>
      </c>
      <c r="H49" s="608">
        <v>39814</v>
      </c>
    </row>
    <row r="50" spans="1:8" ht="12.75">
      <c r="A50" s="491">
        <f t="shared" si="2"/>
        <v>48</v>
      </c>
      <c r="B50" s="127">
        <f t="shared" si="0"/>
        <v>0</v>
      </c>
      <c r="C50" s="606" t="str">
        <f>'dbc''s'!J55</f>
        <v>QBA046</v>
      </c>
      <c r="D50" s="607">
        <f>'dbc''s'!K55</f>
        <v>0</v>
      </c>
      <c r="E50" s="491" t="s">
        <v>1246</v>
      </c>
      <c r="G50" s="595">
        <f t="shared" si="1"/>
        <v>0</v>
      </c>
      <c r="H50" s="608">
        <v>39814</v>
      </c>
    </row>
    <row r="51" spans="1:8" ht="12.75">
      <c r="A51" s="491">
        <f t="shared" si="2"/>
        <v>49</v>
      </c>
      <c r="B51" s="127">
        <f t="shared" si="0"/>
        <v>0</v>
      </c>
      <c r="C51" s="606" t="str">
        <f>'dbc''s'!J56</f>
        <v>QBA047</v>
      </c>
      <c r="D51" s="607">
        <f>'dbc''s'!K56</f>
        <v>0</v>
      </c>
      <c r="E51" s="491" t="s">
        <v>1246</v>
      </c>
      <c r="G51" s="595">
        <f t="shared" si="1"/>
        <v>0</v>
      </c>
      <c r="H51" s="608">
        <v>39814</v>
      </c>
    </row>
    <row r="52" spans="1:8" ht="12.75">
      <c r="A52" s="491">
        <f t="shared" si="2"/>
        <v>50</v>
      </c>
      <c r="B52" s="127">
        <f t="shared" si="0"/>
        <v>0</v>
      </c>
      <c r="C52" s="606" t="str">
        <f>'dbc''s'!J57</f>
        <v>QBA048</v>
      </c>
      <c r="D52" s="607">
        <f>'dbc''s'!K57</f>
        <v>0</v>
      </c>
      <c r="E52" s="491" t="s">
        <v>1246</v>
      </c>
      <c r="G52" s="595">
        <f t="shared" si="1"/>
        <v>0</v>
      </c>
      <c r="H52" s="608">
        <v>39814</v>
      </c>
    </row>
    <row r="53" spans="1:8" ht="12.75">
      <c r="A53" s="491">
        <f t="shared" si="2"/>
        <v>51</v>
      </c>
      <c r="B53" s="127">
        <f t="shared" si="0"/>
        <v>0</v>
      </c>
      <c r="C53" s="606" t="str">
        <f>'dbc''s'!J58</f>
        <v>QBA049</v>
      </c>
      <c r="D53" s="607">
        <f>'dbc''s'!K58</f>
        <v>0</v>
      </c>
      <c r="E53" s="491" t="s">
        <v>1246</v>
      </c>
      <c r="G53" s="595">
        <f t="shared" si="1"/>
        <v>0</v>
      </c>
      <c r="H53" s="608">
        <v>39814</v>
      </c>
    </row>
    <row r="54" spans="1:8" ht="12.75">
      <c r="A54" s="491">
        <f t="shared" si="2"/>
        <v>52</v>
      </c>
      <c r="B54" s="127">
        <f t="shared" si="0"/>
        <v>0</v>
      </c>
      <c r="C54" s="606" t="str">
        <f>'dbc''s'!J59</f>
        <v>QBA137</v>
      </c>
      <c r="D54" s="607">
        <f>'dbc''s'!K59</f>
        <v>0</v>
      </c>
      <c r="E54" s="491" t="s">
        <v>1246</v>
      </c>
      <c r="G54" s="595">
        <f t="shared" si="1"/>
        <v>0</v>
      </c>
      <c r="H54" s="608">
        <v>39814</v>
      </c>
    </row>
    <row r="55" spans="1:8" ht="12.75">
      <c r="A55" s="491">
        <f t="shared" si="2"/>
        <v>53</v>
      </c>
      <c r="B55" s="127">
        <f t="shared" si="0"/>
        <v>0</v>
      </c>
      <c r="C55" s="606" t="str">
        <f>'dbc''s'!J60</f>
        <v>QBA138</v>
      </c>
      <c r="D55" s="607">
        <f>'dbc''s'!K60</f>
        <v>0</v>
      </c>
      <c r="E55" s="491" t="s">
        <v>1246</v>
      </c>
      <c r="G55" s="595">
        <f t="shared" si="1"/>
        <v>0</v>
      </c>
      <c r="H55" s="608">
        <v>39814</v>
      </c>
    </row>
    <row r="56" spans="1:8" ht="12.75">
      <c r="A56" s="491">
        <f t="shared" si="2"/>
        <v>54</v>
      </c>
      <c r="B56" s="127">
        <f t="shared" si="0"/>
        <v>0</v>
      </c>
      <c r="C56" s="606" t="str">
        <f>'dbc''s'!J61</f>
        <v>QBA051</v>
      </c>
      <c r="D56" s="607">
        <f>'dbc''s'!K61</f>
        <v>0</v>
      </c>
      <c r="E56" s="491" t="s">
        <v>1246</v>
      </c>
      <c r="G56" s="595">
        <f t="shared" si="1"/>
        <v>0</v>
      </c>
      <c r="H56" s="608">
        <v>39814</v>
      </c>
    </row>
    <row r="57" spans="1:8" ht="12.75">
      <c r="A57" s="491">
        <f t="shared" si="2"/>
        <v>55</v>
      </c>
      <c r="B57" s="127">
        <f t="shared" si="0"/>
        <v>0</v>
      </c>
      <c r="C57" s="606" t="str">
        <f>'dbc''s'!J62</f>
        <v>QBA052</v>
      </c>
      <c r="D57" s="607">
        <f>'dbc''s'!K62</f>
        <v>0</v>
      </c>
      <c r="E57" s="491" t="s">
        <v>1246</v>
      </c>
      <c r="G57" s="595">
        <f t="shared" si="1"/>
        <v>0</v>
      </c>
      <c r="H57" s="608">
        <v>39814</v>
      </c>
    </row>
    <row r="58" spans="1:8" ht="12.75">
      <c r="A58" s="491">
        <f t="shared" si="2"/>
        <v>56</v>
      </c>
      <c r="B58" s="127">
        <f t="shared" si="0"/>
        <v>0</v>
      </c>
      <c r="C58" s="606" t="str">
        <f>'dbc''s'!J63</f>
        <v>QBA053</v>
      </c>
      <c r="D58" s="607">
        <f>'dbc''s'!K63</f>
        <v>0</v>
      </c>
      <c r="E58" s="491" t="s">
        <v>1246</v>
      </c>
      <c r="G58" s="595">
        <f t="shared" si="1"/>
        <v>0</v>
      </c>
      <c r="H58" s="608">
        <v>39814</v>
      </c>
    </row>
    <row r="59" spans="1:8" ht="12.75">
      <c r="A59" s="491">
        <f t="shared" si="2"/>
        <v>57</v>
      </c>
      <c r="B59" s="127">
        <f t="shared" si="0"/>
        <v>0</v>
      </c>
      <c r="C59" s="606" t="str">
        <f>'dbc''s'!J64</f>
        <v>QBA054</v>
      </c>
      <c r="D59" s="607">
        <f>'dbc''s'!K64</f>
        <v>0</v>
      </c>
      <c r="E59" s="491" t="s">
        <v>1246</v>
      </c>
      <c r="G59" s="595">
        <f t="shared" si="1"/>
        <v>0</v>
      </c>
      <c r="H59" s="608">
        <v>39814</v>
      </c>
    </row>
    <row r="60" spans="1:8" ht="12.75">
      <c r="A60" s="491">
        <f t="shared" si="2"/>
        <v>58</v>
      </c>
      <c r="B60" s="127">
        <f t="shared" si="0"/>
        <v>0</v>
      </c>
      <c r="C60" s="606" t="str">
        <f>'dbc''s'!J65</f>
        <v>QBA139</v>
      </c>
      <c r="D60" s="607">
        <f>'dbc''s'!K65</f>
        <v>0</v>
      </c>
      <c r="E60" s="491" t="s">
        <v>1246</v>
      </c>
      <c r="G60" s="595">
        <f t="shared" si="1"/>
        <v>0</v>
      </c>
      <c r="H60" s="608">
        <v>39814</v>
      </c>
    </row>
    <row r="61" spans="1:8" ht="12.75">
      <c r="A61" s="491">
        <f t="shared" si="2"/>
        <v>59</v>
      </c>
      <c r="B61" s="127">
        <f t="shared" si="0"/>
        <v>0</v>
      </c>
      <c r="C61" s="606" t="str">
        <f>'dbc''s'!J66</f>
        <v>QBA140</v>
      </c>
      <c r="D61" s="607">
        <f>'dbc''s'!K66</f>
        <v>0</v>
      </c>
      <c r="E61" s="491" t="s">
        <v>1246</v>
      </c>
      <c r="G61" s="595">
        <f t="shared" si="1"/>
        <v>0</v>
      </c>
      <c r="H61" s="608">
        <v>39814</v>
      </c>
    </row>
    <row r="62" spans="1:8" ht="12.75">
      <c r="A62" s="491">
        <f>A61+1</f>
        <v>60</v>
      </c>
      <c r="B62" s="127">
        <f>B61</f>
        <v>0</v>
      </c>
      <c r="C62" s="606" t="str">
        <f>'dbc''s'!J68</f>
        <v>QBA056</v>
      </c>
      <c r="D62" s="607">
        <f>'dbc''s'!K68</f>
        <v>0</v>
      </c>
      <c r="E62" s="491" t="s">
        <v>1246</v>
      </c>
      <c r="G62" s="595">
        <f aca="true" t="shared" si="3" ref="G62:G67">D62</f>
        <v>0</v>
      </c>
      <c r="H62" s="608">
        <v>39814</v>
      </c>
    </row>
    <row r="63" spans="1:8" ht="12.75">
      <c r="A63" s="491">
        <f t="shared" si="2"/>
        <v>61</v>
      </c>
      <c r="B63" s="127">
        <f t="shared" si="0"/>
        <v>0</v>
      </c>
      <c r="C63" s="606" t="str">
        <f>'dbc''s'!J69</f>
        <v>QBA057</v>
      </c>
      <c r="D63" s="607">
        <f>'dbc''s'!K69</f>
        <v>0</v>
      </c>
      <c r="E63" s="491" t="s">
        <v>1246</v>
      </c>
      <c r="G63" s="595">
        <f t="shared" si="3"/>
        <v>0</v>
      </c>
      <c r="H63" s="608">
        <v>39814</v>
      </c>
    </row>
    <row r="64" spans="1:8" ht="12.75">
      <c r="A64" s="491">
        <f t="shared" si="2"/>
        <v>62</v>
      </c>
      <c r="B64" s="127">
        <f t="shared" si="0"/>
        <v>0</v>
      </c>
      <c r="C64" s="606" t="str">
        <f>'dbc''s'!J70</f>
        <v>QBA058</v>
      </c>
      <c r="D64" s="607">
        <f>'dbc''s'!K70</f>
        <v>0</v>
      </c>
      <c r="E64" s="491" t="s">
        <v>1246</v>
      </c>
      <c r="G64" s="595">
        <f t="shared" si="3"/>
        <v>0</v>
      </c>
      <c r="H64" s="608">
        <v>39814</v>
      </c>
    </row>
    <row r="65" spans="1:8" ht="12.75">
      <c r="A65" s="491">
        <f t="shared" si="2"/>
        <v>63</v>
      </c>
      <c r="B65" s="127">
        <f t="shared" si="0"/>
        <v>0</v>
      </c>
      <c r="C65" s="606" t="str">
        <f>'dbc''s'!J71</f>
        <v>QBA059</v>
      </c>
      <c r="D65" s="607">
        <f>'dbc''s'!K71</f>
        <v>0</v>
      </c>
      <c r="E65" s="491" t="s">
        <v>1246</v>
      </c>
      <c r="G65" s="595">
        <f t="shared" si="3"/>
        <v>0</v>
      </c>
      <c r="H65" s="608">
        <v>39814</v>
      </c>
    </row>
    <row r="66" spans="1:8" ht="12.75">
      <c r="A66" s="491">
        <f t="shared" si="2"/>
        <v>64</v>
      </c>
      <c r="B66" s="127">
        <f t="shared" si="0"/>
        <v>0</v>
      </c>
      <c r="C66" s="606" t="str">
        <f>'dbc''s'!J72</f>
        <v>QBA060</v>
      </c>
      <c r="D66" s="607">
        <f>'dbc''s'!K72</f>
        <v>0</v>
      </c>
      <c r="E66" s="491" t="s">
        <v>1246</v>
      </c>
      <c r="G66" s="595">
        <f t="shared" si="3"/>
        <v>0</v>
      </c>
      <c r="H66" s="608">
        <v>39814</v>
      </c>
    </row>
    <row r="67" spans="1:8" ht="12.75">
      <c r="A67" s="491">
        <f t="shared" si="2"/>
        <v>65</v>
      </c>
      <c r="B67" s="127">
        <f t="shared" si="0"/>
        <v>0</v>
      </c>
      <c r="C67" s="606" t="str">
        <f>'dbc''s'!J73</f>
        <v>QBA141</v>
      </c>
      <c r="D67" s="607">
        <f>'dbc''s'!K73</f>
        <v>0</v>
      </c>
      <c r="E67" s="491" t="s">
        <v>1246</v>
      </c>
      <c r="G67" s="595">
        <f t="shared" si="3"/>
        <v>0</v>
      </c>
      <c r="H67" s="608">
        <v>39814</v>
      </c>
    </row>
    <row r="68" spans="1:8" ht="12.75">
      <c r="A68" s="491">
        <f t="shared" si="2"/>
        <v>66</v>
      </c>
      <c r="B68" s="127">
        <f aca="true" t="shared" si="4" ref="B68:B129">B67</f>
        <v>0</v>
      </c>
      <c r="C68" s="606" t="str">
        <f>'dbc''s'!J74</f>
        <v>QBA142</v>
      </c>
      <c r="D68" s="607">
        <f>'dbc''s'!K74</f>
        <v>0</v>
      </c>
      <c r="E68" s="491" t="s">
        <v>1246</v>
      </c>
      <c r="G68" s="595">
        <f aca="true" t="shared" si="5" ref="G68:G129">D68</f>
        <v>0</v>
      </c>
      <c r="H68" s="608">
        <v>39814</v>
      </c>
    </row>
    <row r="69" spans="1:8" ht="12.75">
      <c r="A69" s="491">
        <f aca="true" t="shared" si="6" ref="A69:A131">A68+1</f>
        <v>67</v>
      </c>
      <c r="B69" s="127">
        <f t="shared" si="4"/>
        <v>0</v>
      </c>
      <c r="C69" s="606" t="str">
        <f>'dbc''s'!J75</f>
        <v>QBA062</v>
      </c>
      <c r="D69" s="607">
        <f>'dbc''s'!K75</f>
        <v>0</v>
      </c>
      <c r="E69" s="491" t="s">
        <v>1246</v>
      </c>
      <c r="G69" s="595">
        <f t="shared" si="5"/>
        <v>0</v>
      </c>
      <c r="H69" s="608">
        <v>39814</v>
      </c>
    </row>
    <row r="70" spans="1:8" ht="12.75">
      <c r="A70" s="491">
        <f t="shared" si="6"/>
        <v>68</v>
      </c>
      <c r="B70" s="127">
        <f t="shared" si="4"/>
        <v>0</v>
      </c>
      <c r="C70" s="606" t="str">
        <f>'dbc''s'!J76</f>
        <v>QBA063</v>
      </c>
      <c r="D70" s="607">
        <f>'dbc''s'!K76</f>
        <v>0</v>
      </c>
      <c r="E70" s="491" t="s">
        <v>1246</v>
      </c>
      <c r="G70" s="595">
        <f t="shared" si="5"/>
        <v>0</v>
      </c>
      <c r="H70" s="608">
        <v>39814</v>
      </c>
    </row>
    <row r="71" spans="1:8" ht="12.75">
      <c r="A71" s="491">
        <f t="shared" si="6"/>
        <v>69</v>
      </c>
      <c r="B71" s="127">
        <f t="shared" si="4"/>
        <v>0</v>
      </c>
      <c r="C71" s="606" t="str">
        <f>'dbc''s'!J77</f>
        <v>QBA064</v>
      </c>
      <c r="D71" s="607">
        <f>'dbc''s'!K77</f>
        <v>0</v>
      </c>
      <c r="E71" s="491" t="s">
        <v>1246</v>
      </c>
      <c r="G71" s="595">
        <f t="shared" si="5"/>
        <v>0</v>
      </c>
      <c r="H71" s="608">
        <v>39814</v>
      </c>
    </row>
    <row r="72" spans="1:8" ht="12.75">
      <c r="A72" s="491">
        <f t="shared" si="6"/>
        <v>70</v>
      </c>
      <c r="B72" s="127">
        <f t="shared" si="4"/>
        <v>0</v>
      </c>
      <c r="C72" s="606" t="str">
        <f>'dbc''s'!J78</f>
        <v>QBA065</v>
      </c>
      <c r="D72" s="607">
        <f>'dbc''s'!K78</f>
        <v>0</v>
      </c>
      <c r="E72" s="491" t="s">
        <v>1246</v>
      </c>
      <c r="G72" s="595">
        <f t="shared" si="5"/>
        <v>0</v>
      </c>
      <c r="H72" s="608">
        <v>39814</v>
      </c>
    </row>
    <row r="73" spans="1:8" ht="12.75">
      <c r="A73" s="491">
        <f t="shared" si="6"/>
        <v>71</v>
      </c>
      <c r="B73" s="127">
        <f t="shared" si="4"/>
        <v>0</v>
      </c>
      <c r="C73" s="606" t="str">
        <f>'dbc''s'!J79</f>
        <v>QBA066</v>
      </c>
      <c r="D73" s="607">
        <f>'dbc''s'!K79</f>
        <v>0</v>
      </c>
      <c r="E73" s="491" t="s">
        <v>1246</v>
      </c>
      <c r="G73" s="595">
        <f t="shared" si="5"/>
        <v>0</v>
      </c>
      <c r="H73" s="608">
        <v>39814</v>
      </c>
    </row>
    <row r="74" spans="1:8" ht="12.75">
      <c r="A74" s="491">
        <f t="shared" si="6"/>
        <v>72</v>
      </c>
      <c r="B74" s="127">
        <f t="shared" si="4"/>
        <v>0</v>
      </c>
      <c r="C74" s="606" t="str">
        <f>'dbc''s'!J80</f>
        <v>QBA067</v>
      </c>
      <c r="D74" s="607">
        <f>'dbc''s'!K80</f>
        <v>0</v>
      </c>
      <c r="E74" s="491" t="s">
        <v>1246</v>
      </c>
      <c r="G74" s="595">
        <f t="shared" si="5"/>
        <v>0</v>
      </c>
      <c r="H74" s="608">
        <v>39814</v>
      </c>
    </row>
    <row r="75" spans="1:8" ht="12.75">
      <c r="A75" s="491">
        <f t="shared" si="6"/>
        <v>73</v>
      </c>
      <c r="B75" s="127">
        <f t="shared" si="4"/>
        <v>0</v>
      </c>
      <c r="C75" s="606" t="str">
        <f>'dbc''s'!J81</f>
        <v>QBA068</v>
      </c>
      <c r="D75" s="607">
        <f>'dbc''s'!K81</f>
        <v>0</v>
      </c>
      <c r="E75" s="491" t="s">
        <v>1246</v>
      </c>
      <c r="G75" s="595">
        <f t="shared" si="5"/>
        <v>0</v>
      </c>
      <c r="H75" s="608">
        <v>39814</v>
      </c>
    </row>
    <row r="76" spans="1:8" ht="12.75">
      <c r="A76" s="491">
        <f t="shared" si="6"/>
        <v>74</v>
      </c>
      <c r="B76" s="127">
        <f t="shared" si="4"/>
        <v>0</v>
      </c>
      <c r="C76" s="606" t="str">
        <f>'dbc''s'!J82</f>
        <v>QBA143</v>
      </c>
      <c r="D76" s="607">
        <f>'dbc''s'!K82</f>
        <v>0</v>
      </c>
      <c r="E76" s="491" t="s">
        <v>1246</v>
      </c>
      <c r="G76" s="595">
        <f t="shared" si="5"/>
        <v>0</v>
      </c>
      <c r="H76" s="608">
        <v>39814</v>
      </c>
    </row>
    <row r="77" spans="1:8" ht="12.75">
      <c r="A77" s="491">
        <f t="shared" si="6"/>
        <v>75</v>
      </c>
      <c r="B77" s="127">
        <f t="shared" si="4"/>
        <v>0</v>
      </c>
      <c r="C77" s="606" t="str">
        <f>'dbc''s'!J83</f>
        <v>QBA144</v>
      </c>
      <c r="D77" s="607">
        <f>'dbc''s'!K83</f>
        <v>0</v>
      </c>
      <c r="E77" s="491" t="s">
        <v>1246</v>
      </c>
      <c r="G77" s="595">
        <f t="shared" si="5"/>
        <v>0</v>
      </c>
      <c r="H77" s="608">
        <v>39814</v>
      </c>
    </row>
    <row r="78" spans="1:8" ht="12.75">
      <c r="A78" s="491">
        <f t="shared" si="6"/>
        <v>76</v>
      </c>
      <c r="B78" s="127">
        <f t="shared" si="4"/>
        <v>0</v>
      </c>
      <c r="C78" s="606" t="str">
        <f>'dbc''s'!J84</f>
        <v>QBA145</v>
      </c>
      <c r="D78" s="607">
        <f>'dbc''s'!K84</f>
        <v>0</v>
      </c>
      <c r="E78" s="491" t="s">
        <v>1246</v>
      </c>
      <c r="G78" s="595">
        <f t="shared" si="5"/>
        <v>0</v>
      </c>
      <c r="H78" s="608">
        <v>39814</v>
      </c>
    </row>
    <row r="79" spans="1:8" ht="12.75">
      <c r="A79" s="491">
        <f t="shared" si="6"/>
        <v>77</v>
      </c>
      <c r="B79" s="127">
        <f t="shared" si="4"/>
        <v>0</v>
      </c>
      <c r="C79" s="606" t="str">
        <f>'dbc''s'!J85</f>
        <v>QBA070</v>
      </c>
      <c r="D79" s="607">
        <f>'dbc''s'!K85</f>
        <v>0</v>
      </c>
      <c r="E79" s="491" t="s">
        <v>1246</v>
      </c>
      <c r="G79" s="595">
        <f t="shared" si="5"/>
        <v>0</v>
      </c>
      <c r="H79" s="608">
        <v>39814</v>
      </c>
    </row>
    <row r="80" spans="1:8" ht="12.75">
      <c r="A80" s="491">
        <f t="shared" si="6"/>
        <v>78</v>
      </c>
      <c r="B80" s="127">
        <f t="shared" si="4"/>
        <v>0</v>
      </c>
      <c r="C80" s="606" t="str">
        <f>'dbc''s'!J86</f>
        <v>QBA071</v>
      </c>
      <c r="D80" s="607">
        <f>'dbc''s'!K86</f>
        <v>0</v>
      </c>
      <c r="E80" s="491" t="s">
        <v>1246</v>
      </c>
      <c r="G80" s="595">
        <f t="shared" si="5"/>
        <v>0</v>
      </c>
      <c r="H80" s="608">
        <v>39814</v>
      </c>
    </row>
    <row r="81" spans="1:8" ht="12.75">
      <c r="A81" s="491">
        <f t="shared" si="6"/>
        <v>79</v>
      </c>
      <c r="B81" s="127">
        <f t="shared" si="4"/>
        <v>0</v>
      </c>
      <c r="C81" s="606" t="str">
        <f>'dbc''s'!J87</f>
        <v>QBA072</v>
      </c>
      <c r="D81" s="607">
        <f>'dbc''s'!K87</f>
        <v>0</v>
      </c>
      <c r="E81" s="491" t="s">
        <v>1246</v>
      </c>
      <c r="G81" s="595">
        <f t="shared" si="5"/>
        <v>0</v>
      </c>
      <c r="H81" s="608">
        <v>39814</v>
      </c>
    </row>
    <row r="82" spans="1:8" ht="12.75">
      <c r="A82" s="491">
        <f t="shared" si="6"/>
        <v>80</v>
      </c>
      <c r="B82" s="127">
        <f t="shared" si="4"/>
        <v>0</v>
      </c>
      <c r="C82" s="606" t="str">
        <f>'dbc''s'!J88</f>
        <v>QBA073</v>
      </c>
      <c r="D82" s="607">
        <f>'dbc''s'!K88</f>
        <v>0</v>
      </c>
      <c r="E82" s="491" t="s">
        <v>1246</v>
      </c>
      <c r="G82" s="595">
        <f t="shared" si="5"/>
        <v>0</v>
      </c>
      <c r="H82" s="608">
        <v>39814</v>
      </c>
    </row>
    <row r="83" spans="1:8" ht="12.75">
      <c r="A83" s="491">
        <f t="shared" si="6"/>
        <v>81</v>
      </c>
      <c r="B83" s="127">
        <f t="shared" si="4"/>
        <v>0</v>
      </c>
      <c r="C83" s="606" t="str">
        <f>'dbc''s'!J89</f>
        <v>QBA074</v>
      </c>
      <c r="D83" s="607">
        <f>'dbc''s'!K89</f>
        <v>0</v>
      </c>
      <c r="E83" s="491" t="s">
        <v>1246</v>
      </c>
      <c r="G83" s="595">
        <f t="shared" si="5"/>
        <v>0</v>
      </c>
      <c r="H83" s="608">
        <v>39814</v>
      </c>
    </row>
    <row r="84" spans="1:8" ht="12.75">
      <c r="A84" s="491">
        <f t="shared" si="6"/>
        <v>82</v>
      </c>
      <c r="B84" s="127">
        <f t="shared" si="4"/>
        <v>0</v>
      </c>
      <c r="C84" s="606" t="str">
        <f>'dbc''s'!J90</f>
        <v>QBA075</v>
      </c>
      <c r="D84" s="607">
        <f>'dbc''s'!K90</f>
        <v>0</v>
      </c>
      <c r="E84" s="491" t="s">
        <v>1246</v>
      </c>
      <c r="G84" s="595">
        <f t="shared" si="5"/>
        <v>0</v>
      </c>
      <c r="H84" s="608">
        <v>39814</v>
      </c>
    </row>
    <row r="85" spans="1:8" ht="12.75">
      <c r="A85" s="491">
        <f t="shared" si="6"/>
        <v>83</v>
      </c>
      <c r="B85" s="127">
        <f t="shared" si="4"/>
        <v>0</v>
      </c>
      <c r="C85" s="606" t="str">
        <f>'dbc''s'!J91</f>
        <v>QBA076</v>
      </c>
      <c r="D85" s="607">
        <f>'dbc''s'!K91</f>
        <v>0</v>
      </c>
      <c r="E85" s="491" t="s">
        <v>1246</v>
      </c>
      <c r="G85" s="595">
        <f t="shared" si="5"/>
        <v>0</v>
      </c>
      <c r="H85" s="608">
        <v>39814</v>
      </c>
    </row>
    <row r="86" spans="1:8" ht="12.75">
      <c r="A86" s="491">
        <f t="shared" si="6"/>
        <v>84</v>
      </c>
      <c r="B86" s="127">
        <f t="shared" si="4"/>
        <v>0</v>
      </c>
      <c r="C86" s="606" t="str">
        <f>'dbc''s'!J92</f>
        <v>QBA077</v>
      </c>
      <c r="D86" s="607">
        <f>'dbc''s'!K92</f>
        <v>0</v>
      </c>
      <c r="E86" s="491" t="s">
        <v>1246</v>
      </c>
      <c r="G86" s="595">
        <f t="shared" si="5"/>
        <v>0</v>
      </c>
      <c r="H86" s="608">
        <v>39814</v>
      </c>
    </row>
    <row r="87" spans="1:8" ht="12.75">
      <c r="A87" s="491">
        <f t="shared" si="6"/>
        <v>85</v>
      </c>
      <c r="B87" s="127">
        <f t="shared" si="4"/>
        <v>0</v>
      </c>
      <c r="C87" s="606" t="str">
        <f>'dbc''s'!J93</f>
        <v>QBA078</v>
      </c>
      <c r="D87" s="607">
        <f>'dbc''s'!K93</f>
        <v>0</v>
      </c>
      <c r="E87" s="491" t="s">
        <v>1246</v>
      </c>
      <c r="G87" s="595">
        <f t="shared" si="5"/>
        <v>0</v>
      </c>
      <c r="H87" s="608">
        <v>39814</v>
      </c>
    </row>
    <row r="88" spans="1:8" ht="12.75">
      <c r="A88" s="491">
        <f t="shared" si="6"/>
        <v>86</v>
      </c>
      <c r="B88" s="127">
        <f t="shared" si="4"/>
        <v>0</v>
      </c>
      <c r="C88" s="606" t="str">
        <f>'dbc''s'!J94</f>
        <v>QBA079</v>
      </c>
      <c r="D88" s="607">
        <f>'dbc''s'!K94</f>
        <v>0</v>
      </c>
      <c r="E88" s="491" t="s">
        <v>1246</v>
      </c>
      <c r="G88" s="595">
        <f t="shared" si="5"/>
        <v>0</v>
      </c>
      <c r="H88" s="608">
        <v>39814</v>
      </c>
    </row>
    <row r="89" spans="1:8" ht="12.75">
      <c r="A89" s="491">
        <f t="shared" si="6"/>
        <v>87</v>
      </c>
      <c r="B89" s="127">
        <f t="shared" si="4"/>
        <v>0</v>
      </c>
      <c r="C89" s="606" t="str">
        <f>'dbc''s'!J95</f>
        <v>QBA146</v>
      </c>
      <c r="D89" s="607">
        <f>'dbc''s'!K95</f>
        <v>0</v>
      </c>
      <c r="E89" s="491" t="s">
        <v>1246</v>
      </c>
      <c r="G89" s="595">
        <f t="shared" si="5"/>
        <v>0</v>
      </c>
      <c r="H89" s="608">
        <v>39814</v>
      </c>
    </row>
    <row r="90" spans="1:8" ht="12.75">
      <c r="A90" s="491">
        <f t="shared" si="6"/>
        <v>88</v>
      </c>
      <c r="B90" s="127">
        <f t="shared" si="4"/>
        <v>0</v>
      </c>
      <c r="C90" s="606" t="str">
        <f>'dbc''s'!J96</f>
        <v>QBA147</v>
      </c>
      <c r="D90" s="607">
        <f>'dbc''s'!K96</f>
        <v>0</v>
      </c>
      <c r="E90" s="491" t="s">
        <v>1246</v>
      </c>
      <c r="G90" s="595">
        <f t="shared" si="5"/>
        <v>0</v>
      </c>
      <c r="H90" s="608">
        <v>39814</v>
      </c>
    </row>
    <row r="91" spans="1:8" ht="12.75">
      <c r="A91" s="491">
        <f t="shared" si="6"/>
        <v>89</v>
      </c>
      <c r="B91" s="127">
        <f t="shared" si="4"/>
        <v>0</v>
      </c>
      <c r="C91" s="606" t="str">
        <f>'dbc''s'!J97</f>
        <v>QBA081</v>
      </c>
      <c r="D91" s="607">
        <f>'dbc''s'!K97</f>
        <v>0</v>
      </c>
      <c r="E91" s="491" t="s">
        <v>1246</v>
      </c>
      <c r="G91" s="595">
        <f t="shared" si="5"/>
        <v>0</v>
      </c>
      <c r="H91" s="608">
        <v>39814</v>
      </c>
    </row>
    <row r="92" spans="1:8" ht="12.75">
      <c r="A92" s="491">
        <f t="shared" si="6"/>
        <v>90</v>
      </c>
      <c r="B92" s="127">
        <f t="shared" si="4"/>
        <v>0</v>
      </c>
      <c r="C92" s="606" t="str">
        <f>'dbc''s'!J98</f>
        <v>QBA082</v>
      </c>
      <c r="D92" s="607">
        <f>'dbc''s'!K98</f>
        <v>0</v>
      </c>
      <c r="E92" s="491" t="s">
        <v>1246</v>
      </c>
      <c r="G92" s="595">
        <f t="shared" si="5"/>
        <v>0</v>
      </c>
      <c r="H92" s="608">
        <v>39814</v>
      </c>
    </row>
    <row r="93" spans="1:8" ht="12.75">
      <c r="A93" s="491">
        <f t="shared" si="6"/>
        <v>91</v>
      </c>
      <c r="B93" s="127">
        <f t="shared" si="4"/>
        <v>0</v>
      </c>
      <c r="C93" s="606" t="str">
        <f>'dbc''s'!J99</f>
        <v>QBA083</v>
      </c>
      <c r="D93" s="607">
        <f>'dbc''s'!K99</f>
        <v>0</v>
      </c>
      <c r="E93" s="491" t="s">
        <v>1246</v>
      </c>
      <c r="G93" s="595">
        <f t="shared" si="5"/>
        <v>0</v>
      </c>
      <c r="H93" s="608">
        <v>39814</v>
      </c>
    </row>
    <row r="94" spans="1:8" ht="12.75">
      <c r="A94" s="491">
        <f t="shared" si="6"/>
        <v>92</v>
      </c>
      <c r="B94" s="127">
        <f t="shared" si="4"/>
        <v>0</v>
      </c>
      <c r="C94" s="606" t="str">
        <f>'dbc''s'!J100</f>
        <v>QBA084</v>
      </c>
      <c r="D94" s="607">
        <f>'dbc''s'!K100</f>
        <v>0</v>
      </c>
      <c r="E94" s="491" t="s">
        <v>1246</v>
      </c>
      <c r="G94" s="595">
        <f t="shared" si="5"/>
        <v>0</v>
      </c>
      <c r="H94" s="608">
        <v>39814</v>
      </c>
    </row>
    <row r="95" spans="1:8" ht="12.75">
      <c r="A95" s="491">
        <f t="shared" si="6"/>
        <v>93</v>
      </c>
      <c r="B95" s="127">
        <f t="shared" si="4"/>
        <v>0</v>
      </c>
      <c r="C95" s="606" t="str">
        <f>'dbc''s'!J101</f>
        <v>QBA085</v>
      </c>
      <c r="D95" s="607">
        <f>'dbc''s'!K101</f>
        <v>0</v>
      </c>
      <c r="E95" s="491" t="s">
        <v>1246</v>
      </c>
      <c r="G95" s="595">
        <f t="shared" si="5"/>
        <v>0</v>
      </c>
      <c r="H95" s="608">
        <v>39814</v>
      </c>
    </row>
    <row r="96" spans="1:8" ht="12.75">
      <c r="A96" s="491">
        <f t="shared" si="6"/>
        <v>94</v>
      </c>
      <c r="B96" s="127">
        <f t="shared" si="4"/>
        <v>0</v>
      </c>
      <c r="C96" s="606" t="str">
        <f>'dbc''s'!J102</f>
        <v>QBA086</v>
      </c>
      <c r="D96" s="607">
        <f>'dbc''s'!K102</f>
        <v>0</v>
      </c>
      <c r="E96" s="491" t="s">
        <v>1246</v>
      </c>
      <c r="G96" s="595">
        <f t="shared" si="5"/>
        <v>0</v>
      </c>
      <c r="H96" s="608">
        <v>39814</v>
      </c>
    </row>
    <row r="97" spans="1:8" ht="12.75">
      <c r="A97" s="491">
        <f t="shared" si="6"/>
        <v>95</v>
      </c>
      <c r="B97" s="127">
        <f t="shared" si="4"/>
        <v>0</v>
      </c>
      <c r="C97" s="606" t="str">
        <f>'dbc''s'!J103</f>
        <v>QBA087</v>
      </c>
      <c r="D97" s="607">
        <f>'dbc''s'!K103</f>
        <v>0</v>
      </c>
      <c r="E97" s="491" t="s">
        <v>1246</v>
      </c>
      <c r="G97" s="595">
        <f t="shared" si="5"/>
        <v>0</v>
      </c>
      <c r="H97" s="608">
        <v>39814</v>
      </c>
    </row>
    <row r="98" spans="1:8" ht="12.75">
      <c r="A98" s="491">
        <f t="shared" si="6"/>
        <v>96</v>
      </c>
      <c r="B98" s="127">
        <f t="shared" si="4"/>
        <v>0</v>
      </c>
      <c r="C98" s="606" t="str">
        <f>'dbc''s'!J104</f>
        <v>QBA148</v>
      </c>
      <c r="D98" s="607">
        <f>'dbc''s'!K104</f>
        <v>0</v>
      </c>
      <c r="E98" s="491" t="s">
        <v>1246</v>
      </c>
      <c r="G98" s="595">
        <f t="shared" si="5"/>
        <v>0</v>
      </c>
      <c r="H98" s="608">
        <v>39814</v>
      </c>
    </row>
    <row r="99" spans="1:8" ht="12.75">
      <c r="A99" s="491">
        <f t="shared" si="6"/>
        <v>97</v>
      </c>
      <c r="B99" s="127">
        <f t="shared" si="4"/>
        <v>0</v>
      </c>
      <c r="C99" s="606" t="str">
        <f>'dbc''s'!J105</f>
        <v>QBA149</v>
      </c>
      <c r="D99" s="607">
        <f>'dbc''s'!K105</f>
        <v>0</v>
      </c>
      <c r="E99" s="491" t="s">
        <v>1246</v>
      </c>
      <c r="G99" s="595">
        <f t="shared" si="5"/>
        <v>0</v>
      </c>
      <c r="H99" s="608">
        <v>39814</v>
      </c>
    </row>
    <row r="100" spans="1:8" ht="12.75">
      <c r="A100" s="491">
        <f t="shared" si="6"/>
        <v>98</v>
      </c>
      <c r="B100" s="127">
        <f t="shared" si="4"/>
        <v>0</v>
      </c>
      <c r="C100" s="606" t="str">
        <f>'dbc''s'!J106</f>
        <v>QBA089</v>
      </c>
      <c r="D100" s="607">
        <f>'dbc''s'!K106</f>
        <v>0</v>
      </c>
      <c r="E100" s="491" t="s">
        <v>1246</v>
      </c>
      <c r="G100" s="595">
        <f t="shared" si="5"/>
        <v>0</v>
      </c>
      <c r="H100" s="608">
        <v>39814</v>
      </c>
    </row>
    <row r="101" spans="1:8" ht="12.75">
      <c r="A101" s="491">
        <f t="shared" si="6"/>
        <v>99</v>
      </c>
      <c r="B101" s="127">
        <f t="shared" si="4"/>
        <v>0</v>
      </c>
      <c r="C101" s="606" t="str">
        <f>'dbc''s'!J107</f>
        <v>QBA090</v>
      </c>
      <c r="D101" s="607">
        <f>'dbc''s'!K107</f>
        <v>0</v>
      </c>
      <c r="E101" s="491" t="s">
        <v>1246</v>
      </c>
      <c r="G101" s="595">
        <f t="shared" si="5"/>
        <v>0</v>
      </c>
      <c r="H101" s="608">
        <v>39814</v>
      </c>
    </row>
    <row r="102" spans="1:8" ht="12.75">
      <c r="A102" s="491">
        <f t="shared" si="6"/>
        <v>100</v>
      </c>
      <c r="B102" s="127">
        <f t="shared" si="4"/>
        <v>0</v>
      </c>
      <c r="C102" s="606" t="str">
        <f>'dbc''s'!J108</f>
        <v>QBA091</v>
      </c>
      <c r="D102" s="607">
        <f>'dbc''s'!K108</f>
        <v>0</v>
      </c>
      <c r="E102" s="491" t="s">
        <v>1246</v>
      </c>
      <c r="G102" s="595">
        <f t="shared" si="5"/>
        <v>0</v>
      </c>
      <c r="H102" s="608">
        <v>39814</v>
      </c>
    </row>
    <row r="103" spans="1:8" ht="12.75">
      <c r="A103" s="491">
        <f t="shared" si="6"/>
        <v>101</v>
      </c>
      <c r="B103" s="127">
        <f t="shared" si="4"/>
        <v>0</v>
      </c>
      <c r="C103" s="606" t="str">
        <f>'dbc''s'!J109</f>
        <v>QBA092</v>
      </c>
      <c r="D103" s="607">
        <f>'dbc''s'!K109</f>
        <v>0</v>
      </c>
      <c r="E103" s="491" t="s">
        <v>1246</v>
      </c>
      <c r="G103" s="595">
        <f t="shared" si="5"/>
        <v>0</v>
      </c>
      <c r="H103" s="608">
        <v>39814</v>
      </c>
    </row>
    <row r="104" spans="1:8" ht="12.75">
      <c r="A104" s="491">
        <f t="shared" si="6"/>
        <v>102</v>
      </c>
      <c r="B104" s="127">
        <f t="shared" si="4"/>
        <v>0</v>
      </c>
      <c r="C104" s="606" t="str">
        <f>'dbc''s'!J110</f>
        <v>QBA093</v>
      </c>
      <c r="D104" s="607">
        <f>'dbc''s'!K110</f>
        <v>0</v>
      </c>
      <c r="E104" s="491" t="s">
        <v>1246</v>
      </c>
      <c r="G104" s="595">
        <f t="shared" si="5"/>
        <v>0</v>
      </c>
      <c r="H104" s="608">
        <v>39814</v>
      </c>
    </row>
    <row r="105" spans="1:8" ht="12.75">
      <c r="A105" s="491">
        <f t="shared" si="6"/>
        <v>103</v>
      </c>
      <c r="B105" s="127">
        <f t="shared" si="4"/>
        <v>0</v>
      </c>
      <c r="C105" s="606" t="str">
        <f>'dbc''s'!J111</f>
        <v>QBA094</v>
      </c>
      <c r="D105" s="607">
        <f>'dbc''s'!K111</f>
        <v>0</v>
      </c>
      <c r="E105" s="491" t="s">
        <v>1246</v>
      </c>
      <c r="G105" s="595">
        <f t="shared" si="5"/>
        <v>0</v>
      </c>
      <c r="H105" s="608">
        <v>39814</v>
      </c>
    </row>
    <row r="106" spans="1:8" ht="12.75">
      <c r="A106" s="491">
        <f t="shared" si="6"/>
        <v>104</v>
      </c>
      <c r="B106" s="127">
        <f t="shared" si="4"/>
        <v>0</v>
      </c>
      <c r="C106" s="606" t="str">
        <f>'dbc''s'!J112</f>
        <v>QBA095</v>
      </c>
      <c r="D106" s="607">
        <f>'dbc''s'!K112</f>
        <v>0</v>
      </c>
      <c r="E106" s="491" t="s">
        <v>1246</v>
      </c>
      <c r="G106" s="595">
        <f t="shared" si="5"/>
        <v>0</v>
      </c>
      <c r="H106" s="608">
        <v>39814</v>
      </c>
    </row>
    <row r="107" spans="1:8" ht="12.75">
      <c r="A107" s="491">
        <f t="shared" si="6"/>
        <v>105</v>
      </c>
      <c r="B107" s="127">
        <f t="shared" si="4"/>
        <v>0</v>
      </c>
      <c r="C107" s="606" t="str">
        <f>'dbc''s'!J113</f>
        <v>QBA096</v>
      </c>
      <c r="D107" s="607">
        <f>'dbc''s'!K113</f>
        <v>0</v>
      </c>
      <c r="E107" s="491" t="s">
        <v>1246</v>
      </c>
      <c r="G107" s="595">
        <f t="shared" si="5"/>
        <v>0</v>
      </c>
      <c r="H107" s="608">
        <v>39814</v>
      </c>
    </row>
    <row r="108" spans="1:8" ht="12.75">
      <c r="A108" s="491">
        <f t="shared" si="6"/>
        <v>106</v>
      </c>
      <c r="B108" s="127">
        <f t="shared" si="4"/>
        <v>0</v>
      </c>
      <c r="C108" s="606" t="str">
        <f>'dbc''s'!J114</f>
        <v>QBA097</v>
      </c>
      <c r="D108" s="607">
        <f>'dbc''s'!K114</f>
        <v>0</v>
      </c>
      <c r="E108" s="491" t="s">
        <v>1246</v>
      </c>
      <c r="G108" s="595">
        <f t="shared" si="5"/>
        <v>0</v>
      </c>
      <c r="H108" s="608">
        <v>39814</v>
      </c>
    </row>
    <row r="109" spans="1:8" ht="12.75">
      <c r="A109" s="491">
        <f t="shared" si="6"/>
        <v>107</v>
      </c>
      <c r="B109" s="127">
        <f t="shared" si="4"/>
        <v>0</v>
      </c>
      <c r="C109" s="606" t="str">
        <f>'dbc''s'!J115</f>
        <v>QBA098</v>
      </c>
      <c r="D109" s="607">
        <f>'dbc''s'!K115</f>
        <v>0</v>
      </c>
      <c r="E109" s="491" t="s">
        <v>1246</v>
      </c>
      <c r="G109" s="595">
        <f t="shared" si="5"/>
        <v>0</v>
      </c>
      <c r="H109" s="608">
        <v>39814</v>
      </c>
    </row>
    <row r="110" spans="1:8" ht="12.75">
      <c r="A110" s="491">
        <f t="shared" si="6"/>
        <v>108</v>
      </c>
      <c r="B110" s="127">
        <f t="shared" si="4"/>
        <v>0</v>
      </c>
      <c r="C110" s="606" t="str">
        <f>'dbc''s'!J116</f>
        <v>QBA150</v>
      </c>
      <c r="D110" s="607">
        <f>'dbc''s'!K116</f>
        <v>0</v>
      </c>
      <c r="E110" s="491" t="s">
        <v>1246</v>
      </c>
      <c r="G110" s="595">
        <f t="shared" si="5"/>
        <v>0</v>
      </c>
      <c r="H110" s="608">
        <v>39814</v>
      </c>
    </row>
    <row r="111" spans="1:8" ht="12.75">
      <c r="A111" s="491">
        <f t="shared" si="6"/>
        <v>109</v>
      </c>
      <c r="B111" s="127">
        <f t="shared" si="4"/>
        <v>0</v>
      </c>
      <c r="C111" s="606" t="str">
        <f>'dbc''s'!J117</f>
        <v>QBA151</v>
      </c>
      <c r="D111" s="607">
        <f>'dbc''s'!K117</f>
        <v>0</v>
      </c>
      <c r="E111" s="491" t="s">
        <v>1246</v>
      </c>
      <c r="G111" s="595">
        <f t="shared" si="5"/>
        <v>0</v>
      </c>
      <c r="H111" s="608">
        <v>39814</v>
      </c>
    </row>
    <row r="112" spans="1:8" ht="12.75">
      <c r="A112" s="491">
        <f t="shared" si="6"/>
        <v>110</v>
      </c>
      <c r="B112" s="127">
        <f t="shared" si="4"/>
        <v>0</v>
      </c>
      <c r="C112" s="606" t="str">
        <f>'dbc''s'!J118</f>
        <v>QBA100</v>
      </c>
      <c r="D112" s="607">
        <f>'dbc''s'!K118</f>
        <v>0</v>
      </c>
      <c r="E112" s="491" t="s">
        <v>1246</v>
      </c>
      <c r="G112" s="595">
        <f t="shared" si="5"/>
        <v>0</v>
      </c>
      <c r="H112" s="608">
        <v>39814</v>
      </c>
    </row>
    <row r="113" spans="1:8" ht="12.75">
      <c r="A113" s="491">
        <f t="shared" si="6"/>
        <v>111</v>
      </c>
      <c r="B113" s="127">
        <f t="shared" si="4"/>
        <v>0</v>
      </c>
      <c r="C113" s="606" t="str">
        <f>'dbc''s'!J119</f>
        <v>QBA101</v>
      </c>
      <c r="D113" s="607">
        <f>'dbc''s'!K119</f>
        <v>0</v>
      </c>
      <c r="E113" s="491" t="s">
        <v>1246</v>
      </c>
      <c r="G113" s="595">
        <f t="shared" si="5"/>
        <v>0</v>
      </c>
      <c r="H113" s="608">
        <v>39814</v>
      </c>
    </row>
    <row r="114" spans="1:8" ht="12.75">
      <c r="A114" s="491">
        <f t="shared" si="6"/>
        <v>112</v>
      </c>
      <c r="B114" s="127">
        <f t="shared" si="4"/>
        <v>0</v>
      </c>
      <c r="C114" s="606" t="str">
        <f>'dbc''s'!J120</f>
        <v>QBA102</v>
      </c>
      <c r="D114" s="607">
        <f>'dbc''s'!K120</f>
        <v>0</v>
      </c>
      <c r="E114" s="491" t="s">
        <v>1246</v>
      </c>
      <c r="G114" s="595">
        <f t="shared" si="5"/>
        <v>0</v>
      </c>
      <c r="H114" s="608">
        <v>39814</v>
      </c>
    </row>
    <row r="115" spans="1:8" ht="12.75">
      <c r="A115" s="491">
        <f t="shared" si="6"/>
        <v>113</v>
      </c>
      <c r="B115" s="127">
        <f t="shared" si="4"/>
        <v>0</v>
      </c>
      <c r="C115" s="606" t="str">
        <f>'dbc''s'!J121</f>
        <v>QBA103</v>
      </c>
      <c r="D115" s="607">
        <f>'dbc''s'!K121</f>
        <v>0</v>
      </c>
      <c r="E115" s="491" t="s">
        <v>1246</v>
      </c>
      <c r="G115" s="595">
        <f t="shared" si="5"/>
        <v>0</v>
      </c>
      <c r="H115" s="608">
        <v>39814</v>
      </c>
    </row>
    <row r="116" spans="1:8" ht="12.75">
      <c r="A116" s="491">
        <f t="shared" si="6"/>
        <v>114</v>
      </c>
      <c r="B116" s="127">
        <f t="shared" si="4"/>
        <v>0</v>
      </c>
      <c r="C116" s="606" t="str">
        <f>'dbc''s'!J122</f>
        <v>QBA104</v>
      </c>
      <c r="D116" s="607">
        <f>'dbc''s'!K122</f>
        <v>0</v>
      </c>
      <c r="E116" s="491" t="s">
        <v>1246</v>
      </c>
      <c r="G116" s="595">
        <f t="shared" si="5"/>
        <v>0</v>
      </c>
      <c r="H116" s="608">
        <v>39814</v>
      </c>
    </row>
    <row r="117" spans="1:8" ht="12.75">
      <c r="A117" s="491">
        <f t="shared" si="6"/>
        <v>115</v>
      </c>
      <c r="B117" s="127">
        <f t="shared" si="4"/>
        <v>0</v>
      </c>
      <c r="C117" s="606" t="str">
        <f>'dbc''s'!J123</f>
        <v>QBA105</v>
      </c>
      <c r="D117" s="607">
        <f>'dbc''s'!K123</f>
        <v>0</v>
      </c>
      <c r="E117" s="491" t="s">
        <v>1246</v>
      </c>
      <c r="G117" s="595">
        <f t="shared" si="5"/>
        <v>0</v>
      </c>
      <c r="H117" s="608">
        <v>39814</v>
      </c>
    </row>
    <row r="118" spans="1:8" ht="12.75">
      <c r="A118" s="491">
        <f t="shared" si="6"/>
        <v>116</v>
      </c>
      <c r="B118" s="127">
        <f t="shared" si="4"/>
        <v>0</v>
      </c>
      <c r="C118" s="606" t="str">
        <f>'dbc''s'!J124</f>
        <v>QBA152</v>
      </c>
      <c r="D118" s="607">
        <f>'dbc''s'!K124</f>
        <v>0</v>
      </c>
      <c r="E118" s="491" t="s">
        <v>1246</v>
      </c>
      <c r="G118" s="595">
        <f t="shared" si="5"/>
        <v>0</v>
      </c>
      <c r="H118" s="608">
        <v>39814</v>
      </c>
    </row>
    <row r="119" spans="1:8" ht="12.75">
      <c r="A119" s="491">
        <f t="shared" si="6"/>
        <v>117</v>
      </c>
      <c r="B119" s="127">
        <f t="shared" si="4"/>
        <v>0</v>
      </c>
      <c r="C119" s="606" t="str">
        <f>'dbc''s'!J125</f>
        <v>QBA153</v>
      </c>
      <c r="D119" s="607">
        <f>'dbc''s'!K125</f>
        <v>0</v>
      </c>
      <c r="E119" s="491" t="s">
        <v>1246</v>
      </c>
      <c r="G119" s="595">
        <f t="shared" si="5"/>
        <v>0</v>
      </c>
      <c r="H119" s="608">
        <v>39814</v>
      </c>
    </row>
    <row r="120" spans="1:8" ht="12.75">
      <c r="A120" s="491">
        <f t="shared" si="6"/>
        <v>118</v>
      </c>
      <c r="B120" s="127">
        <f t="shared" si="4"/>
        <v>0</v>
      </c>
      <c r="C120" s="606" t="str">
        <f>'dbc''s'!J126</f>
        <v>QBA107</v>
      </c>
      <c r="D120" s="607">
        <f>'dbc''s'!K126</f>
        <v>0</v>
      </c>
      <c r="E120" s="491" t="s">
        <v>1246</v>
      </c>
      <c r="G120" s="595">
        <f t="shared" si="5"/>
        <v>0</v>
      </c>
      <c r="H120" s="608">
        <v>39814</v>
      </c>
    </row>
    <row r="121" spans="1:8" ht="12.75">
      <c r="A121" s="491">
        <f t="shared" si="6"/>
        <v>119</v>
      </c>
      <c r="B121" s="127">
        <f t="shared" si="4"/>
        <v>0</v>
      </c>
      <c r="C121" s="606" t="str">
        <f>'dbc''s'!J127</f>
        <v>QBA108</v>
      </c>
      <c r="D121" s="607">
        <f>'dbc''s'!K127</f>
        <v>0</v>
      </c>
      <c r="E121" s="491" t="s">
        <v>1246</v>
      </c>
      <c r="G121" s="595">
        <f t="shared" si="5"/>
        <v>0</v>
      </c>
      <c r="H121" s="608">
        <v>39814</v>
      </c>
    </row>
    <row r="122" spans="1:8" ht="12.75">
      <c r="A122" s="491">
        <f t="shared" si="6"/>
        <v>120</v>
      </c>
      <c r="B122" s="127">
        <f t="shared" si="4"/>
        <v>0</v>
      </c>
      <c r="C122" s="606" t="str">
        <f>'dbc''s'!J128</f>
        <v>QBA109</v>
      </c>
      <c r="D122" s="607">
        <f>'dbc''s'!K128</f>
        <v>0</v>
      </c>
      <c r="E122" s="491" t="s">
        <v>1246</v>
      </c>
      <c r="G122" s="595">
        <f t="shared" si="5"/>
        <v>0</v>
      </c>
      <c r="H122" s="608">
        <v>39814</v>
      </c>
    </row>
    <row r="123" spans="1:8" ht="12.75">
      <c r="A123" s="491">
        <f t="shared" si="6"/>
        <v>121</v>
      </c>
      <c r="B123" s="127">
        <f t="shared" si="4"/>
        <v>0</v>
      </c>
      <c r="C123" s="606" t="str">
        <f>'dbc''s'!J129</f>
        <v>QBA110</v>
      </c>
      <c r="D123" s="607">
        <f>'dbc''s'!K129</f>
        <v>0</v>
      </c>
      <c r="E123" s="491" t="s">
        <v>1246</v>
      </c>
      <c r="G123" s="595">
        <f t="shared" si="5"/>
        <v>0</v>
      </c>
      <c r="H123" s="608">
        <v>39814</v>
      </c>
    </row>
    <row r="124" spans="1:8" ht="12.75">
      <c r="A124" s="491">
        <f t="shared" si="6"/>
        <v>122</v>
      </c>
      <c r="B124" s="127">
        <f t="shared" si="4"/>
        <v>0</v>
      </c>
      <c r="C124" s="606" t="str">
        <f>'dbc''s'!J130</f>
        <v>QBA111</v>
      </c>
      <c r="D124" s="607">
        <f>'dbc''s'!K130</f>
        <v>0</v>
      </c>
      <c r="E124" s="491" t="s">
        <v>1246</v>
      </c>
      <c r="G124" s="595">
        <f t="shared" si="5"/>
        <v>0</v>
      </c>
      <c r="H124" s="608">
        <v>39814</v>
      </c>
    </row>
    <row r="125" spans="1:8" ht="12.75">
      <c r="A125" s="491">
        <f t="shared" si="6"/>
        <v>123</v>
      </c>
      <c r="B125" s="127">
        <f t="shared" si="4"/>
        <v>0</v>
      </c>
      <c r="C125" s="606" t="str">
        <f>'dbc''s'!J132</f>
        <v>QBA112</v>
      </c>
      <c r="D125" s="607">
        <f>'dbc''s'!K132</f>
        <v>0</v>
      </c>
      <c r="E125" s="491" t="s">
        <v>1246</v>
      </c>
      <c r="G125" s="595">
        <f t="shared" si="5"/>
        <v>0</v>
      </c>
      <c r="H125" s="608">
        <v>39814</v>
      </c>
    </row>
    <row r="126" spans="1:8" ht="12.75">
      <c r="A126" s="491">
        <f t="shared" si="6"/>
        <v>124</v>
      </c>
      <c r="B126" s="127">
        <f t="shared" si="4"/>
        <v>0</v>
      </c>
      <c r="C126" s="606" t="str">
        <f>'dbc''s'!J133</f>
        <v>QBA154</v>
      </c>
      <c r="D126" s="607">
        <f>'dbc''s'!K133</f>
        <v>0</v>
      </c>
      <c r="E126" s="491" t="s">
        <v>1246</v>
      </c>
      <c r="G126" s="595">
        <f t="shared" si="5"/>
        <v>0</v>
      </c>
      <c r="H126" s="608">
        <v>39814</v>
      </c>
    </row>
    <row r="127" spans="1:8" ht="12.75">
      <c r="A127" s="491">
        <f t="shared" si="6"/>
        <v>125</v>
      </c>
      <c r="B127" s="127">
        <f t="shared" si="4"/>
        <v>0</v>
      </c>
      <c r="C127" s="606" t="str">
        <f>'dbc''s'!J134</f>
        <v>QBA155</v>
      </c>
      <c r="D127" s="607">
        <f>'dbc''s'!K134</f>
        <v>0</v>
      </c>
      <c r="E127" s="491" t="s">
        <v>1246</v>
      </c>
      <c r="G127" s="595">
        <f t="shared" si="5"/>
        <v>0</v>
      </c>
      <c r="H127" s="608">
        <v>39814</v>
      </c>
    </row>
    <row r="128" spans="1:8" ht="12.75">
      <c r="A128" s="491">
        <f t="shared" si="6"/>
        <v>126</v>
      </c>
      <c r="B128" s="127">
        <f t="shared" si="4"/>
        <v>0</v>
      </c>
      <c r="C128" s="606" t="str">
        <f>'dbc''s'!J135</f>
        <v>QBA114</v>
      </c>
      <c r="D128" s="607">
        <f>'dbc''s'!K135</f>
        <v>0</v>
      </c>
      <c r="E128" s="491" t="s">
        <v>1246</v>
      </c>
      <c r="G128" s="595">
        <f t="shared" si="5"/>
        <v>0</v>
      </c>
      <c r="H128" s="608">
        <v>39814</v>
      </c>
    </row>
    <row r="129" spans="1:8" ht="12.75">
      <c r="A129" s="491">
        <f t="shared" si="6"/>
        <v>127</v>
      </c>
      <c r="B129" s="127">
        <f t="shared" si="4"/>
        <v>0</v>
      </c>
      <c r="C129" s="606" t="str">
        <f>'dbc''s'!J136</f>
        <v>QBA115</v>
      </c>
      <c r="D129" s="607">
        <f>'dbc''s'!K136</f>
        <v>0</v>
      </c>
      <c r="E129" s="491" t="s">
        <v>1246</v>
      </c>
      <c r="G129" s="595">
        <f t="shared" si="5"/>
        <v>0</v>
      </c>
      <c r="H129" s="608">
        <v>39814</v>
      </c>
    </row>
    <row r="130" spans="1:8" ht="12.75">
      <c r="A130" s="491">
        <f t="shared" si="6"/>
        <v>128</v>
      </c>
      <c r="B130" s="127">
        <f aca="true" t="shared" si="7" ref="B130:B208">B129</f>
        <v>0</v>
      </c>
      <c r="C130" s="606" t="str">
        <f>'dbc''s'!J137</f>
        <v>QBA116</v>
      </c>
      <c r="D130" s="607">
        <f>'dbc''s'!K137</f>
        <v>0</v>
      </c>
      <c r="E130" s="491" t="s">
        <v>1246</v>
      </c>
      <c r="G130" s="595">
        <f>D130</f>
        <v>0</v>
      </c>
      <c r="H130" s="608">
        <v>39814</v>
      </c>
    </row>
    <row r="131" spans="1:8" ht="12.75">
      <c r="A131" s="491">
        <f t="shared" si="6"/>
        <v>129</v>
      </c>
      <c r="B131" s="127">
        <f t="shared" si="7"/>
        <v>0</v>
      </c>
      <c r="C131" s="606" t="str">
        <f>'dbc''s'!J138</f>
        <v>QBA117</v>
      </c>
      <c r="D131" s="607">
        <f>'dbc''s'!K138</f>
        <v>0</v>
      </c>
      <c r="E131" s="491" t="s">
        <v>1246</v>
      </c>
      <c r="G131" s="595">
        <f aca="true" t="shared" si="8" ref="G131:G146">D131</f>
        <v>0</v>
      </c>
      <c r="H131" s="608">
        <v>39814</v>
      </c>
    </row>
    <row r="132" spans="1:8" ht="12.75">
      <c r="A132" s="491">
        <f aca="true" t="shared" si="9" ref="A132:A147">A131+1</f>
        <v>130</v>
      </c>
      <c r="B132" s="127">
        <f t="shared" si="7"/>
        <v>0</v>
      </c>
      <c r="C132" s="606" t="str">
        <f>'dbc''s'!J139</f>
        <v>QBA118</v>
      </c>
      <c r="D132" s="607">
        <f>'dbc''s'!K139</f>
        <v>0</v>
      </c>
      <c r="E132" s="491" t="s">
        <v>1246</v>
      </c>
      <c r="G132" s="595">
        <f t="shared" si="8"/>
        <v>0</v>
      </c>
      <c r="H132" s="608">
        <v>39814</v>
      </c>
    </row>
    <row r="133" spans="1:8" ht="12.75">
      <c r="A133" s="491">
        <f t="shared" si="9"/>
        <v>131</v>
      </c>
      <c r="B133" s="127">
        <f t="shared" si="7"/>
        <v>0</v>
      </c>
      <c r="C133" s="606" t="str">
        <f>'dbc''s'!J140</f>
        <v>QBA119</v>
      </c>
      <c r="D133" s="607">
        <f>'dbc''s'!K140</f>
        <v>0</v>
      </c>
      <c r="E133" s="491" t="s">
        <v>1246</v>
      </c>
      <c r="G133" s="595">
        <f t="shared" si="8"/>
        <v>0</v>
      </c>
      <c r="H133" s="608">
        <v>39814</v>
      </c>
    </row>
    <row r="134" spans="1:8" ht="12.75">
      <c r="A134" s="491">
        <f t="shared" si="9"/>
        <v>132</v>
      </c>
      <c r="B134" s="127">
        <f t="shared" si="7"/>
        <v>0</v>
      </c>
      <c r="C134" s="606" t="str">
        <f>'dbc''s'!J141</f>
        <v>QBA156</v>
      </c>
      <c r="D134" s="607">
        <f>'dbc''s'!K141</f>
        <v>0</v>
      </c>
      <c r="E134" s="491" t="s">
        <v>1246</v>
      </c>
      <c r="G134" s="595">
        <f t="shared" si="8"/>
        <v>0</v>
      </c>
      <c r="H134" s="608">
        <v>39814</v>
      </c>
    </row>
    <row r="135" spans="1:8" ht="12.75">
      <c r="A135" s="491">
        <f t="shared" si="9"/>
        <v>133</v>
      </c>
      <c r="B135" s="127">
        <f t="shared" si="7"/>
        <v>0</v>
      </c>
      <c r="C135" s="606" t="str">
        <f>'dbc''s'!J142</f>
        <v>QBA157</v>
      </c>
      <c r="D135" s="607">
        <f>'dbc''s'!K142</f>
        <v>0</v>
      </c>
      <c r="E135" s="491" t="s">
        <v>1246</v>
      </c>
      <c r="G135" s="595">
        <f t="shared" si="8"/>
        <v>0</v>
      </c>
      <c r="H135" s="608">
        <v>39814</v>
      </c>
    </row>
    <row r="136" spans="1:8" ht="12.75">
      <c r="A136" s="491">
        <f t="shared" si="9"/>
        <v>134</v>
      </c>
      <c r="B136" s="127">
        <f t="shared" si="7"/>
        <v>0</v>
      </c>
      <c r="C136" s="606" t="str">
        <f>'dbc''s'!J143</f>
        <v>QBA121</v>
      </c>
      <c r="D136" s="607">
        <f>'dbc''s'!K143</f>
        <v>0</v>
      </c>
      <c r="E136" s="491" t="s">
        <v>1246</v>
      </c>
      <c r="G136" s="595">
        <f t="shared" si="8"/>
        <v>0</v>
      </c>
      <c r="H136" s="608">
        <v>39814</v>
      </c>
    </row>
    <row r="137" spans="1:8" ht="12.75">
      <c r="A137" s="491">
        <f t="shared" si="9"/>
        <v>135</v>
      </c>
      <c r="B137" s="127">
        <f t="shared" si="7"/>
        <v>0</v>
      </c>
      <c r="C137" s="606" t="str">
        <f>'dbc''s'!J144</f>
        <v>QBA122</v>
      </c>
      <c r="D137" s="607">
        <f>'dbc''s'!K144</f>
        <v>0</v>
      </c>
      <c r="E137" s="491" t="s">
        <v>1246</v>
      </c>
      <c r="G137" s="595">
        <f t="shared" si="8"/>
        <v>0</v>
      </c>
      <c r="H137" s="608">
        <v>39814</v>
      </c>
    </row>
    <row r="138" spans="1:8" ht="12.75">
      <c r="A138" s="491">
        <f t="shared" si="9"/>
        <v>136</v>
      </c>
      <c r="B138" s="127">
        <f t="shared" si="7"/>
        <v>0</v>
      </c>
      <c r="C138" s="606" t="str">
        <f>'dbc''s'!J145</f>
        <v>QBA123</v>
      </c>
      <c r="D138" s="607">
        <f>'dbc''s'!K145</f>
        <v>0</v>
      </c>
      <c r="E138" s="491" t="s">
        <v>1246</v>
      </c>
      <c r="G138" s="595">
        <f t="shared" si="8"/>
        <v>0</v>
      </c>
      <c r="H138" s="608">
        <v>39814</v>
      </c>
    </row>
    <row r="139" spans="1:8" ht="12.75">
      <c r="A139" s="491">
        <f t="shared" si="9"/>
        <v>137</v>
      </c>
      <c r="B139" s="127">
        <f t="shared" si="7"/>
        <v>0</v>
      </c>
      <c r="C139" s="606" t="str">
        <f>'dbc''s'!J146</f>
        <v>QBA124</v>
      </c>
      <c r="D139" s="607">
        <f>'dbc''s'!K146</f>
        <v>0</v>
      </c>
      <c r="E139" s="491" t="s">
        <v>1246</v>
      </c>
      <c r="G139" s="595">
        <f t="shared" si="8"/>
        <v>0</v>
      </c>
      <c r="H139" s="608">
        <v>39814</v>
      </c>
    </row>
    <row r="140" spans="1:8" ht="12.75">
      <c r="A140" s="491">
        <f t="shared" si="9"/>
        <v>138</v>
      </c>
      <c r="B140" s="127">
        <f t="shared" si="7"/>
        <v>0</v>
      </c>
      <c r="C140" s="606" t="str">
        <f>'dbc''s'!J147</f>
        <v>QBA125</v>
      </c>
      <c r="D140" s="607">
        <f>'dbc''s'!K147</f>
        <v>0</v>
      </c>
      <c r="E140" s="491" t="s">
        <v>1246</v>
      </c>
      <c r="G140" s="595">
        <f t="shared" si="8"/>
        <v>0</v>
      </c>
      <c r="H140" s="608">
        <v>39814</v>
      </c>
    </row>
    <row r="141" spans="1:8" ht="12.75">
      <c r="A141" s="491">
        <f t="shared" si="9"/>
        <v>139</v>
      </c>
      <c r="B141" s="127">
        <f t="shared" si="7"/>
        <v>0</v>
      </c>
      <c r="C141" s="606" t="str">
        <f>'dbc''s'!J148</f>
        <v>QBA126</v>
      </c>
      <c r="D141" s="607">
        <f>'dbc''s'!K148</f>
        <v>0</v>
      </c>
      <c r="E141" s="491" t="s">
        <v>1246</v>
      </c>
      <c r="G141" s="595">
        <f t="shared" si="8"/>
        <v>0</v>
      </c>
      <c r="H141" s="608">
        <v>39814</v>
      </c>
    </row>
    <row r="142" spans="1:8" ht="12.75">
      <c r="A142" s="491">
        <f t="shared" si="9"/>
        <v>140</v>
      </c>
      <c r="B142" s="127">
        <f t="shared" si="7"/>
        <v>0</v>
      </c>
      <c r="C142" s="606" t="str">
        <f>'dbc''s'!J149</f>
        <v>QBA127</v>
      </c>
      <c r="D142" s="607">
        <f>'dbc''s'!K149</f>
        <v>0</v>
      </c>
      <c r="E142" s="491" t="s">
        <v>1246</v>
      </c>
      <c r="G142" s="595">
        <f t="shared" si="8"/>
        <v>0</v>
      </c>
      <c r="H142" s="608">
        <v>39814</v>
      </c>
    </row>
    <row r="143" spans="1:8" ht="12.75">
      <c r="A143" s="491">
        <f t="shared" si="9"/>
        <v>141</v>
      </c>
      <c r="B143" s="127">
        <f t="shared" si="7"/>
        <v>0</v>
      </c>
      <c r="C143" s="606" t="str">
        <f>'dbc''s'!J150</f>
        <v>QBA128</v>
      </c>
      <c r="D143" s="607">
        <f>'dbc''s'!K150</f>
        <v>0</v>
      </c>
      <c r="E143" s="491" t="s">
        <v>1246</v>
      </c>
      <c r="G143" s="595">
        <f t="shared" si="8"/>
        <v>0</v>
      </c>
      <c r="H143" s="608">
        <v>39814</v>
      </c>
    </row>
    <row r="144" spans="1:8" ht="12.75">
      <c r="A144" s="491">
        <f t="shared" si="9"/>
        <v>142</v>
      </c>
      <c r="B144" s="127">
        <f t="shared" si="7"/>
        <v>0</v>
      </c>
      <c r="C144" s="606" t="str">
        <f>'dbc''s'!J151</f>
        <v>QBA129</v>
      </c>
      <c r="D144" s="607">
        <f>'dbc''s'!K151</f>
        <v>0</v>
      </c>
      <c r="E144" s="491" t="s">
        <v>1246</v>
      </c>
      <c r="G144" s="595">
        <f t="shared" si="8"/>
        <v>0</v>
      </c>
      <c r="H144" s="608">
        <v>39814</v>
      </c>
    </row>
    <row r="145" spans="1:8" ht="12.75">
      <c r="A145" s="491">
        <f t="shared" si="9"/>
        <v>143</v>
      </c>
      <c r="B145" s="127">
        <f t="shared" si="7"/>
        <v>0</v>
      </c>
      <c r="C145" s="606" t="str">
        <f>'dbc''s'!J152</f>
        <v>QBA158</v>
      </c>
      <c r="D145" s="607">
        <f>'dbc''s'!K152</f>
        <v>0</v>
      </c>
      <c r="E145" s="491" t="s">
        <v>1246</v>
      </c>
      <c r="G145" s="595">
        <f t="shared" si="8"/>
        <v>0</v>
      </c>
      <c r="H145" s="608">
        <v>39814</v>
      </c>
    </row>
    <row r="146" spans="1:8" ht="12.75">
      <c r="A146" s="491">
        <f t="shared" si="9"/>
        <v>144</v>
      </c>
      <c r="B146" s="127">
        <f t="shared" si="7"/>
        <v>0</v>
      </c>
      <c r="C146" s="606" t="str">
        <f>'dbc''s'!J153</f>
        <v>QBA159</v>
      </c>
      <c r="D146" s="607">
        <f>'dbc''s'!K153</f>
        <v>0</v>
      </c>
      <c r="E146" s="491" t="s">
        <v>1246</v>
      </c>
      <c r="G146" s="595">
        <f t="shared" si="8"/>
        <v>0</v>
      </c>
      <c r="H146" s="608">
        <v>39814</v>
      </c>
    </row>
    <row r="147" spans="1:8" ht="12.75">
      <c r="A147" s="491">
        <f t="shared" si="9"/>
        <v>145</v>
      </c>
      <c r="B147" s="127">
        <f>B130</f>
        <v>0</v>
      </c>
      <c r="C147" s="606" t="str">
        <f>'dbc''s'!L7</f>
        <v>QBV001</v>
      </c>
      <c r="D147" s="607">
        <f>'dbc''s'!M7</f>
        <v>0</v>
      </c>
      <c r="E147" s="491" t="s">
        <v>1247</v>
      </c>
      <c r="G147" s="595">
        <f>ROUND(D147*voorblad!$R$39,0)</f>
        <v>0</v>
      </c>
      <c r="H147" s="608">
        <f>voorblad!$G$6</f>
        <v>0</v>
      </c>
    </row>
    <row r="148" spans="1:8" ht="12.75">
      <c r="A148" s="491">
        <f aca="true" t="shared" si="10" ref="A148:A209">A147+1</f>
        <v>146</v>
      </c>
      <c r="B148" s="127">
        <f t="shared" si="7"/>
        <v>0</v>
      </c>
      <c r="C148" s="606" t="str">
        <f>'dbc''s'!L8</f>
        <v>QBV002</v>
      </c>
      <c r="D148" s="607">
        <f>'dbc''s'!M8</f>
        <v>0</v>
      </c>
      <c r="E148" s="491" t="s">
        <v>1247</v>
      </c>
      <c r="G148" s="595">
        <f>ROUND(D148*voorblad!$R$39,0)</f>
        <v>0</v>
      </c>
      <c r="H148" s="608">
        <f>voorblad!$G$6</f>
        <v>0</v>
      </c>
    </row>
    <row r="149" spans="1:8" ht="12.75">
      <c r="A149" s="491">
        <f t="shared" si="10"/>
        <v>147</v>
      </c>
      <c r="B149" s="127">
        <f t="shared" si="7"/>
        <v>0</v>
      </c>
      <c r="C149" s="606" t="str">
        <f>'dbc''s'!L9</f>
        <v>QBV003</v>
      </c>
      <c r="D149" s="607">
        <f>'dbc''s'!M9</f>
        <v>0</v>
      </c>
      <c r="E149" s="491" t="s">
        <v>1247</v>
      </c>
      <c r="G149" s="595">
        <f>ROUND(D149*voorblad!$R$39,0)</f>
        <v>0</v>
      </c>
      <c r="H149" s="608">
        <f>voorblad!$G$6</f>
        <v>0</v>
      </c>
    </row>
    <row r="150" spans="1:8" ht="12.75">
      <c r="A150" s="491">
        <f t="shared" si="10"/>
        <v>148</v>
      </c>
      <c r="B150" s="127">
        <f t="shared" si="7"/>
        <v>0</v>
      </c>
      <c r="C150" s="606" t="str">
        <f>'dbc''s'!L10</f>
        <v>QBV004</v>
      </c>
      <c r="D150" s="607">
        <f>'dbc''s'!M10</f>
        <v>0</v>
      </c>
      <c r="E150" s="491" t="s">
        <v>1247</v>
      </c>
      <c r="G150" s="595">
        <f>ROUND(D150*voorblad!$R$39,0)</f>
        <v>0</v>
      </c>
      <c r="H150" s="608">
        <f>voorblad!$G$6</f>
        <v>0</v>
      </c>
    </row>
    <row r="151" spans="1:8" ht="12.75">
      <c r="A151" s="491">
        <f t="shared" si="10"/>
        <v>149</v>
      </c>
      <c r="B151" s="127">
        <f t="shared" si="7"/>
        <v>0</v>
      </c>
      <c r="C151" s="606" t="str">
        <f>'dbc''s'!L11</f>
        <v>QBV005</v>
      </c>
      <c r="D151" s="607">
        <f>'dbc''s'!M11</f>
        <v>0</v>
      </c>
      <c r="E151" s="491" t="s">
        <v>1247</v>
      </c>
      <c r="G151" s="595">
        <f>ROUND(D151*voorblad!$R$39,0)</f>
        <v>0</v>
      </c>
      <c r="H151" s="608">
        <f>voorblad!$G$6</f>
        <v>0</v>
      </c>
    </row>
    <row r="152" spans="1:8" ht="12.75">
      <c r="A152" s="491">
        <f t="shared" si="10"/>
        <v>150</v>
      </c>
      <c r="B152" s="127">
        <f t="shared" si="7"/>
        <v>0</v>
      </c>
      <c r="C152" s="606" t="str">
        <f>'dbc''s'!L12</f>
        <v>QBV006</v>
      </c>
      <c r="D152" s="607">
        <f>'dbc''s'!M12</f>
        <v>0</v>
      </c>
      <c r="E152" s="491" t="s">
        <v>1247</v>
      </c>
      <c r="G152" s="595">
        <f>ROUND(D152*voorblad!$R$39,0)</f>
        <v>0</v>
      </c>
      <c r="H152" s="608">
        <f>voorblad!$G$6</f>
        <v>0</v>
      </c>
    </row>
    <row r="153" spans="1:8" ht="12.75">
      <c r="A153" s="491">
        <f t="shared" si="10"/>
        <v>151</v>
      </c>
      <c r="B153" s="127">
        <f t="shared" si="7"/>
        <v>0</v>
      </c>
      <c r="C153" s="606" t="str">
        <f>'dbc''s'!L13</f>
        <v>QBV007</v>
      </c>
      <c r="D153" s="607">
        <f>'dbc''s'!M13</f>
        <v>0</v>
      </c>
      <c r="E153" s="491" t="s">
        <v>1247</v>
      </c>
      <c r="G153" s="595">
        <f>ROUND(D153*voorblad!$R$39,0)</f>
        <v>0</v>
      </c>
      <c r="H153" s="608">
        <f>voorblad!$G$6</f>
        <v>0</v>
      </c>
    </row>
    <row r="154" spans="1:8" ht="12.75">
      <c r="A154" s="491">
        <f t="shared" si="10"/>
        <v>152</v>
      </c>
      <c r="B154" s="127">
        <f t="shared" si="7"/>
        <v>0</v>
      </c>
      <c r="C154" s="606" t="str">
        <f>'dbc''s'!L14</f>
        <v>QBV008</v>
      </c>
      <c r="D154" s="607">
        <f>'dbc''s'!M14</f>
        <v>0</v>
      </c>
      <c r="E154" s="491" t="s">
        <v>1247</v>
      </c>
      <c r="G154" s="595">
        <f>ROUND(D154*voorblad!$R$39,0)</f>
        <v>0</v>
      </c>
      <c r="H154" s="608">
        <f>voorblad!$G$6</f>
        <v>0</v>
      </c>
    </row>
    <row r="155" spans="1:8" ht="12.75">
      <c r="A155" s="491">
        <f t="shared" si="10"/>
        <v>153</v>
      </c>
      <c r="B155" s="127">
        <f t="shared" si="7"/>
        <v>0</v>
      </c>
      <c r="C155" s="606" t="str">
        <f>'dbc''s'!L15</f>
        <v>QBV009</v>
      </c>
      <c r="D155" s="607">
        <f>'dbc''s'!M15</f>
        <v>0</v>
      </c>
      <c r="E155" s="491" t="s">
        <v>1247</v>
      </c>
      <c r="G155" s="595">
        <f>ROUND(D155*voorblad!$R$39,0)</f>
        <v>0</v>
      </c>
      <c r="H155" s="608">
        <f>voorblad!$G$6</f>
        <v>0</v>
      </c>
    </row>
    <row r="156" spans="1:8" ht="12.75">
      <c r="A156" s="491">
        <f t="shared" si="10"/>
        <v>154</v>
      </c>
      <c r="B156" s="127">
        <f t="shared" si="7"/>
        <v>0</v>
      </c>
      <c r="C156" s="606" t="str">
        <f>'dbc''s'!L16</f>
        <v>QBV010</v>
      </c>
      <c r="D156" s="607">
        <f>'dbc''s'!M16</f>
        <v>0</v>
      </c>
      <c r="E156" s="491" t="s">
        <v>1247</v>
      </c>
      <c r="G156" s="595">
        <f>ROUND(D156*voorblad!$R$39,0)</f>
        <v>0</v>
      </c>
      <c r="H156" s="608">
        <f>voorblad!$G$6</f>
        <v>0</v>
      </c>
    </row>
    <row r="157" spans="1:8" ht="12.75">
      <c r="A157" s="491">
        <f t="shared" si="10"/>
        <v>155</v>
      </c>
      <c r="B157" s="127">
        <f t="shared" si="7"/>
        <v>0</v>
      </c>
      <c r="C157" s="606" t="str">
        <f>'dbc''s'!L17</f>
        <v>QBV011</v>
      </c>
      <c r="D157" s="607">
        <f>'dbc''s'!M17</f>
        <v>0</v>
      </c>
      <c r="E157" s="491" t="s">
        <v>1247</v>
      </c>
      <c r="G157" s="595">
        <f>ROUND(D157*voorblad!$R$39,0)</f>
        <v>0</v>
      </c>
      <c r="H157" s="608">
        <f>voorblad!$G$6</f>
        <v>0</v>
      </c>
    </row>
    <row r="158" spans="1:8" ht="12.75">
      <c r="A158" s="491">
        <f t="shared" si="10"/>
        <v>156</v>
      </c>
      <c r="B158" s="127">
        <f t="shared" si="7"/>
        <v>0</v>
      </c>
      <c r="C158" s="606" t="str">
        <f>'dbc''s'!L18</f>
        <v>QBV012</v>
      </c>
      <c r="D158" s="607">
        <f>'dbc''s'!M18</f>
        <v>0</v>
      </c>
      <c r="E158" s="491" t="s">
        <v>1247</v>
      </c>
      <c r="G158" s="595">
        <f>ROUND(D158*voorblad!$R$39,0)</f>
        <v>0</v>
      </c>
      <c r="H158" s="608">
        <f>voorblad!$G$6</f>
        <v>0</v>
      </c>
    </row>
    <row r="159" spans="1:8" ht="12.75">
      <c r="A159" s="491">
        <f t="shared" si="10"/>
        <v>157</v>
      </c>
      <c r="B159" s="127">
        <f t="shared" si="7"/>
        <v>0</v>
      </c>
      <c r="C159" s="606" t="str">
        <f>'dbc''s'!L19</f>
        <v>QBV013</v>
      </c>
      <c r="D159" s="607">
        <f>'dbc''s'!M19</f>
        <v>0</v>
      </c>
      <c r="E159" s="491" t="s">
        <v>1247</v>
      </c>
      <c r="G159" s="595">
        <f>ROUND(D159*voorblad!$R$39,0)</f>
        <v>0</v>
      </c>
      <c r="H159" s="608">
        <f>voorblad!$G$6</f>
        <v>0</v>
      </c>
    </row>
    <row r="160" spans="1:8" ht="12.75">
      <c r="A160" s="491">
        <f t="shared" si="10"/>
        <v>158</v>
      </c>
      <c r="B160" s="127">
        <f t="shared" si="7"/>
        <v>0</v>
      </c>
      <c r="C160" s="606" t="str">
        <f>'dbc''s'!L20</f>
        <v>QBV014</v>
      </c>
      <c r="D160" s="607">
        <f>'dbc''s'!M20</f>
        <v>0</v>
      </c>
      <c r="E160" s="491" t="s">
        <v>1247</v>
      </c>
      <c r="G160" s="595">
        <f>ROUND(D160*voorblad!$R$39,0)</f>
        <v>0</v>
      </c>
      <c r="H160" s="608">
        <f>voorblad!$G$6</f>
        <v>0</v>
      </c>
    </row>
    <row r="161" spans="1:8" ht="12.75">
      <c r="A161" s="491">
        <f t="shared" si="10"/>
        <v>159</v>
      </c>
      <c r="B161" s="127">
        <f t="shared" si="7"/>
        <v>0</v>
      </c>
      <c r="C161" s="606" t="str">
        <f>'dbc''s'!L21</f>
        <v>QBV015</v>
      </c>
      <c r="D161" s="607">
        <f>'dbc''s'!M21</f>
        <v>0</v>
      </c>
      <c r="E161" s="491" t="s">
        <v>1247</v>
      </c>
      <c r="G161" s="595">
        <f>ROUND(D161*voorblad!$R$39,0)</f>
        <v>0</v>
      </c>
      <c r="H161" s="608">
        <f>voorblad!$G$6</f>
        <v>0</v>
      </c>
    </row>
    <row r="162" spans="1:8" ht="12.75">
      <c r="A162" s="491">
        <f t="shared" si="10"/>
        <v>160</v>
      </c>
      <c r="B162" s="127">
        <f t="shared" si="7"/>
        <v>0</v>
      </c>
      <c r="C162" s="606" t="str">
        <f>'dbc''s'!L22</f>
        <v>QBV016</v>
      </c>
      <c r="D162" s="607">
        <f>'dbc''s'!M22</f>
        <v>0</v>
      </c>
      <c r="E162" s="491" t="s">
        <v>1247</v>
      </c>
      <c r="G162" s="595">
        <f>ROUND(D162*voorblad!$R$39,0)</f>
        <v>0</v>
      </c>
      <c r="H162" s="608">
        <f>voorblad!$G$6</f>
        <v>0</v>
      </c>
    </row>
    <row r="163" spans="1:8" ht="12.75">
      <c r="A163" s="491">
        <f t="shared" si="10"/>
        <v>161</v>
      </c>
      <c r="B163" s="127">
        <f t="shared" si="7"/>
        <v>0</v>
      </c>
      <c r="C163" s="606" t="str">
        <f>'dbc''s'!L23</f>
        <v>QBV017</v>
      </c>
      <c r="D163" s="607">
        <f>'dbc''s'!M23</f>
        <v>0</v>
      </c>
      <c r="E163" s="491" t="s">
        <v>1247</v>
      </c>
      <c r="G163" s="595">
        <f>ROUND(D163*voorblad!$R$39,0)</f>
        <v>0</v>
      </c>
      <c r="H163" s="608">
        <f>voorblad!$G$6</f>
        <v>0</v>
      </c>
    </row>
    <row r="164" spans="1:8" ht="12.75">
      <c r="A164" s="491">
        <f t="shared" si="10"/>
        <v>162</v>
      </c>
      <c r="B164" s="127">
        <f t="shared" si="7"/>
        <v>0</v>
      </c>
      <c r="C164" s="606" t="str">
        <f>'dbc''s'!L24</f>
        <v>QBV018</v>
      </c>
      <c r="D164" s="607">
        <f>'dbc''s'!M24</f>
        <v>0</v>
      </c>
      <c r="E164" s="491" t="s">
        <v>1247</v>
      </c>
      <c r="G164" s="595">
        <f>ROUND(D164*voorblad!$R$39,0)</f>
        <v>0</v>
      </c>
      <c r="H164" s="608">
        <f>voorblad!$G$6</f>
        <v>0</v>
      </c>
    </row>
    <row r="165" spans="1:8" ht="12.75">
      <c r="A165" s="491">
        <f t="shared" si="10"/>
        <v>163</v>
      </c>
      <c r="B165" s="127">
        <f t="shared" si="7"/>
        <v>0</v>
      </c>
      <c r="C165" s="606" t="str">
        <f>'dbc''s'!L25</f>
        <v>QBV019</v>
      </c>
      <c r="D165" s="607">
        <f>'dbc''s'!M25</f>
        <v>0</v>
      </c>
      <c r="E165" s="491" t="s">
        <v>1247</v>
      </c>
      <c r="G165" s="595">
        <f>ROUND(D165*voorblad!$R$39,0)</f>
        <v>0</v>
      </c>
      <c r="H165" s="608">
        <f>voorblad!$G$6</f>
        <v>0</v>
      </c>
    </row>
    <row r="166" spans="1:8" ht="12.75">
      <c r="A166" s="491">
        <f t="shared" si="10"/>
        <v>164</v>
      </c>
      <c r="B166" s="127">
        <f t="shared" si="7"/>
        <v>0</v>
      </c>
      <c r="C166" s="606" t="str">
        <f>'dbc''s'!L26</f>
        <v>QBV020</v>
      </c>
      <c r="D166" s="607">
        <f>'dbc''s'!M26</f>
        <v>0</v>
      </c>
      <c r="E166" s="491" t="s">
        <v>1247</v>
      </c>
      <c r="G166" s="595">
        <f>ROUND(D166*voorblad!$R$39,0)</f>
        <v>0</v>
      </c>
      <c r="H166" s="608">
        <f>voorblad!$G$6</f>
        <v>0</v>
      </c>
    </row>
    <row r="167" spans="1:8" ht="12.75">
      <c r="A167" s="491">
        <f t="shared" si="10"/>
        <v>165</v>
      </c>
      <c r="B167" s="127">
        <f t="shared" si="7"/>
        <v>0</v>
      </c>
      <c r="C167" s="606" t="str">
        <f>'dbc''s'!L27</f>
        <v>QBV021</v>
      </c>
      <c r="D167" s="607">
        <f>'dbc''s'!M27</f>
        <v>0</v>
      </c>
      <c r="E167" s="491" t="s">
        <v>1247</v>
      </c>
      <c r="G167" s="595">
        <f>ROUND(D167*voorblad!$R$39,0)</f>
        <v>0</v>
      </c>
      <c r="H167" s="608">
        <f>voorblad!$G$6</f>
        <v>0</v>
      </c>
    </row>
    <row r="168" spans="1:8" ht="12.75">
      <c r="A168" s="491">
        <f t="shared" si="10"/>
        <v>166</v>
      </c>
      <c r="B168" s="127">
        <f t="shared" si="7"/>
        <v>0</v>
      </c>
      <c r="C168" s="606" t="str">
        <f>'dbc''s'!L28</f>
        <v>QBV022</v>
      </c>
      <c r="D168" s="607">
        <f>'dbc''s'!M28</f>
        <v>0</v>
      </c>
      <c r="E168" s="491" t="s">
        <v>1247</v>
      </c>
      <c r="G168" s="595">
        <f>ROUND(D168*voorblad!$R$39,0)</f>
        <v>0</v>
      </c>
      <c r="H168" s="608">
        <f>voorblad!$G$6</f>
        <v>0</v>
      </c>
    </row>
    <row r="169" spans="1:8" ht="12.75">
      <c r="A169" s="491">
        <f t="shared" si="10"/>
        <v>167</v>
      </c>
      <c r="B169" s="127">
        <f t="shared" si="7"/>
        <v>0</v>
      </c>
      <c r="C169" s="606" t="str">
        <f>'dbc''s'!L29</f>
        <v>QBV023</v>
      </c>
      <c r="D169" s="607">
        <f>'dbc''s'!M29</f>
        <v>0</v>
      </c>
      <c r="E169" s="491" t="s">
        <v>1247</v>
      </c>
      <c r="G169" s="595">
        <f>ROUND(D169*voorblad!$R$39,0)</f>
        <v>0</v>
      </c>
      <c r="H169" s="608">
        <f>voorblad!$G$6</f>
        <v>0</v>
      </c>
    </row>
    <row r="170" spans="1:8" ht="12.75">
      <c r="A170" s="491">
        <f t="shared" si="10"/>
        <v>168</v>
      </c>
      <c r="B170" s="127">
        <f t="shared" si="7"/>
        <v>0</v>
      </c>
      <c r="C170" s="606" t="str">
        <f>'dbc''s'!L30</f>
        <v>QBV024</v>
      </c>
      <c r="D170" s="607">
        <f>'dbc''s'!M30</f>
        <v>0</v>
      </c>
      <c r="E170" s="491" t="s">
        <v>1247</v>
      </c>
      <c r="G170" s="595">
        <f>ROUND(D170*voorblad!$R$39,0)</f>
        <v>0</v>
      </c>
      <c r="H170" s="608">
        <f>voorblad!$G$6</f>
        <v>0</v>
      </c>
    </row>
    <row r="171" spans="1:8" ht="12.75">
      <c r="A171" s="491">
        <f t="shared" si="10"/>
        <v>169</v>
      </c>
      <c r="B171" s="127">
        <f t="shared" si="7"/>
        <v>0</v>
      </c>
      <c r="C171" s="606" t="str">
        <f>'dbc''s'!L31</f>
        <v>QBV025</v>
      </c>
      <c r="D171" s="607">
        <f>'dbc''s'!M31</f>
        <v>0</v>
      </c>
      <c r="E171" s="491" t="s">
        <v>1247</v>
      </c>
      <c r="G171" s="595">
        <f>ROUND(D171*voorblad!$R$39,0)</f>
        <v>0</v>
      </c>
      <c r="H171" s="608">
        <f>voorblad!$G$6</f>
        <v>0</v>
      </c>
    </row>
    <row r="172" spans="1:8" ht="12.75">
      <c r="A172" s="491">
        <f t="shared" si="10"/>
        <v>170</v>
      </c>
      <c r="B172" s="127">
        <f t="shared" si="7"/>
        <v>0</v>
      </c>
      <c r="C172" s="606" t="str">
        <f>'dbc''s'!L32</f>
        <v>QBV026</v>
      </c>
      <c r="D172" s="607">
        <f>'dbc''s'!M32</f>
        <v>0</v>
      </c>
      <c r="E172" s="491" t="s">
        <v>1247</v>
      </c>
      <c r="G172" s="595">
        <f>ROUND(D172*voorblad!$R$39,0)</f>
        <v>0</v>
      </c>
      <c r="H172" s="608">
        <f>voorblad!$G$6</f>
        <v>0</v>
      </c>
    </row>
    <row r="173" spans="1:8" ht="12.75">
      <c r="A173" s="491">
        <f t="shared" si="10"/>
        <v>171</v>
      </c>
      <c r="B173" s="127">
        <f t="shared" si="7"/>
        <v>0</v>
      </c>
      <c r="C173" s="606" t="str">
        <f>'dbc''s'!L33</f>
        <v>QBV027</v>
      </c>
      <c r="D173" s="607">
        <f>'dbc''s'!M33</f>
        <v>0</v>
      </c>
      <c r="E173" s="491" t="s">
        <v>1247</v>
      </c>
      <c r="G173" s="595">
        <f>ROUND(D173*voorblad!$R$39,0)</f>
        <v>0</v>
      </c>
      <c r="H173" s="608">
        <f>voorblad!$G$6</f>
        <v>0</v>
      </c>
    </row>
    <row r="174" spans="1:8" ht="12.75">
      <c r="A174" s="491">
        <f t="shared" si="10"/>
        <v>172</v>
      </c>
      <c r="B174" s="127">
        <f t="shared" si="7"/>
        <v>0</v>
      </c>
      <c r="C174" s="606" t="str">
        <f>'dbc''s'!L34</f>
        <v>QBV028</v>
      </c>
      <c r="D174" s="607">
        <f>'dbc''s'!M34</f>
        <v>0</v>
      </c>
      <c r="E174" s="491" t="s">
        <v>1247</v>
      </c>
      <c r="G174" s="595">
        <f>ROUND(D174*voorblad!$R$39,0)</f>
        <v>0</v>
      </c>
      <c r="H174" s="608">
        <f>voorblad!$G$6</f>
        <v>0</v>
      </c>
    </row>
    <row r="175" spans="1:8" ht="12.75">
      <c r="A175" s="491">
        <f t="shared" si="10"/>
        <v>173</v>
      </c>
      <c r="B175" s="127">
        <f t="shared" si="7"/>
        <v>0</v>
      </c>
      <c r="C175" s="606" t="str">
        <f>'dbc''s'!L35</f>
        <v>QBV029</v>
      </c>
      <c r="D175" s="607">
        <f>'dbc''s'!M35</f>
        <v>0</v>
      </c>
      <c r="E175" s="491" t="s">
        <v>1247</v>
      </c>
      <c r="G175" s="595">
        <f>ROUND(D175*voorblad!$R$39,0)</f>
        <v>0</v>
      </c>
      <c r="H175" s="608">
        <f>voorblad!$G$6</f>
        <v>0</v>
      </c>
    </row>
    <row r="176" spans="1:8" ht="12.75">
      <c r="A176" s="491">
        <f t="shared" si="10"/>
        <v>174</v>
      </c>
      <c r="B176" s="127">
        <f t="shared" si="7"/>
        <v>0</v>
      </c>
      <c r="C176" s="606" t="str">
        <f>'dbc''s'!L36</f>
        <v>QBV030</v>
      </c>
      <c r="D176" s="607">
        <f>'dbc''s'!M36</f>
        <v>0</v>
      </c>
      <c r="E176" s="491" t="s">
        <v>1247</v>
      </c>
      <c r="G176" s="595">
        <f>ROUND(D176*voorblad!$R$39,0)</f>
        <v>0</v>
      </c>
      <c r="H176" s="608">
        <f>voorblad!$G$6</f>
        <v>0</v>
      </c>
    </row>
    <row r="177" spans="1:8" ht="12.75">
      <c r="A177" s="491">
        <f t="shared" si="10"/>
        <v>175</v>
      </c>
      <c r="B177" s="127">
        <f t="shared" si="7"/>
        <v>0</v>
      </c>
      <c r="C177" s="606" t="str">
        <f>'dbc''s'!L37</f>
        <v>QBV031</v>
      </c>
      <c r="D177" s="607">
        <f>'dbc''s'!M37</f>
        <v>0</v>
      </c>
      <c r="E177" s="491" t="s">
        <v>1247</v>
      </c>
      <c r="G177" s="595">
        <f>ROUND(D177*voorblad!$R$39,0)</f>
        <v>0</v>
      </c>
      <c r="H177" s="608">
        <f>voorblad!$G$6</f>
        <v>0</v>
      </c>
    </row>
    <row r="178" spans="1:8" ht="12.75">
      <c r="A178" s="491">
        <f t="shared" si="10"/>
        <v>176</v>
      </c>
      <c r="B178" s="127">
        <f t="shared" si="7"/>
        <v>0</v>
      </c>
      <c r="C178" s="606" t="str">
        <f>'dbc''s'!L38</f>
        <v>QBV131</v>
      </c>
      <c r="D178" s="607">
        <f>'dbc''s'!M38</f>
        <v>0</v>
      </c>
      <c r="E178" s="491" t="s">
        <v>1247</v>
      </c>
      <c r="G178" s="595">
        <f>ROUND(D178*voorblad!$R$39,0)</f>
        <v>0</v>
      </c>
      <c r="H178" s="608">
        <f>voorblad!$G$6</f>
        <v>0</v>
      </c>
    </row>
    <row r="179" spans="1:8" ht="12.75">
      <c r="A179" s="491">
        <f t="shared" si="10"/>
        <v>177</v>
      </c>
      <c r="B179" s="127">
        <f t="shared" si="7"/>
        <v>0</v>
      </c>
      <c r="C179" s="606" t="str">
        <f>'dbc''s'!L39</f>
        <v>QBV132</v>
      </c>
      <c r="D179" s="607">
        <f>'dbc''s'!M39</f>
        <v>0</v>
      </c>
      <c r="E179" s="491" t="s">
        <v>1247</v>
      </c>
      <c r="G179" s="595">
        <f>ROUND(D179*voorblad!$R$39,0)</f>
        <v>0</v>
      </c>
      <c r="H179" s="608">
        <f>voorblad!$G$6</f>
        <v>0</v>
      </c>
    </row>
    <row r="180" spans="1:8" ht="12.75">
      <c r="A180" s="491">
        <f t="shared" si="10"/>
        <v>178</v>
      </c>
      <c r="B180" s="127">
        <f t="shared" si="7"/>
        <v>0</v>
      </c>
      <c r="C180" s="606" t="str">
        <f>'dbc''s'!L40</f>
        <v>QBV033</v>
      </c>
      <c r="D180" s="607">
        <f>'dbc''s'!M40</f>
        <v>0</v>
      </c>
      <c r="E180" s="491" t="s">
        <v>1247</v>
      </c>
      <c r="G180" s="595">
        <f>ROUND(D180*voorblad!$R$39,0)</f>
        <v>0</v>
      </c>
      <c r="H180" s="608">
        <f>voorblad!$G$6</f>
        <v>0</v>
      </c>
    </row>
    <row r="181" spans="1:8" ht="12.75">
      <c r="A181" s="491">
        <f t="shared" si="10"/>
        <v>179</v>
      </c>
      <c r="B181" s="127">
        <f t="shared" si="7"/>
        <v>0</v>
      </c>
      <c r="C181" s="606" t="str">
        <f>'dbc''s'!L41</f>
        <v>QBV034</v>
      </c>
      <c r="D181" s="607">
        <f>'dbc''s'!M41</f>
        <v>0</v>
      </c>
      <c r="E181" s="491" t="s">
        <v>1247</v>
      </c>
      <c r="G181" s="595">
        <f>ROUND(D181*voorblad!$R$39,0)</f>
        <v>0</v>
      </c>
      <c r="H181" s="608">
        <f>voorblad!$G$6</f>
        <v>0</v>
      </c>
    </row>
    <row r="182" spans="1:8" ht="12.75">
      <c r="A182" s="491">
        <f t="shared" si="10"/>
        <v>180</v>
      </c>
      <c r="B182" s="127">
        <f t="shared" si="7"/>
        <v>0</v>
      </c>
      <c r="C182" s="606" t="str">
        <f>'dbc''s'!L42</f>
        <v>QBV035</v>
      </c>
      <c r="D182" s="607">
        <f>'dbc''s'!M42</f>
        <v>0</v>
      </c>
      <c r="E182" s="491" t="s">
        <v>1247</v>
      </c>
      <c r="G182" s="595">
        <f>ROUND(D182*voorblad!$R$39,0)</f>
        <v>0</v>
      </c>
      <c r="H182" s="608">
        <f>voorblad!$G$6</f>
        <v>0</v>
      </c>
    </row>
    <row r="183" spans="1:8" ht="12.75">
      <c r="A183" s="491">
        <f t="shared" si="10"/>
        <v>181</v>
      </c>
      <c r="B183" s="127">
        <f t="shared" si="7"/>
        <v>0</v>
      </c>
      <c r="C183" s="606" t="str">
        <f>'dbc''s'!L43</f>
        <v>QBV036</v>
      </c>
      <c r="D183" s="607">
        <f>'dbc''s'!M43</f>
        <v>0</v>
      </c>
      <c r="E183" s="491" t="s">
        <v>1247</v>
      </c>
      <c r="G183" s="595">
        <f>ROUND(D183*voorblad!$R$39,0)</f>
        <v>0</v>
      </c>
      <c r="H183" s="608">
        <f>voorblad!$G$6</f>
        <v>0</v>
      </c>
    </row>
    <row r="184" spans="1:8" ht="12.75">
      <c r="A184" s="491">
        <f t="shared" si="10"/>
        <v>182</v>
      </c>
      <c r="B184" s="127">
        <f t="shared" si="7"/>
        <v>0</v>
      </c>
      <c r="C184" s="606" t="str">
        <f>'dbc''s'!L44</f>
        <v>QBV037</v>
      </c>
      <c r="D184" s="607">
        <f>'dbc''s'!M44</f>
        <v>0</v>
      </c>
      <c r="E184" s="491" t="s">
        <v>1247</v>
      </c>
      <c r="G184" s="595">
        <f>ROUND(D184*voorblad!$R$39,0)</f>
        <v>0</v>
      </c>
      <c r="H184" s="608">
        <f>voorblad!$G$6</f>
        <v>0</v>
      </c>
    </row>
    <row r="185" spans="1:8" ht="12.75">
      <c r="A185" s="491">
        <f t="shared" si="10"/>
        <v>183</v>
      </c>
      <c r="B185" s="127">
        <f t="shared" si="7"/>
        <v>0</v>
      </c>
      <c r="C185" s="606" t="str">
        <f>'dbc''s'!L45</f>
        <v>QBV038</v>
      </c>
      <c r="D185" s="607">
        <f>'dbc''s'!M45</f>
        <v>0</v>
      </c>
      <c r="E185" s="491" t="s">
        <v>1247</v>
      </c>
      <c r="G185" s="595">
        <f>ROUND(D185*voorblad!$R$39,0)</f>
        <v>0</v>
      </c>
      <c r="H185" s="608">
        <f>voorblad!$G$6</f>
        <v>0</v>
      </c>
    </row>
    <row r="186" spans="1:8" ht="12.75">
      <c r="A186" s="491">
        <f t="shared" si="10"/>
        <v>184</v>
      </c>
      <c r="B186" s="127">
        <f t="shared" si="7"/>
        <v>0</v>
      </c>
      <c r="C186" s="606" t="str">
        <f>'dbc''s'!L46</f>
        <v>QBV133</v>
      </c>
      <c r="D186" s="607">
        <f>'dbc''s'!M46</f>
        <v>0</v>
      </c>
      <c r="E186" s="491" t="s">
        <v>1247</v>
      </c>
      <c r="G186" s="595">
        <f>ROUND(D186*voorblad!$R$39,0)</f>
        <v>0</v>
      </c>
      <c r="H186" s="608">
        <f>voorblad!$G$6</f>
        <v>0</v>
      </c>
    </row>
    <row r="187" spans="1:8" ht="12.75">
      <c r="A187" s="491">
        <f t="shared" si="10"/>
        <v>185</v>
      </c>
      <c r="B187" s="127">
        <f t="shared" si="7"/>
        <v>0</v>
      </c>
      <c r="C187" s="606" t="str">
        <f>'dbc''s'!L47</f>
        <v>QBV134</v>
      </c>
      <c r="D187" s="607">
        <f>'dbc''s'!M47</f>
        <v>0</v>
      </c>
      <c r="E187" s="491" t="s">
        <v>1247</v>
      </c>
      <c r="G187" s="595">
        <f>ROUND(D187*voorblad!$R$39,0)</f>
        <v>0</v>
      </c>
      <c r="H187" s="608">
        <f>voorblad!$G$6</f>
        <v>0</v>
      </c>
    </row>
    <row r="188" spans="1:8" ht="12.75">
      <c r="A188" s="491">
        <f t="shared" si="10"/>
        <v>186</v>
      </c>
      <c r="B188" s="127">
        <f t="shared" si="7"/>
        <v>0</v>
      </c>
      <c r="C188" s="606" t="str">
        <f>'dbc''s'!L48</f>
        <v>QBV040</v>
      </c>
      <c r="D188" s="607">
        <f>'dbc''s'!M48</f>
        <v>0</v>
      </c>
      <c r="E188" s="491" t="s">
        <v>1247</v>
      </c>
      <c r="G188" s="595">
        <f>ROUND(D188*voorblad!$R$39,0)</f>
        <v>0</v>
      </c>
      <c r="H188" s="608">
        <f>voorblad!$G$6</f>
        <v>0</v>
      </c>
    </row>
    <row r="189" spans="1:8" ht="12.75">
      <c r="A189" s="491">
        <f t="shared" si="10"/>
        <v>187</v>
      </c>
      <c r="B189" s="127">
        <f t="shared" si="7"/>
        <v>0</v>
      </c>
      <c r="C189" s="606" t="str">
        <f>'dbc''s'!L49</f>
        <v>QBV041</v>
      </c>
      <c r="D189" s="607">
        <f>'dbc''s'!M49</f>
        <v>0</v>
      </c>
      <c r="E189" s="491" t="s">
        <v>1247</v>
      </c>
      <c r="G189" s="595">
        <f>ROUND(D189*voorblad!$R$39,0)</f>
        <v>0</v>
      </c>
      <c r="H189" s="608">
        <f>voorblad!$G$6</f>
        <v>0</v>
      </c>
    </row>
    <row r="190" spans="1:8" ht="12.75">
      <c r="A190" s="491">
        <f t="shared" si="10"/>
        <v>188</v>
      </c>
      <c r="B190" s="127">
        <f t="shared" si="7"/>
        <v>0</v>
      </c>
      <c r="C190" s="606" t="str">
        <f>'dbc''s'!L50</f>
        <v>QBV042</v>
      </c>
      <c r="D190" s="607">
        <f>'dbc''s'!M50</f>
        <v>0</v>
      </c>
      <c r="E190" s="491" t="s">
        <v>1247</v>
      </c>
      <c r="G190" s="595">
        <f>ROUND(D190*voorblad!$R$39,0)</f>
        <v>0</v>
      </c>
      <c r="H190" s="608">
        <f>voorblad!$G$6</f>
        <v>0</v>
      </c>
    </row>
    <row r="191" spans="1:8" ht="12.75">
      <c r="A191" s="491">
        <f t="shared" si="10"/>
        <v>189</v>
      </c>
      <c r="B191" s="127">
        <f t="shared" si="7"/>
        <v>0</v>
      </c>
      <c r="C191" s="606" t="str">
        <f>'dbc''s'!L51</f>
        <v>QBV135</v>
      </c>
      <c r="D191" s="607">
        <f>'dbc''s'!M51</f>
        <v>0</v>
      </c>
      <c r="E191" s="491" t="s">
        <v>1247</v>
      </c>
      <c r="G191" s="595">
        <f>ROUND(D191*voorblad!$R$39,0)</f>
        <v>0</v>
      </c>
      <c r="H191" s="608">
        <f>voorblad!$G$6</f>
        <v>0</v>
      </c>
    </row>
    <row r="192" spans="1:8" ht="12.75">
      <c r="A192" s="491">
        <f t="shared" si="10"/>
        <v>190</v>
      </c>
      <c r="B192" s="127">
        <f t="shared" si="7"/>
        <v>0</v>
      </c>
      <c r="C192" s="606" t="str">
        <f>'dbc''s'!L52</f>
        <v>QBV136</v>
      </c>
      <c r="D192" s="607">
        <f>'dbc''s'!M52</f>
        <v>0</v>
      </c>
      <c r="E192" s="491" t="s">
        <v>1247</v>
      </c>
      <c r="G192" s="595">
        <f>ROUND(D192*voorblad!$R$39,0)</f>
        <v>0</v>
      </c>
      <c r="H192" s="608">
        <f>voorblad!$G$6</f>
        <v>0</v>
      </c>
    </row>
    <row r="193" spans="1:8" ht="12.75">
      <c r="A193" s="491">
        <f t="shared" si="10"/>
        <v>191</v>
      </c>
      <c r="B193" s="127">
        <f t="shared" si="7"/>
        <v>0</v>
      </c>
      <c r="C193" s="606" t="str">
        <f>'dbc''s'!L53</f>
        <v>QBV044</v>
      </c>
      <c r="D193" s="607">
        <f>'dbc''s'!M53</f>
        <v>0</v>
      </c>
      <c r="E193" s="491" t="s">
        <v>1247</v>
      </c>
      <c r="G193" s="595">
        <f>ROUND(D193*voorblad!$R$39,0)</f>
        <v>0</v>
      </c>
      <c r="H193" s="608">
        <f>voorblad!$G$6</f>
        <v>0</v>
      </c>
    </row>
    <row r="194" spans="1:8" ht="12.75">
      <c r="A194" s="491">
        <f t="shared" si="10"/>
        <v>192</v>
      </c>
      <c r="B194" s="127">
        <f t="shared" si="7"/>
        <v>0</v>
      </c>
      <c r="C194" s="606" t="str">
        <f>'dbc''s'!L54</f>
        <v>QBV045</v>
      </c>
      <c r="D194" s="607">
        <f>'dbc''s'!M54</f>
        <v>0</v>
      </c>
      <c r="E194" s="491" t="s">
        <v>1247</v>
      </c>
      <c r="G194" s="595">
        <f>ROUND(D194*voorblad!$R$39,0)</f>
        <v>0</v>
      </c>
      <c r="H194" s="608">
        <f>voorblad!$G$6</f>
        <v>0</v>
      </c>
    </row>
    <row r="195" spans="1:8" ht="12.75">
      <c r="A195" s="491">
        <f t="shared" si="10"/>
        <v>193</v>
      </c>
      <c r="B195" s="127">
        <f t="shared" si="7"/>
        <v>0</v>
      </c>
      <c r="C195" s="606" t="str">
        <f>'dbc''s'!L55</f>
        <v>QBV046</v>
      </c>
      <c r="D195" s="607">
        <f>'dbc''s'!M55</f>
        <v>0</v>
      </c>
      <c r="E195" s="491" t="s">
        <v>1247</v>
      </c>
      <c r="G195" s="595">
        <f>ROUND(D195*voorblad!$R$39,0)</f>
        <v>0</v>
      </c>
      <c r="H195" s="608">
        <f>voorblad!$G$6</f>
        <v>0</v>
      </c>
    </row>
    <row r="196" spans="1:8" ht="12.75">
      <c r="A196" s="491">
        <f t="shared" si="10"/>
        <v>194</v>
      </c>
      <c r="B196" s="127">
        <f t="shared" si="7"/>
        <v>0</v>
      </c>
      <c r="C196" s="606" t="str">
        <f>'dbc''s'!L56</f>
        <v>QBV047</v>
      </c>
      <c r="D196" s="607">
        <f>'dbc''s'!M56</f>
        <v>0</v>
      </c>
      <c r="E196" s="491" t="s">
        <v>1247</v>
      </c>
      <c r="G196" s="595">
        <f>ROUND(D196*voorblad!$R$39,0)</f>
        <v>0</v>
      </c>
      <c r="H196" s="608">
        <f>voorblad!$G$6</f>
        <v>0</v>
      </c>
    </row>
    <row r="197" spans="1:8" ht="12.75">
      <c r="A197" s="491">
        <f t="shared" si="10"/>
        <v>195</v>
      </c>
      <c r="B197" s="127">
        <f t="shared" si="7"/>
        <v>0</v>
      </c>
      <c r="C197" s="606" t="str">
        <f>'dbc''s'!L57</f>
        <v>QBV048</v>
      </c>
      <c r="D197" s="607">
        <f>'dbc''s'!M57</f>
        <v>0</v>
      </c>
      <c r="E197" s="491" t="s">
        <v>1247</v>
      </c>
      <c r="G197" s="595">
        <f>ROUND(D197*voorblad!$R$39,0)</f>
        <v>0</v>
      </c>
      <c r="H197" s="608">
        <f>voorblad!$G$6</f>
        <v>0</v>
      </c>
    </row>
    <row r="198" spans="1:8" ht="12.75">
      <c r="A198" s="491">
        <f t="shared" si="10"/>
        <v>196</v>
      </c>
      <c r="B198" s="127">
        <f t="shared" si="7"/>
        <v>0</v>
      </c>
      <c r="C198" s="606" t="str">
        <f>'dbc''s'!L58</f>
        <v>QBV049</v>
      </c>
      <c r="D198" s="607">
        <f>'dbc''s'!M58</f>
        <v>0</v>
      </c>
      <c r="E198" s="491" t="s">
        <v>1247</v>
      </c>
      <c r="G198" s="595">
        <f>ROUND(D198*voorblad!$R$39,0)</f>
        <v>0</v>
      </c>
      <c r="H198" s="608">
        <f>voorblad!$G$6</f>
        <v>0</v>
      </c>
    </row>
    <row r="199" spans="1:8" ht="12.75">
      <c r="A199" s="491">
        <f t="shared" si="10"/>
        <v>197</v>
      </c>
      <c r="B199" s="127">
        <f t="shared" si="7"/>
        <v>0</v>
      </c>
      <c r="C199" s="606" t="str">
        <f>'dbc''s'!L59</f>
        <v>QBV137</v>
      </c>
      <c r="D199" s="607">
        <f>'dbc''s'!M59</f>
        <v>0</v>
      </c>
      <c r="E199" s="491" t="s">
        <v>1247</v>
      </c>
      <c r="G199" s="595">
        <f>ROUND(D199*voorblad!$R$39,0)</f>
        <v>0</v>
      </c>
      <c r="H199" s="608">
        <f>voorblad!$G$6</f>
        <v>0</v>
      </c>
    </row>
    <row r="200" spans="1:8" ht="12.75">
      <c r="A200" s="491">
        <f t="shared" si="10"/>
        <v>198</v>
      </c>
      <c r="B200" s="127">
        <f t="shared" si="7"/>
        <v>0</v>
      </c>
      <c r="C200" s="606" t="str">
        <f>'dbc''s'!L60</f>
        <v>QBV138</v>
      </c>
      <c r="D200" s="607">
        <f>'dbc''s'!M60</f>
        <v>0</v>
      </c>
      <c r="E200" s="491" t="s">
        <v>1247</v>
      </c>
      <c r="G200" s="595">
        <f>ROUND(D200*voorblad!$R$39,0)</f>
        <v>0</v>
      </c>
      <c r="H200" s="608">
        <f>voorblad!$G$6</f>
        <v>0</v>
      </c>
    </row>
    <row r="201" spans="1:8" ht="12.75">
      <c r="A201" s="491">
        <f t="shared" si="10"/>
        <v>199</v>
      </c>
      <c r="B201" s="127">
        <f t="shared" si="7"/>
        <v>0</v>
      </c>
      <c r="C201" s="606" t="str">
        <f>'dbc''s'!L61</f>
        <v>QBV051</v>
      </c>
      <c r="D201" s="607">
        <f>'dbc''s'!M61</f>
        <v>0</v>
      </c>
      <c r="E201" s="491" t="s">
        <v>1247</v>
      </c>
      <c r="G201" s="595">
        <f>ROUND(D201*voorblad!$R$39,0)</f>
        <v>0</v>
      </c>
      <c r="H201" s="608">
        <f>voorblad!$G$6</f>
        <v>0</v>
      </c>
    </row>
    <row r="202" spans="1:8" ht="12.75">
      <c r="A202" s="491">
        <f t="shared" si="10"/>
        <v>200</v>
      </c>
      <c r="B202" s="127">
        <f t="shared" si="7"/>
        <v>0</v>
      </c>
      <c r="C202" s="606" t="str">
        <f>'dbc''s'!L62</f>
        <v>QBV052</v>
      </c>
      <c r="D202" s="607">
        <f>'dbc''s'!M62</f>
        <v>0</v>
      </c>
      <c r="E202" s="491" t="s">
        <v>1247</v>
      </c>
      <c r="G202" s="595">
        <f>ROUND(D202*voorblad!$R$39,0)</f>
        <v>0</v>
      </c>
      <c r="H202" s="608">
        <f>voorblad!$G$6</f>
        <v>0</v>
      </c>
    </row>
    <row r="203" spans="1:8" ht="12.75">
      <c r="A203" s="491">
        <f t="shared" si="10"/>
        <v>201</v>
      </c>
      <c r="B203" s="127">
        <f t="shared" si="7"/>
        <v>0</v>
      </c>
      <c r="C203" s="606" t="str">
        <f>'dbc''s'!L63</f>
        <v>QBV053</v>
      </c>
      <c r="D203" s="607">
        <f>'dbc''s'!M63</f>
        <v>0</v>
      </c>
      <c r="E203" s="491" t="s">
        <v>1247</v>
      </c>
      <c r="G203" s="595">
        <f>ROUND(D203*voorblad!$R$39,0)</f>
        <v>0</v>
      </c>
      <c r="H203" s="608">
        <f>voorblad!$G$6</f>
        <v>0</v>
      </c>
    </row>
    <row r="204" spans="1:8" ht="12.75">
      <c r="A204" s="491">
        <f t="shared" si="10"/>
        <v>202</v>
      </c>
      <c r="B204" s="127">
        <f t="shared" si="7"/>
        <v>0</v>
      </c>
      <c r="C204" s="606" t="str">
        <f>'dbc''s'!L64</f>
        <v>QBV054</v>
      </c>
      <c r="D204" s="607">
        <f>'dbc''s'!M64</f>
        <v>0</v>
      </c>
      <c r="E204" s="491" t="s">
        <v>1247</v>
      </c>
      <c r="G204" s="595">
        <f>ROUND(D204*voorblad!$R$39,0)</f>
        <v>0</v>
      </c>
      <c r="H204" s="608">
        <f>voorblad!$G$6</f>
        <v>0</v>
      </c>
    </row>
    <row r="205" spans="1:8" ht="12.75">
      <c r="A205" s="491">
        <f t="shared" si="10"/>
        <v>203</v>
      </c>
      <c r="B205" s="127">
        <f t="shared" si="7"/>
        <v>0</v>
      </c>
      <c r="C205" s="606" t="str">
        <f>'dbc''s'!L65</f>
        <v>QBV139</v>
      </c>
      <c r="D205" s="607">
        <f>'dbc''s'!M65</f>
        <v>0</v>
      </c>
      <c r="E205" s="491" t="s">
        <v>1247</v>
      </c>
      <c r="G205" s="595">
        <f>ROUND(D205*voorblad!$R$39,0)</f>
        <v>0</v>
      </c>
      <c r="H205" s="608">
        <f>voorblad!$G$6</f>
        <v>0</v>
      </c>
    </row>
    <row r="206" spans="1:8" ht="12.75">
      <c r="A206" s="491">
        <f t="shared" si="10"/>
        <v>204</v>
      </c>
      <c r="B206" s="127">
        <f t="shared" si="7"/>
        <v>0</v>
      </c>
      <c r="C206" s="606" t="str">
        <f>'dbc''s'!L66</f>
        <v>QBV140</v>
      </c>
      <c r="D206" s="607">
        <f>'dbc''s'!M66</f>
        <v>0</v>
      </c>
      <c r="E206" s="491" t="s">
        <v>1247</v>
      </c>
      <c r="G206" s="595">
        <f>ROUND(D206*voorblad!$R$39,0)</f>
        <v>0</v>
      </c>
      <c r="H206" s="608">
        <f>voorblad!$G$6</f>
        <v>0</v>
      </c>
    </row>
    <row r="207" spans="1:8" ht="12.75">
      <c r="A207" s="491">
        <f t="shared" si="10"/>
        <v>205</v>
      </c>
      <c r="B207" s="127">
        <f t="shared" si="7"/>
        <v>0</v>
      </c>
      <c r="C207" s="606" t="str">
        <f>'dbc''s'!L68</f>
        <v>QBV056</v>
      </c>
      <c r="D207" s="607">
        <f>'dbc''s'!M68</f>
        <v>0</v>
      </c>
      <c r="E207" s="491" t="s">
        <v>1247</v>
      </c>
      <c r="G207" s="595">
        <f>ROUND(D207*voorblad!$R$39,0)</f>
        <v>0</v>
      </c>
      <c r="H207" s="608">
        <f>voorblad!$G$6</f>
        <v>0</v>
      </c>
    </row>
    <row r="208" spans="1:8" ht="12.75">
      <c r="A208" s="491">
        <f t="shared" si="10"/>
        <v>206</v>
      </c>
      <c r="B208" s="127">
        <f t="shared" si="7"/>
        <v>0</v>
      </c>
      <c r="C208" s="606" t="str">
        <f>'dbc''s'!L69</f>
        <v>QBV057</v>
      </c>
      <c r="D208" s="607">
        <f>'dbc''s'!M69</f>
        <v>0</v>
      </c>
      <c r="E208" s="491" t="s">
        <v>1247</v>
      </c>
      <c r="G208" s="595">
        <f>ROUND(D208*voorblad!$R$39,0)</f>
        <v>0</v>
      </c>
      <c r="H208" s="608">
        <f>voorblad!$G$6</f>
        <v>0</v>
      </c>
    </row>
    <row r="209" spans="1:8" ht="12.75">
      <c r="A209" s="491">
        <f t="shared" si="10"/>
        <v>207</v>
      </c>
      <c r="B209" s="127">
        <f aca="true" t="shared" si="11" ref="B209:B271">B208</f>
        <v>0</v>
      </c>
      <c r="C209" s="606" t="str">
        <f>'dbc''s'!L70</f>
        <v>QBV058</v>
      </c>
      <c r="D209" s="607">
        <f>'dbc''s'!M70</f>
        <v>0</v>
      </c>
      <c r="E209" s="491" t="s">
        <v>1247</v>
      </c>
      <c r="G209" s="595">
        <f>ROUND(D209*voorblad!$R$39,0)</f>
        <v>0</v>
      </c>
      <c r="H209" s="608">
        <f>voorblad!$G$6</f>
        <v>0</v>
      </c>
    </row>
    <row r="210" spans="1:8" ht="12.75">
      <c r="A210" s="491">
        <f aca="true" t="shared" si="12" ref="A210:A272">A209+1</f>
        <v>208</v>
      </c>
      <c r="B210" s="127">
        <f t="shared" si="11"/>
        <v>0</v>
      </c>
      <c r="C210" s="606" t="str">
        <f>'dbc''s'!L71</f>
        <v>QBV059</v>
      </c>
      <c r="D210" s="607">
        <f>'dbc''s'!M71</f>
        <v>0</v>
      </c>
      <c r="E210" s="491" t="s">
        <v>1247</v>
      </c>
      <c r="G210" s="595">
        <f>ROUND(D210*voorblad!$R$39,0)</f>
        <v>0</v>
      </c>
      <c r="H210" s="608">
        <f>voorblad!$G$6</f>
        <v>0</v>
      </c>
    </row>
    <row r="211" spans="1:8" ht="12.75">
      <c r="A211" s="491">
        <f t="shared" si="12"/>
        <v>209</v>
      </c>
      <c r="B211" s="127">
        <f t="shared" si="11"/>
        <v>0</v>
      </c>
      <c r="C211" s="606" t="str">
        <f>'dbc''s'!L72</f>
        <v>QBV060</v>
      </c>
      <c r="D211" s="607">
        <f>'dbc''s'!M72</f>
        <v>0</v>
      </c>
      <c r="E211" s="491" t="s">
        <v>1247</v>
      </c>
      <c r="G211" s="595">
        <f>ROUND(D211*voorblad!$R$39,0)</f>
        <v>0</v>
      </c>
      <c r="H211" s="608">
        <f>voorblad!$G$6</f>
        <v>0</v>
      </c>
    </row>
    <row r="212" spans="1:8" ht="12.75">
      <c r="A212" s="491">
        <f t="shared" si="12"/>
        <v>210</v>
      </c>
      <c r="B212" s="127">
        <f t="shared" si="11"/>
        <v>0</v>
      </c>
      <c r="C212" s="606" t="str">
        <f>'dbc''s'!L73</f>
        <v>QBV141</v>
      </c>
      <c r="D212" s="607">
        <f>'dbc''s'!M73</f>
        <v>0</v>
      </c>
      <c r="E212" s="491" t="s">
        <v>1247</v>
      </c>
      <c r="G212" s="595">
        <f>ROUND(D212*voorblad!$R$39,0)</f>
        <v>0</v>
      </c>
      <c r="H212" s="608">
        <f>voorblad!$G$6</f>
        <v>0</v>
      </c>
    </row>
    <row r="213" spans="1:8" ht="12.75">
      <c r="A213" s="491">
        <f t="shared" si="12"/>
        <v>211</v>
      </c>
      <c r="B213" s="127">
        <f t="shared" si="11"/>
        <v>0</v>
      </c>
      <c r="C213" s="606" t="str">
        <f>'dbc''s'!L74</f>
        <v>QBV142</v>
      </c>
      <c r="D213" s="607">
        <f>'dbc''s'!M74</f>
        <v>0</v>
      </c>
      <c r="E213" s="491" t="s">
        <v>1247</v>
      </c>
      <c r="G213" s="595">
        <f>ROUND(D213*voorblad!$R$39,0)</f>
        <v>0</v>
      </c>
      <c r="H213" s="608">
        <f>voorblad!$G$6</f>
        <v>0</v>
      </c>
    </row>
    <row r="214" spans="1:8" ht="12.75">
      <c r="A214" s="491">
        <f t="shared" si="12"/>
        <v>212</v>
      </c>
      <c r="B214" s="127">
        <f t="shared" si="11"/>
        <v>0</v>
      </c>
      <c r="C214" s="606" t="str">
        <f>'dbc''s'!L75</f>
        <v>QBV062</v>
      </c>
      <c r="D214" s="607">
        <f>'dbc''s'!M75</f>
        <v>0</v>
      </c>
      <c r="E214" s="491" t="s">
        <v>1247</v>
      </c>
      <c r="G214" s="595">
        <f>ROUND(D214*voorblad!$R$39,0)</f>
        <v>0</v>
      </c>
      <c r="H214" s="608">
        <f>voorblad!$G$6</f>
        <v>0</v>
      </c>
    </row>
    <row r="215" spans="1:8" ht="12.75">
      <c r="A215" s="491">
        <f t="shared" si="12"/>
        <v>213</v>
      </c>
      <c r="B215" s="127">
        <f t="shared" si="11"/>
        <v>0</v>
      </c>
      <c r="C215" s="606" t="str">
        <f>'dbc''s'!L76</f>
        <v>QBV063</v>
      </c>
      <c r="D215" s="607">
        <f>'dbc''s'!M76</f>
        <v>0</v>
      </c>
      <c r="E215" s="491" t="s">
        <v>1247</v>
      </c>
      <c r="G215" s="595">
        <f>ROUND(D215*voorblad!$R$39,0)</f>
        <v>0</v>
      </c>
      <c r="H215" s="608">
        <f>voorblad!$G$6</f>
        <v>0</v>
      </c>
    </row>
    <row r="216" spans="1:8" ht="12.75">
      <c r="A216" s="491">
        <f t="shared" si="12"/>
        <v>214</v>
      </c>
      <c r="B216" s="127">
        <f t="shared" si="11"/>
        <v>0</v>
      </c>
      <c r="C216" s="606" t="str">
        <f>'dbc''s'!L77</f>
        <v>QBV064</v>
      </c>
      <c r="D216" s="607">
        <f>'dbc''s'!M77</f>
        <v>0</v>
      </c>
      <c r="E216" s="491" t="s">
        <v>1247</v>
      </c>
      <c r="G216" s="595">
        <f>ROUND(D216*voorblad!$R$39,0)</f>
        <v>0</v>
      </c>
      <c r="H216" s="608">
        <f>voorblad!$G$6</f>
        <v>0</v>
      </c>
    </row>
    <row r="217" spans="1:8" ht="12.75">
      <c r="A217" s="491">
        <f t="shared" si="12"/>
        <v>215</v>
      </c>
      <c r="B217" s="127">
        <f t="shared" si="11"/>
        <v>0</v>
      </c>
      <c r="C217" s="606" t="str">
        <f>'dbc''s'!L78</f>
        <v>QBV065</v>
      </c>
      <c r="D217" s="607">
        <f>'dbc''s'!M78</f>
        <v>0</v>
      </c>
      <c r="E217" s="491" t="s">
        <v>1247</v>
      </c>
      <c r="G217" s="595">
        <f>ROUND(D217*voorblad!$R$39,0)</f>
        <v>0</v>
      </c>
      <c r="H217" s="608">
        <f>voorblad!$G$6</f>
        <v>0</v>
      </c>
    </row>
    <row r="218" spans="1:8" ht="12.75">
      <c r="A218" s="491">
        <f t="shared" si="12"/>
        <v>216</v>
      </c>
      <c r="B218" s="127">
        <f t="shared" si="11"/>
        <v>0</v>
      </c>
      <c r="C218" s="606" t="str">
        <f>'dbc''s'!L79</f>
        <v>QBV066</v>
      </c>
      <c r="D218" s="607">
        <f>'dbc''s'!M79</f>
        <v>0</v>
      </c>
      <c r="E218" s="491" t="s">
        <v>1247</v>
      </c>
      <c r="G218" s="595">
        <f>ROUND(D218*voorblad!$R$39,0)</f>
        <v>0</v>
      </c>
      <c r="H218" s="608">
        <f>voorblad!$G$6</f>
        <v>0</v>
      </c>
    </row>
    <row r="219" spans="1:8" ht="12.75">
      <c r="A219" s="491">
        <f t="shared" si="12"/>
        <v>217</v>
      </c>
      <c r="B219" s="127">
        <f t="shared" si="11"/>
        <v>0</v>
      </c>
      <c r="C219" s="606" t="str">
        <f>'dbc''s'!L80</f>
        <v>QBV067</v>
      </c>
      <c r="D219" s="607">
        <f>'dbc''s'!M80</f>
        <v>0</v>
      </c>
      <c r="E219" s="491" t="s">
        <v>1247</v>
      </c>
      <c r="G219" s="595">
        <f>ROUND(D219*voorblad!$R$39,0)</f>
        <v>0</v>
      </c>
      <c r="H219" s="608">
        <f>voorblad!$G$6</f>
        <v>0</v>
      </c>
    </row>
    <row r="220" spans="1:8" ht="12.75">
      <c r="A220" s="491">
        <f t="shared" si="12"/>
        <v>218</v>
      </c>
      <c r="B220" s="127">
        <f t="shared" si="11"/>
        <v>0</v>
      </c>
      <c r="C220" s="606" t="str">
        <f>'dbc''s'!L81</f>
        <v>QBV068</v>
      </c>
      <c r="D220" s="607">
        <f>'dbc''s'!M81</f>
        <v>0</v>
      </c>
      <c r="E220" s="491" t="s">
        <v>1247</v>
      </c>
      <c r="G220" s="595">
        <f>ROUND(D220*voorblad!$R$39,0)</f>
        <v>0</v>
      </c>
      <c r="H220" s="608">
        <f>voorblad!$G$6</f>
        <v>0</v>
      </c>
    </row>
    <row r="221" spans="1:8" ht="12.75">
      <c r="A221" s="491">
        <f t="shared" si="12"/>
        <v>219</v>
      </c>
      <c r="B221" s="127">
        <f t="shared" si="11"/>
        <v>0</v>
      </c>
      <c r="C221" s="606" t="str">
        <f>'dbc''s'!L82</f>
        <v>QBV143</v>
      </c>
      <c r="D221" s="607">
        <f>'dbc''s'!M82</f>
        <v>0</v>
      </c>
      <c r="E221" s="491" t="s">
        <v>1247</v>
      </c>
      <c r="G221" s="595">
        <f>ROUND(D221*voorblad!$R$39,0)</f>
        <v>0</v>
      </c>
      <c r="H221" s="608">
        <f>voorblad!$G$6</f>
        <v>0</v>
      </c>
    </row>
    <row r="222" spans="1:8" ht="12.75">
      <c r="A222" s="491">
        <f t="shared" si="12"/>
        <v>220</v>
      </c>
      <c r="B222" s="127">
        <f t="shared" si="11"/>
        <v>0</v>
      </c>
      <c r="C222" s="606" t="str">
        <f>'dbc''s'!L83</f>
        <v>QBV144</v>
      </c>
      <c r="D222" s="607">
        <f>'dbc''s'!M83</f>
        <v>0</v>
      </c>
      <c r="E222" s="491" t="s">
        <v>1247</v>
      </c>
      <c r="G222" s="595">
        <f>ROUND(D222*voorblad!$R$39,0)</f>
        <v>0</v>
      </c>
      <c r="H222" s="608">
        <f>voorblad!$G$6</f>
        <v>0</v>
      </c>
    </row>
    <row r="223" spans="1:8" ht="12.75">
      <c r="A223" s="491">
        <f t="shared" si="12"/>
        <v>221</v>
      </c>
      <c r="B223" s="127">
        <f t="shared" si="11"/>
        <v>0</v>
      </c>
      <c r="C223" s="606" t="str">
        <f>'dbc''s'!L84</f>
        <v>QBV145</v>
      </c>
      <c r="D223" s="607">
        <f>'dbc''s'!M84</f>
        <v>0</v>
      </c>
      <c r="E223" s="491" t="s">
        <v>1247</v>
      </c>
      <c r="G223" s="595">
        <f>ROUND(D223*voorblad!$R$39,0)</f>
        <v>0</v>
      </c>
      <c r="H223" s="608">
        <f>voorblad!$G$6</f>
        <v>0</v>
      </c>
    </row>
    <row r="224" spans="1:8" ht="12.75">
      <c r="A224" s="491">
        <f t="shared" si="12"/>
        <v>222</v>
      </c>
      <c r="B224" s="127">
        <f t="shared" si="11"/>
        <v>0</v>
      </c>
      <c r="C224" s="606" t="str">
        <f>'dbc''s'!L85</f>
        <v>QBV070</v>
      </c>
      <c r="D224" s="607">
        <f>'dbc''s'!M85</f>
        <v>0</v>
      </c>
      <c r="E224" s="491" t="s">
        <v>1247</v>
      </c>
      <c r="G224" s="595">
        <f>ROUND(D224*voorblad!$R$39,0)</f>
        <v>0</v>
      </c>
      <c r="H224" s="608">
        <f>voorblad!$G$6</f>
        <v>0</v>
      </c>
    </row>
    <row r="225" spans="1:8" ht="12.75">
      <c r="A225" s="491">
        <f t="shared" si="12"/>
        <v>223</v>
      </c>
      <c r="B225" s="127">
        <f t="shared" si="11"/>
        <v>0</v>
      </c>
      <c r="C225" s="606" t="str">
        <f>'dbc''s'!L86</f>
        <v>QBV071</v>
      </c>
      <c r="D225" s="607">
        <f>'dbc''s'!M86</f>
        <v>0</v>
      </c>
      <c r="E225" s="491" t="s">
        <v>1247</v>
      </c>
      <c r="G225" s="595">
        <f>ROUND(D225*voorblad!$R$39,0)</f>
        <v>0</v>
      </c>
      <c r="H225" s="608">
        <f>voorblad!$G$6</f>
        <v>0</v>
      </c>
    </row>
    <row r="226" spans="1:8" ht="12.75">
      <c r="A226" s="491">
        <f t="shared" si="12"/>
        <v>224</v>
      </c>
      <c r="B226" s="127">
        <f t="shared" si="11"/>
        <v>0</v>
      </c>
      <c r="C226" s="606" t="str">
        <f>'dbc''s'!L87</f>
        <v>QBV072</v>
      </c>
      <c r="D226" s="607">
        <f>'dbc''s'!M87</f>
        <v>0</v>
      </c>
      <c r="E226" s="491" t="s">
        <v>1247</v>
      </c>
      <c r="G226" s="595">
        <f>ROUND(D226*voorblad!$R$39,0)</f>
        <v>0</v>
      </c>
      <c r="H226" s="608">
        <f>voorblad!$G$6</f>
        <v>0</v>
      </c>
    </row>
    <row r="227" spans="1:8" ht="12.75">
      <c r="A227" s="491">
        <f t="shared" si="12"/>
        <v>225</v>
      </c>
      <c r="B227" s="127">
        <f t="shared" si="11"/>
        <v>0</v>
      </c>
      <c r="C227" s="606" t="str">
        <f>'dbc''s'!L88</f>
        <v>QBV073</v>
      </c>
      <c r="D227" s="607">
        <f>'dbc''s'!M88</f>
        <v>0</v>
      </c>
      <c r="E227" s="491" t="s">
        <v>1247</v>
      </c>
      <c r="G227" s="595">
        <f>ROUND(D227*voorblad!$R$39,0)</f>
        <v>0</v>
      </c>
      <c r="H227" s="608">
        <f>voorblad!$G$6</f>
        <v>0</v>
      </c>
    </row>
    <row r="228" spans="1:8" ht="12.75">
      <c r="A228" s="491">
        <f t="shared" si="12"/>
        <v>226</v>
      </c>
      <c r="B228" s="127">
        <f t="shared" si="11"/>
        <v>0</v>
      </c>
      <c r="C228" s="606" t="str">
        <f>'dbc''s'!L89</f>
        <v>QBV074</v>
      </c>
      <c r="D228" s="607">
        <f>'dbc''s'!M89</f>
        <v>0</v>
      </c>
      <c r="E228" s="491" t="s">
        <v>1247</v>
      </c>
      <c r="G228" s="595">
        <f>ROUND(D228*voorblad!$R$39,0)</f>
        <v>0</v>
      </c>
      <c r="H228" s="608">
        <f>voorblad!$G$6</f>
        <v>0</v>
      </c>
    </row>
    <row r="229" spans="1:8" ht="12.75">
      <c r="A229" s="491">
        <f t="shared" si="12"/>
        <v>227</v>
      </c>
      <c r="B229" s="127">
        <f t="shared" si="11"/>
        <v>0</v>
      </c>
      <c r="C229" s="606" t="str">
        <f>'dbc''s'!L90</f>
        <v>QBV075</v>
      </c>
      <c r="D229" s="607">
        <f>'dbc''s'!M90</f>
        <v>0</v>
      </c>
      <c r="E229" s="491" t="s">
        <v>1247</v>
      </c>
      <c r="G229" s="595">
        <f>ROUND(D229*voorblad!$R$39,0)</f>
        <v>0</v>
      </c>
      <c r="H229" s="608">
        <f>voorblad!$G$6</f>
        <v>0</v>
      </c>
    </row>
    <row r="230" spans="1:8" ht="12.75">
      <c r="A230" s="491">
        <f t="shared" si="12"/>
        <v>228</v>
      </c>
      <c r="B230" s="127">
        <f t="shared" si="11"/>
        <v>0</v>
      </c>
      <c r="C230" s="606" t="str">
        <f>'dbc''s'!L91</f>
        <v>QBV076</v>
      </c>
      <c r="D230" s="607">
        <f>'dbc''s'!M91</f>
        <v>0</v>
      </c>
      <c r="E230" s="491" t="s">
        <v>1247</v>
      </c>
      <c r="G230" s="595">
        <f>ROUND(D230*voorblad!$R$39,0)</f>
        <v>0</v>
      </c>
      <c r="H230" s="608">
        <f>voorblad!$G$6</f>
        <v>0</v>
      </c>
    </row>
    <row r="231" spans="1:8" ht="12.75">
      <c r="A231" s="491">
        <f t="shared" si="12"/>
        <v>229</v>
      </c>
      <c r="B231" s="127">
        <f t="shared" si="11"/>
        <v>0</v>
      </c>
      <c r="C231" s="606" t="str">
        <f>'dbc''s'!L92</f>
        <v>QBV077</v>
      </c>
      <c r="D231" s="607">
        <f>'dbc''s'!M92</f>
        <v>0</v>
      </c>
      <c r="E231" s="491" t="s">
        <v>1247</v>
      </c>
      <c r="G231" s="595">
        <f>ROUND(D231*voorblad!$R$39,0)</f>
        <v>0</v>
      </c>
      <c r="H231" s="608">
        <f>voorblad!$G$6</f>
        <v>0</v>
      </c>
    </row>
    <row r="232" spans="1:8" ht="12.75">
      <c r="A232" s="491">
        <f t="shared" si="12"/>
        <v>230</v>
      </c>
      <c r="B232" s="127">
        <f t="shared" si="11"/>
        <v>0</v>
      </c>
      <c r="C232" s="606" t="str">
        <f>'dbc''s'!L93</f>
        <v>QBV078</v>
      </c>
      <c r="D232" s="607">
        <f>'dbc''s'!M93</f>
        <v>0</v>
      </c>
      <c r="E232" s="491" t="s">
        <v>1247</v>
      </c>
      <c r="G232" s="595">
        <f>ROUND(D232*voorblad!$R$39,0)</f>
        <v>0</v>
      </c>
      <c r="H232" s="608">
        <f>voorblad!$G$6</f>
        <v>0</v>
      </c>
    </row>
    <row r="233" spans="1:8" ht="12.75">
      <c r="A233" s="491">
        <f t="shared" si="12"/>
        <v>231</v>
      </c>
      <c r="B233" s="127">
        <f t="shared" si="11"/>
        <v>0</v>
      </c>
      <c r="C233" s="606" t="str">
        <f>'dbc''s'!L94</f>
        <v>QBV079</v>
      </c>
      <c r="D233" s="607">
        <f>'dbc''s'!M94</f>
        <v>0</v>
      </c>
      <c r="E233" s="491" t="s">
        <v>1247</v>
      </c>
      <c r="G233" s="595">
        <f>ROUND(D233*voorblad!$R$39,0)</f>
        <v>0</v>
      </c>
      <c r="H233" s="608">
        <f>voorblad!$G$6</f>
        <v>0</v>
      </c>
    </row>
    <row r="234" spans="1:8" ht="12.75">
      <c r="A234" s="491">
        <f t="shared" si="12"/>
        <v>232</v>
      </c>
      <c r="B234" s="127">
        <f t="shared" si="11"/>
        <v>0</v>
      </c>
      <c r="C234" s="606" t="str">
        <f>'dbc''s'!L95</f>
        <v>QBV146</v>
      </c>
      <c r="D234" s="607">
        <f>'dbc''s'!M95</f>
        <v>0</v>
      </c>
      <c r="E234" s="491" t="s">
        <v>1247</v>
      </c>
      <c r="G234" s="595">
        <f>ROUND(D234*voorblad!$R$39,0)</f>
        <v>0</v>
      </c>
      <c r="H234" s="608">
        <f>voorblad!$G$6</f>
        <v>0</v>
      </c>
    </row>
    <row r="235" spans="1:8" ht="12.75">
      <c r="A235" s="491">
        <f t="shared" si="12"/>
        <v>233</v>
      </c>
      <c r="B235" s="127">
        <f t="shared" si="11"/>
        <v>0</v>
      </c>
      <c r="C235" s="606" t="str">
        <f>'dbc''s'!L96</f>
        <v>QBV147</v>
      </c>
      <c r="D235" s="607">
        <f>'dbc''s'!M96</f>
        <v>0</v>
      </c>
      <c r="E235" s="491" t="s">
        <v>1247</v>
      </c>
      <c r="G235" s="595">
        <f>ROUND(D235*voorblad!$R$39,0)</f>
        <v>0</v>
      </c>
      <c r="H235" s="608">
        <f>voorblad!$G$6</f>
        <v>0</v>
      </c>
    </row>
    <row r="236" spans="1:8" ht="12.75">
      <c r="A236" s="491">
        <f t="shared" si="12"/>
        <v>234</v>
      </c>
      <c r="B236" s="127">
        <f t="shared" si="11"/>
        <v>0</v>
      </c>
      <c r="C236" s="606" t="str">
        <f>'dbc''s'!L97</f>
        <v>QBV081</v>
      </c>
      <c r="D236" s="607">
        <f>'dbc''s'!M97</f>
        <v>0</v>
      </c>
      <c r="E236" s="491" t="s">
        <v>1247</v>
      </c>
      <c r="G236" s="595">
        <f>ROUND(D236*voorblad!$R$39,0)</f>
        <v>0</v>
      </c>
      <c r="H236" s="608">
        <f>voorblad!$G$6</f>
        <v>0</v>
      </c>
    </row>
    <row r="237" spans="1:8" ht="12.75">
      <c r="A237" s="491">
        <f t="shared" si="12"/>
        <v>235</v>
      </c>
      <c r="B237" s="127">
        <f t="shared" si="11"/>
        <v>0</v>
      </c>
      <c r="C237" s="606" t="str">
        <f>'dbc''s'!L98</f>
        <v>QBV082</v>
      </c>
      <c r="D237" s="607">
        <f>'dbc''s'!M98</f>
        <v>0</v>
      </c>
      <c r="E237" s="491" t="s">
        <v>1247</v>
      </c>
      <c r="G237" s="595">
        <f>ROUND(D237*voorblad!$R$39,0)</f>
        <v>0</v>
      </c>
      <c r="H237" s="608">
        <f>voorblad!$G$6</f>
        <v>0</v>
      </c>
    </row>
    <row r="238" spans="1:8" ht="12.75">
      <c r="A238" s="491">
        <f t="shared" si="12"/>
        <v>236</v>
      </c>
      <c r="B238" s="127">
        <f t="shared" si="11"/>
        <v>0</v>
      </c>
      <c r="C238" s="606" t="str">
        <f>'dbc''s'!L99</f>
        <v>QBV083</v>
      </c>
      <c r="D238" s="607">
        <f>'dbc''s'!M99</f>
        <v>0</v>
      </c>
      <c r="E238" s="491" t="s">
        <v>1247</v>
      </c>
      <c r="G238" s="595">
        <f>ROUND(D238*voorblad!$R$39,0)</f>
        <v>0</v>
      </c>
      <c r="H238" s="608">
        <f>voorblad!$G$6</f>
        <v>0</v>
      </c>
    </row>
    <row r="239" spans="1:8" ht="12.75">
      <c r="A239" s="491">
        <f t="shared" si="12"/>
        <v>237</v>
      </c>
      <c r="B239" s="127">
        <f t="shared" si="11"/>
        <v>0</v>
      </c>
      <c r="C239" s="606" t="str">
        <f>'dbc''s'!L100</f>
        <v>QBV084</v>
      </c>
      <c r="D239" s="607">
        <f>'dbc''s'!M100</f>
        <v>0</v>
      </c>
      <c r="E239" s="491" t="s">
        <v>1247</v>
      </c>
      <c r="G239" s="595">
        <f>ROUND(D239*voorblad!$R$39,0)</f>
        <v>0</v>
      </c>
      <c r="H239" s="608">
        <f>voorblad!$G$6</f>
        <v>0</v>
      </c>
    </row>
    <row r="240" spans="1:8" ht="12.75">
      <c r="A240" s="491">
        <f t="shared" si="12"/>
        <v>238</v>
      </c>
      <c r="B240" s="127">
        <f t="shared" si="11"/>
        <v>0</v>
      </c>
      <c r="C240" s="606" t="str">
        <f>'dbc''s'!L101</f>
        <v>QBV085</v>
      </c>
      <c r="D240" s="607">
        <f>'dbc''s'!M101</f>
        <v>0</v>
      </c>
      <c r="E240" s="491" t="s">
        <v>1247</v>
      </c>
      <c r="G240" s="595">
        <f>ROUND(D240*voorblad!$R$39,0)</f>
        <v>0</v>
      </c>
      <c r="H240" s="608">
        <f>voorblad!$G$6</f>
        <v>0</v>
      </c>
    </row>
    <row r="241" spans="1:8" ht="12.75">
      <c r="A241" s="491">
        <f t="shared" si="12"/>
        <v>239</v>
      </c>
      <c r="B241" s="127">
        <f t="shared" si="11"/>
        <v>0</v>
      </c>
      <c r="C241" s="606" t="str">
        <f>'dbc''s'!L102</f>
        <v>QBV086</v>
      </c>
      <c r="D241" s="607">
        <f>'dbc''s'!M102</f>
        <v>0</v>
      </c>
      <c r="E241" s="491" t="s">
        <v>1247</v>
      </c>
      <c r="G241" s="595">
        <f>ROUND(D241*voorblad!$R$39,0)</f>
        <v>0</v>
      </c>
      <c r="H241" s="608">
        <f>voorblad!$G$6</f>
        <v>0</v>
      </c>
    </row>
    <row r="242" spans="1:8" ht="12.75">
      <c r="A242" s="491">
        <f t="shared" si="12"/>
        <v>240</v>
      </c>
      <c r="B242" s="127">
        <f t="shared" si="11"/>
        <v>0</v>
      </c>
      <c r="C242" s="606" t="str">
        <f>'dbc''s'!L103</f>
        <v>QBV087</v>
      </c>
      <c r="D242" s="607">
        <f>'dbc''s'!M103</f>
        <v>0</v>
      </c>
      <c r="E242" s="491" t="s">
        <v>1247</v>
      </c>
      <c r="G242" s="595">
        <f>ROUND(D242*voorblad!$R$39,0)</f>
        <v>0</v>
      </c>
      <c r="H242" s="608">
        <f>voorblad!$G$6</f>
        <v>0</v>
      </c>
    </row>
    <row r="243" spans="1:8" ht="12.75">
      <c r="A243" s="491">
        <f t="shared" si="12"/>
        <v>241</v>
      </c>
      <c r="B243" s="127">
        <f t="shared" si="11"/>
        <v>0</v>
      </c>
      <c r="C243" s="606" t="str">
        <f>'dbc''s'!L104</f>
        <v>QBV148</v>
      </c>
      <c r="D243" s="607">
        <f>'dbc''s'!M104</f>
        <v>0</v>
      </c>
      <c r="E243" s="491" t="s">
        <v>1247</v>
      </c>
      <c r="G243" s="595">
        <f>ROUND(D243*voorblad!$R$39,0)</f>
        <v>0</v>
      </c>
      <c r="H243" s="608">
        <f>voorblad!$G$6</f>
        <v>0</v>
      </c>
    </row>
    <row r="244" spans="1:8" ht="12.75">
      <c r="A244" s="491">
        <f t="shared" si="12"/>
        <v>242</v>
      </c>
      <c r="B244" s="127">
        <f t="shared" si="11"/>
        <v>0</v>
      </c>
      <c r="C244" s="606" t="str">
        <f>'dbc''s'!L105</f>
        <v>QBV149</v>
      </c>
      <c r="D244" s="607">
        <f>'dbc''s'!M105</f>
        <v>0</v>
      </c>
      <c r="E244" s="491" t="s">
        <v>1247</v>
      </c>
      <c r="G244" s="595">
        <f>ROUND(D244*voorblad!$R$39,0)</f>
        <v>0</v>
      </c>
      <c r="H244" s="608">
        <f>voorblad!$G$6</f>
        <v>0</v>
      </c>
    </row>
    <row r="245" spans="1:8" ht="12.75">
      <c r="A245" s="491">
        <f t="shared" si="12"/>
        <v>243</v>
      </c>
      <c r="B245" s="127">
        <f t="shared" si="11"/>
        <v>0</v>
      </c>
      <c r="C245" s="606" t="str">
        <f>'dbc''s'!L106</f>
        <v>QBV089</v>
      </c>
      <c r="D245" s="607">
        <f>'dbc''s'!M106</f>
        <v>0</v>
      </c>
      <c r="E245" s="491" t="s">
        <v>1247</v>
      </c>
      <c r="G245" s="595">
        <f>ROUND(D245*voorblad!$R$39,0)</f>
        <v>0</v>
      </c>
      <c r="H245" s="608">
        <f>voorblad!$G$6</f>
        <v>0</v>
      </c>
    </row>
    <row r="246" spans="1:8" ht="12.75">
      <c r="A246" s="491">
        <f t="shared" si="12"/>
        <v>244</v>
      </c>
      <c r="B246" s="127">
        <f t="shared" si="11"/>
        <v>0</v>
      </c>
      <c r="C246" s="606" t="str">
        <f>'dbc''s'!L107</f>
        <v>QBV090</v>
      </c>
      <c r="D246" s="607">
        <f>'dbc''s'!M107</f>
        <v>0</v>
      </c>
      <c r="E246" s="491" t="s">
        <v>1247</v>
      </c>
      <c r="G246" s="595">
        <f>ROUND(D246*voorblad!$R$39,0)</f>
        <v>0</v>
      </c>
      <c r="H246" s="608">
        <f>voorblad!$G$6</f>
        <v>0</v>
      </c>
    </row>
    <row r="247" spans="1:8" ht="12.75">
      <c r="A247" s="491">
        <f t="shared" si="12"/>
        <v>245</v>
      </c>
      <c r="B247" s="127">
        <f t="shared" si="11"/>
        <v>0</v>
      </c>
      <c r="C247" s="606" t="str">
        <f>'dbc''s'!L108</f>
        <v>QBV091</v>
      </c>
      <c r="D247" s="607">
        <f>'dbc''s'!M108</f>
        <v>0</v>
      </c>
      <c r="E247" s="491" t="s">
        <v>1247</v>
      </c>
      <c r="G247" s="595">
        <f>ROUND(D247*voorblad!$R$39,0)</f>
        <v>0</v>
      </c>
      <c r="H247" s="608">
        <f>voorblad!$G$6</f>
        <v>0</v>
      </c>
    </row>
    <row r="248" spans="1:8" ht="12.75">
      <c r="A248" s="491">
        <f t="shared" si="12"/>
        <v>246</v>
      </c>
      <c r="B248" s="127">
        <f t="shared" si="11"/>
        <v>0</v>
      </c>
      <c r="C248" s="606" t="str">
        <f>'dbc''s'!L109</f>
        <v>QBV092</v>
      </c>
      <c r="D248" s="607">
        <f>'dbc''s'!M109</f>
        <v>0</v>
      </c>
      <c r="E248" s="491" t="s">
        <v>1247</v>
      </c>
      <c r="G248" s="595">
        <f>ROUND(D248*voorblad!$R$39,0)</f>
        <v>0</v>
      </c>
      <c r="H248" s="608">
        <f>voorblad!$G$6</f>
        <v>0</v>
      </c>
    </row>
    <row r="249" spans="1:8" ht="12.75">
      <c r="A249" s="491">
        <f t="shared" si="12"/>
        <v>247</v>
      </c>
      <c r="B249" s="127">
        <f t="shared" si="11"/>
        <v>0</v>
      </c>
      <c r="C249" s="606" t="str">
        <f>'dbc''s'!L110</f>
        <v>QBV093</v>
      </c>
      <c r="D249" s="607">
        <f>'dbc''s'!M110</f>
        <v>0</v>
      </c>
      <c r="E249" s="491" t="s">
        <v>1247</v>
      </c>
      <c r="G249" s="595">
        <f>ROUND(D249*voorblad!$R$39,0)</f>
        <v>0</v>
      </c>
      <c r="H249" s="608">
        <f>voorblad!$G$6</f>
        <v>0</v>
      </c>
    </row>
    <row r="250" spans="1:8" ht="12.75">
      <c r="A250" s="491">
        <f t="shared" si="12"/>
        <v>248</v>
      </c>
      <c r="B250" s="127">
        <f t="shared" si="11"/>
        <v>0</v>
      </c>
      <c r="C250" s="606" t="str">
        <f>'dbc''s'!L111</f>
        <v>QBV094</v>
      </c>
      <c r="D250" s="607">
        <f>'dbc''s'!M111</f>
        <v>0</v>
      </c>
      <c r="E250" s="491" t="s">
        <v>1247</v>
      </c>
      <c r="G250" s="595">
        <f>ROUND(D250*voorblad!$R$39,0)</f>
        <v>0</v>
      </c>
      <c r="H250" s="608">
        <f>voorblad!$G$6</f>
        <v>0</v>
      </c>
    </row>
    <row r="251" spans="1:8" ht="12.75">
      <c r="A251" s="491">
        <f t="shared" si="12"/>
        <v>249</v>
      </c>
      <c r="B251" s="127">
        <f t="shared" si="11"/>
        <v>0</v>
      </c>
      <c r="C251" s="606" t="str">
        <f>'dbc''s'!L112</f>
        <v>QBV095</v>
      </c>
      <c r="D251" s="607">
        <f>'dbc''s'!M112</f>
        <v>0</v>
      </c>
      <c r="E251" s="491" t="s">
        <v>1247</v>
      </c>
      <c r="G251" s="595">
        <f>ROUND(D251*voorblad!$R$39,0)</f>
        <v>0</v>
      </c>
      <c r="H251" s="608">
        <f>voorblad!$G$6</f>
        <v>0</v>
      </c>
    </row>
    <row r="252" spans="1:8" ht="12.75">
      <c r="A252" s="491">
        <f t="shared" si="12"/>
        <v>250</v>
      </c>
      <c r="B252" s="127">
        <f t="shared" si="11"/>
        <v>0</v>
      </c>
      <c r="C252" s="606" t="str">
        <f>'dbc''s'!L113</f>
        <v>QBV096</v>
      </c>
      <c r="D252" s="607">
        <f>'dbc''s'!M113</f>
        <v>0</v>
      </c>
      <c r="E252" s="491" t="s">
        <v>1247</v>
      </c>
      <c r="G252" s="595">
        <f>ROUND(D252*voorblad!$R$39,0)</f>
        <v>0</v>
      </c>
      <c r="H252" s="608">
        <f>voorblad!$G$6</f>
        <v>0</v>
      </c>
    </row>
    <row r="253" spans="1:8" ht="12.75">
      <c r="A253" s="491">
        <f t="shared" si="12"/>
        <v>251</v>
      </c>
      <c r="B253" s="127">
        <f t="shared" si="11"/>
        <v>0</v>
      </c>
      <c r="C253" s="606" t="str">
        <f>'dbc''s'!L114</f>
        <v>QBV097</v>
      </c>
      <c r="D253" s="607">
        <f>'dbc''s'!M114</f>
        <v>0</v>
      </c>
      <c r="E253" s="491" t="s">
        <v>1247</v>
      </c>
      <c r="G253" s="595">
        <f>ROUND(D253*voorblad!$R$39,0)</f>
        <v>0</v>
      </c>
      <c r="H253" s="608">
        <f>voorblad!$G$6</f>
        <v>0</v>
      </c>
    </row>
    <row r="254" spans="1:8" ht="12.75">
      <c r="A254" s="491">
        <f t="shared" si="12"/>
        <v>252</v>
      </c>
      <c r="B254" s="127">
        <f t="shared" si="11"/>
        <v>0</v>
      </c>
      <c r="C254" s="606" t="str">
        <f>'dbc''s'!L115</f>
        <v>QBV098</v>
      </c>
      <c r="D254" s="607">
        <f>'dbc''s'!M115</f>
        <v>0</v>
      </c>
      <c r="E254" s="491" t="s">
        <v>1247</v>
      </c>
      <c r="G254" s="595">
        <f>ROUND(D254*voorblad!$R$39,0)</f>
        <v>0</v>
      </c>
      <c r="H254" s="608">
        <f>voorblad!$G$6</f>
        <v>0</v>
      </c>
    </row>
    <row r="255" spans="1:8" ht="12.75">
      <c r="A255" s="491">
        <f t="shared" si="12"/>
        <v>253</v>
      </c>
      <c r="B255" s="127">
        <f t="shared" si="11"/>
        <v>0</v>
      </c>
      <c r="C255" s="606" t="str">
        <f>'dbc''s'!L116</f>
        <v>QBV150</v>
      </c>
      <c r="D255" s="607">
        <f>'dbc''s'!M116</f>
        <v>0</v>
      </c>
      <c r="E255" s="491" t="s">
        <v>1247</v>
      </c>
      <c r="G255" s="595">
        <f>ROUND(D255*voorblad!$R$39,0)</f>
        <v>0</v>
      </c>
      <c r="H255" s="608">
        <f>voorblad!$G$6</f>
        <v>0</v>
      </c>
    </row>
    <row r="256" spans="1:8" ht="12.75">
      <c r="A256" s="491">
        <f t="shared" si="12"/>
        <v>254</v>
      </c>
      <c r="B256" s="127">
        <f t="shared" si="11"/>
        <v>0</v>
      </c>
      <c r="C256" s="606" t="str">
        <f>'dbc''s'!L117</f>
        <v>QBV151</v>
      </c>
      <c r="D256" s="607">
        <f>'dbc''s'!M117</f>
        <v>0</v>
      </c>
      <c r="E256" s="491" t="s">
        <v>1247</v>
      </c>
      <c r="G256" s="595">
        <f>ROUND(D256*voorblad!$R$39,0)</f>
        <v>0</v>
      </c>
      <c r="H256" s="608">
        <f>voorblad!$G$6</f>
        <v>0</v>
      </c>
    </row>
    <row r="257" spans="1:8" ht="12.75">
      <c r="A257" s="491">
        <f t="shared" si="12"/>
        <v>255</v>
      </c>
      <c r="B257" s="127">
        <f t="shared" si="11"/>
        <v>0</v>
      </c>
      <c r="C257" s="606" t="str">
        <f>'dbc''s'!L118</f>
        <v>QBV100</v>
      </c>
      <c r="D257" s="607">
        <f>'dbc''s'!M118</f>
        <v>0</v>
      </c>
      <c r="E257" s="491" t="s">
        <v>1247</v>
      </c>
      <c r="G257" s="595">
        <f>ROUND(D257*voorblad!$R$39,0)</f>
        <v>0</v>
      </c>
      <c r="H257" s="608">
        <f>voorblad!$G$6</f>
        <v>0</v>
      </c>
    </row>
    <row r="258" spans="1:8" ht="12.75">
      <c r="A258" s="491">
        <f t="shared" si="12"/>
        <v>256</v>
      </c>
      <c r="B258" s="127">
        <f t="shared" si="11"/>
        <v>0</v>
      </c>
      <c r="C258" s="606" t="str">
        <f>'dbc''s'!L119</f>
        <v>QBV101</v>
      </c>
      <c r="D258" s="607">
        <f>'dbc''s'!M119</f>
        <v>0</v>
      </c>
      <c r="E258" s="491" t="s">
        <v>1247</v>
      </c>
      <c r="G258" s="595">
        <f>ROUND(D258*voorblad!$R$39,0)</f>
        <v>0</v>
      </c>
      <c r="H258" s="608">
        <f>voorblad!$G$6</f>
        <v>0</v>
      </c>
    </row>
    <row r="259" spans="1:8" ht="12.75">
      <c r="A259" s="491">
        <f t="shared" si="12"/>
        <v>257</v>
      </c>
      <c r="B259" s="127">
        <f t="shared" si="11"/>
        <v>0</v>
      </c>
      <c r="C259" s="606" t="str">
        <f>'dbc''s'!L120</f>
        <v>QBV102</v>
      </c>
      <c r="D259" s="607">
        <f>'dbc''s'!M120</f>
        <v>0</v>
      </c>
      <c r="E259" s="491" t="s">
        <v>1247</v>
      </c>
      <c r="G259" s="595">
        <f>ROUND(D259*voorblad!$R$39,0)</f>
        <v>0</v>
      </c>
      <c r="H259" s="608">
        <f>voorblad!$G$6</f>
        <v>0</v>
      </c>
    </row>
    <row r="260" spans="1:8" ht="12.75">
      <c r="A260" s="491">
        <f t="shared" si="12"/>
        <v>258</v>
      </c>
      <c r="B260" s="127">
        <f t="shared" si="11"/>
        <v>0</v>
      </c>
      <c r="C260" s="606" t="str">
        <f>'dbc''s'!L121</f>
        <v>QBV103</v>
      </c>
      <c r="D260" s="607">
        <f>'dbc''s'!M121</f>
        <v>0</v>
      </c>
      <c r="E260" s="491" t="s">
        <v>1247</v>
      </c>
      <c r="G260" s="595">
        <f>ROUND(D260*voorblad!$R$39,0)</f>
        <v>0</v>
      </c>
      <c r="H260" s="608">
        <f>voorblad!$G$6</f>
        <v>0</v>
      </c>
    </row>
    <row r="261" spans="1:8" ht="12.75">
      <c r="A261" s="491">
        <f t="shared" si="12"/>
        <v>259</v>
      </c>
      <c r="B261" s="127">
        <f t="shared" si="11"/>
        <v>0</v>
      </c>
      <c r="C261" s="606" t="str">
        <f>'dbc''s'!L122</f>
        <v>QBV104</v>
      </c>
      <c r="D261" s="607">
        <f>'dbc''s'!M122</f>
        <v>0</v>
      </c>
      <c r="E261" s="491" t="s">
        <v>1247</v>
      </c>
      <c r="G261" s="595">
        <f>ROUND(D261*voorblad!$R$39,0)</f>
        <v>0</v>
      </c>
      <c r="H261" s="608">
        <f>voorblad!$G$6</f>
        <v>0</v>
      </c>
    </row>
    <row r="262" spans="1:8" ht="12.75">
      <c r="A262" s="491">
        <f t="shared" si="12"/>
        <v>260</v>
      </c>
      <c r="B262" s="127">
        <f t="shared" si="11"/>
        <v>0</v>
      </c>
      <c r="C262" s="606" t="str">
        <f>'dbc''s'!L123</f>
        <v>QBV105</v>
      </c>
      <c r="D262" s="607">
        <f>'dbc''s'!M123</f>
        <v>0</v>
      </c>
      <c r="E262" s="491" t="s">
        <v>1247</v>
      </c>
      <c r="G262" s="595">
        <f>ROUND(D262*voorblad!$R$39,0)</f>
        <v>0</v>
      </c>
      <c r="H262" s="608">
        <f>voorblad!$G$6</f>
        <v>0</v>
      </c>
    </row>
    <row r="263" spans="1:8" ht="12.75">
      <c r="A263" s="491">
        <f t="shared" si="12"/>
        <v>261</v>
      </c>
      <c r="B263" s="127">
        <f t="shared" si="11"/>
        <v>0</v>
      </c>
      <c r="C263" s="606" t="str">
        <f>'dbc''s'!L124</f>
        <v>QBV152</v>
      </c>
      <c r="D263" s="607">
        <f>'dbc''s'!M124</f>
        <v>0</v>
      </c>
      <c r="E263" s="491" t="s">
        <v>1247</v>
      </c>
      <c r="G263" s="595">
        <f>ROUND(D263*voorblad!$R$39,0)</f>
        <v>0</v>
      </c>
      <c r="H263" s="608">
        <f>voorblad!$G$6</f>
        <v>0</v>
      </c>
    </row>
    <row r="264" spans="1:8" ht="12.75">
      <c r="A264" s="491">
        <f t="shared" si="12"/>
        <v>262</v>
      </c>
      <c r="B264" s="127">
        <f t="shared" si="11"/>
        <v>0</v>
      </c>
      <c r="C264" s="606" t="str">
        <f>'dbc''s'!L125</f>
        <v>QBV153</v>
      </c>
      <c r="D264" s="607">
        <f>'dbc''s'!M125</f>
        <v>0</v>
      </c>
      <c r="E264" s="491" t="s">
        <v>1247</v>
      </c>
      <c r="G264" s="595">
        <f>ROUND(D264*voorblad!$R$39,0)</f>
        <v>0</v>
      </c>
      <c r="H264" s="608">
        <f>voorblad!$G$6</f>
        <v>0</v>
      </c>
    </row>
    <row r="265" spans="1:8" ht="12.75">
      <c r="A265" s="491">
        <f t="shared" si="12"/>
        <v>263</v>
      </c>
      <c r="B265" s="127">
        <f t="shared" si="11"/>
        <v>0</v>
      </c>
      <c r="C265" s="606" t="str">
        <f>'dbc''s'!L126</f>
        <v>QBV107</v>
      </c>
      <c r="D265" s="607">
        <f>'dbc''s'!M126</f>
        <v>0</v>
      </c>
      <c r="E265" s="491" t="s">
        <v>1247</v>
      </c>
      <c r="G265" s="595">
        <f>ROUND(D265*voorblad!$R$39,0)</f>
        <v>0</v>
      </c>
      <c r="H265" s="608">
        <f>voorblad!$G$6</f>
        <v>0</v>
      </c>
    </row>
    <row r="266" spans="1:8" ht="12.75">
      <c r="A266" s="491">
        <f t="shared" si="12"/>
        <v>264</v>
      </c>
      <c r="B266" s="127">
        <f t="shared" si="11"/>
        <v>0</v>
      </c>
      <c r="C266" s="606" t="str">
        <f>'dbc''s'!L127</f>
        <v>QBV108</v>
      </c>
      <c r="D266" s="607">
        <f>'dbc''s'!M127</f>
        <v>0</v>
      </c>
      <c r="E266" s="491" t="s">
        <v>1247</v>
      </c>
      <c r="G266" s="595">
        <f>ROUND(D266*voorblad!$R$39,0)</f>
        <v>0</v>
      </c>
      <c r="H266" s="608">
        <f>voorblad!$G$6</f>
        <v>0</v>
      </c>
    </row>
    <row r="267" spans="1:8" ht="12.75">
      <c r="A267" s="491">
        <f t="shared" si="12"/>
        <v>265</v>
      </c>
      <c r="B267" s="127">
        <f t="shared" si="11"/>
        <v>0</v>
      </c>
      <c r="C267" s="606" t="str">
        <f>'dbc''s'!L128</f>
        <v>QBV109</v>
      </c>
      <c r="D267" s="607">
        <f>'dbc''s'!M128</f>
        <v>0</v>
      </c>
      <c r="E267" s="491" t="s">
        <v>1247</v>
      </c>
      <c r="G267" s="595">
        <f>ROUND(D267*voorblad!$R$39,0)</f>
        <v>0</v>
      </c>
      <c r="H267" s="608">
        <f>voorblad!$G$6</f>
        <v>0</v>
      </c>
    </row>
    <row r="268" spans="1:8" ht="12.75">
      <c r="A268" s="491">
        <f t="shared" si="12"/>
        <v>266</v>
      </c>
      <c r="B268" s="127">
        <f t="shared" si="11"/>
        <v>0</v>
      </c>
      <c r="C268" s="606" t="str">
        <f>'dbc''s'!L129</f>
        <v>QBV110</v>
      </c>
      <c r="D268" s="607">
        <f>'dbc''s'!M129</f>
        <v>0</v>
      </c>
      <c r="E268" s="491" t="s">
        <v>1247</v>
      </c>
      <c r="G268" s="595">
        <f>ROUND(D268*voorblad!$R$39,0)</f>
        <v>0</v>
      </c>
      <c r="H268" s="608">
        <f>voorblad!$G$6</f>
        <v>0</v>
      </c>
    </row>
    <row r="269" spans="1:8" ht="12.75">
      <c r="A269" s="491">
        <f t="shared" si="12"/>
        <v>267</v>
      </c>
      <c r="B269" s="127">
        <f t="shared" si="11"/>
        <v>0</v>
      </c>
      <c r="C269" s="606" t="str">
        <f>'dbc''s'!L130</f>
        <v>QBV111</v>
      </c>
      <c r="D269" s="607">
        <f>'dbc''s'!M130</f>
        <v>0</v>
      </c>
      <c r="E269" s="491" t="s">
        <v>1247</v>
      </c>
      <c r="G269" s="595">
        <f>ROUND(D269*voorblad!$R$39,0)</f>
        <v>0</v>
      </c>
      <c r="H269" s="608">
        <f>voorblad!$G$6</f>
        <v>0</v>
      </c>
    </row>
    <row r="270" spans="1:8" ht="12.75">
      <c r="A270" s="491">
        <f t="shared" si="12"/>
        <v>268</v>
      </c>
      <c r="B270" s="127">
        <f t="shared" si="11"/>
        <v>0</v>
      </c>
      <c r="C270" s="606" t="str">
        <f>'dbc''s'!L132</f>
        <v>QBV112</v>
      </c>
      <c r="D270" s="607">
        <f>'dbc''s'!M132</f>
        <v>0</v>
      </c>
      <c r="E270" s="491" t="s">
        <v>1247</v>
      </c>
      <c r="G270" s="595">
        <f>ROUND(D270*voorblad!$R$39,0)</f>
        <v>0</v>
      </c>
      <c r="H270" s="608">
        <f>voorblad!$G$6</f>
        <v>0</v>
      </c>
    </row>
    <row r="271" spans="1:8" ht="12.75">
      <c r="A271" s="491">
        <f t="shared" si="12"/>
        <v>269</v>
      </c>
      <c r="B271" s="127">
        <f t="shared" si="11"/>
        <v>0</v>
      </c>
      <c r="C271" s="606" t="str">
        <f>'dbc''s'!L133</f>
        <v>QBV154</v>
      </c>
      <c r="D271" s="607">
        <f>'dbc''s'!M133</f>
        <v>0</v>
      </c>
      <c r="E271" s="491" t="s">
        <v>1247</v>
      </c>
      <c r="G271" s="595">
        <f>ROUND(D271*voorblad!$R$39,0)</f>
        <v>0</v>
      </c>
      <c r="H271" s="608">
        <f>voorblad!$G$6</f>
        <v>0</v>
      </c>
    </row>
    <row r="272" spans="1:8" ht="12.75">
      <c r="A272" s="491">
        <f t="shared" si="12"/>
        <v>270</v>
      </c>
      <c r="B272" s="127">
        <f aca="true" t="shared" si="13" ref="B272:B372">B271</f>
        <v>0</v>
      </c>
      <c r="C272" s="606" t="str">
        <f>'dbc''s'!L134</f>
        <v>QBV155</v>
      </c>
      <c r="D272" s="607">
        <f>'dbc''s'!M134</f>
        <v>0</v>
      </c>
      <c r="E272" s="491" t="s">
        <v>1247</v>
      </c>
      <c r="G272" s="595">
        <f>ROUND(D272*voorblad!$R$39,0)</f>
        <v>0</v>
      </c>
      <c r="H272" s="608">
        <f>voorblad!$G$6</f>
        <v>0</v>
      </c>
    </row>
    <row r="273" spans="1:8" ht="12.75">
      <c r="A273" s="491">
        <f aca="true" t="shared" si="14" ref="A273:A373">A272+1</f>
        <v>271</v>
      </c>
      <c r="B273" s="127">
        <f t="shared" si="13"/>
        <v>0</v>
      </c>
      <c r="C273" s="606" t="str">
        <f>'dbc''s'!L135</f>
        <v>QBV114</v>
      </c>
      <c r="D273" s="607">
        <f>'dbc''s'!M135</f>
        <v>0</v>
      </c>
      <c r="E273" s="491" t="s">
        <v>1247</v>
      </c>
      <c r="G273" s="595">
        <f>ROUND(D273*voorblad!$R$39,0)</f>
        <v>0</v>
      </c>
      <c r="H273" s="608">
        <f>voorblad!$G$6</f>
        <v>0</v>
      </c>
    </row>
    <row r="274" spans="1:8" ht="12.75">
      <c r="A274" s="491">
        <f t="shared" si="14"/>
        <v>272</v>
      </c>
      <c r="B274" s="127">
        <f t="shared" si="13"/>
        <v>0</v>
      </c>
      <c r="C274" s="606" t="str">
        <f>'dbc''s'!L136</f>
        <v>QBV115</v>
      </c>
      <c r="D274" s="607">
        <f>'dbc''s'!M136</f>
        <v>0</v>
      </c>
      <c r="E274" s="491" t="s">
        <v>1247</v>
      </c>
      <c r="G274" s="595">
        <f>ROUND(D274*voorblad!$R$39,0)</f>
        <v>0</v>
      </c>
      <c r="H274" s="608">
        <f>voorblad!$G$6</f>
        <v>0</v>
      </c>
    </row>
    <row r="275" spans="1:8" ht="12.75">
      <c r="A275" s="491">
        <f t="shared" si="14"/>
        <v>273</v>
      </c>
      <c r="B275" s="127">
        <f t="shared" si="13"/>
        <v>0</v>
      </c>
      <c r="C275" s="606" t="str">
        <f>'dbc''s'!L137</f>
        <v>QBV116</v>
      </c>
      <c r="D275" s="607">
        <f>'dbc''s'!M137</f>
        <v>0</v>
      </c>
      <c r="E275" s="491" t="s">
        <v>1247</v>
      </c>
      <c r="G275" s="595">
        <f>ROUND(D275*voorblad!$R$39,0)</f>
        <v>0</v>
      </c>
      <c r="H275" s="608">
        <f>voorblad!$G$6</f>
        <v>0</v>
      </c>
    </row>
    <row r="276" spans="1:8" ht="12.75">
      <c r="A276" s="491">
        <f t="shared" si="14"/>
        <v>274</v>
      </c>
      <c r="B276" s="127">
        <f t="shared" si="13"/>
        <v>0</v>
      </c>
      <c r="C276" s="606" t="str">
        <f>'dbc''s'!L138</f>
        <v>QBV117</v>
      </c>
      <c r="D276" s="607">
        <f>'dbc''s'!M138</f>
        <v>0</v>
      </c>
      <c r="E276" s="491" t="s">
        <v>1247</v>
      </c>
      <c r="G276" s="595">
        <f>ROUND(D276*voorblad!$R$39,0)</f>
        <v>0</v>
      </c>
      <c r="H276" s="608">
        <f>voorblad!$G$6</f>
        <v>0</v>
      </c>
    </row>
    <row r="277" spans="1:8" ht="12.75">
      <c r="A277" s="491">
        <f t="shared" si="14"/>
        <v>275</v>
      </c>
      <c r="B277" s="127">
        <f t="shared" si="13"/>
        <v>0</v>
      </c>
      <c r="C277" s="606" t="str">
        <f>'dbc''s'!L139</f>
        <v>QBV118</v>
      </c>
      <c r="D277" s="607">
        <f>'dbc''s'!M139</f>
        <v>0</v>
      </c>
      <c r="E277" s="491" t="s">
        <v>1247</v>
      </c>
      <c r="G277" s="595">
        <f>ROUND(D277*voorblad!$R$39,0)</f>
        <v>0</v>
      </c>
      <c r="H277" s="608">
        <f>voorblad!$G$6</f>
        <v>0</v>
      </c>
    </row>
    <row r="278" spans="1:8" ht="12.75">
      <c r="A278" s="491">
        <f t="shared" si="14"/>
        <v>276</v>
      </c>
      <c r="B278" s="127">
        <f t="shared" si="13"/>
        <v>0</v>
      </c>
      <c r="C278" s="606" t="str">
        <f>'dbc''s'!L140</f>
        <v>QBV119</v>
      </c>
      <c r="D278" s="607">
        <f>'dbc''s'!M140</f>
        <v>0</v>
      </c>
      <c r="E278" s="491" t="s">
        <v>1247</v>
      </c>
      <c r="G278" s="595">
        <f>ROUND(D278*voorblad!$R$39,0)</f>
        <v>0</v>
      </c>
      <c r="H278" s="608">
        <f>voorblad!$G$6</f>
        <v>0</v>
      </c>
    </row>
    <row r="279" spans="1:8" ht="12.75">
      <c r="A279" s="491">
        <f t="shared" si="14"/>
        <v>277</v>
      </c>
      <c r="B279" s="127">
        <f t="shared" si="13"/>
        <v>0</v>
      </c>
      <c r="C279" s="606" t="str">
        <f>'dbc''s'!L141</f>
        <v>QBV156</v>
      </c>
      <c r="D279" s="607">
        <f>'dbc''s'!M141</f>
        <v>0</v>
      </c>
      <c r="E279" s="491" t="s">
        <v>1247</v>
      </c>
      <c r="G279" s="595">
        <f>ROUND(D279*voorblad!$R$39,0)</f>
        <v>0</v>
      </c>
      <c r="H279" s="608">
        <f>voorblad!$G$6</f>
        <v>0</v>
      </c>
    </row>
    <row r="280" spans="1:8" ht="12.75">
      <c r="A280" s="491">
        <f t="shared" si="14"/>
        <v>278</v>
      </c>
      <c r="B280" s="127">
        <f t="shared" si="13"/>
        <v>0</v>
      </c>
      <c r="C280" s="606" t="str">
        <f>'dbc''s'!L142</f>
        <v>QBV157</v>
      </c>
      <c r="D280" s="607">
        <f>'dbc''s'!M142</f>
        <v>0</v>
      </c>
      <c r="E280" s="491" t="s">
        <v>1247</v>
      </c>
      <c r="G280" s="595">
        <f>ROUND(D280*voorblad!$R$39,0)</f>
        <v>0</v>
      </c>
      <c r="H280" s="608">
        <f>voorblad!$G$6</f>
        <v>0</v>
      </c>
    </row>
    <row r="281" spans="1:8" ht="12.75">
      <c r="A281" s="491">
        <f t="shared" si="14"/>
        <v>279</v>
      </c>
      <c r="B281" s="127">
        <f t="shared" si="13"/>
        <v>0</v>
      </c>
      <c r="C281" s="606" t="str">
        <f>'dbc''s'!L143</f>
        <v>QBV121</v>
      </c>
      <c r="D281" s="607">
        <f>'dbc''s'!M143</f>
        <v>0</v>
      </c>
      <c r="E281" s="491" t="s">
        <v>1247</v>
      </c>
      <c r="G281" s="595">
        <f>ROUND(D281*voorblad!$R$39,0)</f>
        <v>0</v>
      </c>
      <c r="H281" s="608">
        <f>voorblad!$G$6</f>
        <v>0</v>
      </c>
    </row>
    <row r="282" spans="1:8" ht="12.75">
      <c r="A282" s="491">
        <f t="shared" si="14"/>
        <v>280</v>
      </c>
      <c r="B282" s="127">
        <f t="shared" si="13"/>
        <v>0</v>
      </c>
      <c r="C282" s="606" t="str">
        <f>'dbc''s'!L144</f>
        <v>QBV122</v>
      </c>
      <c r="D282" s="607">
        <f>'dbc''s'!M144</f>
        <v>0</v>
      </c>
      <c r="E282" s="491" t="s">
        <v>1247</v>
      </c>
      <c r="G282" s="595">
        <f>ROUND(D282*voorblad!$R$39,0)</f>
        <v>0</v>
      </c>
      <c r="H282" s="608">
        <f>voorblad!$G$6</f>
        <v>0</v>
      </c>
    </row>
    <row r="283" spans="1:8" ht="12.75">
      <c r="A283" s="491">
        <f t="shared" si="14"/>
        <v>281</v>
      </c>
      <c r="B283" s="127">
        <f t="shared" si="13"/>
        <v>0</v>
      </c>
      <c r="C283" s="606" t="str">
        <f>'dbc''s'!L145</f>
        <v>QBV123</v>
      </c>
      <c r="D283" s="607">
        <f>'dbc''s'!M145</f>
        <v>0</v>
      </c>
      <c r="E283" s="491" t="s">
        <v>1247</v>
      </c>
      <c r="G283" s="595">
        <f>ROUND(D283*voorblad!$R$39,0)</f>
        <v>0</v>
      </c>
      <c r="H283" s="608">
        <f>voorblad!$G$6</f>
        <v>0</v>
      </c>
    </row>
    <row r="284" spans="1:8" ht="12.75">
      <c r="A284" s="491">
        <f t="shared" si="14"/>
        <v>282</v>
      </c>
      <c r="B284" s="127">
        <f t="shared" si="13"/>
        <v>0</v>
      </c>
      <c r="C284" s="606" t="str">
        <f>'dbc''s'!L146</f>
        <v>QBV124</v>
      </c>
      <c r="D284" s="607">
        <f>'dbc''s'!M146</f>
        <v>0</v>
      </c>
      <c r="E284" s="491" t="s">
        <v>1247</v>
      </c>
      <c r="G284" s="595">
        <f>ROUND(D284*voorblad!$R$39,0)</f>
        <v>0</v>
      </c>
      <c r="H284" s="608">
        <f>voorblad!$G$6</f>
        <v>0</v>
      </c>
    </row>
    <row r="285" spans="1:8" ht="12.75">
      <c r="A285" s="491">
        <f t="shared" si="14"/>
        <v>283</v>
      </c>
      <c r="B285" s="127">
        <f t="shared" si="13"/>
        <v>0</v>
      </c>
      <c r="C285" s="606" t="str">
        <f>'dbc''s'!L147</f>
        <v>QBV125</v>
      </c>
      <c r="D285" s="607">
        <f>'dbc''s'!M147</f>
        <v>0</v>
      </c>
      <c r="E285" s="491" t="s">
        <v>1247</v>
      </c>
      <c r="G285" s="595">
        <f>ROUND(D285*voorblad!$R$39,0)</f>
        <v>0</v>
      </c>
      <c r="H285" s="608">
        <f>voorblad!$G$6</f>
        <v>0</v>
      </c>
    </row>
    <row r="286" spans="1:8" ht="12.75">
      <c r="A286" s="491">
        <f t="shared" si="14"/>
        <v>284</v>
      </c>
      <c r="B286" s="127">
        <f t="shared" si="13"/>
        <v>0</v>
      </c>
      <c r="C286" s="606" t="str">
        <f>'dbc''s'!L148</f>
        <v>QBV126</v>
      </c>
      <c r="D286" s="607">
        <f>'dbc''s'!M148</f>
        <v>0</v>
      </c>
      <c r="E286" s="491" t="s">
        <v>1247</v>
      </c>
      <c r="G286" s="595">
        <f>ROUND(D286*voorblad!$R$39,0)</f>
        <v>0</v>
      </c>
      <c r="H286" s="608">
        <f>voorblad!$G$6</f>
        <v>0</v>
      </c>
    </row>
    <row r="287" spans="1:8" ht="12.75">
      <c r="A287" s="491">
        <f t="shared" si="14"/>
        <v>285</v>
      </c>
      <c r="B287" s="127">
        <f t="shared" si="13"/>
        <v>0</v>
      </c>
      <c r="C287" s="606" t="str">
        <f>'dbc''s'!L149</f>
        <v>QBV127</v>
      </c>
      <c r="D287" s="607">
        <f>'dbc''s'!M149</f>
        <v>0</v>
      </c>
      <c r="E287" s="491" t="s">
        <v>1247</v>
      </c>
      <c r="G287" s="595">
        <f>ROUND(D287*voorblad!$R$39,0)</f>
        <v>0</v>
      </c>
      <c r="H287" s="608">
        <f>voorblad!$G$6</f>
        <v>0</v>
      </c>
    </row>
    <row r="288" spans="1:8" ht="12.75">
      <c r="A288" s="491">
        <f t="shared" si="14"/>
        <v>286</v>
      </c>
      <c r="B288" s="127">
        <f t="shared" si="13"/>
        <v>0</v>
      </c>
      <c r="C288" s="606" t="str">
        <f>'dbc''s'!L150</f>
        <v>QBV128</v>
      </c>
      <c r="D288" s="607">
        <f>'dbc''s'!M150</f>
        <v>0</v>
      </c>
      <c r="E288" s="491" t="s">
        <v>1247</v>
      </c>
      <c r="G288" s="595">
        <f>ROUND(D288*voorblad!$R$39,0)</f>
        <v>0</v>
      </c>
      <c r="H288" s="608">
        <f>voorblad!$G$6</f>
        <v>0</v>
      </c>
    </row>
    <row r="289" spans="1:8" ht="12.75">
      <c r="A289" s="491">
        <f t="shared" si="14"/>
        <v>287</v>
      </c>
      <c r="B289" s="127">
        <f t="shared" si="13"/>
        <v>0</v>
      </c>
      <c r="C289" s="606" t="str">
        <f>'dbc''s'!L151</f>
        <v>QBV129</v>
      </c>
      <c r="D289" s="607">
        <f>'dbc''s'!M151</f>
        <v>0</v>
      </c>
      <c r="E289" s="491" t="s">
        <v>1247</v>
      </c>
      <c r="G289" s="595">
        <f>ROUND(D289*voorblad!$R$39,0)</f>
        <v>0</v>
      </c>
      <c r="H289" s="608">
        <f>voorblad!$G$6</f>
        <v>0</v>
      </c>
    </row>
    <row r="290" spans="1:8" ht="12.75">
      <c r="A290" s="491">
        <f t="shared" si="14"/>
        <v>288</v>
      </c>
      <c r="B290" s="127">
        <f t="shared" si="13"/>
        <v>0</v>
      </c>
      <c r="C290" s="606" t="str">
        <f>'dbc''s'!L152</f>
        <v>QBV158</v>
      </c>
      <c r="D290" s="607">
        <f>'dbc''s'!M152</f>
        <v>0</v>
      </c>
      <c r="E290" s="491" t="s">
        <v>1247</v>
      </c>
      <c r="G290" s="595">
        <f>ROUND(D290*voorblad!$R$39,0)</f>
        <v>0</v>
      </c>
      <c r="H290" s="608">
        <f>voorblad!$G$6</f>
        <v>0</v>
      </c>
    </row>
    <row r="291" spans="1:8" ht="12.75">
      <c r="A291" s="491">
        <f t="shared" si="14"/>
        <v>289</v>
      </c>
      <c r="B291" s="127">
        <f t="shared" si="13"/>
        <v>0</v>
      </c>
      <c r="C291" s="606" t="str">
        <f>'dbc''s'!L153</f>
        <v>QBV159</v>
      </c>
      <c r="D291" s="607">
        <f>'dbc''s'!M153</f>
        <v>0</v>
      </c>
      <c r="E291" s="491" t="s">
        <v>1247</v>
      </c>
      <c r="G291" s="595">
        <f>ROUND(D291*voorblad!$R$39,0)</f>
        <v>0</v>
      </c>
      <c r="H291" s="608">
        <f>voorblad!$G$6</f>
        <v>0</v>
      </c>
    </row>
    <row r="292" spans="1:8" ht="12.75">
      <c r="A292" s="491">
        <f t="shared" si="14"/>
        <v>290</v>
      </c>
      <c r="B292" s="127">
        <f t="shared" si="13"/>
        <v>0</v>
      </c>
      <c r="C292" s="606" t="str">
        <f>'dbc''s'!J158</f>
        <v>QV000</v>
      </c>
      <c r="D292" s="607">
        <f>'dbc''s'!K158</f>
        <v>0</v>
      </c>
      <c r="E292" s="491" t="s">
        <v>1248</v>
      </c>
      <c r="G292" s="595">
        <f>ROUND(D292*voorblad!$R$39,0)</f>
        <v>0</v>
      </c>
      <c r="H292" s="608">
        <f>voorblad!$G$6</f>
        <v>0</v>
      </c>
    </row>
    <row r="293" spans="1:8" ht="12.75">
      <c r="A293" s="491">
        <f t="shared" si="14"/>
        <v>291</v>
      </c>
      <c r="B293" s="127">
        <f t="shared" si="13"/>
        <v>0</v>
      </c>
      <c r="C293" s="606" t="str">
        <f>'dbc''s'!J159</f>
        <v>QV011</v>
      </c>
      <c r="D293" s="607">
        <f>'dbc''s'!K159</f>
        <v>0</v>
      </c>
      <c r="E293" s="491" t="s">
        <v>1248</v>
      </c>
      <c r="G293" s="595">
        <f>ROUND(D293*voorblad!$R$39,0)</f>
        <v>0</v>
      </c>
      <c r="H293" s="608">
        <f>voorblad!$G$6</f>
        <v>0</v>
      </c>
    </row>
    <row r="294" spans="1:8" ht="12.75">
      <c r="A294" s="491">
        <f t="shared" si="14"/>
        <v>292</v>
      </c>
      <c r="B294" s="127">
        <f t="shared" si="13"/>
        <v>0</v>
      </c>
      <c r="C294" s="606" t="str">
        <f>'dbc''s'!J160</f>
        <v>QV012</v>
      </c>
      <c r="D294" s="607">
        <f>'dbc''s'!K160</f>
        <v>0</v>
      </c>
      <c r="E294" s="491" t="s">
        <v>1248</v>
      </c>
      <c r="G294" s="595">
        <f>ROUND(D294*voorblad!$R$39,0)</f>
        <v>0</v>
      </c>
      <c r="H294" s="608">
        <f>voorblad!$G$6</f>
        <v>0</v>
      </c>
    </row>
    <row r="295" spans="1:8" ht="12.75">
      <c r="A295" s="491">
        <f t="shared" si="14"/>
        <v>293</v>
      </c>
      <c r="B295" s="127">
        <f t="shared" si="13"/>
        <v>0</v>
      </c>
      <c r="C295" s="606" t="str">
        <f>'dbc''s'!J161</f>
        <v>QV013</v>
      </c>
      <c r="D295" s="607">
        <f>'dbc''s'!K161</f>
        <v>0</v>
      </c>
      <c r="E295" s="491" t="s">
        <v>1248</v>
      </c>
      <c r="G295" s="595">
        <f>ROUND(D295*voorblad!$R$39,0)</f>
        <v>0</v>
      </c>
      <c r="H295" s="608">
        <f>voorblad!$G$6</f>
        <v>0</v>
      </c>
    </row>
    <row r="296" spans="1:8" ht="12.75">
      <c r="A296" s="491">
        <f t="shared" si="14"/>
        <v>294</v>
      </c>
      <c r="B296" s="127">
        <f t="shared" si="13"/>
        <v>0</v>
      </c>
      <c r="C296" s="606" t="str">
        <f>'dbc''s'!J162</f>
        <v>QV014</v>
      </c>
      <c r="D296" s="607">
        <f>'dbc''s'!K162</f>
        <v>0</v>
      </c>
      <c r="E296" s="491" t="s">
        <v>1248</v>
      </c>
      <c r="G296" s="595">
        <f>ROUND(D296*voorblad!$R$39,0)</f>
        <v>0</v>
      </c>
      <c r="H296" s="608">
        <f>voorblad!$G$6</f>
        <v>0</v>
      </c>
    </row>
    <row r="297" spans="1:8" ht="12.75">
      <c r="A297" s="491">
        <f t="shared" si="14"/>
        <v>295</v>
      </c>
      <c r="B297" s="127">
        <f t="shared" si="13"/>
        <v>0</v>
      </c>
      <c r="C297" s="606" t="str">
        <f>'dbc''s'!J163</f>
        <v>QV015</v>
      </c>
      <c r="D297" s="607">
        <f>'dbc''s'!K163</f>
        <v>0</v>
      </c>
      <c r="E297" s="491" t="s">
        <v>1248</v>
      </c>
      <c r="G297" s="595">
        <f>ROUND(D297*voorblad!$R$39,0)</f>
        <v>0</v>
      </c>
      <c r="H297" s="608">
        <f>voorblad!$G$6</f>
        <v>0</v>
      </c>
    </row>
    <row r="298" spans="1:8" ht="12.75">
      <c r="A298" s="491">
        <f t="shared" si="14"/>
        <v>296</v>
      </c>
      <c r="B298" s="127">
        <f t="shared" si="13"/>
        <v>0</v>
      </c>
      <c r="C298" s="606" t="str">
        <f>'dbc''s'!J164</f>
        <v>QV021</v>
      </c>
      <c r="D298" s="607">
        <f>'dbc''s'!K164</f>
        <v>0</v>
      </c>
      <c r="E298" s="491" t="s">
        <v>1248</v>
      </c>
      <c r="G298" s="595">
        <f>ROUND(D298*voorblad!$R$39,0)</f>
        <v>0</v>
      </c>
      <c r="H298" s="608">
        <f>voorblad!$G$6</f>
        <v>0</v>
      </c>
    </row>
    <row r="299" spans="1:8" ht="12.75">
      <c r="A299" s="491">
        <f t="shared" si="14"/>
        <v>297</v>
      </c>
      <c r="B299" s="127">
        <f t="shared" si="13"/>
        <v>0</v>
      </c>
      <c r="C299" s="606" t="str">
        <f>'dbc''s'!J165</f>
        <v>QV022</v>
      </c>
      <c r="D299" s="607">
        <f>'dbc''s'!K165</f>
        <v>0</v>
      </c>
      <c r="E299" s="491" t="s">
        <v>1248</v>
      </c>
      <c r="G299" s="595">
        <f>ROUND(D299*voorblad!$R$39,0)</f>
        <v>0</v>
      </c>
      <c r="H299" s="608">
        <f>voorblad!$G$6</f>
        <v>0</v>
      </c>
    </row>
    <row r="300" spans="1:8" ht="12.75">
      <c r="A300" s="491">
        <f t="shared" si="14"/>
        <v>298</v>
      </c>
      <c r="B300" s="127">
        <f t="shared" si="13"/>
        <v>0</v>
      </c>
      <c r="C300" s="606" t="str">
        <f>'dbc''s'!J166</f>
        <v>QV023</v>
      </c>
      <c r="D300" s="607">
        <f>'dbc''s'!K166</f>
        <v>0</v>
      </c>
      <c r="E300" s="491" t="s">
        <v>1248</v>
      </c>
      <c r="G300" s="595">
        <f>ROUND(D300*voorblad!$R$39,0)</f>
        <v>0</v>
      </c>
      <c r="H300" s="608">
        <f>voorblad!$G$6</f>
        <v>0</v>
      </c>
    </row>
    <row r="301" spans="1:8" ht="12.75">
      <c r="A301" s="491">
        <f t="shared" si="14"/>
        <v>299</v>
      </c>
      <c r="B301" s="127">
        <f t="shared" si="13"/>
        <v>0</v>
      </c>
      <c r="C301" s="606" t="str">
        <f>'dbc''s'!J167</f>
        <v>QV024</v>
      </c>
      <c r="D301" s="607">
        <f>'dbc''s'!K167</f>
        <v>0</v>
      </c>
      <c r="E301" s="491" t="s">
        <v>1248</v>
      </c>
      <c r="G301" s="595">
        <f>ROUND(D301*voorblad!$R$39,0)</f>
        <v>0</v>
      </c>
      <c r="H301" s="608">
        <f>voorblad!$G$6</f>
        <v>0</v>
      </c>
    </row>
    <row r="302" spans="1:8" ht="12.75">
      <c r="A302" s="491">
        <f t="shared" si="14"/>
        <v>300</v>
      </c>
      <c r="B302" s="127">
        <f t="shared" si="13"/>
        <v>0</v>
      </c>
      <c r="C302" s="606" t="str">
        <f>'dbc''s'!J168</f>
        <v>QV025</v>
      </c>
      <c r="D302" s="607">
        <f>'dbc''s'!K168</f>
        <v>0</v>
      </c>
      <c r="E302" s="491" t="s">
        <v>1248</v>
      </c>
      <c r="G302" s="595">
        <f>ROUND(D302*voorblad!$R$39,0)</f>
        <v>0</v>
      </c>
      <c r="H302" s="608">
        <f>voorblad!$G$6</f>
        <v>0</v>
      </c>
    </row>
    <row r="303" spans="1:8" ht="12.75">
      <c r="A303" s="491">
        <f t="shared" si="14"/>
        <v>301</v>
      </c>
      <c r="B303" s="127">
        <f t="shared" si="13"/>
        <v>0</v>
      </c>
      <c r="C303" s="606" t="str">
        <f>'dbc''s'!J169</f>
        <v>QV031</v>
      </c>
      <c r="D303" s="607">
        <f>'dbc''s'!K169</f>
        <v>0</v>
      </c>
      <c r="E303" s="491" t="s">
        <v>1248</v>
      </c>
      <c r="G303" s="595">
        <f>ROUND(D303*voorblad!$R$39,0)</f>
        <v>0</v>
      </c>
      <c r="H303" s="608">
        <f>voorblad!$G$6</f>
        <v>0</v>
      </c>
    </row>
    <row r="304" spans="1:8" ht="12.75">
      <c r="A304" s="491">
        <f t="shared" si="14"/>
        <v>302</v>
      </c>
      <c r="B304" s="127">
        <f t="shared" si="13"/>
        <v>0</v>
      </c>
      <c r="C304" s="606" t="str">
        <f>'dbc''s'!J170</f>
        <v>QV032</v>
      </c>
      <c r="D304" s="607">
        <f>'dbc''s'!K170</f>
        <v>0</v>
      </c>
      <c r="E304" s="491" t="s">
        <v>1248</v>
      </c>
      <c r="G304" s="595">
        <f>ROUND(D304*voorblad!$R$39,0)</f>
        <v>0</v>
      </c>
      <c r="H304" s="608">
        <f>voorblad!$G$6</f>
        <v>0</v>
      </c>
    </row>
    <row r="305" spans="1:8" ht="12.75">
      <c r="A305" s="491">
        <f t="shared" si="14"/>
        <v>303</v>
      </c>
      <c r="B305" s="127">
        <f t="shared" si="13"/>
        <v>0</v>
      </c>
      <c r="C305" s="606" t="str">
        <f>'dbc''s'!J171</f>
        <v>QV033</v>
      </c>
      <c r="D305" s="607">
        <f>'dbc''s'!K171</f>
        <v>0</v>
      </c>
      <c r="E305" s="491" t="s">
        <v>1248</v>
      </c>
      <c r="G305" s="595">
        <f>ROUND(D305*voorblad!$R$39,0)</f>
        <v>0</v>
      </c>
      <c r="H305" s="608">
        <f>voorblad!$G$6</f>
        <v>0</v>
      </c>
    </row>
    <row r="306" spans="1:8" ht="12.75">
      <c r="A306" s="491">
        <f t="shared" si="14"/>
        <v>304</v>
      </c>
      <c r="B306" s="127">
        <f t="shared" si="13"/>
        <v>0</v>
      </c>
      <c r="C306" s="606" t="str">
        <f>'dbc''s'!J172</f>
        <v>QV034</v>
      </c>
      <c r="D306" s="607">
        <f>'dbc''s'!K172</f>
        <v>0</v>
      </c>
      <c r="E306" s="491" t="s">
        <v>1248</v>
      </c>
      <c r="G306" s="595">
        <f>ROUND(D306*voorblad!$R$39,0)</f>
        <v>0</v>
      </c>
      <c r="H306" s="608">
        <f>voorblad!$G$6</f>
        <v>0</v>
      </c>
    </row>
    <row r="307" spans="1:8" ht="12.75">
      <c r="A307" s="491">
        <f t="shared" si="14"/>
        <v>305</v>
      </c>
      <c r="B307" s="127">
        <f t="shared" si="13"/>
        <v>0</v>
      </c>
      <c r="C307" s="606" t="str">
        <f>'dbc''s'!J173</f>
        <v>QV035</v>
      </c>
      <c r="D307" s="607">
        <f>'dbc''s'!K173</f>
        <v>0</v>
      </c>
      <c r="E307" s="491" t="s">
        <v>1248</v>
      </c>
      <c r="G307" s="595">
        <f>ROUND(D307*voorblad!$R$39,0)</f>
        <v>0</v>
      </c>
      <c r="H307" s="608">
        <f>voorblad!$G$6</f>
        <v>0</v>
      </c>
    </row>
    <row r="308" spans="1:8" ht="12.75">
      <c r="A308" s="491">
        <f t="shared" si="14"/>
        <v>306</v>
      </c>
      <c r="B308" s="127">
        <f t="shared" si="13"/>
        <v>0</v>
      </c>
      <c r="C308" s="606" t="str">
        <f>'dbc''s'!J174</f>
        <v>QV041</v>
      </c>
      <c r="D308" s="607">
        <f>'dbc''s'!K174</f>
        <v>0</v>
      </c>
      <c r="E308" s="491" t="s">
        <v>1248</v>
      </c>
      <c r="G308" s="595">
        <f>ROUND(D308*voorblad!$R$39,0)</f>
        <v>0</v>
      </c>
      <c r="H308" s="608">
        <f>voorblad!$G$6</f>
        <v>0</v>
      </c>
    </row>
    <row r="309" spans="1:8" ht="12.75">
      <c r="A309" s="491">
        <f t="shared" si="14"/>
        <v>307</v>
      </c>
      <c r="B309" s="127">
        <f t="shared" si="13"/>
        <v>0</v>
      </c>
      <c r="C309" s="606" t="str">
        <f>'dbc''s'!J175</f>
        <v>QV042</v>
      </c>
      <c r="D309" s="607">
        <f>'dbc''s'!K175</f>
        <v>0</v>
      </c>
      <c r="E309" s="491" t="s">
        <v>1248</v>
      </c>
      <c r="G309" s="595">
        <f>ROUND(D309*voorblad!$R$39,0)</f>
        <v>0</v>
      </c>
      <c r="H309" s="608">
        <f>voorblad!$G$6</f>
        <v>0</v>
      </c>
    </row>
    <row r="310" spans="1:8" ht="12.75">
      <c r="A310" s="491">
        <f t="shared" si="14"/>
        <v>308</v>
      </c>
      <c r="B310" s="127">
        <f t="shared" si="13"/>
        <v>0</v>
      </c>
      <c r="C310" s="606" t="str">
        <f>'dbc''s'!J176</f>
        <v>QV043</v>
      </c>
      <c r="D310" s="607">
        <f>'dbc''s'!K176</f>
        <v>0</v>
      </c>
      <c r="E310" s="491" t="s">
        <v>1248</v>
      </c>
      <c r="G310" s="595">
        <f>ROUND(D310*voorblad!$R$39,0)</f>
        <v>0</v>
      </c>
      <c r="H310" s="608">
        <f>voorblad!$G$6</f>
        <v>0</v>
      </c>
    </row>
    <row r="311" spans="1:8" ht="12.75">
      <c r="A311" s="491">
        <f t="shared" si="14"/>
        <v>309</v>
      </c>
      <c r="B311" s="127">
        <f t="shared" si="13"/>
        <v>0</v>
      </c>
      <c r="C311" s="606" t="str">
        <f>'dbc''s'!J177</f>
        <v>QV044</v>
      </c>
      <c r="D311" s="607">
        <f>'dbc''s'!K177</f>
        <v>0</v>
      </c>
      <c r="E311" s="491" t="s">
        <v>1248</v>
      </c>
      <c r="G311" s="595">
        <f>ROUND(D311*voorblad!$R$39,0)</f>
        <v>0</v>
      </c>
      <c r="H311" s="608">
        <f>voorblad!$G$6</f>
        <v>0</v>
      </c>
    </row>
    <row r="312" spans="1:8" ht="12.75">
      <c r="A312" s="491">
        <f t="shared" si="14"/>
        <v>310</v>
      </c>
      <c r="B312" s="127">
        <f t="shared" si="13"/>
        <v>0</v>
      </c>
      <c r="C312" s="606" t="str">
        <f>'dbc''s'!J178</f>
        <v>QV045</v>
      </c>
      <c r="D312" s="607">
        <f>'dbc''s'!K178</f>
        <v>0</v>
      </c>
      <c r="E312" s="491" t="s">
        <v>1248</v>
      </c>
      <c r="G312" s="595">
        <f>ROUND(D312*voorblad!$R$39,0)</f>
        <v>0</v>
      </c>
      <c r="H312" s="608">
        <f>voorblad!$G$6</f>
        <v>0</v>
      </c>
    </row>
    <row r="313" spans="1:8" ht="12.75">
      <c r="A313" s="491">
        <f t="shared" si="14"/>
        <v>311</v>
      </c>
      <c r="B313" s="127">
        <f t="shared" si="13"/>
        <v>0</v>
      </c>
      <c r="C313" s="606" t="str">
        <f>'dbc''s'!J179</f>
        <v>QV051</v>
      </c>
      <c r="D313" s="607">
        <f>'dbc''s'!K179</f>
        <v>0</v>
      </c>
      <c r="E313" s="491" t="s">
        <v>1248</v>
      </c>
      <c r="G313" s="595">
        <f>ROUND(D313*voorblad!$R$39,0)</f>
        <v>0</v>
      </c>
      <c r="H313" s="608">
        <f>voorblad!$G$6</f>
        <v>0</v>
      </c>
    </row>
    <row r="314" spans="1:8" ht="12.75">
      <c r="A314" s="491">
        <f t="shared" si="14"/>
        <v>312</v>
      </c>
      <c r="B314" s="127">
        <f t="shared" si="13"/>
        <v>0</v>
      </c>
      <c r="C314" s="606" t="str">
        <f>'dbc''s'!J180</f>
        <v>QV052</v>
      </c>
      <c r="D314" s="607">
        <f>'dbc''s'!K180</f>
        <v>0</v>
      </c>
      <c r="E314" s="491" t="s">
        <v>1248</v>
      </c>
      <c r="G314" s="595">
        <f>ROUND(D314*voorblad!$R$39,0)</f>
        <v>0</v>
      </c>
      <c r="H314" s="608">
        <f>voorblad!$G$6</f>
        <v>0</v>
      </c>
    </row>
    <row r="315" spans="1:8" ht="12.75">
      <c r="A315" s="491">
        <f t="shared" si="14"/>
        <v>313</v>
      </c>
      <c r="B315" s="127">
        <f t="shared" si="13"/>
        <v>0</v>
      </c>
      <c r="C315" s="606" t="str">
        <f>'dbc''s'!J181</f>
        <v>QV053</v>
      </c>
      <c r="D315" s="607">
        <f>'dbc''s'!K181</f>
        <v>0</v>
      </c>
      <c r="E315" s="491" t="s">
        <v>1248</v>
      </c>
      <c r="G315" s="595">
        <f>ROUND(D315*voorblad!$R$39,0)</f>
        <v>0</v>
      </c>
      <c r="H315" s="608">
        <f>voorblad!$G$6</f>
        <v>0</v>
      </c>
    </row>
    <row r="316" spans="1:8" ht="12.75">
      <c r="A316" s="491">
        <f t="shared" si="14"/>
        <v>314</v>
      </c>
      <c r="B316" s="127">
        <f t="shared" si="13"/>
        <v>0</v>
      </c>
      <c r="C316" s="606" t="str">
        <f>'dbc''s'!J182</f>
        <v>QV054</v>
      </c>
      <c r="D316" s="607">
        <f>'dbc''s'!K182</f>
        <v>0</v>
      </c>
      <c r="E316" s="491" t="s">
        <v>1248</v>
      </c>
      <c r="G316" s="595">
        <f>ROUND(D316*voorblad!$R$39,0)</f>
        <v>0</v>
      </c>
      <c r="H316" s="608">
        <f>voorblad!$G$6</f>
        <v>0</v>
      </c>
    </row>
    <row r="317" spans="1:8" ht="12.75">
      <c r="A317" s="491">
        <f t="shared" si="14"/>
        <v>315</v>
      </c>
      <c r="B317" s="127">
        <f t="shared" si="13"/>
        <v>0</v>
      </c>
      <c r="C317" s="606" t="str">
        <f>'dbc''s'!J183</f>
        <v>QV055</v>
      </c>
      <c r="D317" s="607">
        <f>'dbc''s'!K183</f>
        <v>0</v>
      </c>
      <c r="E317" s="491" t="s">
        <v>1248</v>
      </c>
      <c r="G317" s="595">
        <f>ROUND(D317*voorblad!$R$39,0)</f>
        <v>0</v>
      </c>
      <c r="H317" s="608">
        <f>voorblad!$G$6</f>
        <v>0</v>
      </c>
    </row>
    <row r="318" spans="1:8" ht="12.75">
      <c r="A318" s="491">
        <f t="shared" si="14"/>
        <v>316</v>
      </c>
      <c r="B318" s="127">
        <f t="shared" si="13"/>
        <v>0</v>
      </c>
      <c r="C318" s="606" t="str">
        <f>'dbc''s'!J184</f>
        <v>QV061</v>
      </c>
      <c r="D318" s="607">
        <f>'dbc''s'!K184</f>
        <v>0</v>
      </c>
      <c r="E318" s="491" t="s">
        <v>1248</v>
      </c>
      <c r="G318" s="595">
        <f>ROUND(D318*voorblad!$R$39,0)</f>
        <v>0</v>
      </c>
      <c r="H318" s="608">
        <f>voorblad!$G$6</f>
        <v>0</v>
      </c>
    </row>
    <row r="319" spans="1:8" ht="12.75">
      <c r="A319" s="491">
        <f t="shared" si="14"/>
        <v>317</v>
      </c>
      <c r="B319" s="127">
        <f t="shared" si="13"/>
        <v>0</v>
      </c>
      <c r="C319" s="606" t="str">
        <f>'dbc''s'!J185</f>
        <v>QV062</v>
      </c>
      <c r="D319" s="607">
        <f>'dbc''s'!K185</f>
        <v>0</v>
      </c>
      <c r="E319" s="491" t="s">
        <v>1248</v>
      </c>
      <c r="G319" s="595">
        <f>ROUND(D319*voorblad!$R$39,0)</f>
        <v>0</v>
      </c>
      <c r="H319" s="608">
        <f>voorblad!$G$6</f>
        <v>0</v>
      </c>
    </row>
    <row r="320" spans="1:8" ht="12.75">
      <c r="A320" s="491">
        <f t="shared" si="14"/>
        <v>318</v>
      </c>
      <c r="B320" s="127">
        <f t="shared" si="13"/>
        <v>0</v>
      </c>
      <c r="C320" s="606" t="str">
        <f>'dbc''s'!J186</f>
        <v>QV063</v>
      </c>
      <c r="D320" s="607">
        <f>'dbc''s'!K186</f>
        <v>0</v>
      </c>
      <c r="E320" s="491" t="s">
        <v>1248</v>
      </c>
      <c r="G320" s="595">
        <f>ROUND(D320*voorblad!$R$39,0)</f>
        <v>0</v>
      </c>
      <c r="H320" s="608">
        <f>voorblad!$G$6</f>
        <v>0</v>
      </c>
    </row>
    <row r="321" spans="1:8" ht="12.75">
      <c r="A321" s="491">
        <f t="shared" si="14"/>
        <v>319</v>
      </c>
      <c r="B321" s="127">
        <f t="shared" si="13"/>
        <v>0</v>
      </c>
      <c r="C321" s="606" t="str">
        <f>'dbc''s'!J187</f>
        <v>QV064</v>
      </c>
      <c r="D321" s="607">
        <f>'dbc''s'!K187</f>
        <v>0</v>
      </c>
      <c r="E321" s="491" t="s">
        <v>1248</v>
      </c>
      <c r="G321" s="595">
        <f>ROUND(D321*voorblad!$R$39,0)</f>
        <v>0</v>
      </c>
      <c r="H321" s="608">
        <f>voorblad!$G$6</f>
        <v>0</v>
      </c>
    </row>
    <row r="322" spans="1:8" ht="12.75">
      <c r="A322" s="491">
        <f t="shared" si="14"/>
        <v>320</v>
      </c>
      <c r="B322" s="127">
        <f t="shared" si="13"/>
        <v>0</v>
      </c>
      <c r="C322" s="606" t="str">
        <f>'dbc''s'!J188</f>
        <v>QV065</v>
      </c>
      <c r="D322" s="607">
        <f>'dbc''s'!K188</f>
        <v>0</v>
      </c>
      <c r="E322" s="491" t="s">
        <v>1248</v>
      </c>
      <c r="G322" s="595">
        <f>ROUND(D322*voorblad!$R$39,0)</f>
        <v>0</v>
      </c>
      <c r="H322" s="608">
        <f>voorblad!$G$6</f>
        <v>0</v>
      </c>
    </row>
    <row r="323" spans="1:8" ht="12.75">
      <c r="A323" s="491">
        <f t="shared" si="14"/>
        <v>321</v>
      </c>
      <c r="B323" s="127">
        <f t="shared" si="13"/>
        <v>0</v>
      </c>
      <c r="C323" s="606" t="str">
        <f>'dbc''s'!J189</f>
        <v>QV071</v>
      </c>
      <c r="D323" s="607">
        <f>'dbc''s'!K189</f>
        <v>0</v>
      </c>
      <c r="E323" s="491" t="s">
        <v>1248</v>
      </c>
      <c r="G323" s="595">
        <f>ROUND(D323*voorblad!$R$39,0)</f>
        <v>0</v>
      </c>
      <c r="H323" s="608">
        <f>voorblad!$G$6</f>
        <v>0</v>
      </c>
    </row>
    <row r="324" spans="1:8" ht="12.75">
      <c r="A324" s="491">
        <f t="shared" si="14"/>
        <v>322</v>
      </c>
      <c r="B324" s="127">
        <f t="shared" si="13"/>
        <v>0</v>
      </c>
      <c r="C324" s="606" t="str">
        <f>'dbc''s'!J190</f>
        <v>QV072</v>
      </c>
      <c r="D324" s="607">
        <f>'dbc''s'!K190</f>
        <v>0</v>
      </c>
      <c r="E324" s="491" t="s">
        <v>1248</v>
      </c>
      <c r="G324" s="595">
        <f>ROUND(D324*voorblad!$R$39,0)</f>
        <v>0</v>
      </c>
      <c r="H324" s="608">
        <f>voorblad!$G$6</f>
        <v>0</v>
      </c>
    </row>
    <row r="325" spans="1:8" ht="12.75">
      <c r="A325" s="491">
        <f t="shared" si="14"/>
        <v>323</v>
      </c>
      <c r="B325" s="127">
        <f t="shared" si="13"/>
        <v>0</v>
      </c>
      <c r="C325" s="606" t="str">
        <f>'dbc''s'!J191</f>
        <v>QV073</v>
      </c>
      <c r="D325" s="607">
        <f>'dbc''s'!K191</f>
        <v>0</v>
      </c>
      <c r="E325" s="491" t="s">
        <v>1248</v>
      </c>
      <c r="G325" s="595">
        <f>ROUND(D325*voorblad!$R$39,0)</f>
        <v>0</v>
      </c>
      <c r="H325" s="608">
        <f>voorblad!$G$6</f>
        <v>0</v>
      </c>
    </row>
    <row r="326" spans="1:8" ht="12.75">
      <c r="A326" s="491">
        <f t="shared" si="14"/>
        <v>324</v>
      </c>
      <c r="B326" s="127">
        <f t="shared" si="13"/>
        <v>0</v>
      </c>
      <c r="C326" s="606" t="str">
        <f>'dbc''s'!J192</f>
        <v>QV074</v>
      </c>
      <c r="D326" s="607">
        <f>'dbc''s'!K192</f>
        <v>0</v>
      </c>
      <c r="E326" s="491" t="s">
        <v>1248</v>
      </c>
      <c r="G326" s="595">
        <f>ROUND(D326*voorblad!$R$39,0)</f>
        <v>0</v>
      </c>
      <c r="H326" s="608">
        <f>voorblad!$G$6</f>
        <v>0</v>
      </c>
    </row>
    <row r="327" spans="1:8" ht="12.75">
      <c r="A327" s="491">
        <f t="shared" si="14"/>
        <v>325</v>
      </c>
      <c r="B327" s="127">
        <f t="shared" si="13"/>
        <v>0</v>
      </c>
      <c r="C327" s="606" t="str">
        <f>'dbc''s'!J193</f>
        <v>QV075</v>
      </c>
      <c r="D327" s="607">
        <f>'dbc''s'!K193</f>
        <v>0</v>
      </c>
      <c r="E327" s="491" t="s">
        <v>1248</v>
      </c>
      <c r="G327" s="595">
        <f>ROUND(D327*voorblad!$R$39,0)</f>
        <v>0</v>
      </c>
      <c r="H327" s="608">
        <f>voorblad!$G$6</f>
        <v>0</v>
      </c>
    </row>
    <row r="328" spans="1:8" ht="12.75">
      <c r="A328" s="491">
        <f t="shared" si="14"/>
        <v>326</v>
      </c>
      <c r="B328" s="127">
        <f t="shared" si="13"/>
        <v>0</v>
      </c>
      <c r="C328" s="606" t="str">
        <f>'dbc''s'!J194</f>
        <v>QV111</v>
      </c>
      <c r="D328" s="607">
        <f>'dbc''s'!K194</f>
        <v>0</v>
      </c>
      <c r="E328" s="491" t="s">
        <v>1248</v>
      </c>
      <c r="G328" s="595">
        <f>ROUND(D328*voorblad!$R$39,0)</f>
        <v>0</v>
      </c>
      <c r="H328" s="608">
        <f>voorblad!$G$6</f>
        <v>0</v>
      </c>
    </row>
    <row r="329" spans="1:8" ht="12.75">
      <c r="A329" s="491">
        <f t="shared" si="14"/>
        <v>327</v>
      </c>
      <c r="B329" s="127">
        <f t="shared" si="13"/>
        <v>0</v>
      </c>
      <c r="C329" s="606" t="str">
        <f>'dbc''s'!J195</f>
        <v>QV112</v>
      </c>
      <c r="D329" s="607">
        <f>'dbc''s'!K195</f>
        <v>0</v>
      </c>
      <c r="E329" s="491" t="s">
        <v>1248</v>
      </c>
      <c r="G329" s="595">
        <f>ROUND(D329*voorblad!$R$39,0)</f>
        <v>0</v>
      </c>
      <c r="H329" s="608">
        <f>voorblad!$G$6</f>
        <v>0</v>
      </c>
    </row>
    <row r="330" spans="1:8" ht="12.75">
      <c r="A330" s="491">
        <f t="shared" si="14"/>
        <v>328</v>
      </c>
      <c r="B330" s="127">
        <f t="shared" si="13"/>
        <v>0</v>
      </c>
      <c r="C330" s="606" t="str">
        <f>'dbc''s'!J196</f>
        <v>QV113</v>
      </c>
      <c r="D330" s="607">
        <f>'dbc''s'!K196</f>
        <v>0</v>
      </c>
      <c r="E330" s="491" t="s">
        <v>1248</v>
      </c>
      <c r="G330" s="595">
        <f>ROUND(D330*voorblad!$R$39,0)</f>
        <v>0</v>
      </c>
      <c r="H330" s="608">
        <f>voorblad!$G$6</f>
        <v>0</v>
      </c>
    </row>
    <row r="331" spans="1:8" ht="12.75">
      <c r="A331" s="491">
        <f t="shared" si="14"/>
        <v>329</v>
      </c>
      <c r="B331" s="127">
        <f t="shared" si="13"/>
        <v>0</v>
      </c>
      <c r="C331" s="606" t="str">
        <f>'dbc''s'!J197</f>
        <v>QV114</v>
      </c>
      <c r="D331" s="607">
        <f>'dbc''s'!K197</f>
        <v>0</v>
      </c>
      <c r="E331" s="491" t="s">
        <v>1248</v>
      </c>
      <c r="G331" s="595">
        <f>ROUND(D331*voorblad!$R$39,0)</f>
        <v>0</v>
      </c>
      <c r="H331" s="608">
        <f>voorblad!$G$6</f>
        <v>0</v>
      </c>
    </row>
    <row r="332" spans="1:8" ht="12.75">
      <c r="A332" s="491">
        <f t="shared" si="14"/>
        <v>330</v>
      </c>
      <c r="B332" s="127">
        <f t="shared" si="13"/>
        <v>0</v>
      </c>
      <c r="C332" s="606" t="str">
        <f>'dbc''s'!J198</f>
        <v>QV115</v>
      </c>
      <c r="D332" s="607">
        <f>'dbc''s'!K198</f>
        <v>0</v>
      </c>
      <c r="E332" s="491" t="s">
        <v>1248</v>
      </c>
      <c r="G332" s="595">
        <f>ROUND(D332*voorblad!$R$39,0)</f>
        <v>0</v>
      </c>
      <c r="H332" s="608">
        <f>voorblad!$G$6</f>
        <v>0</v>
      </c>
    </row>
    <row r="333" spans="1:8" ht="12.75">
      <c r="A333" s="491">
        <f t="shared" si="14"/>
        <v>331</v>
      </c>
      <c r="B333" s="127">
        <f t="shared" si="13"/>
        <v>0</v>
      </c>
      <c r="C333" s="606" t="str">
        <f>'dbc''s'!J199</f>
        <v>QV121</v>
      </c>
      <c r="D333" s="607">
        <f>'dbc''s'!K199</f>
        <v>0</v>
      </c>
      <c r="E333" s="491" t="s">
        <v>1248</v>
      </c>
      <c r="G333" s="595">
        <f>ROUND(D333*voorblad!$R$39,0)</f>
        <v>0</v>
      </c>
      <c r="H333" s="608">
        <f>voorblad!$G$6</f>
        <v>0</v>
      </c>
    </row>
    <row r="334" spans="1:8" ht="12.75">
      <c r="A334" s="491">
        <f t="shared" si="14"/>
        <v>332</v>
      </c>
      <c r="B334" s="127">
        <f t="shared" si="13"/>
        <v>0</v>
      </c>
      <c r="C334" s="606" t="str">
        <f>'dbc''s'!J200</f>
        <v>QV122</v>
      </c>
      <c r="D334" s="607">
        <f>'dbc''s'!K200</f>
        <v>0</v>
      </c>
      <c r="E334" s="491" t="s">
        <v>1248</v>
      </c>
      <c r="G334" s="595">
        <f>ROUND(D334*voorblad!$R$39,0)</f>
        <v>0</v>
      </c>
      <c r="H334" s="608">
        <f>voorblad!$G$6</f>
        <v>0</v>
      </c>
    </row>
    <row r="335" spans="1:8" ht="12.75">
      <c r="A335" s="491">
        <f t="shared" si="14"/>
        <v>333</v>
      </c>
      <c r="B335" s="127">
        <f t="shared" si="13"/>
        <v>0</v>
      </c>
      <c r="C335" s="606" t="str">
        <f>'dbc''s'!J201</f>
        <v>QV123</v>
      </c>
      <c r="D335" s="607">
        <f>'dbc''s'!K201</f>
        <v>0</v>
      </c>
      <c r="E335" s="491" t="s">
        <v>1248</v>
      </c>
      <c r="G335" s="595">
        <f>ROUND(D335*voorblad!$R$39,0)</f>
        <v>0</v>
      </c>
      <c r="H335" s="608">
        <f>voorblad!$G$6</f>
        <v>0</v>
      </c>
    </row>
    <row r="336" spans="1:8" ht="12.75">
      <c r="A336" s="491">
        <f t="shared" si="14"/>
        <v>334</v>
      </c>
      <c r="B336" s="127">
        <f t="shared" si="13"/>
        <v>0</v>
      </c>
      <c r="C336" s="606" t="str">
        <f>'dbc''s'!J202</f>
        <v>QV124</v>
      </c>
      <c r="D336" s="607">
        <f>'dbc''s'!K202</f>
        <v>0</v>
      </c>
      <c r="E336" s="491" t="s">
        <v>1248</v>
      </c>
      <c r="G336" s="595">
        <f>ROUND(D336*voorblad!$R$39,0)</f>
        <v>0</v>
      </c>
      <c r="H336" s="608">
        <f>voorblad!$G$6</f>
        <v>0</v>
      </c>
    </row>
    <row r="337" spans="1:8" ht="12.75">
      <c r="A337" s="491">
        <f t="shared" si="14"/>
        <v>335</v>
      </c>
      <c r="B337" s="127">
        <f t="shared" si="13"/>
        <v>0</v>
      </c>
      <c r="C337" s="606" t="str">
        <f>'dbc''s'!J203</f>
        <v>QV125</v>
      </c>
      <c r="D337" s="607">
        <f>'dbc''s'!K203</f>
        <v>0</v>
      </c>
      <c r="E337" s="491" t="s">
        <v>1248</v>
      </c>
      <c r="G337" s="595">
        <f>ROUND(D337*voorblad!$R$39,0)</f>
        <v>0</v>
      </c>
      <c r="H337" s="608">
        <f>voorblad!$G$6</f>
        <v>0</v>
      </c>
    </row>
    <row r="338" spans="1:8" ht="12.75">
      <c r="A338" s="491">
        <f t="shared" si="14"/>
        <v>336</v>
      </c>
      <c r="B338" s="127">
        <f t="shared" si="13"/>
        <v>0</v>
      </c>
      <c r="C338" s="606" t="str">
        <f>'dbc''s'!J204</f>
        <v>QV131</v>
      </c>
      <c r="D338" s="607">
        <f>'dbc''s'!K204</f>
        <v>0</v>
      </c>
      <c r="E338" s="491" t="s">
        <v>1248</v>
      </c>
      <c r="G338" s="595">
        <f>ROUND(D338*voorblad!$R$39,0)</f>
        <v>0</v>
      </c>
      <c r="H338" s="608">
        <f>voorblad!$G$6</f>
        <v>0</v>
      </c>
    </row>
    <row r="339" spans="1:8" ht="12.75">
      <c r="A339" s="491">
        <f t="shared" si="14"/>
        <v>337</v>
      </c>
      <c r="B339" s="127">
        <f t="shared" si="13"/>
        <v>0</v>
      </c>
      <c r="C339" s="606" t="str">
        <f>'dbc''s'!J205</f>
        <v>QV132</v>
      </c>
      <c r="D339" s="607">
        <f>'dbc''s'!K205</f>
        <v>0</v>
      </c>
      <c r="E339" s="491" t="s">
        <v>1248</v>
      </c>
      <c r="G339" s="595">
        <f>ROUND(D339*voorblad!$R$39,0)</f>
        <v>0</v>
      </c>
      <c r="H339" s="608">
        <f>voorblad!$G$6</f>
        <v>0</v>
      </c>
    </row>
    <row r="340" spans="1:8" ht="12.75">
      <c r="A340" s="491">
        <f t="shared" si="14"/>
        <v>338</v>
      </c>
      <c r="B340" s="127">
        <f t="shared" si="13"/>
        <v>0</v>
      </c>
      <c r="C340" s="606" t="str">
        <f>'dbc''s'!J206</f>
        <v>QV133</v>
      </c>
      <c r="D340" s="607">
        <f>'dbc''s'!K206</f>
        <v>0</v>
      </c>
      <c r="E340" s="491" t="s">
        <v>1248</v>
      </c>
      <c r="G340" s="595">
        <f>ROUND(D340*voorblad!$R$39,0)</f>
        <v>0</v>
      </c>
      <c r="H340" s="608">
        <f>voorblad!$G$6</f>
        <v>0</v>
      </c>
    </row>
    <row r="341" spans="1:8" ht="12.75">
      <c r="A341" s="491">
        <f t="shared" si="14"/>
        <v>339</v>
      </c>
      <c r="B341" s="127">
        <f t="shared" si="13"/>
        <v>0</v>
      </c>
      <c r="C341" s="606" t="str">
        <f>'dbc''s'!J207</f>
        <v>QV134</v>
      </c>
      <c r="D341" s="607">
        <f>'dbc''s'!K207</f>
        <v>0</v>
      </c>
      <c r="E341" s="491" t="s">
        <v>1248</v>
      </c>
      <c r="G341" s="595">
        <f>ROUND(D341*voorblad!$R$39,0)</f>
        <v>0</v>
      </c>
      <c r="H341" s="608">
        <f>voorblad!$G$6</f>
        <v>0</v>
      </c>
    </row>
    <row r="342" spans="1:8" ht="12.75">
      <c r="A342" s="491">
        <f t="shared" si="14"/>
        <v>340</v>
      </c>
      <c r="B342" s="127">
        <f t="shared" si="13"/>
        <v>0</v>
      </c>
      <c r="C342" s="606" t="str">
        <f>'dbc''s'!J208</f>
        <v>QV135</v>
      </c>
      <c r="D342" s="607">
        <f>'dbc''s'!K208</f>
        <v>0</v>
      </c>
      <c r="E342" s="491" t="s">
        <v>1248</v>
      </c>
      <c r="G342" s="595">
        <f>ROUND(D342*voorblad!$R$39,0)</f>
        <v>0</v>
      </c>
      <c r="H342" s="608">
        <f>voorblad!$G$6</f>
        <v>0</v>
      </c>
    </row>
    <row r="343" spans="1:8" ht="12.75">
      <c r="A343" s="491">
        <f t="shared" si="14"/>
        <v>341</v>
      </c>
      <c r="B343" s="127">
        <f t="shared" si="13"/>
        <v>0</v>
      </c>
      <c r="C343" s="606" t="str">
        <f>'dbc''s'!J209</f>
        <v>QV141</v>
      </c>
      <c r="D343" s="607">
        <f>'dbc''s'!K209</f>
        <v>0</v>
      </c>
      <c r="E343" s="491" t="s">
        <v>1248</v>
      </c>
      <c r="G343" s="595">
        <f>ROUND(D343*voorblad!$R$39,0)</f>
        <v>0</v>
      </c>
      <c r="H343" s="608">
        <f>voorblad!$G$6</f>
        <v>0</v>
      </c>
    </row>
    <row r="344" spans="1:8" ht="12.75">
      <c r="A344" s="491">
        <f t="shared" si="14"/>
        <v>342</v>
      </c>
      <c r="B344" s="127">
        <f t="shared" si="13"/>
        <v>0</v>
      </c>
      <c r="C344" s="606" t="str">
        <f>'dbc''s'!J210</f>
        <v>QV142</v>
      </c>
      <c r="D344" s="607">
        <f>'dbc''s'!K210</f>
        <v>0</v>
      </c>
      <c r="E344" s="491" t="s">
        <v>1248</v>
      </c>
      <c r="G344" s="595">
        <f>ROUND(D344*voorblad!$R$39,0)</f>
        <v>0</v>
      </c>
      <c r="H344" s="608">
        <f>voorblad!$G$6</f>
        <v>0</v>
      </c>
    </row>
    <row r="345" spans="1:8" ht="12.75">
      <c r="A345" s="491">
        <f t="shared" si="14"/>
        <v>343</v>
      </c>
      <c r="B345" s="127">
        <f t="shared" si="13"/>
        <v>0</v>
      </c>
      <c r="C345" s="606" t="str">
        <f>'dbc''s'!J211</f>
        <v>QV143</v>
      </c>
      <c r="D345" s="607">
        <f>'dbc''s'!K211</f>
        <v>0</v>
      </c>
      <c r="E345" s="491" t="s">
        <v>1248</v>
      </c>
      <c r="G345" s="595">
        <f>ROUND(D345*voorblad!$R$39,0)</f>
        <v>0</v>
      </c>
      <c r="H345" s="608">
        <f>voorblad!$G$6</f>
        <v>0</v>
      </c>
    </row>
    <row r="346" spans="1:8" ht="12.75">
      <c r="A346" s="491">
        <f t="shared" si="14"/>
        <v>344</v>
      </c>
      <c r="B346" s="127">
        <f t="shared" si="13"/>
        <v>0</v>
      </c>
      <c r="C346" s="606" t="str">
        <f>'dbc''s'!J212</f>
        <v>QV144</v>
      </c>
      <c r="D346" s="607">
        <f>'dbc''s'!K212</f>
        <v>0</v>
      </c>
      <c r="E346" s="491" t="s">
        <v>1248</v>
      </c>
      <c r="G346" s="595">
        <f>ROUND(D346*voorblad!$R$39,0)</f>
        <v>0</v>
      </c>
      <c r="H346" s="608">
        <f>voorblad!$G$6</f>
        <v>0</v>
      </c>
    </row>
    <row r="347" spans="1:8" ht="12.75">
      <c r="A347" s="491">
        <f t="shared" si="14"/>
        <v>345</v>
      </c>
      <c r="B347" s="127">
        <f t="shared" si="13"/>
        <v>0</v>
      </c>
      <c r="C347" s="606" t="str">
        <f>'dbc''s'!J213</f>
        <v>QV145</v>
      </c>
      <c r="D347" s="607">
        <f>'dbc''s'!K213</f>
        <v>0</v>
      </c>
      <c r="E347" s="491" t="s">
        <v>1248</v>
      </c>
      <c r="G347" s="595">
        <f>ROUND(D347*voorblad!$R$39,0)</f>
        <v>0</v>
      </c>
      <c r="H347" s="608">
        <f>voorblad!$G$6</f>
        <v>0</v>
      </c>
    </row>
    <row r="348" spans="1:8" ht="12.75">
      <c r="A348" s="491">
        <f t="shared" si="14"/>
        <v>346</v>
      </c>
      <c r="B348" s="127">
        <f t="shared" si="13"/>
        <v>0</v>
      </c>
      <c r="C348" s="606" t="str">
        <f>'dbc''s'!J214</f>
        <v>QV151</v>
      </c>
      <c r="D348" s="607">
        <f>'dbc''s'!K214</f>
        <v>0</v>
      </c>
      <c r="E348" s="491" t="s">
        <v>1248</v>
      </c>
      <c r="G348" s="595">
        <f>ROUND(D348*voorblad!$R$39,0)</f>
        <v>0</v>
      </c>
      <c r="H348" s="608">
        <f>voorblad!$G$6</f>
        <v>0</v>
      </c>
    </row>
    <row r="349" spans="1:8" ht="12.75">
      <c r="A349" s="491">
        <f t="shared" si="14"/>
        <v>347</v>
      </c>
      <c r="B349" s="127">
        <f t="shared" si="13"/>
        <v>0</v>
      </c>
      <c r="C349" s="606" t="str">
        <f>'dbc''s'!J215</f>
        <v>QV152</v>
      </c>
      <c r="D349" s="607">
        <f>'dbc''s'!K215</f>
        <v>0</v>
      </c>
      <c r="E349" s="491" t="s">
        <v>1248</v>
      </c>
      <c r="G349" s="595">
        <f>ROUND(D349*voorblad!$R$39,0)</f>
        <v>0</v>
      </c>
      <c r="H349" s="608">
        <f>voorblad!$G$6</f>
        <v>0</v>
      </c>
    </row>
    <row r="350" spans="1:8" ht="12.75">
      <c r="A350" s="491">
        <f t="shared" si="14"/>
        <v>348</v>
      </c>
      <c r="B350" s="127">
        <f t="shared" si="13"/>
        <v>0</v>
      </c>
      <c r="C350" s="606" t="str">
        <f>'dbc''s'!J216</f>
        <v>QV153</v>
      </c>
      <c r="D350" s="607">
        <f>'dbc''s'!K216</f>
        <v>0</v>
      </c>
      <c r="E350" s="491" t="s">
        <v>1248</v>
      </c>
      <c r="G350" s="595">
        <f>ROUND(D350*voorblad!$R$39,0)</f>
        <v>0</v>
      </c>
      <c r="H350" s="608">
        <f>voorblad!$G$6</f>
        <v>0</v>
      </c>
    </row>
    <row r="351" spans="1:8" ht="12.75">
      <c r="A351" s="491">
        <f t="shared" si="14"/>
        <v>349</v>
      </c>
      <c r="B351" s="127">
        <f t="shared" si="13"/>
        <v>0</v>
      </c>
      <c r="C351" s="606" t="str">
        <f>'dbc''s'!J218</f>
        <v>QV154</v>
      </c>
      <c r="D351" s="607">
        <f>'dbc''s'!K218</f>
        <v>0</v>
      </c>
      <c r="E351" s="491" t="s">
        <v>1248</v>
      </c>
      <c r="G351" s="595">
        <f>ROUND(D351*voorblad!$R$39,0)</f>
        <v>0</v>
      </c>
      <c r="H351" s="608">
        <f>voorblad!$G$6</f>
        <v>0</v>
      </c>
    </row>
    <row r="352" spans="1:8" ht="12.75">
      <c r="A352" s="491">
        <f t="shared" si="14"/>
        <v>350</v>
      </c>
      <c r="B352" s="127">
        <f t="shared" si="13"/>
        <v>0</v>
      </c>
      <c r="C352" s="606" t="str">
        <f>'dbc''s'!J219</f>
        <v>QV155</v>
      </c>
      <c r="D352" s="607">
        <f>'dbc''s'!K219</f>
        <v>0</v>
      </c>
      <c r="E352" s="491" t="s">
        <v>1248</v>
      </c>
      <c r="G352" s="595">
        <f>ROUND(D352*voorblad!$R$39,0)</f>
        <v>0</v>
      </c>
      <c r="H352" s="608">
        <f>voorblad!$G$6</f>
        <v>0</v>
      </c>
    </row>
    <row r="353" spans="1:8" ht="12.75">
      <c r="A353" s="491">
        <f t="shared" si="14"/>
        <v>351</v>
      </c>
      <c r="B353" s="127">
        <f t="shared" si="13"/>
        <v>0</v>
      </c>
      <c r="C353" s="606" t="str">
        <f>'dbc''s'!J220</f>
        <v>QV161</v>
      </c>
      <c r="D353" s="607">
        <f>'dbc''s'!K220</f>
        <v>0</v>
      </c>
      <c r="E353" s="491" t="s">
        <v>1248</v>
      </c>
      <c r="G353" s="595">
        <f>ROUND(D353*voorblad!$R$39,0)</f>
        <v>0</v>
      </c>
      <c r="H353" s="608">
        <f>voorblad!$G$6</f>
        <v>0</v>
      </c>
    </row>
    <row r="354" spans="1:8" ht="12.75">
      <c r="A354" s="491">
        <f t="shared" si="14"/>
        <v>352</v>
      </c>
      <c r="B354" s="127">
        <f t="shared" si="13"/>
        <v>0</v>
      </c>
      <c r="C354" s="606" t="str">
        <f>'dbc''s'!J221</f>
        <v>QV162</v>
      </c>
      <c r="D354" s="607">
        <f>'dbc''s'!K221</f>
        <v>0</v>
      </c>
      <c r="E354" s="491" t="s">
        <v>1248</v>
      </c>
      <c r="G354" s="595">
        <f>ROUND(D354*voorblad!$R$39,0)</f>
        <v>0</v>
      </c>
      <c r="H354" s="608">
        <f>voorblad!$G$6</f>
        <v>0</v>
      </c>
    </row>
    <row r="355" spans="1:8" ht="12.75">
      <c r="A355" s="491">
        <f t="shared" si="14"/>
        <v>353</v>
      </c>
      <c r="B355" s="127">
        <f t="shared" si="13"/>
        <v>0</v>
      </c>
      <c r="C355" s="606" t="str">
        <f>'dbc''s'!J222</f>
        <v>QV163</v>
      </c>
      <c r="D355" s="607">
        <f>'dbc''s'!K222</f>
        <v>0</v>
      </c>
      <c r="E355" s="491" t="s">
        <v>1248</v>
      </c>
      <c r="G355" s="595">
        <f>ROUND(D355*voorblad!$R$39,0)</f>
        <v>0</v>
      </c>
      <c r="H355" s="608">
        <f>voorblad!$G$6</f>
        <v>0</v>
      </c>
    </row>
    <row r="356" spans="1:8" ht="12.75">
      <c r="A356" s="491">
        <f t="shared" si="14"/>
        <v>354</v>
      </c>
      <c r="B356" s="127">
        <f t="shared" si="13"/>
        <v>0</v>
      </c>
      <c r="C356" s="606" t="str">
        <f>'dbc''s'!J223</f>
        <v>QV164</v>
      </c>
      <c r="D356" s="607">
        <f>'dbc''s'!K223</f>
        <v>0</v>
      </c>
      <c r="E356" s="491" t="s">
        <v>1248</v>
      </c>
      <c r="G356" s="595">
        <f>ROUND(D356*voorblad!$R$39,0)</f>
        <v>0</v>
      </c>
      <c r="H356" s="608">
        <f>voorblad!$G$6</f>
        <v>0</v>
      </c>
    </row>
    <row r="357" spans="1:8" ht="12.75">
      <c r="A357" s="491">
        <f t="shared" si="14"/>
        <v>355</v>
      </c>
      <c r="B357" s="127">
        <f t="shared" si="13"/>
        <v>0</v>
      </c>
      <c r="C357" s="606" t="str">
        <f>'dbc''s'!J224</f>
        <v>QV165</v>
      </c>
      <c r="D357" s="607">
        <f>'dbc''s'!K224</f>
        <v>0</v>
      </c>
      <c r="E357" s="491" t="s">
        <v>1248</v>
      </c>
      <c r="G357" s="595">
        <f>ROUND(D357*voorblad!$R$39,0)</f>
        <v>0</v>
      </c>
      <c r="H357" s="608">
        <f>voorblad!$G$6</f>
        <v>0</v>
      </c>
    </row>
    <row r="358" spans="1:8" ht="12.75">
      <c r="A358" s="491">
        <f t="shared" si="14"/>
        <v>356</v>
      </c>
      <c r="B358" s="127">
        <f t="shared" si="13"/>
        <v>0</v>
      </c>
      <c r="C358" s="606" t="str">
        <f>'dbc''s'!J225</f>
        <v>QV171</v>
      </c>
      <c r="D358" s="607">
        <f>'dbc''s'!K225</f>
        <v>0</v>
      </c>
      <c r="E358" s="491" t="s">
        <v>1248</v>
      </c>
      <c r="G358" s="595">
        <f>ROUND(D358*voorblad!$R$39,0)</f>
        <v>0</v>
      </c>
      <c r="H358" s="608">
        <f>voorblad!$G$6</f>
        <v>0</v>
      </c>
    </row>
    <row r="359" spans="1:8" ht="12.75">
      <c r="A359" s="491">
        <f t="shared" si="14"/>
        <v>357</v>
      </c>
      <c r="B359" s="127">
        <f t="shared" si="13"/>
        <v>0</v>
      </c>
      <c r="C359" s="606" t="str">
        <f>'dbc''s'!J226</f>
        <v>QV172</v>
      </c>
      <c r="D359" s="607">
        <f>'dbc''s'!K226</f>
        <v>0</v>
      </c>
      <c r="E359" s="491" t="s">
        <v>1248</v>
      </c>
      <c r="G359" s="595">
        <f>ROUND(D359*voorblad!$R$39,0)</f>
        <v>0</v>
      </c>
      <c r="H359" s="608">
        <f>voorblad!$G$6</f>
        <v>0</v>
      </c>
    </row>
    <row r="360" spans="1:8" ht="12.75">
      <c r="A360" s="491">
        <f t="shared" si="14"/>
        <v>358</v>
      </c>
      <c r="B360" s="127">
        <f t="shared" si="13"/>
        <v>0</v>
      </c>
      <c r="C360" s="606" t="str">
        <f>'dbc''s'!J227</f>
        <v>QV173</v>
      </c>
      <c r="D360" s="607">
        <f>'dbc''s'!K227</f>
        <v>0</v>
      </c>
      <c r="E360" s="491" t="s">
        <v>1248</v>
      </c>
      <c r="G360" s="595">
        <f>ROUND(D360*voorblad!$R$39,0)</f>
        <v>0</v>
      </c>
      <c r="H360" s="608">
        <f>voorblad!$G$6</f>
        <v>0</v>
      </c>
    </row>
    <row r="361" spans="1:8" ht="12.75">
      <c r="A361" s="491">
        <f t="shared" si="14"/>
        <v>359</v>
      </c>
      <c r="B361" s="127">
        <f t="shared" si="13"/>
        <v>0</v>
      </c>
      <c r="C361" s="606" t="str">
        <f>'dbc''s'!J228</f>
        <v>QV174</v>
      </c>
      <c r="D361" s="607">
        <f>'dbc''s'!K228</f>
        <v>0</v>
      </c>
      <c r="E361" s="491" t="s">
        <v>1248</v>
      </c>
      <c r="G361" s="595">
        <f>ROUND(D361*voorblad!$R$39,0)</f>
        <v>0</v>
      </c>
      <c r="H361" s="608">
        <f>voorblad!$G$6</f>
        <v>0</v>
      </c>
    </row>
    <row r="362" spans="1:8" ht="12.75">
      <c r="A362" s="491">
        <f t="shared" si="14"/>
        <v>360</v>
      </c>
      <c r="B362" s="127">
        <f t="shared" si="13"/>
        <v>0</v>
      </c>
      <c r="C362" s="606" t="str">
        <f>'dbc''s'!J229</f>
        <v>QV175</v>
      </c>
      <c r="D362" s="607">
        <f>'dbc''s'!K229</f>
        <v>0</v>
      </c>
      <c r="E362" s="491" t="s">
        <v>1248</v>
      </c>
      <c r="G362" s="595">
        <f>ROUND(D362*voorblad!$R$39,0)</f>
        <v>0</v>
      </c>
      <c r="H362" s="608">
        <f>voorblad!$G$6</f>
        <v>0</v>
      </c>
    </row>
    <row r="363" spans="1:8" ht="12.75">
      <c r="A363" s="491">
        <f t="shared" si="14"/>
        <v>361</v>
      </c>
      <c r="B363" s="127">
        <f t="shared" si="13"/>
        <v>0</v>
      </c>
      <c r="C363" s="609" t="str">
        <f>'0000'!V11</f>
        <v>VA11</v>
      </c>
      <c r="D363" s="607">
        <f>'0000'!F11</f>
        <v>0</v>
      </c>
      <c r="E363" s="491" t="s">
        <v>1249</v>
      </c>
      <c r="G363" s="595">
        <f>ROUND(D363*voorblad!$R$39,0)</f>
        <v>0</v>
      </c>
      <c r="H363" s="608">
        <f>voorblad!$G$6</f>
        <v>0</v>
      </c>
    </row>
    <row r="364" spans="1:8" ht="12.75">
      <c r="A364" s="491">
        <f t="shared" si="14"/>
        <v>362</v>
      </c>
      <c r="B364" s="127">
        <f t="shared" si="13"/>
        <v>0</v>
      </c>
      <c r="C364" s="609" t="str">
        <f>'0000'!V12</f>
        <v>VA12</v>
      </c>
      <c r="D364" s="607">
        <f>'0000'!F12</f>
        <v>0</v>
      </c>
      <c r="E364" s="491" t="s">
        <v>1249</v>
      </c>
      <c r="G364" s="595">
        <f>ROUND(D364*voorblad!$R$39,0)</f>
        <v>0</v>
      </c>
      <c r="H364" s="608">
        <f>voorblad!$G$6</f>
        <v>0</v>
      </c>
    </row>
    <row r="365" spans="1:8" ht="12.75">
      <c r="A365" s="491">
        <f t="shared" si="14"/>
        <v>363</v>
      </c>
      <c r="B365" s="127">
        <f t="shared" si="13"/>
        <v>0</v>
      </c>
      <c r="C365" s="609" t="str">
        <f>'0000'!V13</f>
        <v>VA13</v>
      </c>
      <c r="D365" s="607">
        <f>'0000'!F13</f>
        <v>0</v>
      </c>
      <c r="E365" s="491" t="s">
        <v>1249</v>
      </c>
      <c r="G365" s="595">
        <f>ROUND(D365*voorblad!$R$39,0)</f>
        <v>0</v>
      </c>
      <c r="H365" s="608">
        <f>voorblad!$G$6</f>
        <v>0</v>
      </c>
    </row>
    <row r="366" spans="1:8" ht="12.75">
      <c r="A366" s="491">
        <f t="shared" si="14"/>
        <v>364</v>
      </c>
      <c r="B366" s="127">
        <f t="shared" si="13"/>
        <v>0</v>
      </c>
      <c r="C366" s="609" t="str">
        <f>'0000'!V14</f>
        <v>VA14</v>
      </c>
      <c r="D366" s="607">
        <f>'0000'!F14</f>
        <v>0</v>
      </c>
      <c r="E366" s="491" t="s">
        <v>1249</v>
      </c>
      <c r="G366" s="595">
        <f>ROUND(D366*voorblad!$R$39,0)</f>
        <v>0</v>
      </c>
      <c r="H366" s="608">
        <f>voorblad!$G$6</f>
        <v>0</v>
      </c>
    </row>
    <row r="367" spans="1:8" ht="12.75">
      <c r="A367" s="491">
        <f t="shared" si="14"/>
        <v>365</v>
      </c>
      <c r="B367" s="127">
        <f t="shared" si="13"/>
        <v>0</v>
      </c>
      <c r="C367" s="609" t="str">
        <f>'0000'!V15</f>
        <v>VA15</v>
      </c>
      <c r="D367" s="607">
        <f>'0000'!F15</f>
        <v>0</v>
      </c>
      <c r="E367" s="491" t="s">
        <v>1249</v>
      </c>
      <c r="G367" s="595">
        <f>ROUND(D367*voorblad!$R$39,0)</f>
        <v>0</v>
      </c>
      <c r="H367" s="608">
        <f>voorblad!$G$6</f>
        <v>0</v>
      </c>
    </row>
    <row r="368" spans="1:8" ht="12.75">
      <c r="A368" s="491">
        <f t="shared" si="14"/>
        <v>366</v>
      </c>
      <c r="B368" s="127">
        <f t="shared" si="13"/>
        <v>0</v>
      </c>
      <c r="C368" s="609" t="str">
        <f>'0000'!V16</f>
        <v>VA16</v>
      </c>
      <c r="D368" s="607">
        <f>'0000'!F16</f>
        <v>0</v>
      </c>
      <c r="E368" s="491" t="s">
        <v>1249</v>
      </c>
      <c r="G368" s="595">
        <f>ROUND(D368*voorblad!$R$39,0)</f>
        <v>0</v>
      </c>
      <c r="H368" s="608">
        <f>voorblad!$G$6</f>
        <v>0</v>
      </c>
    </row>
    <row r="369" spans="1:8" ht="12.75">
      <c r="A369" s="491">
        <f t="shared" si="14"/>
        <v>367</v>
      </c>
      <c r="B369" s="127">
        <f t="shared" si="13"/>
        <v>0</v>
      </c>
      <c r="C369" s="609" t="str">
        <f>'0000'!V19</f>
        <v>VK11</v>
      </c>
      <c r="D369" s="607">
        <f>'0000'!F19</f>
        <v>0</v>
      </c>
      <c r="E369" s="491" t="s">
        <v>1249</v>
      </c>
      <c r="G369" s="595">
        <f>ROUND(D369*voorblad!$R$39,0)</f>
        <v>0</v>
      </c>
      <c r="H369" s="608">
        <f>voorblad!$G$6</f>
        <v>0</v>
      </c>
    </row>
    <row r="370" spans="1:8" ht="12.75">
      <c r="A370" s="491">
        <f t="shared" si="14"/>
        <v>368</v>
      </c>
      <c r="B370" s="127">
        <f t="shared" si="13"/>
        <v>0</v>
      </c>
      <c r="C370" s="609" t="str">
        <f>'0000'!V20</f>
        <v>VK12</v>
      </c>
      <c r="D370" s="607">
        <f>'0000'!F20</f>
        <v>0</v>
      </c>
      <c r="E370" s="491" t="s">
        <v>1249</v>
      </c>
      <c r="G370" s="595">
        <f>ROUND(D370*voorblad!$R$39,0)</f>
        <v>0</v>
      </c>
      <c r="H370" s="608">
        <f>voorblad!$G$6</f>
        <v>0</v>
      </c>
    </row>
    <row r="371" spans="1:8" ht="12.75">
      <c r="A371" s="491">
        <f t="shared" si="14"/>
        <v>369</v>
      </c>
      <c r="B371" s="127">
        <f t="shared" si="13"/>
        <v>0</v>
      </c>
      <c r="C371" s="609" t="str">
        <f>'0000'!V21</f>
        <v>VK13</v>
      </c>
      <c r="D371" s="607">
        <f>'0000'!F21</f>
        <v>0</v>
      </c>
      <c r="E371" s="491" t="s">
        <v>1249</v>
      </c>
      <c r="G371" s="595">
        <f>ROUND(D371*voorblad!$R$39,0)</f>
        <v>0</v>
      </c>
      <c r="H371" s="608">
        <f>voorblad!$G$6</f>
        <v>0</v>
      </c>
    </row>
    <row r="372" spans="1:8" ht="12.75">
      <c r="A372" s="491">
        <f t="shared" si="14"/>
        <v>370</v>
      </c>
      <c r="B372" s="127">
        <f t="shared" si="13"/>
        <v>0</v>
      </c>
      <c r="C372" s="609" t="str">
        <f>'0000'!V22</f>
        <v>VK14</v>
      </c>
      <c r="D372" s="607">
        <f>'0000'!F22</f>
        <v>0</v>
      </c>
      <c r="E372" s="491" t="s">
        <v>1249</v>
      </c>
      <c r="G372" s="595">
        <f>ROUND(D372*voorblad!$R$39,0)</f>
        <v>0</v>
      </c>
      <c r="H372" s="608">
        <f>voorblad!$G$6</f>
        <v>0</v>
      </c>
    </row>
    <row r="373" spans="1:8" ht="12.75">
      <c r="A373" s="491">
        <f t="shared" si="14"/>
        <v>371</v>
      </c>
      <c r="B373" s="127">
        <f aca="true" t="shared" si="15" ref="B373:B436">B372</f>
        <v>0</v>
      </c>
      <c r="C373" s="609" t="str">
        <f>'0000'!V23</f>
        <v>VK15</v>
      </c>
      <c r="D373" s="607">
        <f>'0000'!F23</f>
        <v>0</v>
      </c>
      <c r="E373" s="491" t="s">
        <v>1249</v>
      </c>
      <c r="G373" s="595">
        <f>ROUND(D373*voorblad!$R$39,0)</f>
        <v>0</v>
      </c>
      <c r="H373" s="608">
        <f>voorblad!$G$6</f>
        <v>0</v>
      </c>
    </row>
    <row r="374" spans="1:8" ht="12.75">
      <c r="A374" s="491">
        <f aca="true" t="shared" si="16" ref="A374:A437">A373+1</f>
        <v>372</v>
      </c>
      <c r="B374" s="127">
        <f t="shared" si="15"/>
        <v>0</v>
      </c>
      <c r="C374" s="609" t="str">
        <f>'0000'!V24</f>
        <v>VK16</v>
      </c>
      <c r="D374" s="607">
        <f>'0000'!F24</f>
        <v>0</v>
      </c>
      <c r="E374" s="491" t="s">
        <v>1249</v>
      </c>
      <c r="G374" s="595">
        <f>ROUND(D374*voorblad!$R$39,0)</f>
        <v>0</v>
      </c>
      <c r="H374" s="608">
        <f>voorblad!$G$6</f>
        <v>0</v>
      </c>
    </row>
    <row r="375" spans="1:8" ht="12.75">
      <c r="A375" s="491">
        <f t="shared" si="16"/>
        <v>373</v>
      </c>
      <c r="B375" s="127">
        <f t="shared" si="15"/>
        <v>0</v>
      </c>
      <c r="C375" s="609" t="str">
        <f>'0000'!V27</f>
        <v>V11</v>
      </c>
      <c r="D375" s="607">
        <f>'0000'!F27</f>
        <v>0</v>
      </c>
      <c r="E375" s="491" t="s">
        <v>1249</v>
      </c>
      <c r="G375" s="595">
        <f>ROUND(D375*voorblad!$R$39,0)</f>
        <v>0</v>
      </c>
      <c r="H375" s="608">
        <f>voorblad!$G$6</f>
        <v>0</v>
      </c>
    </row>
    <row r="376" spans="1:8" ht="12.75">
      <c r="A376" s="491">
        <f t="shared" si="16"/>
        <v>374</v>
      </c>
      <c r="B376" s="127">
        <f t="shared" si="15"/>
        <v>0</v>
      </c>
      <c r="C376" s="609" t="str">
        <f>'0000'!V28</f>
        <v>V12</v>
      </c>
      <c r="D376" s="607">
        <f>'0000'!F28</f>
        <v>0</v>
      </c>
      <c r="E376" s="491" t="s">
        <v>1249</v>
      </c>
      <c r="G376" s="595">
        <f>ROUND(D376*voorblad!$R$39,0)</f>
        <v>0</v>
      </c>
      <c r="H376" s="608">
        <f>voorblad!$G$6</f>
        <v>0</v>
      </c>
    </row>
    <row r="377" spans="1:8" ht="12.75">
      <c r="A377" s="491">
        <f t="shared" si="16"/>
        <v>375</v>
      </c>
      <c r="B377" s="127">
        <f t="shared" si="15"/>
        <v>0</v>
      </c>
      <c r="C377" s="609" t="str">
        <f>'0000'!V29</f>
        <v>V13</v>
      </c>
      <c r="D377" s="607">
        <f>'0000'!F29</f>
        <v>0</v>
      </c>
      <c r="E377" s="491" t="s">
        <v>1249</v>
      </c>
      <c r="G377" s="595">
        <f>ROUND(D377*voorblad!$R$39,0)</f>
        <v>0</v>
      </c>
      <c r="H377" s="608">
        <f>voorblad!$G$6</f>
        <v>0</v>
      </c>
    </row>
    <row r="378" spans="1:8" ht="12.75">
      <c r="A378" s="491">
        <f t="shared" si="16"/>
        <v>376</v>
      </c>
      <c r="B378" s="127">
        <f t="shared" si="15"/>
        <v>0</v>
      </c>
      <c r="C378" s="609" t="str">
        <f>'0000'!V30</f>
        <v>V14</v>
      </c>
      <c r="D378" s="607">
        <f>'0000'!F30</f>
        <v>0</v>
      </c>
      <c r="E378" s="491" t="s">
        <v>1249</v>
      </c>
      <c r="G378" s="595">
        <f>ROUND(D378*voorblad!$R$39,0)</f>
        <v>0</v>
      </c>
      <c r="H378" s="608">
        <f>voorblad!$G$6</f>
        <v>0</v>
      </c>
    </row>
    <row r="379" spans="1:8" ht="12.75">
      <c r="A379" s="491">
        <f t="shared" si="16"/>
        <v>377</v>
      </c>
      <c r="B379" s="127">
        <f t="shared" si="15"/>
        <v>0</v>
      </c>
      <c r="C379" s="609" t="str">
        <f>'0000'!V31</f>
        <v>V21</v>
      </c>
      <c r="D379" s="607">
        <f>'0000'!F31</f>
        <v>0</v>
      </c>
      <c r="E379" s="491" t="s">
        <v>1249</v>
      </c>
      <c r="G379" s="595">
        <f>ROUND(D379*voorblad!$R$39,0)</f>
        <v>0</v>
      </c>
      <c r="H379" s="608">
        <f>voorblad!$G$6</f>
        <v>0</v>
      </c>
    </row>
    <row r="380" spans="1:8" ht="12.75">
      <c r="A380" s="491">
        <f t="shared" si="16"/>
        <v>378</v>
      </c>
      <c r="B380" s="127">
        <f t="shared" si="15"/>
        <v>0</v>
      </c>
      <c r="C380" s="609" t="str">
        <f>'0000'!V32</f>
        <v>V22</v>
      </c>
      <c r="D380" s="607">
        <f>'0000'!F32</f>
        <v>0</v>
      </c>
      <c r="E380" s="491" t="s">
        <v>1249</v>
      </c>
      <c r="G380" s="595">
        <f>ROUND(D380*voorblad!$R$39,0)</f>
        <v>0</v>
      </c>
      <c r="H380" s="608">
        <f>voorblad!$G$6</f>
        <v>0</v>
      </c>
    </row>
    <row r="381" spans="1:8" ht="12.75">
      <c r="A381" s="491">
        <f t="shared" si="16"/>
        <v>379</v>
      </c>
      <c r="B381" s="127">
        <f t="shared" si="15"/>
        <v>0</v>
      </c>
      <c r="C381" s="609" t="str">
        <f>'0000'!V33</f>
        <v>V23</v>
      </c>
      <c r="D381" s="607">
        <f>'0000'!F33</f>
        <v>0</v>
      </c>
      <c r="E381" s="491" t="s">
        <v>1249</v>
      </c>
      <c r="G381" s="595">
        <f>ROUND(D381*voorblad!$R$39,0)</f>
        <v>0</v>
      </c>
      <c r="H381" s="608">
        <f>voorblad!$G$6</f>
        <v>0</v>
      </c>
    </row>
    <row r="382" spans="1:8" ht="12.75">
      <c r="A382" s="491">
        <f t="shared" si="16"/>
        <v>380</v>
      </c>
      <c r="B382" s="127">
        <f t="shared" si="15"/>
        <v>0</v>
      </c>
      <c r="C382" s="609" t="str">
        <f>'0000'!V34</f>
        <v>V24</v>
      </c>
      <c r="D382" s="607">
        <f>'0000'!F34</f>
        <v>0</v>
      </c>
      <c r="E382" s="491" t="s">
        <v>1249</v>
      </c>
      <c r="G382" s="595">
        <f>ROUND(D382*voorblad!$R$39,0)</f>
        <v>0</v>
      </c>
      <c r="H382" s="608">
        <f>voorblad!$G$6</f>
        <v>0</v>
      </c>
    </row>
    <row r="383" spans="1:8" ht="12.75">
      <c r="A383" s="491">
        <f t="shared" si="16"/>
        <v>381</v>
      </c>
      <c r="B383" s="127">
        <f t="shared" si="15"/>
        <v>0</v>
      </c>
      <c r="C383" s="609" t="str">
        <f>'0000'!V35</f>
        <v>V25</v>
      </c>
      <c r="D383" s="607">
        <f>'0000'!F35</f>
        <v>0</v>
      </c>
      <c r="E383" s="491" t="s">
        <v>1249</v>
      </c>
      <c r="G383" s="595">
        <f>ROUND(D383*voorblad!$R$39,0)</f>
        <v>0</v>
      </c>
      <c r="H383" s="608">
        <f>voorblad!$G$6</f>
        <v>0</v>
      </c>
    </row>
    <row r="384" spans="1:8" ht="12.75">
      <c r="A384" s="491">
        <f t="shared" si="16"/>
        <v>382</v>
      </c>
      <c r="B384" s="127">
        <f t="shared" si="15"/>
        <v>0</v>
      </c>
      <c r="C384" s="609" t="str">
        <f>'0000'!V38</f>
        <v>VF11</v>
      </c>
      <c r="D384" s="607">
        <f>'0000'!F38</f>
        <v>0</v>
      </c>
      <c r="E384" s="491" t="s">
        <v>1249</v>
      </c>
      <c r="G384" s="595">
        <f>ROUND(D384*voorblad!$R$39,0)</f>
        <v>0</v>
      </c>
      <c r="H384" s="608">
        <f>voorblad!$G$6</f>
        <v>0</v>
      </c>
    </row>
    <row r="385" spans="1:8" ht="12.75">
      <c r="A385" s="491">
        <f t="shared" si="16"/>
        <v>383</v>
      </c>
      <c r="B385" s="127">
        <f t="shared" si="15"/>
        <v>0</v>
      </c>
      <c r="C385" s="609" t="str">
        <f>'0000'!V39</f>
        <v>VF12</v>
      </c>
      <c r="D385" s="607">
        <f>'0000'!F39</f>
        <v>0</v>
      </c>
      <c r="E385" s="491" t="s">
        <v>1249</v>
      </c>
      <c r="G385" s="595">
        <f>ROUND(D385*voorblad!$R$39,0)</f>
        <v>0</v>
      </c>
      <c r="H385" s="608">
        <f>voorblad!$G$6</f>
        <v>0</v>
      </c>
    </row>
    <row r="386" spans="1:8" ht="12.75">
      <c r="A386" s="491">
        <f t="shared" si="16"/>
        <v>384</v>
      </c>
      <c r="B386" s="127">
        <f t="shared" si="15"/>
        <v>0</v>
      </c>
      <c r="C386" s="609" t="str">
        <f>'0000'!V40</f>
        <v>VF13</v>
      </c>
      <c r="D386" s="607">
        <f>'0000'!F40</f>
        <v>0</v>
      </c>
      <c r="E386" s="491" t="s">
        <v>1249</v>
      </c>
      <c r="G386" s="595">
        <f>ROUND(D386*voorblad!$R$39,0)</f>
        <v>0</v>
      </c>
      <c r="H386" s="608">
        <f>voorblad!$G$6</f>
        <v>0</v>
      </c>
    </row>
    <row r="387" spans="1:8" ht="12.75">
      <c r="A387" s="491">
        <f t="shared" si="16"/>
        <v>385</v>
      </c>
      <c r="B387" s="127">
        <f t="shared" si="15"/>
        <v>0</v>
      </c>
      <c r="C387" s="609" t="str">
        <f>'0000'!V41</f>
        <v>VF14</v>
      </c>
      <c r="D387" s="607">
        <f>'0000'!F41</f>
        <v>0</v>
      </c>
      <c r="E387" s="491" t="s">
        <v>1249</v>
      </c>
      <c r="G387" s="595">
        <f>ROUND(D387*voorblad!$R$39,0)</f>
        <v>0</v>
      </c>
      <c r="H387" s="608">
        <f>voorblad!$G$6</f>
        <v>0</v>
      </c>
    </row>
    <row r="388" spans="1:8" ht="12.75">
      <c r="A388" s="491">
        <f t="shared" si="16"/>
        <v>386</v>
      </c>
      <c r="B388" s="127">
        <f t="shared" si="15"/>
        <v>0</v>
      </c>
      <c r="C388" s="609" t="str">
        <f>'0000'!V42</f>
        <v>VF15</v>
      </c>
      <c r="D388" s="607">
        <f>'0000'!F42</f>
        <v>0</v>
      </c>
      <c r="E388" s="491" t="s">
        <v>1249</v>
      </c>
      <c r="G388" s="595">
        <f>ROUND(D388*voorblad!$R$39,0)</f>
        <v>0</v>
      </c>
      <c r="H388" s="608">
        <f>voorblad!$G$6</f>
        <v>0</v>
      </c>
    </row>
    <row r="389" spans="1:8" ht="12.75">
      <c r="A389" s="491">
        <f t="shared" si="16"/>
        <v>387</v>
      </c>
      <c r="B389" s="127">
        <f t="shared" si="15"/>
        <v>0</v>
      </c>
      <c r="C389" s="609" t="str">
        <f>'0000'!V43</f>
        <v>VF16</v>
      </c>
      <c r="D389" s="607">
        <f>'0000'!F43</f>
        <v>0</v>
      </c>
      <c r="E389" s="491" t="s">
        <v>1249</v>
      </c>
      <c r="G389" s="595">
        <f>ROUND(D389*voorblad!$R$39,0)</f>
        <v>0</v>
      </c>
      <c r="H389" s="608">
        <f>voorblad!$G$6</f>
        <v>0</v>
      </c>
    </row>
    <row r="390" spans="1:8" ht="12.75">
      <c r="A390" s="491">
        <f t="shared" si="16"/>
        <v>388</v>
      </c>
      <c r="B390" s="127">
        <f t="shared" si="15"/>
        <v>0</v>
      </c>
      <c r="C390" s="609" t="str">
        <f>'0000'!V47</f>
        <v>VSGA</v>
      </c>
      <c r="D390" s="607">
        <f>'0000'!F47</f>
        <v>0</v>
      </c>
      <c r="E390" s="491" t="s">
        <v>1249</v>
      </c>
      <c r="G390" s="595">
        <f>ROUND(D390*voorblad!$R$39,0)</f>
        <v>0</v>
      </c>
      <c r="H390" s="608">
        <f>voorblad!$G$6</f>
        <v>0</v>
      </c>
    </row>
    <row r="391" spans="1:8" ht="12.75">
      <c r="A391" s="491">
        <f t="shared" si="16"/>
        <v>389</v>
      </c>
      <c r="B391" s="127">
        <f t="shared" si="15"/>
        <v>0</v>
      </c>
      <c r="C391" s="609" t="str">
        <f>'0000'!V53</f>
        <v>VZ21</v>
      </c>
      <c r="D391" s="607">
        <f>'0000'!F53</f>
        <v>0</v>
      </c>
      <c r="E391" s="491" t="s">
        <v>1249</v>
      </c>
      <c r="G391" s="595">
        <f>ROUND(D391*voorblad!$R$39,0)</f>
        <v>0</v>
      </c>
      <c r="H391" s="608">
        <f>voorblad!$G$6</f>
        <v>0</v>
      </c>
    </row>
    <row r="392" spans="1:8" ht="12.75">
      <c r="A392" s="491">
        <f t="shared" si="16"/>
        <v>390</v>
      </c>
      <c r="B392" s="127">
        <f t="shared" si="15"/>
        <v>0</v>
      </c>
      <c r="C392" s="609" t="str">
        <f>'0000'!V54</f>
        <v>VZ22</v>
      </c>
      <c r="D392" s="607">
        <f>'0000'!F54</f>
        <v>0</v>
      </c>
      <c r="E392" s="491" t="s">
        <v>1249</v>
      </c>
      <c r="G392" s="595">
        <f>ROUND(D392*voorblad!$R$39,0)</f>
        <v>0</v>
      </c>
      <c r="H392" s="608">
        <f>voorblad!$G$6</f>
        <v>0</v>
      </c>
    </row>
    <row r="393" spans="1:8" ht="12.75">
      <c r="A393" s="491">
        <f t="shared" si="16"/>
        <v>391</v>
      </c>
      <c r="B393" s="127">
        <f t="shared" si="15"/>
        <v>0</v>
      </c>
      <c r="C393" s="609" t="str">
        <f>'0000'!V55</f>
        <v>VZ23</v>
      </c>
      <c r="D393" s="607">
        <f>'0000'!F55</f>
        <v>0</v>
      </c>
      <c r="E393" s="491" t="s">
        <v>1249</v>
      </c>
      <c r="G393" s="595">
        <f>ROUND(D393*voorblad!$R$39,0)</f>
        <v>0</v>
      </c>
      <c r="H393" s="608">
        <f>voorblad!$G$6</f>
        <v>0</v>
      </c>
    </row>
    <row r="394" spans="1:8" ht="12.75">
      <c r="A394" s="491">
        <f t="shared" si="16"/>
        <v>392</v>
      </c>
      <c r="B394" s="127">
        <f t="shared" si="15"/>
        <v>0</v>
      </c>
      <c r="C394" s="609" t="str">
        <f>'0000'!V56</f>
        <v>VZ24</v>
      </c>
      <c r="D394" s="607">
        <f>'0000'!F56</f>
        <v>0</v>
      </c>
      <c r="E394" s="491" t="s">
        <v>1249</v>
      </c>
      <c r="G394" s="595">
        <f>ROUND(D394*voorblad!$R$39,0)</f>
        <v>0</v>
      </c>
      <c r="H394" s="608">
        <f>voorblad!$G$6</f>
        <v>0</v>
      </c>
    </row>
    <row r="395" spans="1:8" ht="12.75">
      <c r="A395" s="491">
        <f t="shared" si="16"/>
        <v>393</v>
      </c>
      <c r="B395" s="127">
        <f t="shared" si="15"/>
        <v>0</v>
      </c>
      <c r="C395" s="609" t="str">
        <f>'0000'!V57</f>
        <v>VZ25</v>
      </c>
      <c r="D395" s="607">
        <f>'0000'!F57</f>
        <v>0</v>
      </c>
      <c r="E395" s="491" t="s">
        <v>1249</v>
      </c>
      <c r="G395" s="595">
        <f>ROUND(D395*voorblad!$R$39,0)</f>
        <v>0</v>
      </c>
      <c r="H395" s="608">
        <f>voorblad!$G$6</f>
        <v>0</v>
      </c>
    </row>
    <row r="396" spans="1:8" ht="12.75">
      <c r="A396" s="491">
        <f t="shared" si="16"/>
        <v>394</v>
      </c>
      <c r="B396" s="127">
        <f t="shared" si="15"/>
        <v>0</v>
      </c>
      <c r="C396" s="609" t="str">
        <f>'0000'!V61</f>
        <v>EA</v>
      </c>
      <c r="D396" s="607">
        <f>'0000'!F61</f>
        <v>0</v>
      </c>
      <c r="E396" s="491" t="s">
        <v>1249</v>
      </c>
      <c r="G396" s="595">
        <f>ROUND(D396*voorblad!$R$39,0)</f>
        <v>0</v>
      </c>
      <c r="H396" s="608">
        <f>voorblad!$G$6</f>
        <v>0</v>
      </c>
    </row>
    <row r="397" spans="1:8" ht="12.75">
      <c r="A397" s="491">
        <f t="shared" si="16"/>
        <v>395</v>
      </c>
      <c r="B397" s="127">
        <f t="shared" si="15"/>
        <v>0</v>
      </c>
      <c r="C397" s="609" t="str">
        <f>'0000'!V62</f>
        <v>EK</v>
      </c>
      <c r="D397" s="607">
        <f>'0000'!F62</f>
        <v>0</v>
      </c>
      <c r="E397" s="491" t="s">
        <v>1249</v>
      </c>
      <c r="G397" s="595">
        <f>ROUND(D397*voorblad!$R$39,0)</f>
        <v>0</v>
      </c>
      <c r="H397" s="608">
        <f>voorblad!$G$6</f>
        <v>0</v>
      </c>
    </row>
    <row r="398" spans="1:8" ht="12.75">
      <c r="A398" s="491">
        <f t="shared" si="16"/>
        <v>396</v>
      </c>
      <c r="B398" s="127">
        <f t="shared" si="15"/>
        <v>0</v>
      </c>
      <c r="C398" s="609" t="str">
        <f>'0000'!V63</f>
        <v>EV</v>
      </c>
      <c r="D398" s="607">
        <f>'0000'!F63</f>
        <v>0</v>
      </c>
      <c r="E398" s="491" t="s">
        <v>1249</v>
      </c>
      <c r="G398" s="595">
        <f>ROUND(D398*voorblad!$R$39,0)</f>
        <v>0</v>
      </c>
      <c r="H398" s="608">
        <f>voorblad!$G$6</f>
        <v>0</v>
      </c>
    </row>
    <row r="399" spans="1:8" ht="12.75">
      <c r="A399" s="491">
        <f t="shared" si="16"/>
        <v>397</v>
      </c>
      <c r="B399" s="127">
        <f t="shared" si="15"/>
        <v>0</v>
      </c>
      <c r="C399" s="609" t="str">
        <f>'0000'!V64</f>
        <v>EFK</v>
      </c>
      <c r="D399" s="607">
        <f>'0000'!F64</f>
        <v>0</v>
      </c>
      <c r="E399" s="491" t="s">
        <v>1249</v>
      </c>
      <c r="G399" s="595">
        <f>ROUND(D399*voorblad!$R$39,0)</f>
        <v>0</v>
      </c>
      <c r="H399" s="608">
        <f>voorblad!$G$6</f>
        <v>0</v>
      </c>
    </row>
    <row r="400" spans="1:8" ht="12.75">
      <c r="A400" s="491">
        <f t="shared" si="16"/>
        <v>398</v>
      </c>
      <c r="B400" s="127">
        <f t="shared" si="15"/>
        <v>0</v>
      </c>
      <c r="C400" s="609" t="str">
        <f>'0000'!V65</f>
        <v>EFA</v>
      </c>
      <c r="D400" s="607">
        <f>'0000'!F65</f>
        <v>0</v>
      </c>
      <c r="E400" s="491" t="s">
        <v>1249</v>
      </c>
      <c r="G400" s="595">
        <f>ROUND(D400*voorblad!$R$39,0)</f>
        <v>0</v>
      </c>
      <c r="H400" s="608">
        <f>voorblad!$G$6</f>
        <v>0</v>
      </c>
    </row>
    <row r="401" spans="1:8" ht="12.75">
      <c r="A401" s="491">
        <f t="shared" si="16"/>
        <v>399</v>
      </c>
      <c r="B401" s="127">
        <f t="shared" si="15"/>
        <v>0</v>
      </c>
      <c r="C401" s="609" t="str">
        <f>'0000'!V73</f>
        <v>BAD</v>
      </c>
      <c r="D401" s="607">
        <f>'0000'!F73</f>
        <v>0</v>
      </c>
      <c r="E401" s="491" t="s">
        <v>1249</v>
      </c>
      <c r="G401" s="595">
        <f>ROUND(D401*voorblad!$R$39,0)</f>
        <v>0</v>
      </c>
      <c r="H401" s="608">
        <f>voorblad!$G$6</f>
        <v>0</v>
      </c>
    </row>
    <row r="402" spans="1:8" ht="12.75">
      <c r="A402" s="491">
        <f t="shared" si="16"/>
        <v>400</v>
      </c>
      <c r="B402" s="127">
        <f t="shared" si="15"/>
        <v>0</v>
      </c>
      <c r="C402" s="609" t="str">
        <f>'0000'!V74</f>
        <v>BKZ</v>
      </c>
      <c r="D402" s="607">
        <f>'0000'!F74</f>
        <v>0</v>
      </c>
      <c r="E402" s="491" t="s">
        <v>1249</v>
      </c>
      <c r="G402" s="595">
        <f>ROUND(D402*voorblad!$R$39,0)</f>
        <v>0</v>
      </c>
      <c r="H402" s="608">
        <f>voorblad!$G$6</f>
        <v>0</v>
      </c>
    </row>
    <row r="403" spans="1:8" ht="12.75">
      <c r="A403" s="491">
        <f t="shared" si="16"/>
        <v>401</v>
      </c>
      <c r="B403" s="127">
        <f t="shared" si="15"/>
        <v>0</v>
      </c>
      <c r="C403" s="609" t="str">
        <f>'0000'!V75</f>
        <v>BKB</v>
      </c>
      <c r="D403" s="607">
        <f>'0000'!F75</f>
        <v>0</v>
      </c>
      <c r="E403" s="491" t="s">
        <v>1249</v>
      </c>
      <c r="G403" s="595">
        <f>ROUND(D403*voorblad!$R$39,0)</f>
        <v>0</v>
      </c>
      <c r="H403" s="608">
        <f>voorblad!$G$6</f>
        <v>0</v>
      </c>
    </row>
    <row r="404" spans="1:8" ht="12.75">
      <c r="A404" s="491">
        <f t="shared" si="16"/>
        <v>402</v>
      </c>
      <c r="B404" s="127">
        <f t="shared" si="15"/>
        <v>0</v>
      </c>
      <c r="C404" s="609" t="str">
        <f>'0000'!V76</f>
        <v>BKO</v>
      </c>
      <c r="D404" s="607">
        <f>'0000'!F76</f>
        <v>0</v>
      </c>
      <c r="E404" s="491" t="s">
        <v>1249</v>
      </c>
      <c r="G404" s="595">
        <f>ROUND(D404*voorblad!$R$39,0)</f>
        <v>0</v>
      </c>
      <c r="H404" s="608">
        <f>voorblad!$G$6</f>
        <v>0</v>
      </c>
    </row>
    <row r="405" spans="1:8" ht="12.75">
      <c r="A405" s="491">
        <f t="shared" si="16"/>
        <v>403</v>
      </c>
      <c r="B405" s="127">
        <f t="shared" si="15"/>
        <v>0</v>
      </c>
      <c r="C405" s="609" t="str">
        <f>'0000'!V77</f>
        <v>BO</v>
      </c>
      <c r="D405" s="607">
        <f>'0000'!F77</f>
        <v>0</v>
      </c>
      <c r="E405" s="491" t="s">
        <v>1249</v>
      </c>
      <c r="G405" s="595">
        <f>ROUND(D405*voorblad!$R$39,0)</f>
        <v>0</v>
      </c>
      <c r="H405" s="608">
        <f>voorblad!$G$6</f>
        <v>0</v>
      </c>
    </row>
    <row r="406" spans="1:8" ht="12.75">
      <c r="A406" s="491">
        <f t="shared" si="16"/>
        <v>404</v>
      </c>
      <c r="B406" s="127">
        <f t="shared" si="15"/>
        <v>0</v>
      </c>
      <c r="C406" s="609" t="str">
        <f>'0000'!V78</f>
        <v>BH</v>
      </c>
      <c r="D406" s="607">
        <f>'0000'!F78</f>
        <v>0</v>
      </c>
      <c r="E406" s="491" t="s">
        <v>1249</v>
      </c>
      <c r="G406" s="595">
        <f>ROUND(D406*voorblad!$R$39,0)</f>
        <v>0</v>
      </c>
      <c r="H406" s="608">
        <f>voorblad!$G$6</f>
        <v>0</v>
      </c>
    </row>
    <row r="407" spans="1:8" ht="12.75">
      <c r="A407" s="491">
        <f t="shared" si="16"/>
        <v>405</v>
      </c>
      <c r="B407" s="127">
        <f t="shared" si="15"/>
        <v>0</v>
      </c>
      <c r="C407" s="609" t="str">
        <f>'0000'!V79</f>
        <v>BFGK</v>
      </c>
      <c r="D407" s="607">
        <f>'0000'!F79</f>
        <v>0</v>
      </c>
      <c r="E407" s="491" t="s">
        <v>1249</v>
      </c>
      <c r="G407" s="595">
        <f>ROUND(D407*voorblad!$R$39,0)</f>
        <v>0</v>
      </c>
      <c r="H407" s="608">
        <f>voorblad!$G$6</f>
        <v>0</v>
      </c>
    </row>
    <row r="408" spans="1:8" ht="12.75">
      <c r="A408" s="491">
        <f t="shared" si="16"/>
        <v>406</v>
      </c>
      <c r="B408" s="127">
        <f t="shared" si="15"/>
        <v>0</v>
      </c>
      <c r="C408" s="609" t="str">
        <f>'0000'!V80</f>
        <v>BFGG</v>
      </c>
      <c r="D408" s="607">
        <f>'0000'!F80</f>
        <v>0</v>
      </c>
      <c r="E408" s="491" t="s">
        <v>1249</v>
      </c>
      <c r="G408" s="595">
        <f>ROUND(D408*voorblad!$R$39,0)</f>
        <v>0</v>
      </c>
      <c r="H408" s="608">
        <f>voorblad!$G$6</f>
        <v>0</v>
      </c>
    </row>
    <row r="409" spans="1:8" ht="12.75">
      <c r="A409" s="491">
        <f t="shared" si="16"/>
        <v>407</v>
      </c>
      <c r="B409" s="127">
        <f t="shared" si="15"/>
        <v>0</v>
      </c>
      <c r="C409" s="609" t="str">
        <f>'0000'!V81</f>
        <v>BFO</v>
      </c>
      <c r="D409" s="607">
        <f>'0000'!F81</f>
        <v>0</v>
      </c>
      <c r="E409" s="491" t="s">
        <v>1249</v>
      </c>
      <c r="G409" s="595">
        <f>ROUND(D409*voorblad!$R$39,0)</f>
        <v>0</v>
      </c>
      <c r="H409" s="608">
        <f>voorblad!$G$6</f>
        <v>0</v>
      </c>
    </row>
    <row r="410" spans="1:8" ht="12.75">
      <c r="A410" s="491">
        <f t="shared" si="16"/>
        <v>408</v>
      </c>
      <c r="B410" s="127">
        <f t="shared" si="15"/>
        <v>0</v>
      </c>
      <c r="C410" s="609" t="str">
        <f>'0000'!V82</f>
        <v>BSGA</v>
      </c>
      <c r="D410" s="607">
        <f>'0000'!F82</f>
        <v>0</v>
      </c>
      <c r="E410" s="491" t="s">
        <v>1249</v>
      </c>
      <c r="G410" s="595">
        <f>ROUND(D410*voorblad!$R$39,0)</f>
        <v>0</v>
      </c>
      <c r="H410" s="608">
        <f>voorblad!$G$6</f>
        <v>0</v>
      </c>
    </row>
    <row r="411" spans="1:8" ht="12.75">
      <c r="A411" s="491">
        <f t="shared" si="16"/>
        <v>409</v>
      </c>
      <c r="B411" s="127">
        <f t="shared" si="15"/>
        <v>0</v>
      </c>
      <c r="C411" s="609" t="str">
        <f>'0000'!V83</f>
        <v>BNA</v>
      </c>
      <c r="D411" s="607">
        <f>'0000'!F83</f>
        <v>0</v>
      </c>
      <c r="E411" s="491" t="s">
        <v>1249</v>
      </c>
      <c r="G411" s="595">
        <f>ROUND(D411*voorblad!$R$39,0)</f>
        <v>0</v>
      </c>
      <c r="H411" s="608">
        <f>voorblad!$G$6</f>
        <v>0</v>
      </c>
    </row>
    <row r="412" spans="1:8" ht="12.75">
      <c r="A412" s="491">
        <f t="shared" si="16"/>
        <v>410</v>
      </c>
      <c r="B412" s="127">
        <f t="shared" si="15"/>
        <v>0</v>
      </c>
      <c r="C412" s="609" t="str">
        <f>'0000'!V84</f>
        <v>BNK</v>
      </c>
      <c r="D412" s="607">
        <f>'0000'!F84</f>
        <v>0</v>
      </c>
      <c r="E412" s="491" t="s">
        <v>1249</v>
      </c>
      <c r="G412" s="595">
        <f>ROUND(D412*voorblad!$R$39,0)</f>
        <v>0</v>
      </c>
      <c r="H412" s="608">
        <f>voorblad!$G$6</f>
        <v>0</v>
      </c>
    </row>
    <row r="413" spans="1:8" ht="12.75">
      <c r="A413" s="491">
        <f t="shared" si="16"/>
        <v>411</v>
      </c>
      <c r="B413" s="127">
        <f t="shared" si="15"/>
        <v>0</v>
      </c>
      <c r="C413" s="609" t="str">
        <f>'0000'!V85</f>
        <v>BNV</v>
      </c>
      <c r="D413" s="607">
        <f>'0000'!F85</f>
        <v>0</v>
      </c>
      <c r="E413" s="491" t="s">
        <v>1249</v>
      </c>
      <c r="G413" s="595">
        <f>ROUND(D413*voorblad!$R$39,0)</f>
        <v>0</v>
      </c>
      <c r="H413" s="608">
        <f>voorblad!$G$6</f>
        <v>0</v>
      </c>
    </row>
    <row r="414" spans="1:8" ht="12.75">
      <c r="A414" s="491">
        <f t="shared" si="16"/>
        <v>412</v>
      </c>
      <c r="B414" s="127">
        <f t="shared" si="15"/>
        <v>0</v>
      </c>
      <c r="C414" s="609" t="str">
        <f>'0000'!V89</f>
        <v>PIVLKW</v>
      </c>
      <c r="D414" s="607">
        <f>'0000'!F89</f>
        <v>0</v>
      </c>
      <c r="E414" s="491" t="s">
        <v>1249</v>
      </c>
      <c r="G414" s="595">
        <f>ROUND(D414*voorblad!$R$39,0)</f>
        <v>0</v>
      </c>
      <c r="H414" s="608">
        <f>voorblad!$G$6</f>
        <v>0</v>
      </c>
    </row>
    <row r="415" spans="1:8" ht="12.75">
      <c r="A415" s="491">
        <f t="shared" si="16"/>
        <v>413</v>
      </c>
      <c r="B415" s="127">
        <f t="shared" si="15"/>
        <v>0</v>
      </c>
      <c r="C415" s="609" t="str">
        <f>'0000'!V90</f>
        <v>PGLKW</v>
      </c>
      <c r="D415" s="607">
        <f>'0000'!F90</f>
        <v>0</v>
      </c>
      <c r="E415" s="491" t="s">
        <v>1249</v>
      </c>
      <c r="G415" s="595">
        <f>ROUND(D415*voorblad!$R$39,0)</f>
        <v>0</v>
      </c>
      <c r="H415" s="608">
        <f>voorblad!$G$6</f>
        <v>0</v>
      </c>
    </row>
    <row r="416" spans="1:8" ht="12.75">
      <c r="A416" s="491">
        <f t="shared" si="16"/>
        <v>414</v>
      </c>
      <c r="B416" s="127">
        <f t="shared" si="15"/>
        <v>0</v>
      </c>
      <c r="C416" s="609" t="str">
        <f>'0000'!V91</f>
        <v>PVZKW</v>
      </c>
      <c r="D416" s="607">
        <f>'0000'!F91</f>
        <v>0</v>
      </c>
      <c r="E416" s="491" t="s">
        <v>1249</v>
      </c>
      <c r="G416" s="595">
        <f>ROUND(D416*voorblad!$R$39,0)</f>
        <v>0</v>
      </c>
      <c r="H416" s="608">
        <f>voorblad!$G$6</f>
        <v>0</v>
      </c>
    </row>
    <row r="417" spans="1:8" ht="12.75">
      <c r="A417" s="491">
        <f t="shared" si="16"/>
        <v>415</v>
      </c>
      <c r="B417" s="127">
        <f t="shared" si="15"/>
        <v>0</v>
      </c>
      <c r="C417" s="609" t="str">
        <f>'0000'!V92</f>
        <v>PNKW</v>
      </c>
      <c r="D417" s="607">
        <f>'0000'!F92</f>
        <v>0</v>
      </c>
      <c r="E417" s="491" t="s">
        <v>1249</v>
      </c>
      <c r="G417" s="595">
        <f>ROUND(D417*voorblad!$R$39,0)</f>
        <v>0</v>
      </c>
      <c r="H417" s="608">
        <f>voorblad!$G$6</f>
        <v>0</v>
      </c>
    </row>
    <row r="418" spans="1:8" ht="12.75">
      <c r="A418" s="491">
        <f t="shared" si="16"/>
        <v>416</v>
      </c>
      <c r="B418" s="127">
        <f t="shared" si="15"/>
        <v>0</v>
      </c>
      <c r="C418" s="609" t="str">
        <f>'0000'!V100</f>
        <v>OL/OL</v>
      </c>
      <c r="D418" s="607">
        <f>'0000'!F100</f>
        <v>0</v>
      </c>
      <c r="E418" s="491" t="s">
        <v>1249</v>
      </c>
      <c r="G418" s="595">
        <f>ROUND(D418*voorblad!$R$39,0)</f>
        <v>0</v>
      </c>
      <c r="H418" s="608">
        <f>voorblad!$G$6</f>
        <v>0</v>
      </c>
    </row>
    <row r="419" spans="1:8" ht="12.75">
      <c r="A419" s="491">
        <f t="shared" si="16"/>
        <v>417</v>
      </c>
      <c r="B419" s="127">
        <f t="shared" si="15"/>
        <v>0</v>
      </c>
      <c r="C419" s="609" t="str">
        <f>'0000'!V103</f>
        <v>M2NEMO</v>
      </c>
      <c r="D419" s="607">
        <f>'0000'!F103</f>
        <v>0</v>
      </c>
      <c r="E419" s="491" t="s">
        <v>1249</v>
      </c>
      <c r="G419" s="595">
        <f>ROUND(D419*voorblad!$R$39,-1)</f>
        <v>0</v>
      </c>
      <c r="H419" s="608">
        <f>voorblad!$G$6</f>
        <v>0</v>
      </c>
    </row>
    <row r="420" spans="1:8" ht="12.75">
      <c r="A420" s="491">
        <f t="shared" si="16"/>
        <v>418</v>
      </c>
      <c r="B420" s="127">
        <f t="shared" si="15"/>
        <v>0</v>
      </c>
      <c r="C420" s="609" t="str">
        <f>'0000'!V110</f>
        <v>NIIPA</v>
      </c>
      <c r="D420" s="607">
        <f>'0000'!F110</f>
        <v>0</v>
      </c>
      <c r="E420" s="491" t="s">
        <v>1249</v>
      </c>
      <c r="G420" s="595">
        <f>ROUND(D420*voorblad!$R$39,0)</f>
        <v>0</v>
      </c>
      <c r="H420" s="608">
        <f>voorblad!$G$6</f>
        <v>0</v>
      </c>
    </row>
    <row r="421" spans="1:8" ht="12.75">
      <c r="A421" s="491">
        <f t="shared" si="16"/>
        <v>419</v>
      </c>
      <c r="B421" s="127">
        <f t="shared" si="15"/>
        <v>0</v>
      </c>
      <c r="C421" s="609" t="str">
        <f>'0000'!V123</f>
        <v>PTC1KW</v>
      </c>
      <c r="D421" s="607">
        <f>'0000'!F123</f>
        <v>0</v>
      </c>
      <c r="E421" s="491" t="s">
        <v>1249</v>
      </c>
      <c r="G421" s="595">
        <f>ROUND(D421*voorblad!$R$39,0)</f>
        <v>0</v>
      </c>
      <c r="H421" s="608">
        <f>voorblad!$G$6</f>
        <v>0</v>
      </c>
    </row>
    <row r="422" spans="1:8" ht="12.75">
      <c r="A422" s="491">
        <f t="shared" si="16"/>
        <v>420</v>
      </c>
      <c r="B422" s="127">
        <f t="shared" si="15"/>
        <v>0</v>
      </c>
      <c r="C422" s="609" t="str">
        <f>'0000'!V124</f>
        <v>PTC2KW</v>
      </c>
      <c r="D422" s="607">
        <f>'0000'!F124</f>
        <v>0</v>
      </c>
      <c r="E422" s="491" t="s">
        <v>1249</v>
      </c>
      <c r="G422" s="595">
        <f>ROUND(D422*voorblad!$R$39,0)</f>
        <v>0</v>
      </c>
      <c r="H422" s="608">
        <f>voorblad!$G$6</f>
        <v>0</v>
      </c>
    </row>
    <row r="423" spans="1:8" ht="12.75">
      <c r="A423" s="491">
        <f t="shared" si="16"/>
        <v>421</v>
      </c>
      <c r="B423" s="127">
        <f t="shared" si="15"/>
        <v>0</v>
      </c>
      <c r="C423" s="609" t="str">
        <f>'0000'!V125</f>
        <v>PTC3KW</v>
      </c>
      <c r="D423" s="607">
        <f>'0000'!F125</f>
        <v>0</v>
      </c>
      <c r="E423" s="491" t="s">
        <v>1249</v>
      </c>
      <c r="G423" s="595">
        <f>ROUND(D423*voorblad!$R$39,0)</f>
        <v>0</v>
      </c>
      <c r="H423" s="608">
        <f>voorblad!$G$6</f>
        <v>0</v>
      </c>
    </row>
    <row r="424" spans="1:8" ht="12.75">
      <c r="A424" s="491">
        <f t="shared" si="16"/>
        <v>422</v>
      </c>
      <c r="B424" s="127">
        <f t="shared" si="15"/>
        <v>0</v>
      </c>
      <c r="C424" s="609" t="str">
        <f>'0000'!V134</f>
        <v>PQF101</v>
      </c>
      <c r="D424" s="607">
        <f>'0000'!F134</f>
        <v>0</v>
      </c>
      <c r="E424" s="491" t="s">
        <v>1250</v>
      </c>
      <c r="G424" s="595">
        <f>D424</f>
        <v>0</v>
      </c>
      <c r="H424" s="608">
        <v>39814</v>
      </c>
    </row>
    <row r="425" spans="1:8" ht="12.75">
      <c r="A425" s="491">
        <f t="shared" si="16"/>
        <v>423</v>
      </c>
      <c r="B425" s="127">
        <f t="shared" si="15"/>
        <v>0</v>
      </c>
      <c r="C425" s="609" t="str">
        <f>'0000'!V135</f>
        <v>PQF102</v>
      </c>
      <c r="D425" s="607">
        <f>'0000'!F135</f>
        <v>0</v>
      </c>
      <c r="E425" s="491" t="s">
        <v>1250</v>
      </c>
      <c r="G425" s="595">
        <f aca="true" t="shared" si="17" ref="G425:G488">D425</f>
        <v>0</v>
      </c>
      <c r="H425" s="608">
        <v>39814</v>
      </c>
    </row>
    <row r="426" spans="1:8" ht="12.75">
      <c r="A426" s="491">
        <f t="shared" si="16"/>
        <v>424</v>
      </c>
      <c r="B426" s="127">
        <f t="shared" si="15"/>
        <v>0</v>
      </c>
      <c r="C426" s="609" t="str">
        <f>'0000'!V136</f>
        <v>PQF103</v>
      </c>
      <c r="D426" s="607">
        <f>'0000'!F136</f>
        <v>0</v>
      </c>
      <c r="E426" s="491" t="s">
        <v>1250</v>
      </c>
      <c r="G426" s="595">
        <f t="shared" si="17"/>
        <v>0</v>
      </c>
      <c r="H426" s="608">
        <v>39814</v>
      </c>
    </row>
    <row r="427" spans="1:8" ht="12.75">
      <c r="A427" s="491">
        <f t="shared" si="16"/>
        <v>425</v>
      </c>
      <c r="B427" s="127">
        <f t="shared" si="15"/>
        <v>0</v>
      </c>
      <c r="C427" s="609" t="str">
        <f>'0000'!V137</f>
        <v>PQF104</v>
      </c>
      <c r="D427" s="607">
        <f>'0000'!F137</f>
        <v>0</v>
      </c>
      <c r="E427" s="491" t="s">
        <v>1250</v>
      </c>
      <c r="G427" s="595">
        <f t="shared" si="17"/>
        <v>0</v>
      </c>
      <c r="H427" s="608">
        <v>39814</v>
      </c>
    </row>
    <row r="428" spans="1:8" ht="12.75">
      <c r="A428" s="491">
        <f t="shared" si="16"/>
        <v>426</v>
      </c>
      <c r="B428" s="127">
        <f t="shared" si="15"/>
        <v>0</v>
      </c>
      <c r="C428" s="609" t="str">
        <f>'0000'!V138</f>
        <v>PQF105</v>
      </c>
      <c r="D428" s="607">
        <f>'0000'!F138</f>
        <v>0</v>
      </c>
      <c r="E428" s="491" t="s">
        <v>1250</v>
      </c>
      <c r="G428" s="595">
        <f t="shared" si="17"/>
        <v>0</v>
      </c>
      <c r="H428" s="608">
        <v>39814</v>
      </c>
    </row>
    <row r="429" spans="1:8" ht="12.75">
      <c r="A429" s="491">
        <f t="shared" si="16"/>
        <v>427</v>
      </c>
      <c r="B429" s="127">
        <f t="shared" si="15"/>
        <v>0</v>
      </c>
      <c r="C429" s="609" t="str">
        <f>'0000'!V139</f>
        <v>PQF106</v>
      </c>
      <c r="D429" s="607">
        <f>'0000'!F139</f>
        <v>0</v>
      </c>
      <c r="E429" s="491" t="s">
        <v>1250</v>
      </c>
      <c r="G429" s="595">
        <f t="shared" si="17"/>
        <v>0</v>
      </c>
      <c r="H429" s="608">
        <v>39814</v>
      </c>
    </row>
    <row r="430" spans="1:8" ht="12.75">
      <c r="A430" s="491">
        <f t="shared" si="16"/>
        <v>428</v>
      </c>
      <c r="B430" s="127">
        <f t="shared" si="15"/>
        <v>0</v>
      </c>
      <c r="C430" s="609" t="str">
        <f>'0000'!V140</f>
        <v>PQF221</v>
      </c>
      <c r="D430" s="607">
        <f>'0000'!F140</f>
        <v>0</v>
      </c>
      <c r="E430" s="491" t="s">
        <v>1250</v>
      </c>
      <c r="G430" s="595">
        <f t="shared" si="17"/>
        <v>0</v>
      </c>
      <c r="H430" s="608">
        <v>39814</v>
      </c>
    </row>
    <row r="431" spans="1:8" ht="12.75">
      <c r="A431" s="491">
        <f t="shared" si="16"/>
        <v>429</v>
      </c>
      <c r="B431" s="127">
        <f t="shared" si="15"/>
        <v>0</v>
      </c>
      <c r="C431" s="609" t="str">
        <f>'0000'!V141</f>
        <v>PQF107</v>
      </c>
      <c r="D431" s="607">
        <f>'0000'!F141</f>
        <v>0</v>
      </c>
      <c r="E431" s="491" t="s">
        <v>1250</v>
      </c>
      <c r="G431" s="595">
        <f t="shared" si="17"/>
        <v>0</v>
      </c>
      <c r="H431" s="608">
        <v>39814</v>
      </c>
    </row>
    <row r="432" spans="1:8" ht="12.75">
      <c r="A432" s="491">
        <f t="shared" si="16"/>
        <v>430</v>
      </c>
      <c r="B432" s="127">
        <f t="shared" si="15"/>
        <v>0</v>
      </c>
      <c r="C432" s="609" t="str">
        <f>'0000'!V142</f>
        <v>PQF108</v>
      </c>
      <c r="D432" s="607">
        <f>'0000'!F142</f>
        <v>0</v>
      </c>
      <c r="E432" s="491" t="s">
        <v>1250</v>
      </c>
      <c r="G432" s="595">
        <f t="shared" si="17"/>
        <v>0</v>
      </c>
      <c r="H432" s="608">
        <v>39814</v>
      </c>
    </row>
    <row r="433" spans="1:8" ht="12.75">
      <c r="A433" s="491">
        <f t="shared" si="16"/>
        <v>431</v>
      </c>
      <c r="B433" s="127">
        <f t="shared" si="15"/>
        <v>0</v>
      </c>
      <c r="C433" s="609" t="str">
        <f>'0000'!V143</f>
        <v>PQF109</v>
      </c>
      <c r="D433" s="607">
        <f>'0000'!F143</f>
        <v>0</v>
      </c>
      <c r="E433" s="491" t="s">
        <v>1250</v>
      </c>
      <c r="G433" s="595">
        <f t="shared" si="17"/>
        <v>0</v>
      </c>
      <c r="H433" s="608">
        <v>39814</v>
      </c>
    </row>
    <row r="434" spans="1:8" ht="12.75">
      <c r="A434" s="491">
        <f t="shared" si="16"/>
        <v>432</v>
      </c>
      <c r="B434" s="127">
        <f t="shared" si="15"/>
        <v>0</v>
      </c>
      <c r="C434" s="609" t="str">
        <f>'0000'!V144</f>
        <v>PQF110</v>
      </c>
      <c r="D434" s="607">
        <f>'0000'!F144</f>
        <v>0</v>
      </c>
      <c r="E434" s="491" t="s">
        <v>1250</v>
      </c>
      <c r="G434" s="595">
        <f t="shared" si="17"/>
        <v>0</v>
      </c>
      <c r="H434" s="608">
        <v>39814</v>
      </c>
    </row>
    <row r="435" spans="1:8" ht="12.75">
      <c r="A435" s="491">
        <f t="shared" si="16"/>
        <v>433</v>
      </c>
      <c r="B435" s="127">
        <f t="shared" si="15"/>
        <v>0</v>
      </c>
      <c r="C435" s="609" t="str">
        <f>'0000'!V147</f>
        <v>PQF131</v>
      </c>
      <c r="D435" s="607">
        <f>'0000'!F147</f>
        <v>0</v>
      </c>
      <c r="E435" s="491" t="s">
        <v>1250</v>
      </c>
      <c r="G435" s="595">
        <f t="shared" si="17"/>
        <v>0</v>
      </c>
      <c r="H435" s="608">
        <v>39814</v>
      </c>
    </row>
    <row r="436" spans="1:8" ht="12.75">
      <c r="A436" s="491">
        <f t="shared" si="16"/>
        <v>434</v>
      </c>
      <c r="B436" s="127">
        <f t="shared" si="15"/>
        <v>0</v>
      </c>
      <c r="C436" s="609" t="str">
        <f>'0000'!V148</f>
        <v>PQF132</v>
      </c>
      <c r="D436" s="607">
        <f>'0000'!F148</f>
        <v>0</v>
      </c>
      <c r="E436" s="491" t="s">
        <v>1250</v>
      </c>
      <c r="G436" s="595">
        <f t="shared" si="17"/>
        <v>0</v>
      </c>
      <c r="H436" s="608">
        <v>39814</v>
      </c>
    </row>
    <row r="437" spans="1:8" ht="12.75">
      <c r="A437" s="491">
        <f t="shared" si="16"/>
        <v>435</v>
      </c>
      <c r="B437" s="127">
        <f aca="true" t="shared" si="18" ref="B437:B500">B436</f>
        <v>0</v>
      </c>
      <c r="C437" s="609" t="str">
        <f>'0000'!V149</f>
        <v>PQF133</v>
      </c>
      <c r="D437" s="607">
        <f>'0000'!F149</f>
        <v>0</v>
      </c>
      <c r="E437" s="491" t="s">
        <v>1250</v>
      </c>
      <c r="G437" s="595">
        <f t="shared" si="17"/>
        <v>0</v>
      </c>
      <c r="H437" s="608">
        <v>39814</v>
      </c>
    </row>
    <row r="438" spans="1:8" ht="12.75">
      <c r="A438" s="491">
        <f aca="true" t="shared" si="19" ref="A438:A501">A437+1</f>
        <v>436</v>
      </c>
      <c r="B438" s="127">
        <f t="shared" si="18"/>
        <v>0</v>
      </c>
      <c r="C438" s="609" t="str">
        <f>'0000'!V150</f>
        <v>PQF134</v>
      </c>
      <c r="D438" s="607">
        <f>'0000'!F150</f>
        <v>0</v>
      </c>
      <c r="E438" s="491" t="s">
        <v>1250</v>
      </c>
      <c r="G438" s="595">
        <f t="shared" si="17"/>
        <v>0</v>
      </c>
      <c r="H438" s="608">
        <v>39814</v>
      </c>
    </row>
    <row r="439" spans="1:8" ht="12.75">
      <c r="A439" s="491">
        <f t="shared" si="19"/>
        <v>437</v>
      </c>
      <c r="B439" s="127">
        <f t="shared" si="18"/>
        <v>0</v>
      </c>
      <c r="C439" s="609" t="str">
        <f>'0000'!V151</f>
        <v>PQF135</v>
      </c>
      <c r="D439" s="607">
        <f>'0000'!F151</f>
        <v>0</v>
      </c>
      <c r="E439" s="491" t="s">
        <v>1250</v>
      </c>
      <c r="G439" s="595">
        <f t="shared" si="17"/>
        <v>0</v>
      </c>
      <c r="H439" s="608">
        <v>39814</v>
      </c>
    </row>
    <row r="440" spans="1:8" ht="12.75">
      <c r="A440" s="491">
        <f t="shared" si="19"/>
        <v>438</v>
      </c>
      <c r="B440" s="127">
        <f t="shared" si="18"/>
        <v>0</v>
      </c>
      <c r="C440" s="609" t="str">
        <f>'0000'!V152</f>
        <v>PQF136</v>
      </c>
      <c r="D440" s="607">
        <f>'0000'!F152</f>
        <v>0</v>
      </c>
      <c r="E440" s="491" t="s">
        <v>1250</v>
      </c>
      <c r="G440" s="595">
        <f t="shared" si="17"/>
        <v>0</v>
      </c>
      <c r="H440" s="608">
        <v>39814</v>
      </c>
    </row>
    <row r="441" spans="1:8" ht="12.75">
      <c r="A441" s="491">
        <f t="shared" si="19"/>
        <v>439</v>
      </c>
      <c r="B441" s="127">
        <f t="shared" si="18"/>
        <v>0</v>
      </c>
      <c r="C441" s="609" t="str">
        <f>'0000'!V153</f>
        <v>PQF222</v>
      </c>
      <c r="D441" s="607">
        <f>'0000'!F153</f>
        <v>0</v>
      </c>
      <c r="E441" s="491" t="s">
        <v>1250</v>
      </c>
      <c r="G441" s="595">
        <f t="shared" si="17"/>
        <v>0</v>
      </c>
      <c r="H441" s="608">
        <v>39814</v>
      </c>
    </row>
    <row r="442" spans="1:8" ht="12.75">
      <c r="A442" s="491">
        <f t="shared" si="19"/>
        <v>440</v>
      </c>
      <c r="B442" s="127">
        <f t="shared" si="18"/>
        <v>0</v>
      </c>
      <c r="C442" s="609" t="str">
        <f>'0000'!V154</f>
        <v>PQF137</v>
      </c>
      <c r="D442" s="607">
        <f>'0000'!F154</f>
        <v>0</v>
      </c>
      <c r="E442" s="491" t="s">
        <v>1250</v>
      </c>
      <c r="G442" s="595">
        <f t="shared" si="17"/>
        <v>0</v>
      </c>
      <c r="H442" s="608">
        <v>39814</v>
      </c>
    </row>
    <row r="443" spans="1:8" ht="12.75">
      <c r="A443" s="491">
        <f t="shared" si="19"/>
        <v>441</v>
      </c>
      <c r="B443" s="127">
        <f t="shared" si="18"/>
        <v>0</v>
      </c>
      <c r="C443" s="609" t="str">
        <f>'0000'!V155</f>
        <v>PQF138</v>
      </c>
      <c r="D443" s="607">
        <f>'0000'!F155</f>
        <v>0</v>
      </c>
      <c r="E443" s="491" t="s">
        <v>1250</v>
      </c>
      <c r="G443" s="595">
        <f t="shared" si="17"/>
        <v>0</v>
      </c>
      <c r="H443" s="608">
        <v>39814</v>
      </c>
    </row>
    <row r="444" spans="1:8" ht="12.75">
      <c r="A444" s="491">
        <f t="shared" si="19"/>
        <v>442</v>
      </c>
      <c r="B444" s="127">
        <f t="shared" si="18"/>
        <v>0</v>
      </c>
      <c r="C444" s="609" t="str">
        <f>'0000'!V156</f>
        <v>PQF139</v>
      </c>
      <c r="D444" s="607">
        <f>'0000'!F156</f>
        <v>0</v>
      </c>
      <c r="E444" s="491" t="s">
        <v>1250</v>
      </c>
      <c r="G444" s="595">
        <f t="shared" si="17"/>
        <v>0</v>
      </c>
      <c r="H444" s="608">
        <v>39814</v>
      </c>
    </row>
    <row r="445" spans="1:8" ht="12.75">
      <c r="A445" s="491">
        <f t="shared" si="19"/>
        <v>443</v>
      </c>
      <c r="B445" s="127">
        <f t="shared" si="18"/>
        <v>0</v>
      </c>
      <c r="C445" s="609" t="str">
        <f>'0000'!V157</f>
        <v>PQF140</v>
      </c>
      <c r="D445" s="607">
        <f>'0000'!F157</f>
        <v>0</v>
      </c>
      <c r="E445" s="491" t="s">
        <v>1250</v>
      </c>
      <c r="G445" s="595">
        <f t="shared" si="17"/>
        <v>0</v>
      </c>
      <c r="H445" s="608">
        <v>39814</v>
      </c>
    </row>
    <row r="446" spans="1:8" ht="12.75">
      <c r="A446" s="491">
        <f t="shared" si="19"/>
        <v>444</v>
      </c>
      <c r="B446" s="127">
        <f t="shared" si="18"/>
        <v>0</v>
      </c>
      <c r="C446" s="609" t="str">
        <f>'0000'!V160</f>
        <v>PQF141</v>
      </c>
      <c r="D446" s="607">
        <f>'0000'!F160</f>
        <v>0</v>
      </c>
      <c r="E446" s="491" t="s">
        <v>1250</v>
      </c>
      <c r="G446" s="595">
        <f t="shared" si="17"/>
        <v>0</v>
      </c>
      <c r="H446" s="608">
        <v>39814</v>
      </c>
    </row>
    <row r="447" spans="1:8" ht="12.75">
      <c r="A447" s="491">
        <f t="shared" si="19"/>
        <v>445</v>
      </c>
      <c r="B447" s="127">
        <f t="shared" si="18"/>
        <v>0</v>
      </c>
      <c r="C447" s="609" t="str">
        <f>'0000'!V161</f>
        <v>PQF142</v>
      </c>
      <c r="D447" s="607">
        <f>'0000'!F161</f>
        <v>0</v>
      </c>
      <c r="E447" s="491" t="s">
        <v>1250</v>
      </c>
      <c r="G447" s="595">
        <f t="shared" si="17"/>
        <v>0</v>
      </c>
      <c r="H447" s="608">
        <v>39814</v>
      </c>
    </row>
    <row r="448" spans="1:8" ht="12.75">
      <c r="A448" s="491">
        <f t="shared" si="19"/>
        <v>446</v>
      </c>
      <c r="B448" s="127">
        <f t="shared" si="18"/>
        <v>0</v>
      </c>
      <c r="C448" s="609" t="str">
        <f>'0000'!V162</f>
        <v>PQF143</v>
      </c>
      <c r="D448" s="607">
        <f>'0000'!F162</f>
        <v>0</v>
      </c>
      <c r="E448" s="491" t="s">
        <v>1250</v>
      </c>
      <c r="G448" s="595">
        <f t="shared" si="17"/>
        <v>0</v>
      </c>
      <c r="H448" s="608">
        <v>39814</v>
      </c>
    </row>
    <row r="449" spans="1:8" ht="12.75">
      <c r="A449" s="491">
        <f t="shared" si="19"/>
        <v>447</v>
      </c>
      <c r="B449" s="127">
        <f t="shared" si="18"/>
        <v>0</v>
      </c>
      <c r="C449" s="609" t="str">
        <f>'0000'!V163</f>
        <v>PQF144</v>
      </c>
      <c r="D449" s="607">
        <f>'0000'!F163</f>
        <v>0</v>
      </c>
      <c r="E449" s="491" t="s">
        <v>1250</v>
      </c>
      <c r="G449" s="595">
        <f t="shared" si="17"/>
        <v>0</v>
      </c>
      <c r="H449" s="608">
        <v>39814</v>
      </c>
    </row>
    <row r="450" spans="1:8" ht="12.75">
      <c r="A450" s="491">
        <f t="shared" si="19"/>
        <v>448</v>
      </c>
      <c r="B450" s="127">
        <f t="shared" si="18"/>
        <v>0</v>
      </c>
      <c r="C450" s="609" t="str">
        <f>'0000'!V164</f>
        <v>PQF145</v>
      </c>
      <c r="D450" s="607">
        <f>'0000'!F164</f>
        <v>0</v>
      </c>
      <c r="E450" s="491" t="s">
        <v>1250</v>
      </c>
      <c r="G450" s="595">
        <f t="shared" si="17"/>
        <v>0</v>
      </c>
      <c r="H450" s="608">
        <v>39814</v>
      </c>
    </row>
    <row r="451" spans="1:8" ht="12.75">
      <c r="A451" s="491">
        <f t="shared" si="19"/>
        <v>449</v>
      </c>
      <c r="B451" s="127">
        <f t="shared" si="18"/>
        <v>0</v>
      </c>
      <c r="C451" s="609" t="str">
        <f>'0000'!V165</f>
        <v>PQF146</v>
      </c>
      <c r="D451" s="607">
        <f>'0000'!F165</f>
        <v>0</v>
      </c>
      <c r="E451" s="491" t="s">
        <v>1250</v>
      </c>
      <c r="G451" s="595">
        <f t="shared" si="17"/>
        <v>0</v>
      </c>
      <c r="H451" s="608">
        <v>39814</v>
      </c>
    </row>
    <row r="452" spans="1:8" ht="12.75">
      <c r="A452" s="491">
        <f t="shared" si="19"/>
        <v>450</v>
      </c>
      <c r="B452" s="127">
        <f t="shared" si="18"/>
        <v>0</v>
      </c>
      <c r="C452" s="609" t="str">
        <f>'0000'!V166</f>
        <v>PQF223</v>
      </c>
      <c r="D452" s="607">
        <f>'0000'!F166</f>
        <v>0</v>
      </c>
      <c r="E452" s="491" t="s">
        <v>1250</v>
      </c>
      <c r="G452" s="595">
        <f t="shared" si="17"/>
        <v>0</v>
      </c>
      <c r="H452" s="608">
        <v>39814</v>
      </c>
    </row>
    <row r="453" spans="1:8" ht="12.75">
      <c r="A453" s="491">
        <f t="shared" si="19"/>
        <v>451</v>
      </c>
      <c r="B453" s="127">
        <f t="shared" si="18"/>
        <v>0</v>
      </c>
      <c r="C453" s="609" t="str">
        <f>'0000'!V167</f>
        <v>PQF147</v>
      </c>
      <c r="D453" s="607">
        <f>'0000'!F167</f>
        <v>0</v>
      </c>
      <c r="E453" s="491" t="s">
        <v>1250</v>
      </c>
      <c r="G453" s="595">
        <f t="shared" si="17"/>
        <v>0</v>
      </c>
      <c r="H453" s="608">
        <v>39814</v>
      </c>
    </row>
    <row r="454" spans="1:8" ht="12.75">
      <c r="A454" s="491">
        <f t="shared" si="19"/>
        <v>452</v>
      </c>
      <c r="B454" s="127">
        <f t="shared" si="18"/>
        <v>0</v>
      </c>
      <c r="C454" s="609" t="str">
        <f>'0000'!V168</f>
        <v>PQF148</v>
      </c>
      <c r="D454" s="607">
        <f>'0000'!F168</f>
        <v>0</v>
      </c>
      <c r="E454" s="491" t="s">
        <v>1250</v>
      </c>
      <c r="G454" s="595">
        <f t="shared" si="17"/>
        <v>0</v>
      </c>
      <c r="H454" s="608">
        <v>39814</v>
      </c>
    </row>
    <row r="455" spans="1:8" ht="12.75">
      <c r="A455" s="491">
        <f t="shared" si="19"/>
        <v>453</v>
      </c>
      <c r="B455" s="127">
        <f t="shared" si="18"/>
        <v>0</v>
      </c>
      <c r="C455" s="609" t="str">
        <f>'0000'!V169</f>
        <v>PQF149</v>
      </c>
      <c r="D455" s="607">
        <f>'0000'!F169</f>
        <v>0</v>
      </c>
      <c r="E455" s="491" t="s">
        <v>1250</v>
      </c>
      <c r="G455" s="595">
        <f t="shared" si="17"/>
        <v>0</v>
      </c>
      <c r="H455" s="608">
        <v>39814</v>
      </c>
    </row>
    <row r="456" spans="1:8" ht="12.75">
      <c r="A456" s="491">
        <f t="shared" si="19"/>
        <v>454</v>
      </c>
      <c r="B456" s="127">
        <f t="shared" si="18"/>
        <v>0</v>
      </c>
      <c r="C456" s="609" t="str">
        <f>'0000'!V170</f>
        <v>PQF150</v>
      </c>
      <c r="D456" s="607">
        <f>'0000'!F170</f>
        <v>0</v>
      </c>
      <c r="E456" s="491" t="s">
        <v>1250</v>
      </c>
      <c r="G456" s="595">
        <f t="shared" si="17"/>
        <v>0</v>
      </c>
      <c r="H456" s="608">
        <v>39814</v>
      </c>
    </row>
    <row r="457" spans="1:8" ht="12.75">
      <c r="A457" s="491">
        <f t="shared" si="19"/>
        <v>455</v>
      </c>
      <c r="B457" s="127">
        <f t="shared" si="18"/>
        <v>0</v>
      </c>
      <c r="C457" s="609" t="str">
        <f>'0000'!V177</f>
        <v>PQF151</v>
      </c>
      <c r="D457" s="607">
        <f>'0000'!F177</f>
        <v>0</v>
      </c>
      <c r="E457" s="491" t="s">
        <v>1250</v>
      </c>
      <c r="G457" s="595">
        <f t="shared" si="17"/>
        <v>0</v>
      </c>
      <c r="H457" s="608">
        <v>39814</v>
      </c>
    </row>
    <row r="458" spans="1:8" ht="12.75">
      <c r="A458" s="491">
        <f t="shared" si="19"/>
        <v>456</v>
      </c>
      <c r="B458" s="127">
        <f t="shared" si="18"/>
        <v>0</v>
      </c>
      <c r="C458" s="609" t="str">
        <f>'0000'!V178</f>
        <v>PQF152</v>
      </c>
      <c r="D458" s="607">
        <f>'0000'!F178</f>
        <v>0</v>
      </c>
      <c r="E458" s="491" t="s">
        <v>1250</v>
      </c>
      <c r="G458" s="595">
        <f t="shared" si="17"/>
        <v>0</v>
      </c>
      <c r="H458" s="608">
        <v>39814</v>
      </c>
    </row>
    <row r="459" spans="1:8" ht="12.75">
      <c r="A459" s="491">
        <f t="shared" si="19"/>
        <v>457</v>
      </c>
      <c r="B459" s="127">
        <f t="shared" si="18"/>
        <v>0</v>
      </c>
      <c r="C459" s="609" t="str">
        <f>'0000'!V179</f>
        <v>PQF153</v>
      </c>
      <c r="D459" s="607">
        <f>'0000'!F179</f>
        <v>0</v>
      </c>
      <c r="E459" s="491" t="s">
        <v>1250</v>
      </c>
      <c r="G459" s="595">
        <f t="shared" si="17"/>
        <v>0</v>
      </c>
      <c r="H459" s="608">
        <v>39814</v>
      </c>
    </row>
    <row r="460" spans="1:8" ht="12.75">
      <c r="A460" s="491">
        <f t="shared" si="19"/>
        <v>458</v>
      </c>
      <c r="B460" s="127">
        <f t="shared" si="18"/>
        <v>0</v>
      </c>
      <c r="C460" s="609" t="str">
        <f>'0000'!V180</f>
        <v>PQF154</v>
      </c>
      <c r="D460" s="607">
        <f>'0000'!F180</f>
        <v>0</v>
      </c>
      <c r="E460" s="491" t="s">
        <v>1250</v>
      </c>
      <c r="G460" s="595">
        <f t="shared" si="17"/>
        <v>0</v>
      </c>
      <c r="H460" s="608">
        <v>39814</v>
      </c>
    </row>
    <row r="461" spans="1:8" ht="12.75">
      <c r="A461" s="491">
        <f t="shared" si="19"/>
        <v>459</v>
      </c>
      <c r="B461" s="127">
        <f t="shared" si="18"/>
        <v>0</v>
      </c>
      <c r="C461" s="609" t="str">
        <f>'0000'!V181</f>
        <v>PQF155</v>
      </c>
      <c r="D461" s="607">
        <f>'0000'!F181</f>
        <v>0</v>
      </c>
      <c r="E461" s="491" t="s">
        <v>1250</v>
      </c>
      <c r="G461" s="595">
        <f t="shared" si="17"/>
        <v>0</v>
      </c>
      <c r="H461" s="608">
        <v>39814</v>
      </c>
    </row>
    <row r="462" spans="1:8" ht="12.75">
      <c r="A462" s="491">
        <f t="shared" si="19"/>
        <v>460</v>
      </c>
      <c r="B462" s="127">
        <f t="shared" si="18"/>
        <v>0</v>
      </c>
      <c r="C462" s="609" t="str">
        <f>'0000'!V182</f>
        <v>PQF156</v>
      </c>
      <c r="D462" s="607">
        <f>'0000'!F182</f>
        <v>0</v>
      </c>
      <c r="E462" s="491" t="s">
        <v>1250</v>
      </c>
      <c r="G462" s="595">
        <f t="shared" si="17"/>
        <v>0</v>
      </c>
      <c r="H462" s="608">
        <v>39814</v>
      </c>
    </row>
    <row r="463" spans="1:8" ht="12.75">
      <c r="A463" s="491">
        <f t="shared" si="19"/>
        <v>461</v>
      </c>
      <c r="B463" s="127">
        <f t="shared" si="18"/>
        <v>0</v>
      </c>
      <c r="C463" s="609" t="str">
        <f>'0000'!V183</f>
        <v>PQF224</v>
      </c>
      <c r="D463" s="607">
        <f>'0000'!F183</f>
        <v>0</v>
      </c>
      <c r="E463" s="491" t="s">
        <v>1250</v>
      </c>
      <c r="G463" s="595">
        <f t="shared" si="17"/>
        <v>0</v>
      </c>
      <c r="H463" s="608">
        <v>39814</v>
      </c>
    </row>
    <row r="464" spans="1:8" ht="12.75">
      <c r="A464" s="491">
        <f t="shared" si="19"/>
        <v>462</v>
      </c>
      <c r="B464" s="127">
        <f t="shared" si="18"/>
        <v>0</v>
      </c>
      <c r="C464" s="609" t="str">
        <f>'0000'!V184</f>
        <v>PQF157</v>
      </c>
      <c r="D464" s="607">
        <f>'0000'!F184</f>
        <v>0</v>
      </c>
      <c r="E464" s="491" t="s">
        <v>1250</v>
      </c>
      <c r="G464" s="595">
        <f t="shared" si="17"/>
        <v>0</v>
      </c>
      <c r="H464" s="608">
        <v>39814</v>
      </c>
    </row>
    <row r="465" spans="1:8" ht="12.75">
      <c r="A465" s="491">
        <f t="shared" si="19"/>
        <v>463</v>
      </c>
      <c r="B465" s="127">
        <f t="shared" si="18"/>
        <v>0</v>
      </c>
      <c r="C465" s="609" t="str">
        <f>'0000'!V185</f>
        <v>PQF158</v>
      </c>
      <c r="D465" s="607">
        <f>'0000'!F185</f>
        <v>0</v>
      </c>
      <c r="E465" s="491" t="s">
        <v>1250</v>
      </c>
      <c r="G465" s="595">
        <f t="shared" si="17"/>
        <v>0</v>
      </c>
      <c r="H465" s="608">
        <v>39814</v>
      </c>
    </row>
    <row r="466" spans="1:8" ht="12.75">
      <c r="A466" s="491">
        <f t="shared" si="19"/>
        <v>464</v>
      </c>
      <c r="B466" s="127">
        <f t="shared" si="18"/>
        <v>0</v>
      </c>
      <c r="C466" s="609" t="str">
        <f>'0000'!V186</f>
        <v>PQF159</v>
      </c>
      <c r="D466" s="607">
        <f>'0000'!F186</f>
        <v>0</v>
      </c>
      <c r="E466" s="491" t="s">
        <v>1250</v>
      </c>
      <c r="G466" s="595">
        <f t="shared" si="17"/>
        <v>0</v>
      </c>
      <c r="H466" s="608">
        <v>39814</v>
      </c>
    </row>
    <row r="467" spans="1:8" ht="12.75">
      <c r="A467" s="491">
        <f t="shared" si="19"/>
        <v>465</v>
      </c>
      <c r="B467" s="127">
        <f t="shared" si="18"/>
        <v>0</v>
      </c>
      <c r="C467" s="609" t="str">
        <f>'0000'!V187</f>
        <v>PQF160</v>
      </c>
      <c r="D467" s="607">
        <f>'0000'!F187</f>
        <v>0</v>
      </c>
      <c r="E467" s="491" t="s">
        <v>1250</v>
      </c>
      <c r="G467" s="595">
        <f t="shared" si="17"/>
        <v>0</v>
      </c>
      <c r="H467" s="608">
        <v>39814</v>
      </c>
    </row>
    <row r="468" spans="1:8" ht="12.75">
      <c r="A468" s="491">
        <f t="shared" si="19"/>
        <v>466</v>
      </c>
      <c r="B468" s="127">
        <f t="shared" si="18"/>
        <v>0</v>
      </c>
      <c r="C468" s="609" t="str">
        <f>'0000'!V190</f>
        <v>PQF201</v>
      </c>
      <c r="D468" s="607">
        <f>'0000'!F190</f>
        <v>0</v>
      </c>
      <c r="E468" s="491" t="s">
        <v>1250</v>
      </c>
      <c r="G468" s="595">
        <f t="shared" si="17"/>
        <v>0</v>
      </c>
      <c r="H468" s="608">
        <v>39814</v>
      </c>
    </row>
    <row r="469" spans="1:8" ht="12.75">
      <c r="A469" s="491">
        <f t="shared" si="19"/>
        <v>467</v>
      </c>
      <c r="B469" s="127">
        <f t="shared" si="18"/>
        <v>0</v>
      </c>
      <c r="C469" s="609" t="str">
        <f>'0000'!V191</f>
        <v>PQF202</v>
      </c>
      <c r="D469" s="607">
        <f>'0000'!F191</f>
        <v>0</v>
      </c>
      <c r="E469" s="491" t="s">
        <v>1250</v>
      </c>
      <c r="G469" s="595">
        <f t="shared" si="17"/>
        <v>0</v>
      </c>
      <c r="H469" s="608">
        <v>39814</v>
      </c>
    </row>
    <row r="470" spans="1:8" ht="12.75">
      <c r="A470" s="491">
        <f t="shared" si="19"/>
        <v>468</v>
      </c>
      <c r="B470" s="127">
        <f t="shared" si="18"/>
        <v>0</v>
      </c>
      <c r="C470" s="609" t="str">
        <f>'0000'!V192</f>
        <v>PQF204</v>
      </c>
      <c r="D470" s="607">
        <f>'0000'!F192</f>
        <v>0</v>
      </c>
      <c r="E470" s="491" t="s">
        <v>1250</v>
      </c>
      <c r="G470" s="595">
        <f t="shared" si="17"/>
        <v>0</v>
      </c>
      <c r="H470" s="608">
        <v>39814</v>
      </c>
    </row>
    <row r="471" spans="1:8" ht="12.75">
      <c r="A471" s="491">
        <f t="shared" si="19"/>
        <v>469</v>
      </c>
      <c r="B471" s="127">
        <f t="shared" si="18"/>
        <v>0</v>
      </c>
      <c r="C471" s="609" t="str">
        <f>'0000'!V193</f>
        <v>PQF205</v>
      </c>
      <c r="D471" s="607">
        <f>'0000'!F193</f>
        <v>0</v>
      </c>
      <c r="E471" s="491" t="s">
        <v>1250</v>
      </c>
      <c r="G471" s="595">
        <f t="shared" si="17"/>
        <v>0</v>
      </c>
      <c r="H471" s="608">
        <v>39814</v>
      </c>
    </row>
    <row r="472" spans="1:8" ht="12.75">
      <c r="A472" s="491">
        <f t="shared" si="19"/>
        <v>470</v>
      </c>
      <c r="B472" s="127">
        <f t="shared" si="18"/>
        <v>0</v>
      </c>
      <c r="C472" s="609" t="str">
        <f>'0000'!V194</f>
        <v>PQF206</v>
      </c>
      <c r="D472" s="607">
        <f>'0000'!F194</f>
        <v>0</v>
      </c>
      <c r="E472" s="491" t="s">
        <v>1250</v>
      </c>
      <c r="G472" s="595">
        <f t="shared" si="17"/>
        <v>0</v>
      </c>
      <c r="H472" s="608">
        <v>39814</v>
      </c>
    </row>
    <row r="473" spans="1:8" ht="12.75">
      <c r="A473" s="491">
        <f t="shared" si="19"/>
        <v>471</v>
      </c>
      <c r="B473" s="127">
        <f t="shared" si="18"/>
        <v>0</v>
      </c>
      <c r="C473" s="609" t="str">
        <f>'0000'!V195</f>
        <v>PQF225</v>
      </c>
      <c r="D473" s="607">
        <f>'0000'!F195</f>
        <v>0</v>
      </c>
      <c r="E473" s="491" t="s">
        <v>1250</v>
      </c>
      <c r="G473" s="595">
        <f t="shared" si="17"/>
        <v>0</v>
      </c>
      <c r="H473" s="608">
        <v>39814</v>
      </c>
    </row>
    <row r="474" spans="1:8" ht="12.75">
      <c r="A474" s="491">
        <f t="shared" si="19"/>
        <v>472</v>
      </c>
      <c r="B474" s="127">
        <f t="shared" si="18"/>
        <v>0</v>
      </c>
      <c r="C474" s="609" t="str">
        <f>'0000'!V196</f>
        <v>PQF207</v>
      </c>
      <c r="D474" s="607">
        <f>'0000'!F196</f>
        <v>0</v>
      </c>
      <c r="E474" s="491" t="s">
        <v>1250</v>
      </c>
      <c r="G474" s="595">
        <f t="shared" si="17"/>
        <v>0</v>
      </c>
      <c r="H474" s="608">
        <v>39814</v>
      </c>
    </row>
    <row r="475" spans="1:8" ht="12.75">
      <c r="A475" s="491">
        <f t="shared" si="19"/>
        <v>473</v>
      </c>
      <c r="B475" s="127">
        <f t="shared" si="18"/>
        <v>0</v>
      </c>
      <c r="C475" s="609" t="str">
        <f>'0000'!V197</f>
        <v>PQF208</v>
      </c>
      <c r="D475" s="607">
        <f>'0000'!F197</f>
        <v>0</v>
      </c>
      <c r="E475" s="491" t="s">
        <v>1250</v>
      </c>
      <c r="G475" s="595">
        <f t="shared" si="17"/>
        <v>0</v>
      </c>
      <c r="H475" s="608">
        <v>39814</v>
      </c>
    </row>
    <row r="476" spans="1:8" ht="12.75">
      <c r="A476" s="491">
        <f t="shared" si="19"/>
        <v>474</v>
      </c>
      <c r="B476" s="127">
        <f t="shared" si="18"/>
        <v>0</v>
      </c>
      <c r="C476" s="609" t="str">
        <f>'0000'!V200</f>
        <v>PQF451</v>
      </c>
      <c r="D476" s="607">
        <f>'0000'!F200</f>
        <v>0</v>
      </c>
      <c r="E476" s="491" t="s">
        <v>1250</v>
      </c>
      <c r="G476" s="595">
        <f t="shared" si="17"/>
        <v>0</v>
      </c>
      <c r="H476" s="608">
        <v>39814</v>
      </c>
    </row>
    <row r="477" spans="1:8" ht="12.75">
      <c r="A477" s="491">
        <f t="shared" si="19"/>
        <v>475</v>
      </c>
      <c r="B477" s="127">
        <f t="shared" si="18"/>
        <v>0</v>
      </c>
      <c r="C477" s="609" t="str">
        <f>'0000'!V201</f>
        <v>PQF452</v>
      </c>
      <c r="D477" s="607">
        <f>'0000'!F201</f>
        <v>0</v>
      </c>
      <c r="E477" s="491" t="s">
        <v>1250</v>
      </c>
      <c r="G477" s="595">
        <f t="shared" si="17"/>
        <v>0</v>
      </c>
      <c r="H477" s="608">
        <v>39814</v>
      </c>
    </row>
    <row r="478" spans="1:8" ht="12.75">
      <c r="A478" s="491">
        <f t="shared" si="19"/>
        <v>476</v>
      </c>
      <c r="B478" s="127">
        <f t="shared" si="18"/>
        <v>0</v>
      </c>
      <c r="C478" s="609" t="str">
        <f>'0000'!V202</f>
        <v>PQF453</v>
      </c>
      <c r="D478" s="607">
        <f>'0000'!F202</f>
        <v>0</v>
      </c>
      <c r="E478" s="491" t="s">
        <v>1250</v>
      </c>
      <c r="G478" s="595">
        <f t="shared" si="17"/>
        <v>0</v>
      </c>
      <c r="H478" s="608">
        <v>39814</v>
      </c>
    </row>
    <row r="479" spans="1:8" ht="12.75">
      <c r="A479" s="491">
        <f t="shared" si="19"/>
        <v>477</v>
      </c>
      <c r="B479" s="127">
        <f t="shared" si="18"/>
        <v>0</v>
      </c>
      <c r="C479" s="609" t="str">
        <f>'0000'!V203</f>
        <v>PQF454</v>
      </c>
      <c r="D479" s="607">
        <f>'0000'!F203</f>
        <v>0</v>
      </c>
      <c r="E479" s="491" t="s">
        <v>1250</v>
      </c>
      <c r="G479" s="595">
        <f t="shared" si="17"/>
        <v>0</v>
      </c>
      <c r="H479" s="608">
        <v>39814</v>
      </c>
    </row>
    <row r="480" spans="1:8" ht="12.75">
      <c r="A480" s="491">
        <f t="shared" si="19"/>
        <v>478</v>
      </c>
      <c r="B480" s="127">
        <f t="shared" si="18"/>
        <v>0</v>
      </c>
      <c r="C480" s="609" t="str">
        <f>'0000'!V206</f>
        <v>PQF461</v>
      </c>
      <c r="D480" s="607">
        <f>'0000'!F206</f>
        <v>0</v>
      </c>
      <c r="E480" s="491" t="s">
        <v>1250</v>
      </c>
      <c r="G480" s="595">
        <f t="shared" si="17"/>
        <v>0</v>
      </c>
      <c r="H480" s="608">
        <v>39814</v>
      </c>
    </row>
    <row r="481" spans="1:8" ht="12.75">
      <c r="A481" s="491">
        <f t="shared" si="19"/>
        <v>479</v>
      </c>
      <c r="B481" s="127">
        <f t="shared" si="18"/>
        <v>0</v>
      </c>
      <c r="C481" s="609" t="str">
        <f>'0000'!V207</f>
        <v>PQF462</v>
      </c>
      <c r="D481" s="607">
        <f>'0000'!F207</f>
        <v>0</v>
      </c>
      <c r="E481" s="491" t="s">
        <v>1250</v>
      </c>
      <c r="G481" s="595">
        <f t="shared" si="17"/>
        <v>0</v>
      </c>
      <c r="H481" s="608">
        <v>39814</v>
      </c>
    </row>
    <row r="482" spans="1:8" ht="12.75">
      <c r="A482" s="491">
        <f t="shared" si="19"/>
        <v>480</v>
      </c>
      <c r="B482" s="127">
        <f t="shared" si="18"/>
        <v>0</v>
      </c>
      <c r="C482" s="609" t="str">
        <f>'0000'!V208</f>
        <v>PQF463</v>
      </c>
      <c r="D482" s="607">
        <f>'0000'!F208</f>
        <v>0</v>
      </c>
      <c r="E482" s="491" t="s">
        <v>1250</v>
      </c>
      <c r="G482" s="595">
        <f t="shared" si="17"/>
        <v>0</v>
      </c>
      <c r="H482" s="608">
        <v>39814</v>
      </c>
    </row>
    <row r="483" spans="1:8" ht="12.75">
      <c r="A483" s="491">
        <f t="shared" si="19"/>
        <v>481</v>
      </c>
      <c r="B483" s="127">
        <f t="shared" si="18"/>
        <v>0</v>
      </c>
      <c r="C483" s="609" t="str">
        <f>'0000'!V209</f>
        <v>PQF464</v>
      </c>
      <c r="D483" s="607">
        <f>'0000'!F209</f>
        <v>0</v>
      </c>
      <c r="E483" s="491" t="s">
        <v>1250</v>
      </c>
      <c r="G483" s="595">
        <f t="shared" si="17"/>
        <v>0</v>
      </c>
      <c r="H483" s="608">
        <v>39814</v>
      </c>
    </row>
    <row r="484" spans="1:8" ht="12.75">
      <c r="A484" s="491">
        <f t="shared" si="19"/>
        <v>482</v>
      </c>
      <c r="B484" s="127">
        <f t="shared" si="18"/>
        <v>0</v>
      </c>
      <c r="C484" s="609" t="str">
        <f>'0000'!V210</f>
        <v>PQF465</v>
      </c>
      <c r="D484" s="607">
        <f>'0000'!F210</f>
        <v>0</v>
      </c>
      <c r="E484" s="491" t="s">
        <v>1250</v>
      </c>
      <c r="G484" s="595">
        <f t="shared" si="17"/>
        <v>0</v>
      </c>
      <c r="H484" s="608">
        <v>39814</v>
      </c>
    </row>
    <row r="485" spans="1:8" ht="12.75">
      <c r="A485" s="491">
        <f t="shared" si="19"/>
        <v>483</v>
      </c>
      <c r="B485" s="127">
        <f t="shared" si="18"/>
        <v>0</v>
      </c>
      <c r="C485" s="609" t="str">
        <f>'0000'!V211</f>
        <v>PQF466</v>
      </c>
      <c r="D485" s="607">
        <f>'0000'!F211</f>
        <v>0</v>
      </c>
      <c r="E485" s="491" t="s">
        <v>1250</v>
      </c>
      <c r="G485" s="595">
        <f t="shared" si="17"/>
        <v>0</v>
      </c>
      <c r="H485" s="608">
        <v>39814</v>
      </c>
    </row>
    <row r="486" spans="1:8" ht="12.75">
      <c r="A486" s="491">
        <f t="shared" si="19"/>
        <v>484</v>
      </c>
      <c r="B486" s="127">
        <f t="shared" si="18"/>
        <v>0</v>
      </c>
      <c r="C486" s="609" t="str">
        <f>'0000'!V218</f>
        <v>PQF471</v>
      </c>
      <c r="D486" s="607">
        <f>'0000'!F218</f>
        <v>0</v>
      </c>
      <c r="E486" s="491" t="s">
        <v>1250</v>
      </c>
      <c r="G486" s="595">
        <f t="shared" si="17"/>
        <v>0</v>
      </c>
      <c r="H486" s="608">
        <v>39814</v>
      </c>
    </row>
    <row r="487" spans="1:8" ht="12.75">
      <c r="A487" s="491">
        <f t="shared" si="19"/>
        <v>485</v>
      </c>
      <c r="B487" s="127">
        <f t="shared" si="18"/>
        <v>0</v>
      </c>
      <c r="C487" s="609" t="str">
        <f>'0000'!V219</f>
        <v>PQF472</v>
      </c>
      <c r="D487" s="607">
        <f>'0000'!F219</f>
        <v>0</v>
      </c>
      <c r="E487" s="491" t="s">
        <v>1250</v>
      </c>
      <c r="G487" s="595">
        <f t="shared" si="17"/>
        <v>0</v>
      </c>
      <c r="H487" s="608">
        <v>39814</v>
      </c>
    </row>
    <row r="488" spans="1:8" ht="12.75">
      <c r="A488" s="491">
        <f t="shared" si="19"/>
        <v>486</v>
      </c>
      <c r="B488" s="127">
        <f t="shared" si="18"/>
        <v>0</v>
      </c>
      <c r="C488" s="609" t="str">
        <f>'0000'!V220</f>
        <v>PQF473</v>
      </c>
      <c r="D488" s="607">
        <f>'0000'!F220</f>
        <v>0</v>
      </c>
      <c r="E488" s="491" t="s">
        <v>1250</v>
      </c>
      <c r="G488" s="595">
        <f t="shared" si="17"/>
        <v>0</v>
      </c>
      <c r="H488" s="608">
        <v>39814</v>
      </c>
    </row>
    <row r="489" spans="1:8" ht="12.75">
      <c r="A489" s="491">
        <f t="shared" si="19"/>
        <v>487</v>
      </c>
      <c r="B489" s="127">
        <f t="shared" si="18"/>
        <v>0</v>
      </c>
      <c r="C489" s="609" t="str">
        <f>'0000'!V221</f>
        <v>PQF474</v>
      </c>
      <c r="D489" s="607">
        <f>'0000'!F221</f>
        <v>0</v>
      </c>
      <c r="E489" s="491" t="s">
        <v>1250</v>
      </c>
      <c r="G489" s="595">
        <f aca="true" t="shared" si="20" ref="G489:G552">D489</f>
        <v>0</v>
      </c>
      <c r="H489" s="608">
        <v>39814</v>
      </c>
    </row>
    <row r="490" spans="1:8" ht="12.75">
      <c r="A490" s="491">
        <f t="shared" si="19"/>
        <v>488</v>
      </c>
      <c r="B490" s="127">
        <f t="shared" si="18"/>
        <v>0</v>
      </c>
      <c r="C490" s="609" t="str">
        <f>'0000'!V222</f>
        <v>PQF475</v>
      </c>
      <c r="D490" s="607">
        <f>'0000'!F222</f>
        <v>0</v>
      </c>
      <c r="E490" s="491" t="s">
        <v>1250</v>
      </c>
      <c r="G490" s="595">
        <f t="shared" si="20"/>
        <v>0</v>
      </c>
      <c r="H490" s="608">
        <v>39814</v>
      </c>
    </row>
    <row r="491" spans="1:8" ht="12.75">
      <c r="A491" s="491">
        <f t="shared" si="19"/>
        <v>489</v>
      </c>
      <c r="B491" s="127">
        <f t="shared" si="18"/>
        <v>0</v>
      </c>
      <c r="C491" s="609" t="str">
        <f>'0000'!V223</f>
        <v>PQF476</v>
      </c>
      <c r="D491" s="607">
        <f>'0000'!F223</f>
        <v>0</v>
      </c>
      <c r="E491" s="491" t="s">
        <v>1250</v>
      </c>
      <c r="G491" s="595">
        <f t="shared" si="20"/>
        <v>0</v>
      </c>
      <c r="H491" s="608">
        <v>39814</v>
      </c>
    </row>
    <row r="492" spans="1:8" ht="12.75">
      <c r="A492" s="491">
        <f t="shared" si="19"/>
        <v>490</v>
      </c>
      <c r="B492" s="127">
        <f t="shared" si="18"/>
        <v>0</v>
      </c>
      <c r="C492" s="609" t="str">
        <f>'0000'!V224</f>
        <v>PQF477</v>
      </c>
      <c r="D492" s="607">
        <f>'0000'!F224</f>
        <v>0</v>
      </c>
      <c r="E492" s="491" t="s">
        <v>1250</v>
      </c>
      <c r="G492" s="595">
        <f t="shared" si="20"/>
        <v>0</v>
      </c>
      <c r="H492" s="608">
        <v>39814</v>
      </c>
    </row>
    <row r="493" spans="1:8" ht="12.75">
      <c r="A493" s="491">
        <f t="shared" si="19"/>
        <v>491</v>
      </c>
      <c r="B493" s="127">
        <f t="shared" si="18"/>
        <v>0</v>
      </c>
      <c r="C493" s="609" t="str">
        <f>'0000'!V225</f>
        <v>PQF478</v>
      </c>
      <c r="D493" s="607">
        <f>'0000'!F225</f>
        <v>0</v>
      </c>
      <c r="E493" s="491" t="s">
        <v>1250</v>
      </c>
      <c r="G493" s="595">
        <f t="shared" si="20"/>
        <v>0</v>
      </c>
      <c r="H493" s="608">
        <v>39814</v>
      </c>
    </row>
    <row r="494" spans="1:8" ht="12.75">
      <c r="A494" s="491">
        <f t="shared" si="19"/>
        <v>492</v>
      </c>
      <c r="B494" s="127">
        <f t="shared" si="18"/>
        <v>0</v>
      </c>
      <c r="C494" s="609" t="str">
        <f>'0000'!V226</f>
        <v>PQF481</v>
      </c>
      <c r="D494" s="607">
        <f>'0000'!F226</f>
        <v>0</v>
      </c>
      <c r="E494" s="491" t="s">
        <v>1250</v>
      </c>
      <c r="G494" s="595">
        <f t="shared" si="20"/>
        <v>0</v>
      </c>
      <c r="H494" s="608">
        <v>39814</v>
      </c>
    </row>
    <row r="495" spans="1:8" ht="12.75">
      <c r="A495" s="491">
        <f t="shared" si="19"/>
        <v>493</v>
      </c>
      <c r="B495" s="127">
        <f t="shared" si="18"/>
        <v>0</v>
      </c>
      <c r="C495" s="609" t="str">
        <f>'0000'!V227</f>
        <v>PQF482</v>
      </c>
      <c r="D495" s="607">
        <f>'0000'!F227</f>
        <v>0</v>
      </c>
      <c r="E495" s="491" t="s">
        <v>1250</v>
      </c>
      <c r="G495" s="595">
        <f t="shared" si="20"/>
        <v>0</v>
      </c>
      <c r="H495" s="608">
        <v>39814</v>
      </c>
    </row>
    <row r="496" spans="1:8" ht="12.75">
      <c r="A496" s="491">
        <f t="shared" si="19"/>
        <v>494</v>
      </c>
      <c r="B496" s="127">
        <f t="shared" si="18"/>
        <v>0</v>
      </c>
      <c r="C496" s="609" t="str">
        <f>'0000'!V228</f>
        <v>PQF483</v>
      </c>
      <c r="D496" s="607">
        <f>'0000'!F228</f>
        <v>0</v>
      </c>
      <c r="E496" s="491" t="s">
        <v>1250</v>
      </c>
      <c r="G496" s="595">
        <f t="shared" si="20"/>
        <v>0</v>
      </c>
      <c r="H496" s="608">
        <v>39814</v>
      </c>
    </row>
    <row r="497" spans="1:8" ht="12.75">
      <c r="A497" s="491">
        <f t="shared" si="19"/>
        <v>495</v>
      </c>
      <c r="B497" s="127">
        <f t="shared" si="18"/>
        <v>0</v>
      </c>
      <c r="C497" s="609" t="str">
        <f>'0000'!V229</f>
        <v>PQF484</v>
      </c>
      <c r="D497" s="607">
        <f>'0000'!F229</f>
        <v>0</v>
      </c>
      <c r="E497" s="491" t="s">
        <v>1250</v>
      </c>
      <c r="G497" s="595">
        <f t="shared" si="20"/>
        <v>0</v>
      </c>
      <c r="H497" s="608">
        <v>39814</v>
      </c>
    </row>
    <row r="498" spans="1:8" ht="12.75">
      <c r="A498" s="491">
        <f t="shared" si="19"/>
        <v>496</v>
      </c>
      <c r="B498" s="127">
        <f t="shared" si="18"/>
        <v>0</v>
      </c>
      <c r="C498" s="609" t="str">
        <f>'0000'!V232</f>
        <v>PQF491</v>
      </c>
      <c r="D498" s="607">
        <f>'0000'!F232</f>
        <v>0</v>
      </c>
      <c r="E498" s="491" t="s">
        <v>1250</v>
      </c>
      <c r="G498" s="595">
        <f t="shared" si="20"/>
        <v>0</v>
      </c>
      <c r="H498" s="608">
        <v>39814</v>
      </c>
    </row>
    <row r="499" spans="1:8" ht="12.75">
      <c r="A499" s="491">
        <f t="shared" si="19"/>
        <v>497</v>
      </c>
      <c r="B499" s="127">
        <f t="shared" si="18"/>
        <v>0</v>
      </c>
      <c r="C499" s="609" t="str">
        <f>'0000'!V235</f>
        <v>PQF120</v>
      </c>
      <c r="D499" s="607">
        <f>'0000'!F235</f>
        <v>0</v>
      </c>
      <c r="E499" s="491" t="s">
        <v>1250</v>
      </c>
      <c r="G499" s="595">
        <f t="shared" si="20"/>
        <v>0</v>
      </c>
      <c r="H499" s="608">
        <v>39814</v>
      </c>
    </row>
    <row r="500" spans="1:8" ht="12.75">
      <c r="A500" s="491">
        <f t="shared" si="19"/>
        <v>498</v>
      </c>
      <c r="B500" s="127">
        <f t="shared" si="18"/>
        <v>0</v>
      </c>
      <c r="C500" s="609" t="str">
        <f>'0000'!V236</f>
        <v>PQF121</v>
      </c>
      <c r="D500" s="607">
        <f>'0000'!F236</f>
        <v>0</v>
      </c>
      <c r="E500" s="491" t="s">
        <v>1250</v>
      </c>
      <c r="G500" s="595">
        <f t="shared" si="20"/>
        <v>0</v>
      </c>
      <c r="H500" s="608">
        <v>39814</v>
      </c>
    </row>
    <row r="501" spans="1:8" ht="12.75">
      <c r="A501" s="491">
        <f t="shared" si="19"/>
        <v>499</v>
      </c>
      <c r="B501" s="127">
        <f aca="true" t="shared" si="21" ref="B501:B564">B500</f>
        <v>0</v>
      </c>
      <c r="C501" s="609" t="str">
        <f>'0000'!V237</f>
        <v>PQF122</v>
      </c>
      <c r="D501" s="607">
        <f>'0000'!F237</f>
        <v>0</v>
      </c>
      <c r="E501" s="491" t="s">
        <v>1250</v>
      </c>
      <c r="G501" s="595">
        <f t="shared" si="20"/>
        <v>0</v>
      </c>
      <c r="H501" s="608">
        <v>39814</v>
      </c>
    </row>
    <row r="502" spans="1:8" ht="12.75">
      <c r="A502" s="491">
        <f aca="true" t="shared" si="22" ref="A502:A565">A501+1</f>
        <v>500</v>
      </c>
      <c r="B502" s="127">
        <f t="shared" si="21"/>
        <v>0</v>
      </c>
      <c r="C502" s="609" t="str">
        <f>'0000'!V238</f>
        <v>PQF123</v>
      </c>
      <c r="D502" s="607">
        <f>'0000'!F238</f>
        <v>0</v>
      </c>
      <c r="E502" s="491" t="s">
        <v>1250</v>
      </c>
      <c r="G502" s="595">
        <f t="shared" si="20"/>
        <v>0</v>
      </c>
      <c r="H502" s="608">
        <v>39814</v>
      </c>
    </row>
    <row r="503" spans="1:8" ht="12.75">
      <c r="A503" s="491">
        <f t="shared" si="22"/>
        <v>501</v>
      </c>
      <c r="B503" s="127">
        <f t="shared" si="21"/>
        <v>0</v>
      </c>
      <c r="C503" s="609" t="str">
        <f>'0000'!V239</f>
        <v>PQF125</v>
      </c>
      <c r="D503" s="607">
        <f>'0000'!F239</f>
        <v>0</v>
      </c>
      <c r="E503" s="491" t="s">
        <v>1250</v>
      </c>
      <c r="G503" s="595">
        <f t="shared" si="20"/>
        <v>0</v>
      </c>
      <c r="H503" s="608">
        <v>39814</v>
      </c>
    </row>
    <row r="504" spans="1:8" ht="12.75">
      <c r="A504" s="491">
        <f t="shared" si="22"/>
        <v>502</v>
      </c>
      <c r="B504" s="127">
        <f t="shared" si="21"/>
        <v>0</v>
      </c>
      <c r="C504" s="609" t="str">
        <f>'0000'!V240</f>
        <v>PQF127</v>
      </c>
      <c r="D504" s="607">
        <f>'0000'!F240</f>
        <v>0</v>
      </c>
      <c r="E504" s="491" t="s">
        <v>1250</v>
      </c>
      <c r="G504" s="595">
        <f t="shared" si="20"/>
        <v>0</v>
      </c>
      <c r="H504" s="608">
        <v>39814</v>
      </c>
    </row>
    <row r="505" spans="1:8" ht="12.75">
      <c r="A505" s="491">
        <f t="shared" si="22"/>
        <v>503</v>
      </c>
      <c r="B505" s="127">
        <f t="shared" si="21"/>
        <v>0</v>
      </c>
      <c r="C505" s="609" t="str">
        <f>'0000'!V241</f>
        <v>PQF130</v>
      </c>
      <c r="D505" s="607">
        <f>'0000'!F241</f>
        <v>0</v>
      </c>
      <c r="E505" s="491" t="s">
        <v>1250</v>
      </c>
      <c r="G505" s="595">
        <f t="shared" si="20"/>
        <v>0</v>
      </c>
      <c r="H505" s="608">
        <v>39814</v>
      </c>
    </row>
    <row r="506" spans="1:8" ht="12.75">
      <c r="A506" s="491">
        <f t="shared" si="22"/>
        <v>504</v>
      </c>
      <c r="B506" s="127">
        <f t="shared" si="21"/>
        <v>0</v>
      </c>
      <c r="C506" s="491" t="s">
        <v>413</v>
      </c>
      <c r="D506" s="610">
        <f>'0000'!G134</f>
        <v>0</v>
      </c>
      <c r="E506" s="491" t="s">
        <v>1250</v>
      </c>
      <c r="G506" s="595">
        <f t="shared" si="20"/>
        <v>0</v>
      </c>
      <c r="H506" s="608">
        <v>39814</v>
      </c>
    </row>
    <row r="507" spans="1:8" ht="12.75">
      <c r="A507" s="491">
        <f t="shared" si="22"/>
        <v>505</v>
      </c>
      <c r="B507" s="127">
        <f t="shared" si="21"/>
        <v>0</v>
      </c>
      <c r="C507" s="491" t="s">
        <v>414</v>
      </c>
      <c r="D507" s="610">
        <f>'0000'!G135</f>
        <v>0</v>
      </c>
      <c r="E507" s="491" t="s">
        <v>1250</v>
      </c>
      <c r="G507" s="595">
        <f t="shared" si="20"/>
        <v>0</v>
      </c>
      <c r="H507" s="608">
        <v>39814</v>
      </c>
    </row>
    <row r="508" spans="1:8" ht="12.75">
      <c r="A508" s="491">
        <f t="shared" si="22"/>
        <v>506</v>
      </c>
      <c r="B508" s="127">
        <f t="shared" si="21"/>
        <v>0</v>
      </c>
      <c r="C508" s="491" t="s">
        <v>415</v>
      </c>
      <c r="D508" s="610">
        <f>'0000'!G136</f>
        <v>0</v>
      </c>
      <c r="E508" s="491" t="s">
        <v>1250</v>
      </c>
      <c r="G508" s="595">
        <f t="shared" si="20"/>
        <v>0</v>
      </c>
      <c r="H508" s="608">
        <v>39814</v>
      </c>
    </row>
    <row r="509" spans="1:8" ht="12.75">
      <c r="A509" s="491">
        <f t="shared" si="22"/>
        <v>507</v>
      </c>
      <c r="B509" s="127">
        <f t="shared" si="21"/>
        <v>0</v>
      </c>
      <c r="C509" s="491" t="s">
        <v>416</v>
      </c>
      <c r="D509" s="610">
        <f>'0000'!G137</f>
        <v>0</v>
      </c>
      <c r="E509" s="491" t="s">
        <v>1250</v>
      </c>
      <c r="G509" s="595">
        <f t="shared" si="20"/>
        <v>0</v>
      </c>
      <c r="H509" s="608">
        <v>39814</v>
      </c>
    </row>
    <row r="510" spans="1:8" ht="12.75">
      <c r="A510" s="491">
        <f t="shared" si="22"/>
        <v>508</v>
      </c>
      <c r="B510" s="127">
        <f t="shared" si="21"/>
        <v>0</v>
      </c>
      <c r="C510" s="491" t="s">
        <v>417</v>
      </c>
      <c r="D510" s="610">
        <f>'0000'!G138</f>
        <v>0</v>
      </c>
      <c r="E510" s="491" t="s">
        <v>1250</v>
      </c>
      <c r="G510" s="595">
        <f t="shared" si="20"/>
        <v>0</v>
      </c>
      <c r="H510" s="608">
        <v>39814</v>
      </c>
    </row>
    <row r="511" spans="1:8" ht="12.75">
      <c r="A511" s="491">
        <f t="shared" si="22"/>
        <v>509</v>
      </c>
      <c r="B511" s="127">
        <f t="shared" si="21"/>
        <v>0</v>
      </c>
      <c r="C511" s="491" t="s">
        <v>418</v>
      </c>
      <c r="D511" s="610">
        <f>'0000'!G139</f>
        <v>0</v>
      </c>
      <c r="E511" s="491" t="s">
        <v>1250</v>
      </c>
      <c r="G511" s="595">
        <f t="shared" si="20"/>
        <v>0</v>
      </c>
      <c r="H511" s="608">
        <v>39814</v>
      </c>
    </row>
    <row r="512" spans="1:8" ht="12.75">
      <c r="A512" s="491">
        <f t="shared" si="22"/>
        <v>510</v>
      </c>
      <c r="B512" s="127">
        <f t="shared" si="21"/>
        <v>0</v>
      </c>
      <c r="C512" s="491" t="s">
        <v>1549</v>
      </c>
      <c r="D512" s="610">
        <f>'0000'!G140</f>
        <v>0</v>
      </c>
      <c r="E512" s="491" t="s">
        <v>1250</v>
      </c>
      <c r="G512" s="595">
        <f t="shared" si="20"/>
        <v>0</v>
      </c>
      <c r="H512" s="608">
        <v>39814</v>
      </c>
    </row>
    <row r="513" spans="1:8" ht="12.75">
      <c r="A513" s="491">
        <f t="shared" si="22"/>
        <v>511</v>
      </c>
      <c r="B513" s="127">
        <f t="shared" si="21"/>
        <v>0</v>
      </c>
      <c r="C513" s="491" t="s">
        <v>419</v>
      </c>
      <c r="D513" s="610">
        <f>'0000'!G141</f>
        <v>0</v>
      </c>
      <c r="E513" s="491" t="s">
        <v>1250</v>
      </c>
      <c r="G513" s="595">
        <f t="shared" si="20"/>
        <v>0</v>
      </c>
      <c r="H513" s="608">
        <v>39814</v>
      </c>
    </row>
    <row r="514" spans="1:8" ht="12.75">
      <c r="A514" s="491">
        <f t="shared" si="22"/>
        <v>512</v>
      </c>
      <c r="B514" s="127">
        <f t="shared" si="21"/>
        <v>0</v>
      </c>
      <c r="C514" s="491" t="s">
        <v>420</v>
      </c>
      <c r="D514" s="610">
        <f>'0000'!G142</f>
        <v>0</v>
      </c>
      <c r="E514" s="491" t="s">
        <v>1250</v>
      </c>
      <c r="G514" s="595">
        <f t="shared" si="20"/>
        <v>0</v>
      </c>
      <c r="H514" s="608">
        <v>39814</v>
      </c>
    </row>
    <row r="515" spans="1:8" ht="12.75">
      <c r="A515" s="491">
        <f t="shared" si="22"/>
        <v>513</v>
      </c>
      <c r="B515" s="127">
        <f t="shared" si="21"/>
        <v>0</v>
      </c>
      <c r="C515" s="491" t="s">
        <v>421</v>
      </c>
      <c r="D515" s="610">
        <f>'0000'!G143</f>
        <v>0</v>
      </c>
      <c r="E515" s="491" t="s">
        <v>1250</v>
      </c>
      <c r="G515" s="595">
        <f t="shared" si="20"/>
        <v>0</v>
      </c>
      <c r="H515" s="608">
        <v>39814</v>
      </c>
    </row>
    <row r="516" spans="1:8" ht="12.75">
      <c r="A516" s="491">
        <f t="shared" si="22"/>
        <v>514</v>
      </c>
      <c r="B516" s="127">
        <f t="shared" si="21"/>
        <v>0</v>
      </c>
      <c r="C516" s="491" t="s">
        <v>422</v>
      </c>
      <c r="D516" s="610">
        <f>'0000'!G144</f>
        <v>0</v>
      </c>
      <c r="E516" s="491" t="s">
        <v>1250</v>
      </c>
      <c r="G516" s="595">
        <f t="shared" si="20"/>
        <v>0</v>
      </c>
      <c r="H516" s="608">
        <v>39814</v>
      </c>
    </row>
    <row r="517" spans="1:8" ht="12.75">
      <c r="A517" s="491">
        <f t="shared" si="22"/>
        <v>515</v>
      </c>
      <c r="B517" s="127">
        <f t="shared" si="21"/>
        <v>0</v>
      </c>
      <c r="C517" s="491" t="s">
        <v>1510</v>
      </c>
      <c r="D517" s="610">
        <f>'0000'!G147</f>
        <v>0</v>
      </c>
      <c r="E517" s="491" t="s">
        <v>1250</v>
      </c>
      <c r="G517" s="595">
        <f t="shared" si="20"/>
        <v>0</v>
      </c>
      <c r="H517" s="608">
        <v>39814</v>
      </c>
    </row>
    <row r="518" spans="1:8" ht="12.75">
      <c r="A518" s="491">
        <f t="shared" si="22"/>
        <v>516</v>
      </c>
      <c r="B518" s="127">
        <f t="shared" si="21"/>
        <v>0</v>
      </c>
      <c r="C518" s="491" t="s">
        <v>1511</v>
      </c>
      <c r="D518" s="610">
        <f>'0000'!G148</f>
        <v>0</v>
      </c>
      <c r="E518" s="491" t="s">
        <v>1250</v>
      </c>
      <c r="G518" s="595">
        <f t="shared" si="20"/>
        <v>0</v>
      </c>
      <c r="H518" s="608">
        <v>39814</v>
      </c>
    </row>
    <row r="519" spans="1:8" ht="12.75">
      <c r="A519" s="491">
        <f t="shared" si="22"/>
        <v>517</v>
      </c>
      <c r="B519" s="127">
        <f t="shared" si="21"/>
        <v>0</v>
      </c>
      <c r="C519" s="491" t="s">
        <v>1512</v>
      </c>
      <c r="D519" s="610">
        <f>'0000'!G149</f>
        <v>0</v>
      </c>
      <c r="E519" s="491" t="s">
        <v>1250</v>
      </c>
      <c r="G519" s="595">
        <f t="shared" si="20"/>
        <v>0</v>
      </c>
      <c r="H519" s="608">
        <v>39814</v>
      </c>
    </row>
    <row r="520" spans="1:8" ht="12.75">
      <c r="A520" s="491">
        <f t="shared" si="22"/>
        <v>518</v>
      </c>
      <c r="B520" s="127">
        <f t="shared" si="21"/>
        <v>0</v>
      </c>
      <c r="C520" s="491" t="s">
        <v>1513</v>
      </c>
      <c r="D520" s="610">
        <f>'0000'!G150</f>
        <v>0</v>
      </c>
      <c r="E520" s="491" t="s">
        <v>1250</v>
      </c>
      <c r="G520" s="595">
        <f t="shared" si="20"/>
        <v>0</v>
      </c>
      <c r="H520" s="608">
        <v>39814</v>
      </c>
    </row>
    <row r="521" spans="1:8" ht="12.75">
      <c r="A521" s="491">
        <f t="shared" si="22"/>
        <v>519</v>
      </c>
      <c r="B521" s="127">
        <f t="shared" si="21"/>
        <v>0</v>
      </c>
      <c r="C521" s="491" t="s">
        <v>1514</v>
      </c>
      <c r="D521" s="610">
        <f>'0000'!G151</f>
        <v>0</v>
      </c>
      <c r="E521" s="491" t="s">
        <v>1250</v>
      </c>
      <c r="G521" s="595">
        <f t="shared" si="20"/>
        <v>0</v>
      </c>
      <c r="H521" s="608">
        <v>39814</v>
      </c>
    </row>
    <row r="522" spans="1:8" ht="12.75">
      <c r="A522" s="491">
        <f t="shared" si="22"/>
        <v>520</v>
      </c>
      <c r="B522" s="127">
        <f t="shared" si="21"/>
        <v>0</v>
      </c>
      <c r="C522" s="491" t="s">
        <v>1515</v>
      </c>
      <c r="D522" s="610">
        <f>'0000'!G152</f>
        <v>0</v>
      </c>
      <c r="E522" s="491" t="s">
        <v>1250</v>
      </c>
      <c r="G522" s="595">
        <f t="shared" si="20"/>
        <v>0</v>
      </c>
      <c r="H522" s="608">
        <v>39814</v>
      </c>
    </row>
    <row r="523" spans="1:8" ht="12.75">
      <c r="A523" s="491">
        <f t="shared" si="22"/>
        <v>521</v>
      </c>
      <c r="B523" s="127">
        <f t="shared" si="21"/>
        <v>0</v>
      </c>
      <c r="C523" s="491" t="s">
        <v>1550</v>
      </c>
      <c r="D523" s="610">
        <f>'0000'!G153</f>
        <v>0</v>
      </c>
      <c r="E523" s="491" t="s">
        <v>1250</v>
      </c>
      <c r="G523" s="595">
        <f t="shared" si="20"/>
        <v>0</v>
      </c>
      <c r="H523" s="608">
        <v>39814</v>
      </c>
    </row>
    <row r="524" spans="1:8" ht="12.75">
      <c r="A524" s="491">
        <f t="shared" si="22"/>
        <v>522</v>
      </c>
      <c r="B524" s="127">
        <f t="shared" si="21"/>
        <v>0</v>
      </c>
      <c r="C524" s="491" t="s">
        <v>1516</v>
      </c>
      <c r="D524" s="610">
        <f>'0000'!G154</f>
        <v>0</v>
      </c>
      <c r="E524" s="491" t="s">
        <v>1250</v>
      </c>
      <c r="G524" s="595">
        <f t="shared" si="20"/>
        <v>0</v>
      </c>
      <c r="H524" s="608">
        <v>39814</v>
      </c>
    </row>
    <row r="525" spans="1:8" ht="12.75">
      <c r="A525" s="491">
        <f t="shared" si="22"/>
        <v>523</v>
      </c>
      <c r="B525" s="127">
        <f t="shared" si="21"/>
        <v>0</v>
      </c>
      <c r="C525" s="491" t="s">
        <v>1517</v>
      </c>
      <c r="D525" s="610">
        <f>'0000'!G155</f>
        <v>0</v>
      </c>
      <c r="E525" s="491" t="s">
        <v>1250</v>
      </c>
      <c r="G525" s="595">
        <f t="shared" si="20"/>
        <v>0</v>
      </c>
      <c r="H525" s="608">
        <v>39814</v>
      </c>
    </row>
    <row r="526" spans="1:8" ht="12.75">
      <c r="A526" s="491">
        <f t="shared" si="22"/>
        <v>524</v>
      </c>
      <c r="B526" s="127">
        <f t="shared" si="21"/>
        <v>0</v>
      </c>
      <c r="C526" s="491" t="s">
        <v>1518</v>
      </c>
      <c r="D526" s="610">
        <f>'0000'!G156</f>
        <v>0</v>
      </c>
      <c r="E526" s="491" t="s">
        <v>1250</v>
      </c>
      <c r="G526" s="595">
        <f t="shared" si="20"/>
        <v>0</v>
      </c>
      <c r="H526" s="608">
        <v>39814</v>
      </c>
    </row>
    <row r="527" spans="1:8" ht="12.75">
      <c r="A527" s="491">
        <f t="shared" si="22"/>
        <v>525</v>
      </c>
      <c r="B527" s="127">
        <f t="shared" si="21"/>
        <v>0</v>
      </c>
      <c r="C527" s="491" t="s">
        <v>1519</v>
      </c>
      <c r="D527" s="610">
        <f>'0000'!G157</f>
        <v>0</v>
      </c>
      <c r="E527" s="491" t="s">
        <v>1250</v>
      </c>
      <c r="G527" s="595">
        <f t="shared" si="20"/>
        <v>0</v>
      </c>
      <c r="H527" s="608">
        <v>39814</v>
      </c>
    </row>
    <row r="528" spans="1:8" ht="12.75">
      <c r="A528" s="491">
        <f t="shared" si="22"/>
        <v>526</v>
      </c>
      <c r="B528" s="127">
        <f t="shared" si="21"/>
        <v>0</v>
      </c>
      <c r="C528" s="491" t="s">
        <v>1520</v>
      </c>
      <c r="D528" s="610">
        <f>'0000'!G160</f>
        <v>0</v>
      </c>
      <c r="E528" s="491" t="s">
        <v>1250</v>
      </c>
      <c r="G528" s="595">
        <f t="shared" si="20"/>
        <v>0</v>
      </c>
      <c r="H528" s="608">
        <v>39814</v>
      </c>
    </row>
    <row r="529" spans="1:8" ht="12.75">
      <c r="A529" s="491">
        <f t="shared" si="22"/>
        <v>527</v>
      </c>
      <c r="B529" s="127">
        <f t="shared" si="21"/>
        <v>0</v>
      </c>
      <c r="C529" s="491" t="s">
        <v>1521</v>
      </c>
      <c r="D529" s="610">
        <f>'0000'!G161</f>
        <v>0</v>
      </c>
      <c r="E529" s="491" t="s">
        <v>1250</v>
      </c>
      <c r="G529" s="595">
        <f t="shared" si="20"/>
        <v>0</v>
      </c>
      <c r="H529" s="608">
        <v>39814</v>
      </c>
    </row>
    <row r="530" spans="1:8" ht="12.75">
      <c r="A530" s="491">
        <f t="shared" si="22"/>
        <v>528</v>
      </c>
      <c r="B530" s="127">
        <f t="shared" si="21"/>
        <v>0</v>
      </c>
      <c r="C530" s="491" t="s">
        <v>1522</v>
      </c>
      <c r="D530" s="610">
        <f>'0000'!G162</f>
        <v>0</v>
      </c>
      <c r="E530" s="491" t="s">
        <v>1250</v>
      </c>
      <c r="G530" s="595">
        <f t="shared" si="20"/>
        <v>0</v>
      </c>
      <c r="H530" s="608">
        <v>39814</v>
      </c>
    </row>
    <row r="531" spans="1:8" ht="12.75">
      <c r="A531" s="491">
        <f t="shared" si="22"/>
        <v>529</v>
      </c>
      <c r="B531" s="127">
        <f t="shared" si="21"/>
        <v>0</v>
      </c>
      <c r="C531" s="491" t="s">
        <v>1523</v>
      </c>
      <c r="D531" s="610">
        <f>'0000'!G163</f>
        <v>0</v>
      </c>
      <c r="E531" s="491" t="s">
        <v>1250</v>
      </c>
      <c r="G531" s="595">
        <f t="shared" si="20"/>
        <v>0</v>
      </c>
      <c r="H531" s="608">
        <v>39814</v>
      </c>
    </row>
    <row r="532" spans="1:8" ht="12.75">
      <c r="A532" s="491">
        <f t="shared" si="22"/>
        <v>530</v>
      </c>
      <c r="B532" s="127">
        <f t="shared" si="21"/>
        <v>0</v>
      </c>
      <c r="C532" s="491" t="s">
        <v>1524</v>
      </c>
      <c r="D532" s="610">
        <f>'0000'!G164</f>
        <v>0</v>
      </c>
      <c r="E532" s="491" t="s">
        <v>1250</v>
      </c>
      <c r="G532" s="595">
        <f t="shared" si="20"/>
        <v>0</v>
      </c>
      <c r="H532" s="608">
        <v>39814</v>
      </c>
    </row>
    <row r="533" spans="1:8" ht="12.75">
      <c r="A533" s="491">
        <f t="shared" si="22"/>
        <v>531</v>
      </c>
      <c r="B533" s="127">
        <f t="shared" si="21"/>
        <v>0</v>
      </c>
      <c r="C533" s="491" t="s">
        <v>1525</v>
      </c>
      <c r="D533" s="610">
        <f>'0000'!G165</f>
        <v>0</v>
      </c>
      <c r="E533" s="491" t="s">
        <v>1250</v>
      </c>
      <c r="G533" s="595">
        <f t="shared" si="20"/>
        <v>0</v>
      </c>
      <c r="H533" s="608">
        <v>39814</v>
      </c>
    </row>
    <row r="534" spans="1:8" ht="12.75">
      <c r="A534" s="491">
        <f t="shared" si="22"/>
        <v>532</v>
      </c>
      <c r="B534" s="127">
        <f t="shared" si="21"/>
        <v>0</v>
      </c>
      <c r="C534" s="491" t="s">
        <v>1551</v>
      </c>
      <c r="D534" s="610">
        <f>'0000'!G166</f>
        <v>0</v>
      </c>
      <c r="E534" s="491" t="s">
        <v>1250</v>
      </c>
      <c r="G534" s="595">
        <f t="shared" si="20"/>
        <v>0</v>
      </c>
      <c r="H534" s="608">
        <v>39814</v>
      </c>
    </row>
    <row r="535" spans="1:8" ht="12.75">
      <c r="A535" s="491">
        <f t="shared" si="22"/>
        <v>533</v>
      </c>
      <c r="B535" s="127">
        <f t="shared" si="21"/>
        <v>0</v>
      </c>
      <c r="C535" s="491" t="s">
        <v>1526</v>
      </c>
      <c r="D535" s="610">
        <f>'0000'!G167</f>
        <v>0</v>
      </c>
      <c r="E535" s="491" t="s">
        <v>1250</v>
      </c>
      <c r="G535" s="595">
        <f t="shared" si="20"/>
        <v>0</v>
      </c>
      <c r="H535" s="608">
        <v>39814</v>
      </c>
    </row>
    <row r="536" spans="1:8" ht="12.75">
      <c r="A536" s="491">
        <f t="shared" si="22"/>
        <v>534</v>
      </c>
      <c r="B536" s="127">
        <f t="shared" si="21"/>
        <v>0</v>
      </c>
      <c r="C536" s="491" t="s">
        <v>1527</v>
      </c>
      <c r="D536" s="610">
        <f>'0000'!G168</f>
        <v>0</v>
      </c>
      <c r="E536" s="491" t="s">
        <v>1250</v>
      </c>
      <c r="G536" s="595">
        <f t="shared" si="20"/>
        <v>0</v>
      </c>
      <c r="H536" s="608">
        <v>39814</v>
      </c>
    </row>
    <row r="537" spans="1:8" ht="12.75">
      <c r="A537" s="491">
        <f t="shared" si="22"/>
        <v>535</v>
      </c>
      <c r="B537" s="127">
        <f t="shared" si="21"/>
        <v>0</v>
      </c>
      <c r="C537" s="491" t="s">
        <v>1528</v>
      </c>
      <c r="D537" s="610">
        <f>'0000'!G169</f>
        <v>0</v>
      </c>
      <c r="E537" s="491" t="s">
        <v>1250</v>
      </c>
      <c r="G537" s="595">
        <f t="shared" si="20"/>
        <v>0</v>
      </c>
      <c r="H537" s="608">
        <v>39814</v>
      </c>
    </row>
    <row r="538" spans="1:8" ht="12.75">
      <c r="A538" s="491">
        <f t="shared" si="22"/>
        <v>536</v>
      </c>
      <c r="B538" s="127">
        <f t="shared" si="21"/>
        <v>0</v>
      </c>
      <c r="C538" s="491" t="s">
        <v>1529</v>
      </c>
      <c r="D538" s="610">
        <f>'0000'!G170</f>
        <v>0</v>
      </c>
      <c r="E538" s="491" t="s">
        <v>1250</v>
      </c>
      <c r="G538" s="595">
        <f t="shared" si="20"/>
        <v>0</v>
      </c>
      <c r="H538" s="608">
        <v>39814</v>
      </c>
    </row>
    <row r="539" spans="1:8" ht="12.75">
      <c r="A539" s="491">
        <f t="shared" si="22"/>
        <v>537</v>
      </c>
      <c r="B539" s="127">
        <f t="shared" si="21"/>
        <v>0</v>
      </c>
      <c r="C539" s="491" t="s">
        <v>1530</v>
      </c>
      <c r="D539" s="610">
        <f>'0000'!G177</f>
        <v>0</v>
      </c>
      <c r="E539" s="491" t="s">
        <v>1250</v>
      </c>
      <c r="G539" s="595">
        <f t="shared" si="20"/>
        <v>0</v>
      </c>
      <c r="H539" s="608">
        <v>39814</v>
      </c>
    </row>
    <row r="540" spans="1:8" ht="12.75">
      <c r="A540" s="491">
        <f t="shared" si="22"/>
        <v>538</v>
      </c>
      <c r="B540" s="127">
        <f t="shared" si="21"/>
        <v>0</v>
      </c>
      <c r="C540" s="491" t="s">
        <v>1533</v>
      </c>
      <c r="D540" s="610">
        <f>'0000'!G178</f>
        <v>0</v>
      </c>
      <c r="E540" s="491" t="s">
        <v>1250</v>
      </c>
      <c r="G540" s="595">
        <f t="shared" si="20"/>
        <v>0</v>
      </c>
      <c r="H540" s="608">
        <v>39814</v>
      </c>
    </row>
    <row r="541" spans="1:8" ht="12.75">
      <c r="A541" s="491">
        <f t="shared" si="22"/>
        <v>539</v>
      </c>
      <c r="B541" s="127">
        <f t="shared" si="21"/>
        <v>0</v>
      </c>
      <c r="C541" s="491" t="s">
        <v>1534</v>
      </c>
      <c r="D541" s="610">
        <f>'0000'!G179</f>
        <v>0</v>
      </c>
      <c r="E541" s="491" t="s">
        <v>1250</v>
      </c>
      <c r="G541" s="595">
        <f t="shared" si="20"/>
        <v>0</v>
      </c>
      <c r="H541" s="608">
        <v>39814</v>
      </c>
    </row>
    <row r="542" spans="1:8" ht="12.75">
      <c r="A542" s="491">
        <f t="shared" si="22"/>
        <v>540</v>
      </c>
      <c r="B542" s="127">
        <f t="shared" si="21"/>
        <v>0</v>
      </c>
      <c r="C542" s="491" t="s">
        <v>1535</v>
      </c>
      <c r="D542" s="610">
        <f>'0000'!G180</f>
        <v>0</v>
      </c>
      <c r="E542" s="491" t="s">
        <v>1250</v>
      </c>
      <c r="G542" s="595">
        <f t="shared" si="20"/>
        <v>0</v>
      </c>
      <c r="H542" s="608">
        <v>39814</v>
      </c>
    </row>
    <row r="543" spans="1:8" ht="12.75">
      <c r="A543" s="491">
        <f t="shared" si="22"/>
        <v>541</v>
      </c>
      <c r="B543" s="127">
        <f t="shared" si="21"/>
        <v>0</v>
      </c>
      <c r="C543" s="491" t="s">
        <v>1536</v>
      </c>
      <c r="D543" s="610">
        <f>'0000'!G181</f>
        <v>0</v>
      </c>
      <c r="E543" s="491" t="s">
        <v>1250</v>
      </c>
      <c r="G543" s="595">
        <f t="shared" si="20"/>
        <v>0</v>
      </c>
      <c r="H543" s="608">
        <v>39814</v>
      </c>
    </row>
    <row r="544" spans="1:8" ht="12.75">
      <c r="A544" s="491">
        <f t="shared" si="22"/>
        <v>542</v>
      </c>
      <c r="B544" s="127">
        <f t="shared" si="21"/>
        <v>0</v>
      </c>
      <c r="C544" s="491" t="s">
        <v>1537</v>
      </c>
      <c r="D544" s="610">
        <f>'0000'!G182</f>
        <v>0</v>
      </c>
      <c r="E544" s="491" t="s">
        <v>1250</v>
      </c>
      <c r="G544" s="595">
        <f t="shared" si="20"/>
        <v>0</v>
      </c>
      <c r="H544" s="608">
        <v>39814</v>
      </c>
    </row>
    <row r="545" spans="1:8" ht="12.75">
      <c r="A545" s="491">
        <f t="shared" si="22"/>
        <v>543</v>
      </c>
      <c r="B545" s="127">
        <f t="shared" si="21"/>
        <v>0</v>
      </c>
      <c r="C545" s="491" t="s">
        <v>1552</v>
      </c>
      <c r="D545" s="610">
        <f>'0000'!G183</f>
        <v>0</v>
      </c>
      <c r="E545" s="491" t="s">
        <v>1250</v>
      </c>
      <c r="G545" s="595">
        <f t="shared" si="20"/>
        <v>0</v>
      </c>
      <c r="H545" s="608">
        <v>39814</v>
      </c>
    </row>
    <row r="546" spans="1:8" ht="12.75">
      <c r="A546" s="491">
        <f t="shared" si="22"/>
        <v>544</v>
      </c>
      <c r="B546" s="127">
        <f t="shared" si="21"/>
        <v>0</v>
      </c>
      <c r="C546" s="491" t="s">
        <v>1538</v>
      </c>
      <c r="D546" s="610">
        <f>'0000'!G184</f>
        <v>0</v>
      </c>
      <c r="E546" s="491" t="s">
        <v>1250</v>
      </c>
      <c r="G546" s="595">
        <f t="shared" si="20"/>
        <v>0</v>
      </c>
      <c r="H546" s="608">
        <v>39814</v>
      </c>
    </row>
    <row r="547" spans="1:8" ht="12.75">
      <c r="A547" s="491">
        <f t="shared" si="22"/>
        <v>545</v>
      </c>
      <c r="B547" s="127">
        <f t="shared" si="21"/>
        <v>0</v>
      </c>
      <c r="C547" s="491" t="s">
        <v>1539</v>
      </c>
      <c r="D547" s="610">
        <f>'0000'!G185</f>
        <v>0</v>
      </c>
      <c r="E547" s="491" t="s">
        <v>1250</v>
      </c>
      <c r="G547" s="595">
        <f t="shared" si="20"/>
        <v>0</v>
      </c>
      <c r="H547" s="608">
        <v>39814</v>
      </c>
    </row>
    <row r="548" spans="1:8" ht="12.75">
      <c r="A548" s="491">
        <f t="shared" si="22"/>
        <v>546</v>
      </c>
      <c r="B548" s="127">
        <f t="shared" si="21"/>
        <v>0</v>
      </c>
      <c r="C548" s="491" t="s">
        <v>1540</v>
      </c>
      <c r="D548" s="610">
        <f>'0000'!G186</f>
        <v>0</v>
      </c>
      <c r="E548" s="491" t="s">
        <v>1250</v>
      </c>
      <c r="G548" s="595">
        <f t="shared" si="20"/>
        <v>0</v>
      </c>
      <c r="H548" s="608">
        <v>39814</v>
      </c>
    </row>
    <row r="549" spans="1:8" ht="12.75">
      <c r="A549" s="491">
        <f t="shared" si="22"/>
        <v>547</v>
      </c>
      <c r="B549" s="127">
        <f t="shared" si="21"/>
        <v>0</v>
      </c>
      <c r="C549" s="491" t="s">
        <v>1541</v>
      </c>
      <c r="D549" s="610">
        <f>'0000'!G187</f>
        <v>0</v>
      </c>
      <c r="E549" s="491" t="s">
        <v>1250</v>
      </c>
      <c r="G549" s="595">
        <f t="shared" si="20"/>
        <v>0</v>
      </c>
      <c r="H549" s="608">
        <v>39814</v>
      </c>
    </row>
    <row r="550" spans="1:8" ht="12.75">
      <c r="A550" s="491">
        <f t="shared" si="22"/>
        <v>548</v>
      </c>
      <c r="B550" s="127">
        <f t="shared" si="21"/>
        <v>0</v>
      </c>
      <c r="C550" s="491" t="s">
        <v>1542</v>
      </c>
      <c r="D550" s="610">
        <f>'0000'!G190</f>
        <v>0</v>
      </c>
      <c r="E550" s="491" t="s">
        <v>1250</v>
      </c>
      <c r="G550" s="595">
        <f t="shared" si="20"/>
        <v>0</v>
      </c>
      <c r="H550" s="608">
        <v>39814</v>
      </c>
    </row>
    <row r="551" spans="1:8" ht="12.75">
      <c r="A551" s="491">
        <f t="shared" si="22"/>
        <v>549</v>
      </c>
      <c r="B551" s="127">
        <f t="shared" si="21"/>
        <v>0</v>
      </c>
      <c r="C551" s="491" t="s">
        <v>1543</v>
      </c>
      <c r="D551" s="610">
        <f>'0000'!G191</f>
        <v>0</v>
      </c>
      <c r="E551" s="491" t="s">
        <v>1250</v>
      </c>
      <c r="G551" s="595">
        <f t="shared" si="20"/>
        <v>0</v>
      </c>
      <c r="H551" s="608">
        <v>39814</v>
      </c>
    </row>
    <row r="552" spans="1:8" ht="12.75">
      <c r="A552" s="491">
        <f t="shared" si="22"/>
        <v>550</v>
      </c>
      <c r="B552" s="127">
        <f t="shared" si="21"/>
        <v>0</v>
      </c>
      <c r="C552" s="491" t="s">
        <v>1544</v>
      </c>
      <c r="D552" s="610">
        <f>'0000'!G192</f>
        <v>0</v>
      </c>
      <c r="E552" s="491" t="s">
        <v>1250</v>
      </c>
      <c r="G552" s="595">
        <f t="shared" si="20"/>
        <v>0</v>
      </c>
      <c r="H552" s="608">
        <v>39814</v>
      </c>
    </row>
    <row r="553" spans="1:8" ht="12.75">
      <c r="A553" s="491">
        <f t="shared" si="22"/>
        <v>551</v>
      </c>
      <c r="B553" s="127">
        <f t="shared" si="21"/>
        <v>0</v>
      </c>
      <c r="C553" s="491" t="s">
        <v>1545</v>
      </c>
      <c r="D553" s="610">
        <f>'0000'!G193</f>
        <v>0</v>
      </c>
      <c r="E553" s="491" t="s">
        <v>1250</v>
      </c>
      <c r="G553" s="595">
        <f aca="true" t="shared" si="23" ref="G553:G614">D553</f>
        <v>0</v>
      </c>
      <c r="H553" s="608">
        <v>39814</v>
      </c>
    </row>
    <row r="554" spans="1:8" ht="12.75">
      <c r="A554" s="491">
        <f t="shared" si="22"/>
        <v>552</v>
      </c>
      <c r="B554" s="127">
        <f t="shared" si="21"/>
        <v>0</v>
      </c>
      <c r="C554" s="491" t="s">
        <v>1546</v>
      </c>
      <c r="D554" s="610">
        <f>'0000'!G194</f>
        <v>0</v>
      </c>
      <c r="E554" s="491" t="s">
        <v>1250</v>
      </c>
      <c r="G554" s="595">
        <f t="shared" si="23"/>
        <v>0</v>
      </c>
      <c r="H554" s="608">
        <v>39814</v>
      </c>
    </row>
    <row r="555" spans="1:8" ht="12.75">
      <c r="A555" s="491">
        <f t="shared" si="22"/>
        <v>553</v>
      </c>
      <c r="B555" s="127">
        <f t="shared" si="21"/>
        <v>0</v>
      </c>
      <c r="C555" s="491" t="s">
        <v>1553</v>
      </c>
      <c r="D555" s="610">
        <f>'0000'!G195</f>
        <v>0</v>
      </c>
      <c r="E555" s="491" t="s">
        <v>1250</v>
      </c>
      <c r="G555" s="595">
        <f t="shared" si="23"/>
        <v>0</v>
      </c>
      <c r="H555" s="608">
        <v>39814</v>
      </c>
    </row>
    <row r="556" spans="1:8" ht="12.75">
      <c r="A556" s="491">
        <f t="shared" si="22"/>
        <v>554</v>
      </c>
      <c r="B556" s="127">
        <f t="shared" si="21"/>
        <v>0</v>
      </c>
      <c r="C556" s="491" t="s">
        <v>1547</v>
      </c>
      <c r="D556" s="610">
        <f>'0000'!G196</f>
        <v>0</v>
      </c>
      <c r="E556" s="491" t="s">
        <v>1250</v>
      </c>
      <c r="G556" s="595">
        <f t="shared" si="23"/>
        <v>0</v>
      </c>
      <c r="H556" s="608">
        <v>39814</v>
      </c>
    </row>
    <row r="557" spans="1:8" ht="12.75">
      <c r="A557" s="491">
        <f t="shared" si="22"/>
        <v>555</v>
      </c>
      <c r="B557" s="127">
        <f t="shared" si="21"/>
        <v>0</v>
      </c>
      <c r="C557" s="491" t="s">
        <v>1548</v>
      </c>
      <c r="D557" s="610">
        <f>'0000'!G197</f>
        <v>0</v>
      </c>
      <c r="E557" s="491" t="s">
        <v>1250</v>
      </c>
      <c r="G557" s="595">
        <f t="shared" si="23"/>
        <v>0</v>
      </c>
      <c r="H557" s="608">
        <v>39814</v>
      </c>
    </row>
    <row r="558" spans="1:8" ht="12.75">
      <c r="A558" s="491">
        <f t="shared" si="22"/>
        <v>556</v>
      </c>
      <c r="B558" s="127">
        <f t="shared" si="21"/>
        <v>0</v>
      </c>
      <c r="C558" s="491" t="s">
        <v>1554</v>
      </c>
      <c r="D558" s="610">
        <f>'0000'!G200</f>
        <v>0</v>
      </c>
      <c r="E558" s="491" t="s">
        <v>1250</v>
      </c>
      <c r="G558" s="595">
        <f t="shared" si="23"/>
        <v>0</v>
      </c>
      <c r="H558" s="608">
        <v>39814</v>
      </c>
    </row>
    <row r="559" spans="1:8" ht="12.75">
      <c r="A559" s="491">
        <f t="shared" si="22"/>
        <v>557</v>
      </c>
      <c r="B559" s="127">
        <f t="shared" si="21"/>
        <v>0</v>
      </c>
      <c r="C559" s="491" t="s">
        <v>1555</v>
      </c>
      <c r="D559" s="610">
        <f>'0000'!G201</f>
        <v>0</v>
      </c>
      <c r="E559" s="491" t="s">
        <v>1250</v>
      </c>
      <c r="G559" s="595">
        <f t="shared" si="23"/>
        <v>0</v>
      </c>
      <c r="H559" s="608">
        <v>39814</v>
      </c>
    </row>
    <row r="560" spans="1:8" ht="12.75">
      <c r="A560" s="491">
        <f t="shared" si="22"/>
        <v>558</v>
      </c>
      <c r="B560" s="127">
        <f t="shared" si="21"/>
        <v>0</v>
      </c>
      <c r="C560" s="491" t="s">
        <v>1556</v>
      </c>
      <c r="D560" s="610">
        <f>'0000'!G202</f>
        <v>0</v>
      </c>
      <c r="E560" s="491" t="s">
        <v>1250</v>
      </c>
      <c r="G560" s="595">
        <f t="shared" si="23"/>
        <v>0</v>
      </c>
      <c r="H560" s="608">
        <v>39814</v>
      </c>
    </row>
    <row r="561" spans="1:8" ht="12.75">
      <c r="A561" s="491">
        <f t="shared" si="22"/>
        <v>559</v>
      </c>
      <c r="B561" s="127">
        <f t="shared" si="21"/>
        <v>0</v>
      </c>
      <c r="C561" s="491" t="s">
        <v>1557</v>
      </c>
      <c r="D561" s="610">
        <f>'0000'!G203</f>
        <v>0</v>
      </c>
      <c r="E561" s="491" t="s">
        <v>1250</v>
      </c>
      <c r="G561" s="595">
        <f t="shared" si="23"/>
        <v>0</v>
      </c>
      <c r="H561" s="608">
        <v>39814</v>
      </c>
    </row>
    <row r="562" spans="1:8" ht="12.75">
      <c r="A562" s="491">
        <f t="shared" si="22"/>
        <v>560</v>
      </c>
      <c r="B562" s="127">
        <f t="shared" si="21"/>
        <v>0</v>
      </c>
      <c r="C562" s="491" t="s">
        <v>1558</v>
      </c>
      <c r="D562" s="610">
        <f>'0000'!G206</f>
        <v>0</v>
      </c>
      <c r="E562" s="491" t="s">
        <v>1250</v>
      </c>
      <c r="G562" s="595">
        <f t="shared" si="23"/>
        <v>0</v>
      </c>
      <c r="H562" s="608">
        <v>39814</v>
      </c>
    </row>
    <row r="563" spans="1:8" ht="12.75">
      <c r="A563" s="491">
        <f t="shared" si="22"/>
        <v>561</v>
      </c>
      <c r="B563" s="127">
        <f t="shared" si="21"/>
        <v>0</v>
      </c>
      <c r="C563" s="491" t="s">
        <v>1559</v>
      </c>
      <c r="D563" s="610">
        <f>'0000'!G207</f>
        <v>0</v>
      </c>
      <c r="E563" s="491" t="s">
        <v>1250</v>
      </c>
      <c r="G563" s="595">
        <f t="shared" si="23"/>
        <v>0</v>
      </c>
      <c r="H563" s="608">
        <v>39814</v>
      </c>
    </row>
    <row r="564" spans="1:8" ht="12.75">
      <c r="A564" s="491">
        <f t="shared" si="22"/>
        <v>562</v>
      </c>
      <c r="B564" s="127">
        <f t="shared" si="21"/>
        <v>0</v>
      </c>
      <c r="C564" s="491" t="s">
        <v>1560</v>
      </c>
      <c r="D564" s="610">
        <f>'0000'!G208</f>
        <v>0</v>
      </c>
      <c r="E564" s="491" t="s">
        <v>1250</v>
      </c>
      <c r="G564" s="595">
        <f t="shared" si="23"/>
        <v>0</v>
      </c>
      <c r="H564" s="608">
        <v>39814</v>
      </c>
    </row>
    <row r="565" spans="1:8" ht="12.75">
      <c r="A565" s="491">
        <f t="shared" si="22"/>
        <v>563</v>
      </c>
      <c r="B565" s="127">
        <f aca="true" t="shared" si="24" ref="B565:B588">B564</f>
        <v>0</v>
      </c>
      <c r="C565" s="491" t="s">
        <v>1561</v>
      </c>
      <c r="D565" s="610">
        <f>'0000'!G209</f>
        <v>0</v>
      </c>
      <c r="E565" s="491" t="s">
        <v>1250</v>
      </c>
      <c r="G565" s="595">
        <f t="shared" si="23"/>
        <v>0</v>
      </c>
      <c r="H565" s="608">
        <v>39814</v>
      </c>
    </row>
    <row r="566" spans="1:8" ht="12.75">
      <c r="A566" s="491">
        <f aca="true" t="shared" si="25" ref="A566:A588">A565+1</f>
        <v>564</v>
      </c>
      <c r="B566" s="127">
        <f t="shared" si="24"/>
        <v>0</v>
      </c>
      <c r="C566" s="491" t="s">
        <v>1562</v>
      </c>
      <c r="D566" s="610">
        <f>'0000'!G210</f>
        <v>0</v>
      </c>
      <c r="E566" s="491" t="s">
        <v>1250</v>
      </c>
      <c r="G566" s="595">
        <f t="shared" si="23"/>
        <v>0</v>
      </c>
      <c r="H566" s="608">
        <v>39814</v>
      </c>
    </row>
    <row r="567" spans="1:8" ht="12.75">
      <c r="A567" s="491">
        <f t="shared" si="25"/>
        <v>565</v>
      </c>
      <c r="B567" s="127">
        <f t="shared" si="24"/>
        <v>0</v>
      </c>
      <c r="C567" s="491" t="s">
        <v>1563</v>
      </c>
      <c r="D567" s="610">
        <f>'0000'!G211</f>
        <v>0</v>
      </c>
      <c r="E567" s="491" t="s">
        <v>1250</v>
      </c>
      <c r="G567" s="595">
        <f t="shared" si="23"/>
        <v>0</v>
      </c>
      <c r="H567" s="608">
        <v>39814</v>
      </c>
    </row>
    <row r="568" spans="1:8" ht="12.75">
      <c r="A568" s="491">
        <f t="shared" si="25"/>
        <v>566</v>
      </c>
      <c r="B568" s="127">
        <f t="shared" si="24"/>
        <v>0</v>
      </c>
      <c r="C568" s="127" t="s">
        <v>1564</v>
      </c>
      <c r="D568" s="610">
        <f>'0000'!G218</f>
        <v>0</v>
      </c>
      <c r="E568" s="491" t="s">
        <v>1250</v>
      </c>
      <c r="G568" s="595">
        <f t="shared" si="23"/>
        <v>0</v>
      </c>
      <c r="H568" s="608">
        <v>39814</v>
      </c>
    </row>
    <row r="569" spans="1:8" ht="12.75">
      <c r="A569" s="491">
        <f t="shared" si="25"/>
        <v>567</v>
      </c>
      <c r="B569" s="127">
        <f t="shared" si="24"/>
        <v>0</v>
      </c>
      <c r="C569" s="127" t="s">
        <v>1565</v>
      </c>
      <c r="D569" s="610">
        <f>'0000'!G219</f>
        <v>0</v>
      </c>
      <c r="E569" s="491" t="s">
        <v>1250</v>
      </c>
      <c r="G569" s="595">
        <f t="shared" si="23"/>
        <v>0</v>
      </c>
      <c r="H569" s="608">
        <v>39814</v>
      </c>
    </row>
    <row r="570" spans="1:8" ht="12.75">
      <c r="A570" s="491">
        <f t="shared" si="25"/>
        <v>568</v>
      </c>
      <c r="B570" s="127">
        <f t="shared" si="24"/>
        <v>0</v>
      </c>
      <c r="C570" s="127" t="s">
        <v>1566</v>
      </c>
      <c r="D570" s="610">
        <f>'0000'!G220</f>
        <v>0</v>
      </c>
      <c r="E570" s="491" t="s">
        <v>1250</v>
      </c>
      <c r="G570" s="595">
        <f t="shared" si="23"/>
        <v>0</v>
      </c>
      <c r="H570" s="608">
        <v>39814</v>
      </c>
    </row>
    <row r="571" spans="1:8" ht="12.75">
      <c r="A571" s="491">
        <f t="shared" si="25"/>
        <v>569</v>
      </c>
      <c r="B571" s="127">
        <f t="shared" si="24"/>
        <v>0</v>
      </c>
      <c r="C571" s="127" t="s">
        <v>1567</v>
      </c>
      <c r="D571" s="610">
        <f>'0000'!G221</f>
        <v>0</v>
      </c>
      <c r="E571" s="491" t="s">
        <v>1250</v>
      </c>
      <c r="G571" s="595">
        <f t="shared" si="23"/>
        <v>0</v>
      </c>
      <c r="H571" s="608">
        <v>39814</v>
      </c>
    </row>
    <row r="572" spans="1:8" ht="12.75">
      <c r="A572" s="491">
        <f t="shared" si="25"/>
        <v>570</v>
      </c>
      <c r="B572" s="127">
        <f t="shared" si="24"/>
        <v>0</v>
      </c>
      <c r="C572" s="127" t="s">
        <v>1568</v>
      </c>
      <c r="D572" s="610">
        <f>'0000'!G222</f>
        <v>0</v>
      </c>
      <c r="E572" s="491" t="s">
        <v>1250</v>
      </c>
      <c r="G572" s="595">
        <f t="shared" si="23"/>
        <v>0</v>
      </c>
      <c r="H572" s="608">
        <v>39814</v>
      </c>
    </row>
    <row r="573" spans="1:8" ht="12.75">
      <c r="A573" s="491">
        <f t="shared" si="25"/>
        <v>571</v>
      </c>
      <c r="B573" s="127">
        <f t="shared" si="24"/>
        <v>0</v>
      </c>
      <c r="C573" s="127" t="s">
        <v>1569</v>
      </c>
      <c r="D573" s="610">
        <f>'0000'!G223</f>
        <v>0</v>
      </c>
      <c r="E573" s="491" t="s">
        <v>1250</v>
      </c>
      <c r="G573" s="595">
        <f t="shared" si="23"/>
        <v>0</v>
      </c>
      <c r="H573" s="608">
        <v>39814</v>
      </c>
    </row>
    <row r="574" spans="1:8" ht="12.75">
      <c r="A574" s="491">
        <f t="shared" si="25"/>
        <v>572</v>
      </c>
      <c r="B574" s="127">
        <f t="shared" si="24"/>
        <v>0</v>
      </c>
      <c r="C574" s="127" t="s">
        <v>1570</v>
      </c>
      <c r="D574" s="610">
        <f>'0000'!G224</f>
        <v>0</v>
      </c>
      <c r="E574" s="491" t="s">
        <v>1250</v>
      </c>
      <c r="G574" s="595">
        <f t="shared" si="23"/>
        <v>0</v>
      </c>
      <c r="H574" s="608">
        <v>39814</v>
      </c>
    </row>
    <row r="575" spans="1:8" ht="12.75">
      <c r="A575" s="491">
        <f t="shared" si="25"/>
        <v>573</v>
      </c>
      <c r="B575" s="127">
        <f t="shared" si="24"/>
        <v>0</v>
      </c>
      <c r="C575" s="127" t="s">
        <v>1571</v>
      </c>
      <c r="D575" s="610">
        <f>'0000'!G225</f>
        <v>0</v>
      </c>
      <c r="E575" s="491" t="s">
        <v>1250</v>
      </c>
      <c r="G575" s="595">
        <f t="shared" si="23"/>
        <v>0</v>
      </c>
      <c r="H575" s="608">
        <v>39814</v>
      </c>
    </row>
    <row r="576" spans="1:8" ht="12.75">
      <c r="A576" s="491">
        <f t="shared" si="25"/>
        <v>574</v>
      </c>
      <c r="B576" s="127">
        <f t="shared" si="24"/>
        <v>0</v>
      </c>
      <c r="C576" s="127" t="s">
        <v>1572</v>
      </c>
      <c r="D576" s="610">
        <f>'0000'!G226</f>
        <v>0</v>
      </c>
      <c r="E576" s="491" t="s">
        <v>1250</v>
      </c>
      <c r="G576" s="595">
        <f t="shared" si="23"/>
        <v>0</v>
      </c>
      <c r="H576" s="608">
        <v>39814</v>
      </c>
    </row>
    <row r="577" spans="1:8" ht="12.75">
      <c r="A577" s="491">
        <f t="shared" si="25"/>
        <v>575</v>
      </c>
      <c r="B577" s="127">
        <f t="shared" si="24"/>
        <v>0</v>
      </c>
      <c r="C577" s="127" t="s">
        <v>1573</v>
      </c>
      <c r="D577" s="610">
        <f>'0000'!G227</f>
        <v>0</v>
      </c>
      <c r="E577" s="491" t="s">
        <v>1250</v>
      </c>
      <c r="G577" s="595">
        <f t="shared" si="23"/>
        <v>0</v>
      </c>
      <c r="H577" s="608">
        <v>39814</v>
      </c>
    </row>
    <row r="578" spans="1:8" ht="12.75">
      <c r="A578" s="491">
        <f t="shared" si="25"/>
        <v>576</v>
      </c>
      <c r="B578" s="127">
        <f t="shared" si="24"/>
        <v>0</v>
      </c>
      <c r="C578" s="127" t="s">
        <v>1574</v>
      </c>
      <c r="D578" s="610">
        <f>'0000'!G228</f>
        <v>0</v>
      </c>
      <c r="E578" s="491" t="s">
        <v>1250</v>
      </c>
      <c r="G578" s="595">
        <f t="shared" si="23"/>
        <v>0</v>
      </c>
      <c r="H578" s="608">
        <v>39814</v>
      </c>
    </row>
    <row r="579" spans="1:8" ht="12.75">
      <c r="A579" s="491">
        <f t="shared" si="25"/>
        <v>577</v>
      </c>
      <c r="B579" s="127">
        <f t="shared" si="24"/>
        <v>0</v>
      </c>
      <c r="C579" s="127" t="s">
        <v>1575</v>
      </c>
      <c r="D579" s="610">
        <f>'0000'!G229</f>
        <v>0</v>
      </c>
      <c r="E579" s="491" t="s">
        <v>1250</v>
      </c>
      <c r="G579" s="595">
        <f t="shared" si="23"/>
        <v>0</v>
      </c>
      <c r="H579" s="608">
        <v>39814</v>
      </c>
    </row>
    <row r="580" spans="1:8" ht="12.75">
      <c r="A580" s="491">
        <f t="shared" si="25"/>
        <v>578</v>
      </c>
      <c r="B580" s="127">
        <f t="shared" si="24"/>
        <v>0</v>
      </c>
      <c r="C580" s="127" t="s">
        <v>1576</v>
      </c>
      <c r="D580" s="610">
        <f>'0000'!G232</f>
        <v>0</v>
      </c>
      <c r="E580" s="491" t="s">
        <v>1250</v>
      </c>
      <c r="G580" s="595">
        <f t="shared" si="23"/>
        <v>0</v>
      </c>
      <c r="H580" s="608">
        <v>39814</v>
      </c>
    </row>
    <row r="581" spans="1:8" ht="12.75">
      <c r="A581" s="491">
        <f t="shared" si="25"/>
        <v>579</v>
      </c>
      <c r="B581" s="127">
        <f t="shared" si="24"/>
        <v>0</v>
      </c>
      <c r="C581" s="127" t="s">
        <v>1503</v>
      </c>
      <c r="D581" s="610">
        <f>'0000'!G235</f>
        <v>0</v>
      </c>
      <c r="E581" s="491" t="s">
        <v>1250</v>
      </c>
      <c r="G581" s="595">
        <f t="shared" si="23"/>
        <v>0</v>
      </c>
      <c r="H581" s="608">
        <v>39814</v>
      </c>
    </row>
    <row r="582" spans="1:8" ht="12.75">
      <c r="A582" s="491">
        <f t="shared" si="25"/>
        <v>580</v>
      </c>
      <c r="B582" s="127">
        <f t="shared" si="24"/>
        <v>0</v>
      </c>
      <c r="C582" s="127" t="s">
        <v>1504</v>
      </c>
      <c r="D582" s="610">
        <f>'0000'!G236</f>
        <v>0</v>
      </c>
      <c r="E582" s="491" t="s">
        <v>1250</v>
      </c>
      <c r="G582" s="595">
        <f t="shared" si="23"/>
        <v>0</v>
      </c>
      <c r="H582" s="608">
        <v>39814</v>
      </c>
    </row>
    <row r="583" spans="1:8" ht="12.75">
      <c r="A583" s="491">
        <f t="shared" si="25"/>
        <v>581</v>
      </c>
      <c r="B583" s="127">
        <f t="shared" si="24"/>
        <v>0</v>
      </c>
      <c r="C583" s="127" t="s">
        <v>1505</v>
      </c>
      <c r="D583" s="610">
        <f>'0000'!G237</f>
        <v>0</v>
      </c>
      <c r="E583" s="491" t="s">
        <v>1250</v>
      </c>
      <c r="G583" s="595">
        <f t="shared" si="23"/>
        <v>0</v>
      </c>
      <c r="H583" s="608">
        <v>39814</v>
      </c>
    </row>
    <row r="584" spans="1:8" ht="12.75">
      <c r="A584" s="491">
        <f t="shared" si="25"/>
        <v>582</v>
      </c>
      <c r="B584" s="127">
        <f t="shared" si="24"/>
        <v>0</v>
      </c>
      <c r="C584" s="127" t="s">
        <v>1506</v>
      </c>
      <c r="D584" s="610">
        <f>'0000'!G238</f>
        <v>0</v>
      </c>
      <c r="E584" s="491" t="s">
        <v>1250</v>
      </c>
      <c r="G584" s="595">
        <f t="shared" si="23"/>
        <v>0</v>
      </c>
      <c r="H584" s="608">
        <v>39814</v>
      </c>
    </row>
    <row r="585" spans="1:8" ht="12.75">
      <c r="A585" s="491">
        <f t="shared" si="25"/>
        <v>583</v>
      </c>
      <c r="B585" s="127">
        <f t="shared" si="24"/>
        <v>0</v>
      </c>
      <c r="C585" s="127" t="s">
        <v>1507</v>
      </c>
      <c r="D585" s="610">
        <f>'0000'!G239</f>
        <v>0</v>
      </c>
      <c r="E585" s="491" t="s">
        <v>1250</v>
      </c>
      <c r="G585" s="595">
        <f t="shared" si="23"/>
        <v>0</v>
      </c>
      <c r="H585" s="608">
        <v>39814</v>
      </c>
    </row>
    <row r="586" spans="1:8" ht="12.75">
      <c r="A586" s="491">
        <f t="shared" si="25"/>
        <v>584</v>
      </c>
      <c r="B586" s="127">
        <f t="shared" si="24"/>
        <v>0</v>
      </c>
      <c r="C586" s="127" t="s">
        <v>1508</v>
      </c>
      <c r="D586" s="610">
        <f>'0000'!G240</f>
        <v>0</v>
      </c>
      <c r="E586" s="491" t="s">
        <v>1250</v>
      </c>
      <c r="G586" s="595">
        <f t="shared" si="23"/>
        <v>0</v>
      </c>
      <c r="H586" s="608">
        <v>39814</v>
      </c>
    </row>
    <row r="587" spans="1:8" ht="12.75">
      <c r="A587" s="491">
        <f t="shared" si="25"/>
        <v>585</v>
      </c>
      <c r="B587" s="127">
        <f t="shared" si="24"/>
        <v>0</v>
      </c>
      <c r="C587" s="127" t="s">
        <v>1509</v>
      </c>
      <c r="D587" s="610">
        <f>'0000'!G241</f>
        <v>0</v>
      </c>
      <c r="E587" s="491" t="s">
        <v>1250</v>
      </c>
      <c r="G587" s="595">
        <f t="shared" si="23"/>
        <v>0</v>
      </c>
      <c r="H587" s="608">
        <v>39814</v>
      </c>
    </row>
    <row r="588" spans="1:8" ht="12.75">
      <c r="A588" s="491">
        <f t="shared" si="25"/>
        <v>586</v>
      </c>
      <c r="B588" s="127">
        <f t="shared" si="24"/>
        <v>0</v>
      </c>
      <c r="C588" s="609" t="str">
        <f>'0000'!V245</f>
        <v>PQF128</v>
      </c>
      <c r="D588" s="607">
        <f>'0000'!F245</f>
        <v>0</v>
      </c>
      <c r="E588" s="491" t="s">
        <v>1250</v>
      </c>
      <c r="G588" s="595">
        <f t="shared" si="23"/>
        <v>0</v>
      </c>
      <c r="H588" s="608">
        <v>39814</v>
      </c>
    </row>
    <row r="589" spans="1:8" ht="12.75">
      <c r="A589" s="491">
        <f aca="true" t="shared" si="26" ref="A589:A594">A588+1</f>
        <v>587</v>
      </c>
      <c r="B589" s="127">
        <f aca="true" t="shared" si="27" ref="B589:B594">B588</f>
        <v>0</v>
      </c>
      <c r="C589" s="609" t="s">
        <v>423</v>
      </c>
      <c r="D589" s="607">
        <f>'0000'!G245</f>
        <v>0</v>
      </c>
      <c r="E589" s="491" t="s">
        <v>1250</v>
      </c>
      <c r="G589" s="595">
        <f t="shared" si="23"/>
        <v>0</v>
      </c>
      <c r="H589" s="608">
        <v>39814</v>
      </c>
    </row>
    <row r="590" spans="1:8" ht="12.75">
      <c r="A590" s="491">
        <f t="shared" si="26"/>
        <v>588</v>
      </c>
      <c r="B590" s="127">
        <f t="shared" si="27"/>
        <v>0</v>
      </c>
      <c r="C590" s="609" t="str">
        <f>'0000'!V246</f>
        <v>NF124</v>
      </c>
      <c r="D590" s="607">
        <f>'0000'!H246</f>
        <v>0</v>
      </c>
      <c r="E590" s="491" t="s">
        <v>1250</v>
      </c>
      <c r="G590" s="595">
        <f t="shared" si="23"/>
        <v>0</v>
      </c>
      <c r="H590" s="608">
        <v>39814</v>
      </c>
    </row>
    <row r="591" spans="1:8" ht="12.75">
      <c r="A591" s="491">
        <f t="shared" si="26"/>
        <v>589</v>
      </c>
      <c r="B591" s="127">
        <f t="shared" si="27"/>
        <v>0</v>
      </c>
      <c r="C591" s="609">
        <f>'0000'!V253</f>
        <v>0</v>
      </c>
      <c r="D591" s="607">
        <f>'0000'!H253</f>
        <v>0</v>
      </c>
      <c r="E591" s="491" t="s">
        <v>1250</v>
      </c>
      <c r="G591" s="595">
        <f t="shared" si="23"/>
        <v>0</v>
      </c>
      <c r="H591" s="608">
        <v>39814</v>
      </c>
    </row>
    <row r="592" spans="1:8" ht="12.75">
      <c r="A592" s="491">
        <f t="shared" si="26"/>
        <v>590</v>
      </c>
      <c r="B592" s="127">
        <f t="shared" si="27"/>
        <v>0</v>
      </c>
      <c r="C592" s="609">
        <f>'0000'!V254</f>
        <v>0</v>
      </c>
      <c r="D592" s="607">
        <f>'0000'!H254</f>
        <v>0</v>
      </c>
      <c r="E592" s="491" t="s">
        <v>1250</v>
      </c>
      <c r="G592" s="595">
        <f t="shared" si="23"/>
        <v>0</v>
      </c>
      <c r="H592" s="608">
        <v>39814</v>
      </c>
    </row>
    <row r="593" spans="1:8" ht="12.75">
      <c r="A593" s="491">
        <f t="shared" si="26"/>
        <v>591</v>
      </c>
      <c r="B593" s="127">
        <f t="shared" si="27"/>
        <v>0</v>
      </c>
      <c r="C593" s="609">
        <f>'0000'!V255</f>
        <v>0</v>
      </c>
      <c r="D593" s="607">
        <f>'0000'!H255</f>
        <v>0</v>
      </c>
      <c r="E593" s="491" t="s">
        <v>1250</v>
      </c>
      <c r="G593" s="595">
        <f t="shared" si="23"/>
        <v>0</v>
      </c>
      <c r="H593" s="608">
        <v>39814</v>
      </c>
    </row>
    <row r="594" spans="1:8" ht="12.75">
      <c r="A594" s="491">
        <f t="shared" si="26"/>
        <v>592</v>
      </c>
      <c r="B594" s="127">
        <f t="shared" si="27"/>
        <v>0</v>
      </c>
      <c r="C594" s="609">
        <f>'0000'!V256</f>
        <v>0</v>
      </c>
      <c r="D594" s="607">
        <f>'0000'!H256</f>
        <v>0</v>
      </c>
      <c r="E594" s="491" t="s">
        <v>1250</v>
      </c>
      <c r="G594" s="595">
        <f t="shared" si="23"/>
        <v>0</v>
      </c>
      <c r="H594" s="608">
        <v>39814</v>
      </c>
    </row>
    <row r="595" spans="1:8" ht="12.75">
      <c r="A595" s="491">
        <f aca="true" t="shared" si="28" ref="A595:A608">A594+1</f>
        <v>593</v>
      </c>
      <c r="B595" s="127">
        <f aca="true" t="shared" si="29" ref="B595:B608">B594</f>
        <v>0</v>
      </c>
      <c r="C595" s="609" t="s">
        <v>638</v>
      </c>
      <c r="D595" s="607">
        <f>'0000'!H274</f>
        <v>0</v>
      </c>
      <c r="E595" s="491" t="s">
        <v>1251</v>
      </c>
      <c r="G595" s="595">
        <f t="shared" si="23"/>
        <v>0</v>
      </c>
      <c r="H595" s="608">
        <v>39814</v>
      </c>
    </row>
    <row r="596" spans="1:8" ht="12.75">
      <c r="A596" s="491">
        <f t="shared" si="28"/>
        <v>594</v>
      </c>
      <c r="B596" s="127">
        <f t="shared" si="29"/>
        <v>0</v>
      </c>
      <c r="C596" s="609" t="s">
        <v>639</v>
      </c>
      <c r="D596" s="607">
        <f>'0000'!H284</f>
        <v>0</v>
      </c>
      <c r="E596" s="491" t="s">
        <v>1251</v>
      </c>
      <c r="G596" s="595">
        <f t="shared" si="23"/>
        <v>0</v>
      </c>
      <c r="H596" s="608">
        <v>39814</v>
      </c>
    </row>
    <row r="597" spans="1:8" ht="12.75">
      <c r="A597" s="491">
        <f t="shared" si="28"/>
        <v>595</v>
      </c>
      <c r="B597" s="127">
        <f t="shared" si="29"/>
        <v>0</v>
      </c>
      <c r="C597" s="609" t="s">
        <v>640</v>
      </c>
      <c r="D597" s="607">
        <f>'0000'!H292</f>
        <v>0</v>
      </c>
      <c r="E597" s="491" t="s">
        <v>1251</v>
      </c>
      <c r="G597" s="595">
        <f t="shared" si="23"/>
        <v>0</v>
      </c>
      <c r="H597" s="608">
        <v>39814</v>
      </c>
    </row>
    <row r="598" spans="1:8" ht="12.75">
      <c r="A598" s="491">
        <f t="shared" si="28"/>
        <v>596</v>
      </c>
      <c r="B598" s="127">
        <f t="shared" si="29"/>
        <v>0</v>
      </c>
      <c r="C598" s="127" t="s">
        <v>301</v>
      </c>
      <c r="D598" s="606">
        <f>tijdbesteding!D11</f>
        <v>0</v>
      </c>
      <c r="E598" s="491" t="s">
        <v>1251</v>
      </c>
      <c r="G598" s="595">
        <f t="shared" si="23"/>
        <v>0</v>
      </c>
      <c r="H598" s="608">
        <v>39814</v>
      </c>
    </row>
    <row r="599" spans="1:8" ht="12.75">
      <c r="A599" s="491">
        <f t="shared" si="28"/>
        <v>597</v>
      </c>
      <c r="B599" s="127">
        <f t="shared" si="29"/>
        <v>0</v>
      </c>
      <c r="C599" s="127" t="str">
        <f>tijdbesteding!A15</f>
        <v>Medewerker</v>
      </c>
      <c r="D599" s="606">
        <f>tijdbesteding!D15</f>
        <v>0</v>
      </c>
      <c r="E599" s="491" t="s">
        <v>1251</v>
      </c>
      <c r="G599" s="595">
        <f t="shared" si="23"/>
        <v>0</v>
      </c>
      <c r="H599" s="608">
        <v>39814</v>
      </c>
    </row>
    <row r="600" spans="1:8" ht="12.75">
      <c r="A600" s="491">
        <f t="shared" si="28"/>
        <v>598</v>
      </c>
      <c r="B600" s="127">
        <f t="shared" si="29"/>
        <v>0</v>
      </c>
      <c r="C600" s="127" t="str">
        <f>tijdbesteding!A16</f>
        <v>Middenkader</v>
      </c>
      <c r="D600" s="606">
        <f>tijdbesteding!D16</f>
        <v>0</v>
      </c>
      <c r="E600" s="491" t="s">
        <v>1251</v>
      </c>
      <c r="G600" s="595">
        <f t="shared" si="23"/>
        <v>0</v>
      </c>
      <c r="H600" s="608">
        <v>39814</v>
      </c>
    </row>
    <row r="601" spans="1:8" ht="12.75">
      <c r="A601" s="491">
        <f t="shared" si="28"/>
        <v>599</v>
      </c>
      <c r="B601" s="127">
        <f t="shared" si="29"/>
        <v>0</v>
      </c>
      <c r="C601" s="127" t="str">
        <f>tijdbesteding!A17</f>
        <v>Directie</v>
      </c>
      <c r="D601" s="606">
        <f>tijdbesteding!D17</f>
        <v>0</v>
      </c>
      <c r="E601" s="491" t="s">
        <v>1251</v>
      </c>
      <c r="G601" s="595">
        <f t="shared" si="23"/>
        <v>0</v>
      </c>
      <c r="H601" s="608">
        <v>39814</v>
      </c>
    </row>
    <row r="602" spans="1:8" ht="12.75">
      <c r="A602" s="491">
        <f t="shared" si="28"/>
        <v>600</v>
      </c>
      <c r="B602" s="127">
        <f t="shared" si="29"/>
        <v>0</v>
      </c>
      <c r="C602" s="491" t="s">
        <v>1789</v>
      </c>
      <c r="D602" s="611" t="e">
        <f>'0000'!C309</f>
        <v>#DIV/0!</v>
      </c>
      <c r="E602" s="491" t="s">
        <v>1251</v>
      </c>
      <c r="G602" s="595" t="e">
        <f t="shared" si="23"/>
        <v>#DIV/0!</v>
      </c>
      <c r="H602" s="608">
        <v>39814</v>
      </c>
    </row>
    <row r="603" spans="1:8" ht="12.75">
      <c r="A603" s="491">
        <f t="shared" si="28"/>
        <v>601</v>
      </c>
      <c r="B603" s="127">
        <f t="shared" si="29"/>
        <v>0</v>
      </c>
      <c r="C603" s="491" t="s">
        <v>1790</v>
      </c>
      <c r="D603" s="611">
        <f>'0000'!C308</f>
        <v>0</v>
      </c>
      <c r="E603" s="491" t="s">
        <v>1251</v>
      </c>
      <c r="G603" s="595">
        <f t="shared" si="23"/>
        <v>0</v>
      </c>
      <c r="H603" s="608">
        <v>39814</v>
      </c>
    </row>
    <row r="604" spans="1:8" ht="12.75">
      <c r="A604" s="491">
        <f t="shared" si="28"/>
        <v>602</v>
      </c>
      <c r="B604" s="127">
        <f t="shared" si="29"/>
        <v>0</v>
      </c>
      <c r="C604" s="491" t="s">
        <v>1475</v>
      </c>
      <c r="D604" s="491">
        <f>'0000'!H290</f>
        <v>0</v>
      </c>
      <c r="E604" s="491" t="s">
        <v>1480</v>
      </c>
      <c r="G604" s="595">
        <f t="shared" si="23"/>
        <v>0</v>
      </c>
      <c r="H604" s="608">
        <v>39814</v>
      </c>
    </row>
    <row r="605" spans="1:8" ht="12.75">
      <c r="A605" s="491">
        <f t="shared" si="28"/>
        <v>603</v>
      </c>
      <c r="B605" s="127">
        <f t="shared" si="29"/>
        <v>0</v>
      </c>
      <c r="C605" s="491" t="s">
        <v>1476</v>
      </c>
      <c r="D605" s="491">
        <f>'0000'!H291</f>
        <v>0</v>
      </c>
      <c r="E605" s="491" t="s">
        <v>1480</v>
      </c>
      <c r="G605" s="595">
        <f t="shared" si="23"/>
        <v>0</v>
      </c>
      <c r="H605" s="608">
        <v>39814</v>
      </c>
    </row>
    <row r="606" spans="1:8" ht="12.75">
      <c r="A606" s="491">
        <f t="shared" si="28"/>
        <v>604</v>
      </c>
      <c r="B606" s="127">
        <f t="shared" si="29"/>
        <v>0</v>
      </c>
      <c r="C606" s="491" t="s">
        <v>1477</v>
      </c>
      <c r="D606" s="595">
        <f>IF('0000'!F308=0,0,'0000'!F308/100)</f>
        <v>0</v>
      </c>
      <c r="E606" s="491" t="s">
        <v>1480</v>
      </c>
      <c r="G606" s="595">
        <f t="shared" si="23"/>
        <v>0</v>
      </c>
      <c r="H606" s="608">
        <v>39814</v>
      </c>
    </row>
    <row r="607" spans="1:8" ht="12.75">
      <c r="A607" s="491">
        <f t="shared" si="28"/>
        <v>605</v>
      </c>
      <c r="B607" s="127">
        <f t="shared" si="29"/>
        <v>0</v>
      </c>
      <c r="C607" s="491" t="s">
        <v>1478</v>
      </c>
      <c r="D607" s="491">
        <f>IF('0000'!F308=0,'0000'!F309/100,0)</f>
        <v>0</v>
      </c>
      <c r="E607" s="491" t="s">
        <v>1480</v>
      </c>
      <c r="G607" s="595">
        <f t="shared" si="23"/>
        <v>0</v>
      </c>
      <c r="H607" s="608">
        <v>39814</v>
      </c>
    </row>
    <row r="608" spans="1:8" ht="12.75">
      <c r="A608" s="491">
        <f t="shared" si="28"/>
        <v>606</v>
      </c>
      <c r="B608" s="127">
        <f t="shared" si="29"/>
        <v>0</v>
      </c>
      <c r="C608" s="491" t="s">
        <v>1479</v>
      </c>
      <c r="D608" s="491">
        <f>-'0000'!H298</f>
        <v>0</v>
      </c>
      <c r="E608" s="491" t="s">
        <v>1480</v>
      </c>
      <c r="G608" s="595">
        <f t="shared" si="23"/>
        <v>0</v>
      </c>
      <c r="H608" s="608">
        <v>39814</v>
      </c>
    </row>
    <row r="609" spans="1:8" ht="12.75">
      <c r="A609" s="491">
        <f>A608+1</f>
        <v>607</v>
      </c>
      <c r="B609" s="127">
        <f>B608</f>
        <v>0</v>
      </c>
      <c r="C609" s="491" t="s">
        <v>70</v>
      </c>
      <c r="D609" s="491">
        <v>0</v>
      </c>
      <c r="E609" s="491" t="s">
        <v>1251</v>
      </c>
      <c r="F609" s="594">
        <f>'0000'!B313</f>
        <v>0</v>
      </c>
      <c r="G609" s="595">
        <f t="shared" si="23"/>
        <v>0</v>
      </c>
      <c r="H609" s="608">
        <v>39814</v>
      </c>
    </row>
    <row r="610" spans="1:8" ht="12.75">
      <c r="A610" s="491">
        <f>A609+1</f>
        <v>608</v>
      </c>
      <c r="B610" s="127">
        <f>B609</f>
        <v>0</v>
      </c>
      <c r="C610" s="491" t="s">
        <v>71</v>
      </c>
      <c r="D610" s="491">
        <v>0</v>
      </c>
      <c r="E610" s="491" t="s">
        <v>1251</v>
      </c>
      <c r="F610" s="594">
        <f>'0000'!B315</f>
        <v>0</v>
      </c>
      <c r="G610" s="595">
        <f t="shared" si="23"/>
        <v>0</v>
      </c>
      <c r="H610" s="608">
        <v>39814</v>
      </c>
    </row>
    <row r="611" spans="1:8" ht="12.75">
      <c r="A611" s="491">
        <f aca="true" t="shared" si="30" ref="A611:A691">A610+1</f>
        <v>609</v>
      </c>
      <c r="B611" s="127">
        <f aca="true" t="shared" si="31" ref="B611:B691">B610</f>
        <v>0</v>
      </c>
      <c r="C611" s="491">
        <v>99</v>
      </c>
      <c r="D611" s="491">
        <v>1</v>
      </c>
      <c r="E611" s="491" t="s">
        <v>1480</v>
      </c>
      <c r="G611" s="595">
        <f t="shared" si="23"/>
        <v>1</v>
      </c>
      <c r="H611" s="608">
        <v>39814</v>
      </c>
    </row>
    <row r="612" spans="1:8" ht="12.75">
      <c r="A612" s="491">
        <f t="shared" si="30"/>
        <v>610</v>
      </c>
      <c r="B612" s="127">
        <f t="shared" si="31"/>
        <v>0</v>
      </c>
      <c r="C612" s="491">
        <v>101</v>
      </c>
      <c r="D612" s="491">
        <v>2</v>
      </c>
      <c r="E612" s="491" t="s">
        <v>1480</v>
      </c>
      <c r="G612" s="595">
        <f t="shared" si="23"/>
        <v>2</v>
      </c>
      <c r="H612" s="608">
        <v>39814</v>
      </c>
    </row>
    <row r="613" spans="1:8" ht="12.75">
      <c r="A613" s="491">
        <f t="shared" si="30"/>
        <v>611</v>
      </c>
      <c r="B613" s="127">
        <f t="shared" si="31"/>
        <v>0</v>
      </c>
      <c r="C613" s="491">
        <v>102</v>
      </c>
      <c r="D613" s="491" t="str">
        <f>IF(D606=0,"0",3)</f>
        <v>0</v>
      </c>
      <c r="E613" s="491" t="s">
        <v>1480</v>
      </c>
      <c r="G613" s="595" t="str">
        <f t="shared" si="23"/>
        <v>0</v>
      </c>
      <c r="H613" s="608">
        <v>39814</v>
      </c>
    </row>
    <row r="614" spans="1:8" ht="12.75">
      <c r="A614" s="491">
        <f t="shared" si="30"/>
        <v>612</v>
      </c>
      <c r="B614" s="127">
        <f t="shared" si="31"/>
        <v>0</v>
      </c>
      <c r="C614" s="491">
        <v>103</v>
      </c>
      <c r="D614" s="491">
        <f>IF(D606=0,4,"0")</f>
        <v>4</v>
      </c>
      <c r="E614" s="491" t="s">
        <v>1480</v>
      </c>
      <c r="G614" s="595">
        <f t="shared" si="23"/>
        <v>4</v>
      </c>
      <c r="H614" s="608">
        <v>39814</v>
      </c>
    </row>
    <row r="615" spans="1:8" ht="12.75">
      <c r="A615" s="491">
        <f t="shared" si="30"/>
        <v>613</v>
      </c>
      <c r="B615" s="127">
        <f t="shared" si="31"/>
        <v>0</v>
      </c>
      <c r="C615" s="491" t="str">
        <f>voorblad!H37</f>
        <v>Zorgverzekeraar 1</v>
      </c>
      <c r="E615" s="491" t="s">
        <v>1370</v>
      </c>
      <c r="F615" s="491">
        <f>voorblad!K37</f>
        <v>0</v>
      </c>
      <c r="G615" s="595"/>
      <c r="H615" s="608">
        <v>39814</v>
      </c>
    </row>
    <row r="616" spans="1:8" ht="12.75">
      <c r="A616" s="491">
        <f t="shared" si="30"/>
        <v>614</v>
      </c>
      <c r="B616" s="127">
        <f t="shared" si="31"/>
        <v>0</v>
      </c>
      <c r="C616" s="491" t="str">
        <f>voorblad!H42</f>
        <v>Zorgverzekeraar 2</v>
      </c>
      <c r="E616" s="491" t="s">
        <v>1370</v>
      </c>
      <c r="F616" s="491">
        <f>voorblad!K42</f>
        <v>0</v>
      </c>
      <c r="G616" s="595"/>
      <c r="H616" s="608">
        <v>39814</v>
      </c>
    </row>
    <row r="617" spans="1:8" ht="12.75">
      <c r="A617" s="491">
        <f t="shared" si="30"/>
        <v>615</v>
      </c>
      <c r="B617" s="127">
        <f t="shared" si="31"/>
        <v>0</v>
      </c>
      <c r="C617" s="491" t="str">
        <f>voorblad!H47</f>
        <v>Zorgverzekeraar 3</v>
      </c>
      <c r="E617" s="491" t="s">
        <v>1370</v>
      </c>
      <c r="F617" s="491">
        <f>voorblad!K47</f>
        <v>0</v>
      </c>
      <c r="G617" s="595"/>
      <c r="H617" s="608">
        <v>39814</v>
      </c>
    </row>
    <row r="618" spans="1:8" ht="12.75">
      <c r="A618" s="491">
        <f t="shared" si="30"/>
        <v>616</v>
      </c>
      <c r="B618" s="127">
        <f t="shared" si="31"/>
        <v>0</v>
      </c>
      <c r="C618" s="491" t="str">
        <f>voorblad!A42</f>
        <v>Contactpersoon</v>
      </c>
      <c r="E618" s="491" t="s">
        <v>1370</v>
      </c>
      <c r="F618" s="491" t="str">
        <f>CONCATENATE(voorblad!D42," ",voorblad!E42)</f>
        <v>Dhr/Mevr </v>
      </c>
      <c r="G618" s="595"/>
      <c r="H618" s="608">
        <v>39814</v>
      </c>
    </row>
    <row r="619" spans="1:8" ht="12.75">
      <c r="A619" s="491">
        <f t="shared" si="30"/>
        <v>617</v>
      </c>
      <c r="B619" s="127">
        <f t="shared" si="31"/>
        <v>0</v>
      </c>
      <c r="C619" s="491" t="str">
        <f>voorblad!A43</f>
        <v>Telefoon</v>
      </c>
      <c r="E619" s="491" t="s">
        <v>1370</v>
      </c>
      <c r="F619" s="491">
        <f>voorblad!D43</f>
        <v>0</v>
      </c>
      <c r="G619" s="595"/>
      <c r="H619" s="608">
        <v>39814</v>
      </c>
    </row>
    <row r="620" spans="1:8" ht="12.75">
      <c r="A620" s="491">
        <f t="shared" si="30"/>
        <v>618</v>
      </c>
      <c r="B620" s="127">
        <f t="shared" si="31"/>
        <v>0</v>
      </c>
      <c r="C620" s="491" t="str">
        <f>voorblad!A45</f>
        <v>E-mail</v>
      </c>
      <c r="E620" s="491" t="s">
        <v>1370</v>
      </c>
      <c r="F620" s="491">
        <f>voorblad!D45</f>
        <v>0</v>
      </c>
      <c r="G620" s="595"/>
      <c r="H620" s="608">
        <v>39814</v>
      </c>
    </row>
    <row r="621" spans="1:8" ht="12.75">
      <c r="A621" s="491">
        <f t="shared" si="30"/>
        <v>619</v>
      </c>
      <c r="B621" s="127">
        <f t="shared" si="31"/>
        <v>0</v>
      </c>
      <c r="C621" s="491" t="s">
        <v>1448</v>
      </c>
      <c r="D621" s="592">
        <f>spec!E28</f>
        <v>0</v>
      </c>
      <c r="E621" s="491" t="s">
        <v>1447</v>
      </c>
      <c r="G621" s="595"/>
      <c r="H621" s="608">
        <v>39814</v>
      </c>
    </row>
    <row r="622" spans="1:8" ht="12.75">
      <c r="A622" s="491">
        <f t="shared" si="30"/>
        <v>620</v>
      </c>
      <c r="B622" s="127">
        <f t="shared" si="31"/>
        <v>0</v>
      </c>
      <c r="C622" s="594" t="s">
        <v>1449</v>
      </c>
      <c r="D622" s="592">
        <f>spec!E29</f>
        <v>0</v>
      </c>
      <c r="E622" s="491" t="s">
        <v>1447</v>
      </c>
      <c r="G622" s="595"/>
      <c r="H622" s="608">
        <v>39814</v>
      </c>
    </row>
    <row r="623" spans="1:8" ht="12.75">
      <c r="A623" s="491">
        <f t="shared" si="30"/>
        <v>621</v>
      </c>
      <c r="B623" s="127">
        <f t="shared" si="31"/>
        <v>0</v>
      </c>
      <c r="C623" s="491" t="s">
        <v>1450</v>
      </c>
      <c r="D623" s="592">
        <f>spec!E30</f>
        <v>0</v>
      </c>
      <c r="E623" s="491" t="s">
        <v>1447</v>
      </c>
      <c r="G623" s="595"/>
      <c r="H623" s="608">
        <v>39814</v>
      </c>
    </row>
    <row r="624" spans="1:8" ht="12.75">
      <c r="A624" s="491">
        <f t="shared" si="30"/>
        <v>622</v>
      </c>
      <c r="B624" s="127">
        <f t="shared" si="31"/>
        <v>0</v>
      </c>
      <c r="C624" s="491" t="s">
        <v>1409</v>
      </c>
      <c r="D624" s="592">
        <f>spec!E33</f>
        <v>0</v>
      </c>
      <c r="E624" s="491" t="s">
        <v>1447</v>
      </c>
      <c r="G624" s="595"/>
      <c r="H624" s="608">
        <v>39814</v>
      </c>
    </row>
    <row r="625" spans="1:8" ht="12.75">
      <c r="A625" s="491">
        <f t="shared" si="30"/>
        <v>623</v>
      </c>
      <c r="B625" s="127">
        <f t="shared" si="31"/>
        <v>0</v>
      </c>
      <c r="C625" s="491" t="s">
        <v>1445</v>
      </c>
      <c r="D625" s="592">
        <f>spec!E35</f>
        <v>0</v>
      </c>
      <c r="E625" s="491" t="s">
        <v>1447</v>
      </c>
      <c r="G625" s="595"/>
      <c r="H625" s="608">
        <v>39814</v>
      </c>
    </row>
    <row r="626" spans="1:8" ht="12.75">
      <c r="A626" s="491">
        <f t="shared" si="30"/>
        <v>624</v>
      </c>
      <c r="B626" s="127">
        <f t="shared" si="31"/>
        <v>0</v>
      </c>
      <c r="C626" s="491" t="s">
        <v>1410</v>
      </c>
      <c r="D626" s="592">
        <f>spec!E34</f>
        <v>0</v>
      </c>
      <c r="E626" s="491" t="s">
        <v>1447</v>
      </c>
      <c r="G626" s="595"/>
      <c r="H626" s="608">
        <v>39814</v>
      </c>
    </row>
    <row r="627" spans="1:8" ht="12.75">
      <c r="A627" s="491">
        <f t="shared" si="30"/>
        <v>625</v>
      </c>
      <c r="B627" s="127">
        <f t="shared" si="31"/>
        <v>0</v>
      </c>
      <c r="C627" s="491" t="s">
        <v>1451</v>
      </c>
      <c r="D627" s="592">
        <f>spec!E37</f>
        <v>0</v>
      </c>
      <c r="E627" s="491" t="s">
        <v>1447</v>
      </c>
      <c r="G627" s="595"/>
      <c r="H627" s="608">
        <v>39814</v>
      </c>
    </row>
    <row r="628" spans="1:8" ht="12.75">
      <c r="A628" s="491">
        <f t="shared" si="30"/>
        <v>626</v>
      </c>
      <c r="B628" s="127">
        <f t="shared" si="31"/>
        <v>0</v>
      </c>
      <c r="C628" s="491" t="s">
        <v>1446</v>
      </c>
      <c r="D628" s="491">
        <f>spec!C37</f>
        <v>0</v>
      </c>
      <c r="E628" s="491" t="s">
        <v>1447</v>
      </c>
      <c r="G628" s="595"/>
      <c r="H628" s="608">
        <v>39814</v>
      </c>
    </row>
    <row r="629" spans="1:8" ht="12.75">
      <c r="A629" s="491">
        <f t="shared" si="30"/>
        <v>627</v>
      </c>
      <c r="B629" s="127">
        <f t="shared" si="31"/>
        <v>0</v>
      </c>
      <c r="C629" s="491" t="s">
        <v>1452</v>
      </c>
      <c r="D629" s="592">
        <f>-spec!E38</f>
        <v>0</v>
      </c>
      <c r="E629" s="491" t="s">
        <v>1447</v>
      </c>
      <c r="G629" s="595"/>
      <c r="H629" s="608">
        <v>39814</v>
      </c>
    </row>
    <row r="630" spans="1:8" ht="12.75">
      <c r="A630" s="491">
        <f t="shared" si="30"/>
        <v>628</v>
      </c>
      <c r="B630" s="127">
        <f t="shared" si="31"/>
        <v>0</v>
      </c>
      <c r="C630" s="491" t="s">
        <v>1453</v>
      </c>
      <c r="D630" s="592">
        <f>spec!D41</f>
        <v>0</v>
      </c>
      <c r="E630" s="491" t="s">
        <v>1447</v>
      </c>
      <c r="G630" s="595"/>
      <c r="H630" s="608">
        <v>39814</v>
      </c>
    </row>
    <row r="631" spans="1:8" ht="12.75">
      <c r="A631" s="491">
        <f t="shared" si="30"/>
        <v>629</v>
      </c>
      <c r="B631" s="127">
        <f t="shared" si="31"/>
        <v>0</v>
      </c>
      <c r="C631" s="491" t="s">
        <v>1454</v>
      </c>
      <c r="D631" s="592">
        <f>spec!D42</f>
        <v>0</v>
      </c>
      <c r="E631" s="491" t="s">
        <v>1447</v>
      </c>
      <c r="G631" s="595"/>
      <c r="H631" s="608">
        <v>39814</v>
      </c>
    </row>
    <row r="632" spans="1:8" ht="12.75">
      <c r="A632" s="491">
        <f t="shared" si="30"/>
        <v>630</v>
      </c>
      <c r="B632" s="127">
        <f t="shared" si="31"/>
        <v>0</v>
      </c>
      <c r="C632" s="491" t="s">
        <v>1419</v>
      </c>
      <c r="D632" s="592">
        <f>spec!E43</f>
        <v>0</v>
      </c>
      <c r="E632" s="491" t="s">
        <v>1447</v>
      </c>
      <c r="G632" s="595"/>
      <c r="H632" s="608">
        <v>39814</v>
      </c>
    </row>
    <row r="633" spans="1:8" ht="12.75">
      <c r="A633" s="491">
        <f t="shared" si="30"/>
        <v>631</v>
      </c>
      <c r="B633" s="127">
        <f t="shared" si="31"/>
        <v>0</v>
      </c>
      <c r="C633" s="491" t="s">
        <v>1420</v>
      </c>
      <c r="D633" s="593">
        <f>spec!C45</f>
        <v>0</v>
      </c>
      <c r="E633" s="491" t="s">
        <v>1447</v>
      </c>
      <c r="G633" s="595"/>
      <c r="H633" s="608">
        <v>39814</v>
      </c>
    </row>
    <row r="634" spans="1:8" ht="12.75">
      <c r="A634" s="491">
        <f t="shared" si="30"/>
        <v>632</v>
      </c>
      <c r="B634" s="127">
        <f t="shared" si="31"/>
        <v>0</v>
      </c>
      <c r="C634" s="491" t="s">
        <v>1421</v>
      </c>
      <c r="D634" s="593">
        <f>spec!C46</f>
        <v>0</v>
      </c>
      <c r="E634" s="491" t="s">
        <v>1447</v>
      </c>
      <c r="G634" s="595"/>
      <c r="H634" s="608">
        <v>39814</v>
      </c>
    </row>
    <row r="635" spans="1:8" ht="12.75">
      <c r="A635" s="491">
        <f t="shared" si="30"/>
        <v>633</v>
      </c>
      <c r="B635" s="127">
        <f t="shared" si="31"/>
        <v>0</v>
      </c>
      <c r="C635" s="491" t="str">
        <f>'0000'!B280</f>
        <v>kapitaalslasten verblijf (kliniek)</v>
      </c>
      <c r="D635" s="595">
        <f>'0000'!H280</f>
        <v>0</v>
      </c>
      <c r="E635" s="491" t="s">
        <v>1447</v>
      </c>
      <c r="F635" s="491" t="str">
        <f>IF(D636+D637=D635,"OK","(MW --&gt; R190)")</f>
        <v>OK</v>
      </c>
      <c r="G635" s="595"/>
      <c r="H635" s="608">
        <v>39815</v>
      </c>
    </row>
    <row r="636" spans="1:8" ht="12.75">
      <c r="A636" s="491">
        <f t="shared" si="30"/>
        <v>634</v>
      </c>
      <c r="B636" s="127">
        <f t="shared" si="31"/>
        <v>0</v>
      </c>
      <c r="C636" s="491" t="str">
        <f>spec!H16</f>
        <v>KAPOVK</v>
      </c>
      <c r="D636" s="594">
        <f>spec!J16</f>
        <v>0</v>
      </c>
      <c r="E636" s="491" t="s">
        <v>1480</v>
      </c>
      <c r="G636" s="595"/>
      <c r="H636" s="608">
        <v>39814</v>
      </c>
    </row>
    <row r="637" spans="1:8" ht="12.75">
      <c r="A637" s="491">
        <f t="shared" si="30"/>
        <v>635</v>
      </c>
      <c r="B637" s="127">
        <f t="shared" si="31"/>
        <v>0</v>
      </c>
      <c r="C637" s="491" t="str">
        <f>spec!H17</f>
        <v>KAPINK</v>
      </c>
      <c r="D637" s="592">
        <f>spec!J17</f>
        <v>0</v>
      </c>
      <c r="E637" s="491" t="s">
        <v>1480</v>
      </c>
      <c r="G637" s="595"/>
      <c r="H637" s="608">
        <v>39814</v>
      </c>
    </row>
    <row r="638" spans="1:8" ht="12.75">
      <c r="A638" s="491">
        <f t="shared" si="30"/>
        <v>636</v>
      </c>
      <c r="B638" s="127">
        <f>B634</f>
        <v>0</v>
      </c>
      <c r="C638" s="595" t="str">
        <f>'dbc''s'!N7</f>
        <v>TBA001</v>
      </c>
      <c r="D638" s="592">
        <f>'dbc''s'!P7</f>
        <v>0</v>
      </c>
      <c r="E638" s="491" t="s">
        <v>1371</v>
      </c>
      <c r="G638" s="595"/>
      <c r="H638" s="608">
        <v>39814</v>
      </c>
    </row>
    <row r="639" spans="1:8" ht="12.75">
      <c r="A639" s="491">
        <f t="shared" si="30"/>
        <v>637</v>
      </c>
      <c r="B639" s="127">
        <f t="shared" si="31"/>
        <v>0</v>
      </c>
      <c r="C639" s="595" t="str">
        <f>'dbc''s'!N8</f>
        <v>TBA002</v>
      </c>
      <c r="D639" s="592">
        <f>'dbc''s'!P8</f>
        <v>46</v>
      </c>
      <c r="E639" s="491" t="s">
        <v>1371</v>
      </c>
      <c r="H639" s="608">
        <v>39814</v>
      </c>
    </row>
    <row r="640" spans="1:8" ht="12.75">
      <c r="A640" s="491">
        <f t="shared" si="30"/>
        <v>638</v>
      </c>
      <c r="B640" s="127">
        <f t="shared" si="31"/>
        <v>0</v>
      </c>
      <c r="C640" s="595" t="str">
        <f>'dbc''s'!N9</f>
        <v>TBA003</v>
      </c>
      <c r="D640" s="592">
        <f>'dbc''s'!P9</f>
        <v>115</v>
      </c>
      <c r="E640" s="491" t="s">
        <v>1371</v>
      </c>
      <c r="H640" s="608">
        <v>39814</v>
      </c>
    </row>
    <row r="641" spans="1:8" ht="12.75">
      <c r="A641" s="491">
        <f t="shared" si="30"/>
        <v>639</v>
      </c>
      <c r="B641" s="127">
        <f t="shared" si="31"/>
        <v>0</v>
      </c>
      <c r="C641" s="595" t="str">
        <f>'dbc''s'!N10</f>
        <v>TBA004</v>
      </c>
      <c r="D641" s="592">
        <f>'dbc''s'!P10</f>
        <v>238</v>
      </c>
      <c r="E641" s="491" t="s">
        <v>1371</v>
      </c>
      <c r="H641" s="608">
        <v>39814</v>
      </c>
    </row>
    <row r="642" spans="1:8" ht="12.75">
      <c r="A642" s="491">
        <f t="shared" si="30"/>
        <v>640</v>
      </c>
      <c r="B642" s="127">
        <f t="shared" si="31"/>
        <v>0</v>
      </c>
      <c r="C642" s="595" t="str">
        <f>'dbc''s'!N11</f>
        <v>TBA005</v>
      </c>
      <c r="D642" s="592">
        <f>'dbc''s'!P11</f>
        <v>512</v>
      </c>
      <c r="E642" s="491" t="s">
        <v>1371</v>
      </c>
      <c r="H642" s="608">
        <v>39814</v>
      </c>
    </row>
    <row r="643" spans="1:8" ht="12.75">
      <c r="A643" s="491">
        <f t="shared" si="30"/>
        <v>641</v>
      </c>
      <c r="B643" s="127">
        <f t="shared" si="31"/>
        <v>0</v>
      </c>
      <c r="C643" s="595" t="str">
        <f>'dbc''s'!N12</f>
        <v>TBA006</v>
      </c>
      <c r="D643" s="592">
        <f>'dbc''s'!P12</f>
        <v>1315</v>
      </c>
      <c r="E643" s="491" t="s">
        <v>1371</v>
      </c>
      <c r="H643" s="608">
        <v>39814</v>
      </c>
    </row>
    <row r="644" spans="1:8" ht="12.75">
      <c r="A644" s="491">
        <f t="shared" si="30"/>
        <v>642</v>
      </c>
      <c r="B644" s="127">
        <f t="shared" si="31"/>
        <v>0</v>
      </c>
      <c r="C644" s="595" t="str">
        <f>'dbc''s'!N13</f>
        <v>TBA007</v>
      </c>
      <c r="D644" s="592">
        <f>'dbc''s'!P13</f>
        <v>133</v>
      </c>
      <c r="E644" s="491" t="s">
        <v>1371</v>
      </c>
      <c r="H644" s="608">
        <v>39814</v>
      </c>
    </row>
    <row r="645" spans="1:8" ht="12.75">
      <c r="A645" s="491">
        <f t="shared" si="30"/>
        <v>643</v>
      </c>
      <c r="B645" s="127">
        <f t="shared" si="31"/>
        <v>0</v>
      </c>
      <c r="C645" s="595" t="str">
        <f>'dbc''s'!N14</f>
        <v>TBA008</v>
      </c>
      <c r="D645" s="592">
        <f>'dbc''s'!P14</f>
        <v>278</v>
      </c>
      <c r="E645" s="491" t="s">
        <v>1371</v>
      </c>
      <c r="H645" s="608">
        <v>39814</v>
      </c>
    </row>
    <row r="646" spans="1:8" ht="12.75">
      <c r="A646" s="491">
        <f t="shared" si="30"/>
        <v>644</v>
      </c>
      <c r="B646" s="127">
        <f t="shared" si="31"/>
        <v>0</v>
      </c>
      <c r="C646" s="595" t="str">
        <f>'dbc''s'!N15</f>
        <v>TBA009</v>
      </c>
      <c r="D646" s="592">
        <f>'dbc''s'!P15</f>
        <v>513</v>
      </c>
      <c r="E646" s="491" t="s">
        <v>1371</v>
      </c>
      <c r="H646" s="608">
        <v>39814</v>
      </c>
    </row>
    <row r="647" spans="1:8" ht="12.75">
      <c r="A647" s="491">
        <f t="shared" si="30"/>
        <v>645</v>
      </c>
      <c r="B647" s="127">
        <f t="shared" si="31"/>
        <v>0</v>
      </c>
      <c r="C647" s="595" t="str">
        <f>'dbc''s'!N16</f>
        <v>TBA010</v>
      </c>
      <c r="D647" s="592">
        <f>'dbc''s'!P16</f>
        <v>939</v>
      </c>
      <c r="E647" s="491" t="s">
        <v>1371</v>
      </c>
      <c r="H647" s="608">
        <v>39814</v>
      </c>
    </row>
    <row r="648" spans="1:8" ht="12.75">
      <c r="A648" s="491">
        <f t="shared" si="30"/>
        <v>646</v>
      </c>
      <c r="B648" s="127">
        <f t="shared" si="31"/>
        <v>0</v>
      </c>
      <c r="C648" s="595" t="str">
        <f>'dbc''s'!N17</f>
        <v>TBA011</v>
      </c>
      <c r="D648" s="592">
        <f>'dbc''s'!P17</f>
        <v>1143</v>
      </c>
      <c r="E648" s="491" t="s">
        <v>1371</v>
      </c>
      <c r="H648" s="608">
        <v>39814</v>
      </c>
    </row>
    <row r="649" spans="1:8" ht="12.75">
      <c r="A649" s="491">
        <f t="shared" si="30"/>
        <v>647</v>
      </c>
      <c r="B649" s="127">
        <f t="shared" si="31"/>
        <v>0</v>
      </c>
      <c r="C649" s="595" t="str">
        <f>'dbc''s'!N18</f>
        <v>TBA012</v>
      </c>
      <c r="D649" s="592">
        <f>'dbc''s'!P18</f>
        <v>2124</v>
      </c>
      <c r="E649" s="491" t="s">
        <v>1371</v>
      </c>
      <c r="H649" s="608">
        <v>39814</v>
      </c>
    </row>
    <row r="650" spans="1:8" ht="12.75">
      <c r="A650" s="491">
        <f t="shared" si="30"/>
        <v>648</v>
      </c>
      <c r="B650" s="127">
        <f t="shared" si="31"/>
        <v>0</v>
      </c>
      <c r="C650" s="595" t="str">
        <f>'dbc''s'!N19</f>
        <v>TBA013</v>
      </c>
      <c r="D650" s="592">
        <f>'dbc''s'!P19</f>
        <v>105</v>
      </c>
      <c r="E650" s="491" t="s">
        <v>1371</v>
      </c>
      <c r="H650" s="608">
        <v>39814</v>
      </c>
    </row>
    <row r="651" spans="1:8" ht="12.75">
      <c r="A651" s="491">
        <f t="shared" si="30"/>
        <v>649</v>
      </c>
      <c r="B651" s="127">
        <f t="shared" si="31"/>
        <v>0</v>
      </c>
      <c r="C651" s="595" t="str">
        <f>'dbc''s'!N20</f>
        <v>TBA014</v>
      </c>
      <c r="D651" s="592">
        <f>'dbc''s'!P20</f>
        <v>248</v>
      </c>
      <c r="E651" s="491" t="s">
        <v>1371</v>
      </c>
      <c r="H651" s="608">
        <v>39814</v>
      </c>
    </row>
    <row r="652" spans="1:8" ht="12.75">
      <c r="A652" s="491">
        <f t="shared" si="30"/>
        <v>650</v>
      </c>
      <c r="B652" s="127">
        <f t="shared" si="31"/>
        <v>0</v>
      </c>
      <c r="C652" s="595" t="str">
        <f>'dbc''s'!N21</f>
        <v>TBA015</v>
      </c>
      <c r="D652" s="592">
        <f>'dbc''s'!P21</f>
        <v>485</v>
      </c>
      <c r="E652" s="491" t="s">
        <v>1371</v>
      </c>
      <c r="H652" s="608">
        <v>39814</v>
      </c>
    </row>
    <row r="653" spans="1:8" ht="12.75">
      <c r="A653" s="491">
        <f t="shared" si="30"/>
        <v>651</v>
      </c>
      <c r="B653" s="127">
        <f t="shared" si="31"/>
        <v>0</v>
      </c>
      <c r="C653" s="595" t="str">
        <f>'dbc''s'!N22</f>
        <v>TBA016</v>
      </c>
      <c r="D653" s="592">
        <f>'dbc''s'!P22</f>
        <v>921</v>
      </c>
      <c r="E653" s="491" t="s">
        <v>1371</v>
      </c>
      <c r="H653" s="608">
        <v>39814</v>
      </c>
    </row>
    <row r="654" spans="1:8" ht="12.75">
      <c r="A654" s="491">
        <f t="shared" si="30"/>
        <v>652</v>
      </c>
      <c r="B654" s="127">
        <f t="shared" si="31"/>
        <v>0</v>
      </c>
      <c r="C654" s="595" t="str">
        <f>'dbc''s'!N23</f>
        <v>TBA017</v>
      </c>
      <c r="D654" s="592">
        <f>'dbc''s'!P23</f>
        <v>1997</v>
      </c>
      <c r="E654" s="491" t="s">
        <v>1371</v>
      </c>
      <c r="H654" s="608">
        <v>39814</v>
      </c>
    </row>
    <row r="655" spans="1:8" ht="12.75">
      <c r="A655" s="491">
        <f t="shared" si="30"/>
        <v>653</v>
      </c>
      <c r="B655" s="127">
        <f t="shared" si="31"/>
        <v>0</v>
      </c>
      <c r="C655" s="595" t="str">
        <f>'dbc''s'!N24</f>
        <v>TBA018</v>
      </c>
      <c r="D655" s="592">
        <f>'dbc''s'!P24</f>
        <v>104</v>
      </c>
      <c r="E655" s="491" t="s">
        <v>1371</v>
      </c>
      <c r="H655" s="608">
        <v>39814</v>
      </c>
    </row>
    <row r="656" spans="1:8" ht="12.75">
      <c r="A656" s="491">
        <f t="shared" si="30"/>
        <v>654</v>
      </c>
      <c r="B656" s="127">
        <f t="shared" si="31"/>
        <v>0</v>
      </c>
      <c r="C656" s="595" t="str">
        <f>'dbc''s'!N25</f>
        <v>TBA019</v>
      </c>
      <c r="D656" s="592">
        <f>'dbc''s'!P25</f>
        <v>139</v>
      </c>
      <c r="E656" s="491" t="s">
        <v>1371</v>
      </c>
      <c r="H656" s="608">
        <v>39814</v>
      </c>
    </row>
    <row r="657" spans="1:8" ht="12.75">
      <c r="A657" s="491">
        <f t="shared" si="30"/>
        <v>655</v>
      </c>
      <c r="B657" s="127">
        <f t="shared" si="31"/>
        <v>0</v>
      </c>
      <c r="C657" s="595" t="str">
        <f>'dbc''s'!N26</f>
        <v>TBA020</v>
      </c>
      <c r="D657" s="592">
        <f>'dbc''s'!P26</f>
        <v>271</v>
      </c>
      <c r="E657" s="491" t="s">
        <v>1371</v>
      </c>
      <c r="H657" s="608">
        <v>39814</v>
      </c>
    </row>
    <row r="658" spans="1:8" ht="12.75">
      <c r="A658" s="491">
        <f t="shared" si="30"/>
        <v>656</v>
      </c>
      <c r="B658" s="127">
        <f t="shared" si="31"/>
        <v>0</v>
      </c>
      <c r="C658" s="595" t="str">
        <f>'dbc''s'!N27</f>
        <v>TBA021</v>
      </c>
      <c r="D658" s="592">
        <f>'dbc''s'!P27</f>
        <v>338</v>
      </c>
      <c r="E658" s="491" t="s">
        <v>1371</v>
      </c>
      <c r="H658" s="608">
        <v>39814</v>
      </c>
    </row>
    <row r="659" spans="1:8" ht="12.75">
      <c r="A659" s="491">
        <f t="shared" si="30"/>
        <v>657</v>
      </c>
      <c r="B659" s="127">
        <f t="shared" si="31"/>
        <v>0</v>
      </c>
      <c r="C659" s="595" t="str">
        <f>'dbc''s'!N28</f>
        <v>TBA022</v>
      </c>
      <c r="D659" s="592">
        <f>'dbc''s'!P28</f>
        <v>496</v>
      </c>
      <c r="E659" s="491" t="s">
        <v>1371</v>
      </c>
      <c r="H659" s="608">
        <v>39814</v>
      </c>
    </row>
    <row r="660" spans="1:8" ht="12.75">
      <c r="A660" s="491">
        <f t="shared" si="30"/>
        <v>658</v>
      </c>
      <c r="B660" s="127">
        <f t="shared" si="31"/>
        <v>0</v>
      </c>
      <c r="C660" s="595" t="str">
        <f>'dbc''s'!N29</f>
        <v>TBA023</v>
      </c>
      <c r="D660" s="592">
        <f>'dbc''s'!P29</f>
        <v>603</v>
      </c>
      <c r="E660" s="491" t="s">
        <v>1371</v>
      </c>
      <c r="H660" s="608">
        <v>39814</v>
      </c>
    </row>
    <row r="661" spans="1:8" ht="12.75">
      <c r="A661" s="491">
        <f t="shared" si="30"/>
        <v>659</v>
      </c>
      <c r="B661" s="127">
        <f t="shared" si="31"/>
        <v>0</v>
      </c>
      <c r="C661" s="595" t="str">
        <f>'dbc''s'!N30</f>
        <v>TBA024</v>
      </c>
      <c r="D661" s="592">
        <f>'dbc''s'!P30</f>
        <v>841</v>
      </c>
      <c r="E661" s="491" t="s">
        <v>1371</v>
      </c>
      <c r="H661" s="608">
        <v>39814</v>
      </c>
    </row>
    <row r="662" spans="1:8" ht="12.75">
      <c r="A662" s="491">
        <f t="shared" si="30"/>
        <v>660</v>
      </c>
      <c r="B662" s="127">
        <f t="shared" si="31"/>
        <v>0</v>
      </c>
      <c r="C662" s="595" t="str">
        <f>'dbc''s'!N31</f>
        <v>TBA025</v>
      </c>
      <c r="D662" s="592">
        <f>'dbc''s'!P31</f>
        <v>939</v>
      </c>
      <c r="E662" s="491" t="s">
        <v>1371</v>
      </c>
      <c r="H662" s="608">
        <v>39814</v>
      </c>
    </row>
    <row r="663" spans="1:8" ht="12.75">
      <c r="A663" s="491">
        <f t="shared" si="30"/>
        <v>661</v>
      </c>
      <c r="B663" s="127">
        <f t="shared" si="31"/>
        <v>0</v>
      </c>
      <c r="C663" s="595" t="str">
        <f>'dbc''s'!N32</f>
        <v>TBA026</v>
      </c>
      <c r="D663" s="592">
        <f>'dbc''s'!P32</f>
        <v>1644</v>
      </c>
      <c r="E663" s="491" t="s">
        <v>1371</v>
      </c>
      <c r="H663" s="608">
        <v>39814</v>
      </c>
    </row>
    <row r="664" spans="1:8" ht="12.75">
      <c r="A664" s="491">
        <f t="shared" si="30"/>
        <v>662</v>
      </c>
      <c r="B664" s="127">
        <f t="shared" si="31"/>
        <v>0</v>
      </c>
      <c r="C664" s="595" t="str">
        <f>'dbc''s'!N33</f>
        <v>TBA027</v>
      </c>
      <c r="D664" s="592">
        <f>'dbc''s'!P33</f>
        <v>1036</v>
      </c>
      <c r="E664" s="491" t="s">
        <v>1371</v>
      </c>
      <c r="H664" s="608">
        <v>39814</v>
      </c>
    </row>
    <row r="665" spans="1:8" ht="12.75">
      <c r="A665" s="491">
        <f t="shared" si="30"/>
        <v>663</v>
      </c>
      <c r="B665" s="127">
        <f t="shared" si="31"/>
        <v>0</v>
      </c>
      <c r="C665" s="595" t="str">
        <f>'dbc''s'!N34</f>
        <v>TBA028</v>
      </c>
      <c r="D665" s="592">
        <f>'dbc''s'!P34</f>
        <v>1987</v>
      </c>
      <c r="E665" s="491" t="s">
        <v>1371</v>
      </c>
      <c r="H665" s="608">
        <v>39814</v>
      </c>
    </row>
    <row r="666" spans="1:8" ht="12.75">
      <c r="A666" s="491">
        <f t="shared" si="30"/>
        <v>664</v>
      </c>
      <c r="B666" s="127">
        <f t="shared" si="31"/>
        <v>0</v>
      </c>
      <c r="C666" s="595" t="str">
        <f>'dbc''s'!N35</f>
        <v>TBA029</v>
      </c>
      <c r="D666" s="592">
        <f>'dbc''s'!P35</f>
        <v>2277</v>
      </c>
      <c r="E666" s="491" t="s">
        <v>1371</v>
      </c>
      <c r="H666" s="608">
        <v>39814</v>
      </c>
    </row>
    <row r="667" spans="1:8" ht="12.75">
      <c r="A667" s="491">
        <f t="shared" si="30"/>
        <v>665</v>
      </c>
      <c r="B667" s="127">
        <f t="shared" si="31"/>
        <v>0</v>
      </c>
      <c r="C667" s="595" t="str">
        <f>'dbc''s'!N36</f>
        <v>TBA030</v>
      </c>
      <c r="D667" s="592">
        <f>'dbc''s'!P36</f>
        <v>3954</v>
      </c>
      <c r="E667" s="491" t="s">
        <v>1371</v>
      </c>
      <c r="H667" s="608">
        <v>39814</v>
      </c>
    </row>
    <row r="668" spans="1:8" ht="12.75">
      <c r="A668" s="491">
        <f t="shared" si="30"/>
        <v>666</v>
      </c>
      <c r="B668" s="127">
        <f t="shared" si="31"/>
        <v>0</v>
      </c>
      <c r="C668" s="595" t="str">
        <f>'dbc''s'!N37</f>
        <v>TBA031</v>
      </c>
      <c r="D668" s="592">
        <f>'dbc''s'!P37</f>
        <v>7344</v>
      </c>
      <c r="E668" s="491" t="s">
        <v>1371</v>
      </c>
      <c r="H668" s="608">
        <v>39814</v>
      </c>
    </row>
    <row r="669" spans="1:8" ht="12.75">
      <c r="A669" s="491">
        <f t="shared" si="30"/>
        <v>667</v>
      </c>
      <c r="B669" s="127">
        <f t="shared" si="31"/>
        <v>0</v>
      </c>
      <c r="C669" s="595" t="str">
        <f>'dbc''s'!N38</f>
        <v>TBA131</v>
      </c>
      <c r="D669" s="592">
        <f>'dbc''s'!P38</f>
        <v>12388</v>
      </c>
      <c r="E669" s="491" t="s">
        <v>1371</v>
      </c>
      <c r="H669" s="608">
        <v>39814</v>
      </c>
    </row>
    <row r="670" spans="1:8" ht="12.75">
      <c r="A670" s="491">
        <f t="shared" si="30"/>
        <v>668</v>
      </c>
      <c r="B670" s="127">
        <f t="shared" si="31"/>
        <v>0</v>
      </c>
      <c r="C670" s="595" t="str">
        <f>'dbc''s'!N39</f>
        <v>TBA132</v>
      </c>
      <c r="D670" s="592">
        <f>'dbc''s'!P39</f>
        <v>31072</v>
      </c>
      <c r="E670" s="491" t="s">
        <v>1371</v>
      </c>
      <c r="H670" s="608">
        <v>39814</v>
      </c>
    </row>
    <row r="671" spans="1:8" ht="12.75">
      <c r="A671" s="491">
        <f t="shared" si="30"/>
        <v>669</v>
      </c>
      <c r="B671" s="127">
        <f t="shared" si="31"/>
        <v>0</v>
      </c>
      <c r="C671" s="595" t="str">
        <f>'dbc''s'!N40</f>
        <v>TBA033</v>
      </c>
      <c r="D671" s="592">
        <f>'dbc''s'!P40</f>
        <v>1050</v>
      </c>
      <c r="E671" s="491" t="s">
        <v>1371</v>
      </c>
      <c r="H671" s="608">
        <v>39814</v>
      </c>
    </row>
    <row r="672" spans="1:8" ht="12.75">
      <c r="A672" s="491">
        <f t="shared" si="30"/>
        <v>670</v>
      </c>
      <c r="B672" s="127">
        <f t="shared" si="31"/>
        <v>0</v>
      </c>
      <c r="C672" s="595" t="str">
        <f>'dbc''s'!N41</f>
        <v>TBA034</v>
      </c>
      <c r="D672" s="592">
        <f>'dbc''s'!P41</f>
        <v>2033</v>
      </c>
      <c r="E672" s="491" t="s">
        <v>1371</v>
      </c>
      <c r="H672" s="608">
        <v>39814</v>
      </c>
    </row>
    <row r="673" spans="1:8" ht="12.75">
      <c r="A673" s="491">
        <f t="shared" si="30"/>
        <v>671</v>
      </c>
      <c r="B673" s="127">
        <f t="shared" si="31"/>
        <v>0</v>
      </c>
      <c r="C673" s="595" t="str">
        <f>'dbc''s'!N42</f>
        <v>TBA035</v>
      </c>
      <c r="D673" s="592">
        <f>'dbc''s'!P42</f>
        <v>2302</v>
      </c>
      <c r="E673" s="491" t="s">
        <v>1371</v>
      </c>
      <c r="H673" s="608">
        <v>39814</v>
      </c>
    </row>
    <row r="674" spans="1:8" ht="12.75">
      <c r="A674" s="491">
        <f t="shared" si="30"/>
        <v>672</v>
      </c>
      <c r="B674" s="127">
        <f t="shared" si="31"/>
        <v>0</v>
      </c>
      <c r="C674" s="595" t="str">
        <f>'dbc''s'!N43</f>
        <v>TBA036</v>
      </c>
      <c r="D674" s="592">
        <f>'dbc''s'!P43</f>
        <v>3847</v>
      </c>
      <c r="E674" s="491" t="s">
        <v>1371</v>
      </c>
      <c r="H674" s="608">
        <v>39814</v>
      </c>
    </row>
    <row r="675" spans="1:8" ht="12.75">
      <c r="A675" s="491">
        <f t="shared" si="30"/>
        <v>673</v>
      </c>
      <c r="B675" s="127">
        <f t="shared" si="31"/>
        <v>0</v>
      </c>
      <c r="C675" s="595" t="str">
        <f>'dbc''s'!N44</f>
        <v>TBA037</v>
      </c>
      <c r="D675" s="592">
        <f>'dbc''s'!P44</f>
        <v>4577</v>
      </c>
      <c r="E675" s="491" t="s">
        <v>1371</v>
      </c>
      <c r="H675" s="608">
        <v>39814</v>
      </c>
    </row>
    <row r="676" spans="1:8" ht="12.75">
      <c r="A676" s="491">
        <f t="shared" si="30"/>
        <v>674</v>
      </c>
      <c r="B676" s="127">
        <f t="shared" si="31"/>
        <v>0</v>
      </c>
      <c r="C676" s="595" t="str">
        <f>'dbc''s'!N45</f>
        <v>TBA038</v>
      </c>
      <c r="D676" s="592">
        <f>'dbc''s'!P45</f>
        <v>6373</v>
      </c>
      <c r="E676" s="491" t="s">
        <v>1371</v>
      </c>
      <c r="H676" s="608">
        <v>39814</v>
      </c>
    </row>
    <row r="677" spans="1:8" ht="12.75">
      <c r="A677" s="491">
        <f t="shared" si="30"/>
        <v>675</v>
      </c>
      <c r="B677" s="127">
        <f t="shared" si="31"/>
        <v>0</v>
      </c>
      <c r="C677" s="595" t="str">
        <f>'dbc''s'!N46</f>
        <v>TBA133</v>
      </c>
      <c r="D677" s="592">
        <f>'dbc''s'!P46</f>
        <v>12690</v>
      </c>
      <c r="E677" s="491" t="s">
        <v>1371</v>
      </c>
      <c r="H677" s="608">
        <v>39814</v>
      </c>
    </row>
    <row r="678" spans="1:8" ht="12.75">
      <c r="A678" s="491">
        <f t="shared" si="30"/>
        <v>676</v>
      </c>
      <c r="B678" s="127">
        <f t="shared" si="31"/>
        <v>0</v>
      </c>
      <c r="C678" s="595" t="str">
        <f>'dbc''s'!N47</f>
        <v>TBA134</v>
      </c>
      <c r="D678" s="592">
        <f>'dbc''s'!P47</f>
        <v>27749</v>
      </c>
      <c r="E678" s="491" t="s">
        <v>1371</v>
      </c>
      <c r="H678" s="608">
        <v>39814</v>
      </c>
    </row>
    <row r="679" spans="1:8" ht="12.75">
      <c r="A679" s="491">
        <f t="shared" si="30"/>
        <v>677</v>
      </c>
      <c r="B679" s="127">
        <f t="shared" si="31"/>
        <v>0</v>
      </c>
      <c r="C679" s="595" t="str">
        <f>'dbc''s'!N48</f>
        <v>TBA040</v>
      </c>
      <c r="D679" s="592">
        <f>'dbc''s'!P48</f>
        <v>1069</v>
      </c>
      <c r="E679" s="491" t="s">
        <v>1371</v>
      </c>
      <c r="H679" s="608">
        <v>39814</v>
      </c>
    </row>
    <row r="680" spans="1:8" ht="12.75">
      <c r="A680" s="491">
        <f t="shared" si="30"/>
        <v>678</v>
      </c>
      <c r="B680" s="127">
        <f t="shared" si="31"/>
        <v>0</v>
      </c>
      <c r="C680" s="595" t="str">
        <f>'dbc''s'!N49</f>
        <v>TBA041</v>
      </c>
      <c r="D680" s="592">
        <f>'dbc''s'!P49</f>
        <v>2205</v>
      </c>
      <c r="E680" s="491" t="s">
        <v>1371</v>
      </c>
      <c r="H680" s="608">
        <v>39814</v>
      </c>
    </row>
    <row r="681" spans="1:8" ht="12.75">
      <c r="A681" s="491">
        <f t="shared" si="30"/>
        <v>679</v>
      </c>
      <c r="B681" s="127">
        <f t="shared" si="31"/>
        <v>0</v>
      </c>
      <c r="C681" s="595" t="str">
        <f>'dbc''s'!N50</f>
        <v>TBA042</v>
      </c>
      <c r="D681" s="592">
        <f>'dbc''s'!P50</f>
        <v>4049</v>
      </c>
      <c r="E681" s="491" t="s">
        <v>1371</v>
      </c>
      <c r="H681" s="608">
        <v>39814</v>
      </c>
    </row>
    <row r="682" spans="1:8" ht="12.75">
      <c r="A682" s="491">
        <f t="shared" si="30"/>
        <v>680</v>
      </c>
      <c r="B682" s="127">
        <f t="shared" si="31"/>
        <v>0</v>
      </c>
      <c r="C682" s="595" t="str">
        <f>'dbc''s'!N51</f>
        <v>TBA135</v>
      </c>
      <c r="D682" s="592">
        <f>'dbc''s'!P51</f>
        <v>6497</v>
      </c>
      <c r="E682" s="491" t="s">
        <v>1371</v>
      </c>
      <c r="H682" s="608">
        <v>39814</v>
      </c>
    </row>
    <row r="683" spans="1:8" ht="12.75">
      <c r="A683" s="491">
        <f t="shared" si="30"/>
        <v>681</v>
      </c>
      <c r="B683" s="127">
        <f t="shared" si="31"/>
        <v>0</v>
      </c>
      <c r="C683" s="595" t="str">
        <f>'dbc''s'!N52</f>
        <v>TBA136</v>
      </c>
      <c r="D683" s="592">
        <f>'dbc''s'!P52</f>
        <v>12939</v>
      </c>
      <c r="E683" s="491" t="s">
        <v>1371</v>
      </c>
      <c r="H683" s="608">
        <v>39814</v>
      </c>
    </row>
    <row r="684" spans="1:8" ht="12.75">
      <c r="A684" s="491">
        <f t="shared" si="30"/>
        <v>682</v>
      </c>
      <c r="B684" s="127">
        <f t="shared" si="31"/>
        <v>0</v>
      </c>
      <c r="C684" s="595" t="str">
        <f>'dbc''s'!N53</f>
        <v>TBA044</v>
      </c>
      <c r="D684" s="592">
        <f>'dbc''s'!P53</f>
        <v>958</v>
      </c>
      <c r="E684" s="491" t="s">
        <v>1371</v>
      </c>
      <c r="H684" s="608">
        <v>39814</v>
      </c>
    </row>
    <row r="685" spans="1:8" ht="12.75">
      <c r="A685" s="491">
        <f t="shared" si="30"/>
        <v>683</v>
      </c>
      <c r="B685" s="127">
        <f t="shared" si="31"/>
        <v>0</v>
      </c>
      <c r="C685" s="595" t="str">
        <f>'dbc''s'!N54</f>
        <v>TBA045</v>
      </c>
      <c r="D685" s="592">
        <f>'dbc''s'!P54</f>
        <v>1106</v>
      </c>
      <c r="E685" s="491" t="s">
        <v>1371</v>
      </c>
      <c r="H685" s="608">
        <v>39814</v>
      </c>
    </row>
    <row r="686" spans="1:8" ht="12.75">
      <c r="A686" s="491">
        <f t="shared" si="30"/>
        <v>684</v>
      </c>
      <c r="B686" s="127">
        <f t="shared" si="31"/>
        <v>0</v>
      </c>
      <c r="C686" s="595" t="str">
        <f>'dbc''s'!N55</f>
        <v>TBA046</v>
      </c>
      <c r="D686" s="592">
        <f>'dbc''s'!P55</f>
        <v>1835</v>
      </c>
      <c r="E686" s="491" t="s">
        <v>1371</v>
      </c>
      <c r="H686" s="608">
        <v>39814</v>
      </c>
    </row>
    <row r="687" spans="1:8" ht="12.75">
      <c r="A687" s="491">
        <f t="shared" si="30"/>
        <v>685</v>
      </c>
      <c r="B687" s="127">
        <f t="shared" si="31"/>
        <v>0</v>
      </c>
      <c r="C687" s="595" t="str">
        <f>'dbc''s'!N56</f>
        <v>TBA047</v>
      </c>
      <c r="D687" s="592">
        <f>'dbc''s'!P56</f>
        <v>2150</v>
      </c>
      <c r="E687" s="491" t="s">
        <v>1371</v>
      </c>
      <c r="H687" s="608">
        <v>39814</v>
      </c>
    </row>
    <row r="688" spans="1:8" ht="12.75">
      <c r="A688" s="491">
        <f t="shared" si="30"/>
        <v>686</v>
      </c>
      <c r="B688" s="127">
        <f t="shared" si="31"/>
        <v>0</v>
      </c>
      <c r="C688" s="595" t="str">
        <f>'dbc''s'!N57</f>
        <v>TBA048</v>
      </c>
      <c r="D688" s="592">
        <f>'dbc''s'!P57</f>
        <v>3589</v>
      </c>
      <c r="E688" s="491" t="s">
        <v>1371</v>
      </c>
      <c r="H688" s="608">
        <v>39814</v>
      </c>
    </row>
    <row r="689" spans="1:8" ht="12.75">
      <c r="A689" s="491">
        <f t="shared" si="30"/>
        <v>687</v>
      </c>
      <c r="B689" s="127">
        <f t="shared" si="31"/>
        <v>0</v>
      </c>
      <c r="C689" s="595" t="str">
        <f>'dbc''s'!N58</f>
        <v>TBA049</v>
      </c>
      <c r="D689" s="592">
        <f>'dbc''s'!P58</f>
        <v>6354</v>
      </c>
      <c r="E689" s="491" t="s">
        <v>1371</v>
      </c>
      <c r="H689" s="608">
        <v>39814</v>
      </c>
    </row>
    <row r="690" spans="1:8" ht="12.75">
      <c r="A690" s="491">
        <f t="shared" si="30"/>
        <v>688</v>
      </c>
      <c r="B690" s="127">
        <f t="shared" si="31"/>
        <v>0</v>
      </c>
      <c r="C690" s="595" t="str">
        <f>'dbc''s'!N59</f>
        <v>TBA137</v>
      </c>
      <c r="D690" s="592">
        <f>'dbc''s'!P59</f>
        <v>12034</v>
      </c>
      <c r="E690" s="491" t="s">
        <v>1371</v>
      </c>
      <c r="H690" s="608">
        <v>39814</v>
      </c>
    </row>
    <row r="691" spans="1:8" ht="12.75">
      <c r="A691" s="491">
        <f t="shared" si="30"/>
        <v>689</v>
      </c>
      <c r="B691" s="127">
        <f t="shared" si="31"/>
        <v>0</v>
      </c>
      <c r="C691" s="595" t="str">
        <f>'dbc''s'!N60</f>
        <v>TBA138</v>
      </c>
      <c r="D691" s="592">
        <f>'dbc''s'!P60</f>
        <v>33754</v>
      </c>
      <c r="E691" s="491" t="s">
        <v>1371</v>
      </c>
      <c r="H691" s="608">
        <v>39814</v>
      </c>
    </row>
    <row r="692" spans="1:8" ht="12.75">
      <c r="A692" s="491">
        <f aca="true" t="shared" si="32" ref="A692:A754">A691+1</f>
        <v>690</v>
      </c>
      <c r="B692" s="127">
        <f aca="true" t="shared" si="33" ref="B692:B754">B691</f>
        <v>0</v>
      </c>
      <c r="C692" s="595" t="str">
        <f>'dbc''s'!N61</f>
        <v>TBA051</v>
      </c>
      <c r="D692" s="592">
        <f>'dbc''s'!P61</f>
        <v>834</v>
      </c>
      <c r="E692" s="491" t="s">
        <v>1371</v>
      </c>
      <c r="H692" s="608">
        <v>39814</v>
      </c>
    </row>
    <row r="693" spans="1:8" ht="12.75">
      <c r="A693" s="491">
        <f t="shared" si="32"/>
        <v>691</v>
      </c>
      <c r="B693" s="127">
        <f t="shared" si="33"/>
        <v>0</v>
      </c>
      <c r="C693" s="595" t="str">
        <f>'dbc''s'!N62</f>
        <v>TBA052</v>
      </c>
      <c r="D693" s="592">
        <f>'dbc''s'!P62</f>
        <v>1974</v>
      </c>
      <c r="E693" s="491" t="s">
        <v>1371</v>
      </c>
      <c r="H693" s="608">
        <v>39814</v>
      </c>
    </row>
    <row r="694" spans="1:8" ht="12.75">
      <c r="A694" s="491">
        <f t="shared" si="32"/>
        <v>692</v>
      </c>
      <c r="B694" s="127">
        <f t="shared" si="33"/>
        <v>0</v>
      </c>
      <c r="C694" s="595" t="str">
        <f>'dbc''s'!N63</f>
        <v>TBA053</v>
      </c>
      <c r="D694" s="592">
        <f>'dbc''s'!P63</f>
        <v>3682</v>
      </c>
      <c r="E694" s="491" t="s">
        <v>1371</v>
      </c>
      <c r="H694" s="608">
        <v>39814</v>
      </c>
    </row>
    <row r="695" spans="1:8" ht="12.75">
      <c r="A695" s="491">
        <f t="shared" si="32"/>
        <v>693</v>
      </c>
      <c r="B695" s="127">
        <f t="shared" si="33"/>
        <v>0</v>
      </c>
      <c r="C695" s="595" t="str">
        <f>'dbc''s'!N64</f>
        <v>TBA054</v>
      </c>
      <c r="D695" s="592">
        <f>'dbc''s'!P64</f>
        <v>6213</v>
      </c>
      <c r="E695" s="491" t="s">
        <v>1371</v>
      </c>
      <c r="H695" s="608">
        <v>39814</v>
      </c>
    </row>
    <row r="696" spans="1:8" ht="12.75">
      <c r="A696" s="491">
        <f t="shared" si="32"/>
        <v>694</v>
      </c>
      <c r="B696" s="127">
        <f t="shared" si="33"/>
        <v>0</v>
      </c>
      <c r="C696" s="595" t="str">
        <f>'dbc''s'!N65</f>
        <v>TBA139</v>
      </c>
      <c r="D696" s="592">
        <f>'dbc''s'!P65</f>
        <v>12418</v>
      </c>
      <c r="E696" s="491" t="s">
        <v>1371</v>
      </c>
      <c r="H696" s="608">
        <v>39814</v>
      </c>
    </row>
    <row r="697" spans="1:8" ht="12.75">
      <c r="A697" s="491">
        <f t="shared" si="32"/>
        <v>695</v>
      </c>
      <c r="B697" s="127">
        <f t="shared" si="33"/>
        <v>0</v>
      </c>
      <c r="C697" s="595" t="str">
        <f>'dbc''s'!N66</f>
        <v>TBA140</v>
      </c>
      <c r="D697" s="592">
        <f>'dbc''s'!P66</f>
        <v>30310</v>
      </c>
      <c r="E697" s="491" t="s">
        <v>1371</v>
      </c>
      <c r="H697" s="608">
        <v>39814</v>
      </c>
    </row>
    <row r="698" spans="1:8" ht="12.75">
      <c r="A698" s="491">
        <f t="shared" si="32"/>
        <v>696</v>
      </c>
      <c r="B698" s="127">
        <f t="shared" si="33"/>
        <v>0</v>
      </c>
      <c r="C698" s="595" t="str">
        <f>'dbc''s'!N68</f>
        <v>TBA056</v>
      </c>
      <c r="D698" s="592">
        <f>'dbc''s'!P68</f>
        <v>858</v>
      </c>
      <c r="E698" s="491" t="s">
        <v>1371</v>
      </c>
      <c r="H698" s="608">
        <v>39814</v>
      </c>
    </row>
    <row r="699" spans="1:8" ht="12.75">
      <c r="A699" s="491">
        <f t="shared" si="32"/>
        <v>697</v>
      </c>
      <c r="B699" s="127">
        <f t="shared" si="33"/>
        <v>0</v>
      </c>
      <c r="C699" s="595" t="str">
        <f>'dbc''s'!N69</f>
        <v>TBA057</v>
      </c>
      <c r="D699" s="592">
        <f>'dbc''s'!P69</f>
        <v>1951</v>
      </c>
      <c r="E699" s="491" t="s">
        <v>1371</v>
      </c>
      <c r="H699" s="608">
        <v>39814</v>
      </c>
    </row>
    <row r="700" spans="1:8" ht="12.75">
      <c r="A700" s="491">
        <f t="shared" si="32"/>
        <v>698</v>
      </c>
      <c r="B700" s="127">
        <f t="shared" si="33"/>
        <v>0</v>
      </c>
      <c r="C700" s="595" t="str">
        <f>'dbc''s'!N70</f>
        <v>TBA058</v>
      </c>
      <c r="D700" s="592">
        <f>'dbc''s'!P70</f>
        <v>2366</v>
      </c>
      <c r="E700" s="491" t="s">
        <v>1371</v>
      </c>
      <c r="H700" s="608">
        <v>39814</v>
      </c>
    </row>
    <row r="701" spans="1:8" ht="12.75">
      <c r="A701" s="491">
        <f t="shared" si="32"/>
        <v>699</v>
      </c>
      <c r="B701" s="127">
        <f t="shared" si="33"/>
        <v>0</v>
      </c>
      <c r="C701" s="595" t="str">
        <f>'dbc''s'!N71</f>
        <v>TBA059</v>
      </c>
      <c r="D701" s="592">
        <f>'dbc''s'!P71</f>
        <v>3616</v>
      </c>
      <c r="E701" s="491" t="s">
        <v>1371</v>
      </c>
      <c r="H701" s="608">
        <v>39814</v>
      </c>
    </row>
    <row r="702" spans="1:8" ht="12.75">
      <c r="A702" s="491">
        <f t="shared" si="32"/>
        <v>700</v>
      </c>
      <c r="B702" s="127">
        <f t="shared" si="33"/>
        <v>0</v>
      </c>
      <c r="C702" s="595" t="str">
        <f>'dbc''s'!N72</f>
        <v>TBA060</v>
      </c>
      <c r="D702" s="592">
        <f>'dbc''s'!P72</f>
        <v>6223</v>
      </c>
      <c r="E702" s="491" t="s">
        <v>1371</v>
      </c>
      <c r="H702" s="608">
        <v>39814</v>
      </c>
    </row>
    <row r="703" spans="1:8" ht="12.75">
      <c r="A703" s="491">
        <f t="shared" si="32"/>
        <v>701</v>
      </c>
      <c r="B703" s="127">
        <f t="shared" si="33"/>
        <v>0</v>
      </c>
      <c r="C703" s="595" t="str">
        <f>'dbc''s'!N73</f>
        <v>TBA141</v>
      </c>
      <c r="D703" s="592">
        <f>'dbc''s'!P73</f>
        <v>12568</v>
      </c>
      <c r="E703" s="491" t="s">
        <v>1371</v>
      </c>
      <c r="H703" s="608">
        <v>39814</v>
      </c>
    </row>
    <row r="704" spans="1:8" ht="12.75">
      <c r="A704" s="491">
        <f t="shared" si="32"/>
        <v>702</v>
      </c>
      <c r="B704" s="127">
        <f t="shared" si="33"/>
        <v>0</v>
      </c>
      <c r="C704" s="595" t="str">
        <f>'dbc''s'!N74</f>
        <v>TBA142</v>
      </c>
      <c r="D704" s="592">
        <f>'dbc''s'!P74</f>
        <v>31300</v>
      </c>
      <c r="E704" s="491" t="s">
        <v>1371</v>
      </c>
      <c r="H704" s="608">
        <v>39814</v>
      </c>
    </row>
    <row r="705" spans="1:8" ht="12.75">
      <c r="A705" s="491">
        <f t="shared" si="32"/>
        <v>703</v>
      </c>
      <c r="B705" s="127">
        <f t="shared" si="33"/>
        <v>0</v>
      </c>
      <c r="C705" s="595" t="str">
        <f>'dbc''s'!N75</f>
        <v>TBA062</v>
      </c>
      <c r="D705" s="592">
        <f>'dbc''s'!P75</f>
        <v>935</v>
      </c>
      <c r="E705" s="491" t="s">
        <v>1371</v>
      </c>
      <c r="H705" s="608">
        <v>39814</v>
      </c>
    </row>
    <row r="706" spans="1:8" ht="12.75">
      <c r="A706" s="491">
        <f t="shared" si="32"/>
        <v>704</v>
      </c>
      <c r="B706" s="127">
        <f t="shared" si="33"/>
        <v>0</v>
      </c>
      <c r="C706" s="595" t="str">
        <f>'dbc''s'!N76</f>
        <v>TBA063</v>
      </c>
      <c r="D706" s="592">
        <f>'dbc''s'!P76</f>
        <v>1078</v>
      </c>
      <c r="E706" s="491" t="s">
        <v>1371</v>
      </c>
      <c r="H706" s="608">
        <v>39814</v>
      </c>
    </row>
    <row r="707" spans="1:8" ht="12.75">
      <c r="A707" s="491">
        <f t="shared" si="32"/>
        <v>705</v>
      </c>
      <c r="B707" s="127">
        <f t="shared" si="33"/>
        <v>0</v>
      </c>
      <c r="C707" s="595" t="str">
        <f>'dbc''s'!N77</f>
        <v>TBA064</v>
      </c>
      <c r="D707" s="592">
        <f>'dbc''s'!P77</f>
        <v>1932</v>
      </c>
      <c r="E707" s="491" t="s">
        <v>1371</v>
      </c>
      <c r="H707" s="608">
        <v>39814</v>
      </c>
    </row>
    <row r="708" spans="1:8" ht="12.75">
      <c r="A708" s="491">
        <f t="shared" si="32"/>
        <v>706</v>
      </c>
      <c r="B708" s="127">
        <f t="shared" si="33"/>
        <v>0</v>
      </c>
      <c r="C708" s="595" t="str">
        <f>'dbc''s'!N78</f>
        <v>TBA065</v>
      </c>
      <c r="D708" s="592">
        <f>'dbc''s'!P78</f>
        <v>2126</v>
      </c>
      <c r="E708" s="491" t="s">
        <v>1371</v>
      </c>
      <c r="H708" s="608">
        <v>39814</v>
      </c>
    </row>
    <row r="709" spans="1:8" ht="12.75">
      <c r="A709" s="491">
        <f t="shared" si="32"/>
        <v>707</v>
      </c>
      <c r="B709" s="127">
        <f t="shared" si="33"/>
        <v>0</v>
      </c>
      <c r="C709" s="595" t="str">
        <f>'dbc''s'!N79</f>
        <v>TBA066</v>
      </c>
      <c r="D709" s="592">
        <f>'dbc''s'!P79</f>
        <v>3735</v>
      </c>
      <c r="E709" s="491" t="s">
        <v>1371</v>
      </c>
      <c r="H709" s="608">
        <v>39814</v>
      </c>
    </row>
    <row r="710" spans="1:8" ht="12.75">
      <c r="A710" s="491">
        <f t="shared" si="32"/>
        <v>708</v>
      </c>
      <c r="B710" s="127">
        <f t="shared" si="33"/>
        <v>0</v>
      </c>
      <c r="C710" s="595" t="str">
        <f>'dbc''s'!N80</f>
        <v>TBA067</v>
      </c>
      <c r="D710" s="592">
        <f>'dbc''s'!P80</f>
        <v>6139</v>
      </c>
      <c r="E710" s="491" t="s">
        <v>1371</v>
      </c>
      <c r="H710" s="608">
        <v>39814</v>
      </c>
    </row>
    <row r="711" spans="1:8" ht="12.75">
      <c r="A711" s="491">
        <f t="shared" si="32"/>
        <v>709</v>
      </c>
      <c r="B711" s="127">
        <f t="shared" si="33"/>
        <v>0</v>
      </c>
      <c r="C711" s="595" t="str">
        <f>'dbc''s'!N81</f>
        <v>TBA068</v>
      </c>
      <c r="D711" s="592">
        <f>'dbc''s'!P81</f>
        <v>11345</v>
      </c>
      <c r="E711" s="491" t="s">
        <v>1371</v>
      </c>
      <c r="H711" s="608">
        <v>39814</v>
      </c>
    </row>
    <row r="712" spans="1:8" ht="12.75">
      <c r="A712" s="491">
        <f t="shared" si="32"/>
        <v>710</v>
      </c>
      <c r="B712" s="127">
        <f t="shared" si="33"/>
        <v>0</v>
      </c>
      <c r="C712" s="595" t="str">
        <f>'dbc''s'!N82</f>
        <v>TBA143</v>
      </c>
      <c r="D712" s="592">
        <f>'dbc''s'!P82</f>
        <v>20911</v>
      </c>
      <c r="E712" s="491" t="s">
        <v>1371</v>
      </c>
      <c r="H712" s="608">
        <v>39814</v>
      </c>
    </row>
    <row r="713" spans="1:8" ht="12.75">
      <c r="A713" s="491">
        <f t="shared" si="32"/>
        <v>711</v>
      </c>
      <c r="B713" s="127">
        <f t="shared" si="33"/>
        <v>0</v>
      </c>
      <c r="C713" s="595" t="str">
        <f>'dbc''s'!N83</f>
        <v>TBA144</v>
      </c>
      <c r="D713" s="592">
        <f>'dbc''s'!P83</f>
        <v>30159</v>
      </c>
      <c r="E713" s="491" t="s">
        <v>1371</v>
      </c>
      <c r="H713" s="608">
        <v>39814</v>
      </c>
    </row>
    <row r="714" spans="1:8" ht="12.75">
      <c r="A714" s="491">
        <f t="shared" si="32"/>
        <v>712</v>
      </c>
      <c r="B714" s="127">
        <f t="shared" si="33"/>
        <v>0</v>
      </c>
      <c r="C714" s="595" t="str">
        <f>'dbc''s'!N84</f>
        <v>TBA145</v>
      </c>
      <c r="D714" s="592">
        <f>'dbc''s'!P84</f>
        <v>43415</v>
      </c>
      <c r="E714" s="491" t="s">
        <v>1371</v>
      </c>
      <c r="H714" s="608">
        <v>39814</v>
      </c>
    </row>
    <row r="715" spans="1:8" ht="12.75">
      <c r="A715" s="491">
        <f t="shared" si="32"/>
        <v>713</v>
      </c>
      <c r="B715" s="127">
        <f t="shared" si="33"/>
        <v>0</v>
      </c>
      <c r="C715" s="595" t="str">
        <f>'dbc''s'!N85</f>
        <v>TBA070</v>
      </c>
      <c r="D715" s="592">
        <f>'dbc''s'!P85</f>
        <v>979</v>
      </c>
      <c r="E715" s="491" t="s">
        <v>1371</v>
      </c>
      <c r="H715" s="608">
        <v>39814</v>
      </c>
    </row>
    <row r="716" spans="1:8" ht="12.75">
      <c r="A716" s="491">
        <f t="shared" si="32"/>
        <v>714</v>
      </c>
      <c r="B716" s="127">
        <f t="shared" si="33"/>
        <v>0</v>
      </c>
      <c r="C716" s="595" t="str">
        <f>'dbc''s'!N86</f>
        <v>TBA071</v>
      </c>
      <c r="D716" s="592">
        <f>'dbc''s'!P86</f>
        <v>1189</v>
      </c>
      <c r="E716" s="491" t="s">
        <v>1371</v>
      </c>
      <c r="H716" s="608">
        <v>39814</v>
      </c>
    </row>
    <row r="717" spans="1:8" ht="12.75">
      <c r="A717" s="491">
        <f t="shared" si="32"/>
        <v>715</v>
      </c>
      <c r="B717" s="127">
        <f t="shared" si="33"/>
        <v>0</v>
      </c>
      <c r="C717" s="595" t="str">
        <f>'dbc''s'!N87</f>
        <v>TBA072</v>
      </c>
      <c r="D717" s="592">
        <f>'dbc''s'!P87</f>
        <v>1993</v>
      </c>
      <c r="E717" s="491" t="s">
        <v>1371</v>
      </c>
      <c r="H717" s="608">
        <v>39814</v>
      </c>
    </row>
    <row r="718" spans="1:8" ht="12.75">
      <c r="A718" s="491">
        <f t="shared" si="32"/>
        <v>716</v>
      </c>
      <c r="B718" s="127">
        <f t="shared" si="33"/>
        <v>0</v>
      </c>
      <c r="C718" s="595" t="str">
        <f>'dbc''s'!N88</f>
        <v>TBA073</v>
      </c>
      <c r="D718" s="592">
        <f>'dbc''s'!P88</f>
        <v>2288</v>
      </c>
      <c r="E718" s="491" t="s">
        <v>1371</v>
      </c>
      <c r="H718" s="608">
        <v>39814</v>
      </c>
    </row>
    <row r="719" spans="1:8" ht="12.75">
      <c r="A719" s="491">
        <f t="shared" si="32"/>
        <v>717</v>
      </c>
      <c r="B719" s="127">
        <f t="shared" si="33"/>
        <v>0</v>
      </c>
      <c r="C719" s="595" t="str">
        <f>'dbc''s'!N89</f>
        <v>TBA074</v>
      </c>
      <c r="D719" s="592">
        <f>'dbc''s'!P89</f>
        <v>3679</v>
      </c>
      <c r="E719" s="491" t="s">
        <v>1371</v>
      </c>
      <c r="H719" s="608">
        <v>39814</v>
      </c>
    </row>
    <row r="720" spans="1:8" ht="12.75">
      <c r="A720" s="491">
        <f t="shared" si="32"/>
        <v>718</v>
      </c>
      <c r="B720" s="127">
        <f t="shared" si="33"/>
        <v>0</v>
      </c>
      <c r="C720" s="595" t="str">
        <f>'dbc''s'!N90</f>
        <v>TBA075</v>
      </c>
      <c r="D720" s="592">
        <f>'dbc''s'!P90</f>
        <v>4054</v>
      </c>
      <c r="E720" s="491" t="s">
        <v>1371</v>
      </c>
      <c r="H720" s="608">
        <v>39814</v>
      </c>
    </row>
    <row r="721" spans="1:8" ht="12.75">
      <c r="A721" s="491">
        <f t="shared" si="32"/>
        <v>719</v>
      </c>
      <c r="B721" s="127">
        <f t="shared" si="33"/>
        <v>0</v>
      </c>
      <c r="C721" s="595" t="str">
        <f>'dbc''s'!N91</f>
        <v>TBA076</v>
      </c>
      <c r="D721" s="592">
        <f>'dbc''s'!P91</f>
        <v>6262</v>
      </c>
      <c r="E721" s="491" t="s">
        <v>1371</v>
      </c>
      <c r="H721" s="608">
        <v>39814</v>
      </c>
    </row>
    <row r="722" spans="1:8" ht="12.75">
      <c r="A722" s="491">
        <f t="shared" si="32"/>
        <v>720</v>
      </c>
      <c r="B722" s="127">
        <f t="shared" si="33"/>
        <v>0</v>
      </c>
      <c r="C722" s="595" t="str">
        <f>'dbc''s'!N92</f>
        <v>TBA077</v>
      </c>
      <c r="D722" s="592">
        <f>'dbc''s'!P92</f>
        <v>7052</v>
      </c>
      <c r="E722" s="491" t="s">
        <v>1371</v>
      </c>
      <c r="H722" s="608">
        <v>39814</v>
      </c>
    </row>
    <row r="723" spans="1:8" ht="12.75">
      <c r="A723" s="491">
        <f t="shared" si="32"/>
        <v>721</v>
      </c>
      <c r="B723" s="127">
        <f t="shared" si="33"/>
        <v>0</v>
      </c>
      <c r="C723" s="595" t="str">
        <f>'dbc''s'!N93</f>
        <v>TBA078</v>
      </c>
      <c r="D723" s="592">
        <f>'dbc''s'!P93</f>
        <v>11645</v>
      </c>
      <c r="E723" s="491" t="s">
        <v>1371</v>
      </c>
      <c r="H723" s="608">
        <v>39814</v>
      </c>
    </row>
    <row r="724" spans="1:8" ht="12.75">
      <c r="A724" s="491">
        <f t="shared" si="32"/>
        <v>722</v>
      </c>
      <c r="B724" s="127">
        <f t="shared" si="33"/>
        <v>0</v>
      </c>
      <c r="C724" s="595" t="str">
        <f>'dbc''s'!N94</f>
        <v>TBA079</v>
      </c>
      <c r="D724" s="592">
        <f>'dbc''s'!P94</f>
        <v>13541</v>
      </c>
      <c r="E724" s="491" t="s">
        <v>1371</v>
      </c>
      <c r="H724" s="608">
        <v>39814</v>
      </c>
    </row>
    <row r="725" spans="1:8" ht="12.75">
      <c r="A725" s="491">
        <f t="shared" si="32"/>
        <v>723</v>
      </c>
      <c r="B725" s="127">
        <f t="shared" si="33"/>
        <v>0</v>
      </c>
      <c r="C725" s="595" t="str">
        <f>'dbc''s'!N95</f>
        <v>TBA146</v>
      </c>
      <c r="D725" s="592">
        <f>'dbc''s'!P95</f>
        <v>22000</v>
      </c>
      <c r="E725" s="491" t="s">
        <v>1371</v>
      </c>
      <c r="H725" s="608">
        <v>39814</v>
      </c>
    </row>
    <row r="726" spans="1:8" ht="12.75">
      <c r="A726" s="491">
        <f t="shared" si="32"/>
        <v>724</v>
      </c>
      <c r="B726" s="127">
        <f t="shared" si="33"/>
        <v>0</v>
      </c>
      <c r="C726" s="595" t="str">
        <f>'dbc''s'!N96</f>
        <v>TBA147</v>
      </c>
      <c r="D726" s="592">
        <f>'dbc''s'!P96</f>
        <v>34972</v>
      </c>
      <c r="E726" s="491" t="s">
        <v>1371</v>
      </c>
      <c r="H726" s="608">
        <v>39814</v>
      </c>
    </row>
    <row r="727" spans="1:8" ht="12.75">
      <c r="A727" s="491">
        <f t="shared" si="32"/>
        <v>725</v>
      </c>
      <c r="B727" s="127">
        <f t="shared" si="33"/>
        <v>0</v>
      </c>
      <c r="C727" s="595" t="str">
        <f>'dbc''s'!N97</f>
        <v>TBA081</v>
      </c>
      <c r="D727" s="592">
        <f>'dbc''s'!P97</f>
        <v>955</v>
      </c>
      <c r="E727" s="491" t="s">
        <v>1371</v>
      </c>
      <c r="H727" s="608">
        <v>39814</v>
      </c>
    </row>
    <row r="728" spans="1:8" ht="12.75">
      <c r="A728" s="491">
        <f t="shared" si="32"/>
        <v>726</v>
      </c>
      <c r="B728" s="127">
        <f t="shared" si="33"/>
        <v>0</v>
      </c>
      <c r="C728" s="595" t="str">
        <f>'dbc''s'!N98</f>
        <v>TBA082</v>
      </c>
      <c r="D728" s="592">
        <f>'dbc''s'!P98</f>
        <v>1110</v>
      </c>
      <c r="E728" s="491" t="s">
        <v>1371</v>
      </c>
      <c r="H728" s="608">
        <v>39814</v>
      </c>
    </row>
    <row r="729" spans="1:8" ht="12.75">
      <c r="A729" s="491">
        <f t="shared" si="32"/>
        <v>727</v>
      </c>
      <c r="B729" s="127">
        <f t="shared" si="33"/>
        <v>0</v>
      </c>
      <c r="C729" s="595" t="str">
        <f>'dbc''s'!N99</f>
        <v>TBA083</v>
      </c>
      <c r="D729" s="592">
        <f>'dbc''s'!P99</f>
        <v>2113</v>
      </c>
      <c r="E729" s="491" t="s">
        <v>1371</v>
      </c>
      <c r="H729" s="608">
        <v>39814</v>
      </c>
    </row>
    <row r="730" spans="1:8" ht="12.75">
      <c r="A730" s="491">
        <f t="shared" si="32"/>
        <v>728</v>
      </c>
      <c r="B730" s="127">
        <f t="shared" si="33"/>
        <v>0</v>
      </c>
      <c r="C730" s="595" t="str">
        <f>'dbc''s'!N100</f>
        <v>TBA084</v>
      </c>
      <c r="D730" s="592">
        <f>'dbc''s'!P100</f>
        <v>2411</v>
      </c>
      <c r="E730" s="491" t="s">
        <v>1371</v>
      </c>
      <c r="H730" s="608">
        <v>39814</v>
      </c>
    </row>
    <row r="731" spans="1:8" ht="12.75">
      <c r="A731" s="491">
        <f t="shared" si="32"/>
        <v>729</v>
      </c>
      <c r="B731" s="127">
        <f t="shared" si="33"/>
        <v>0</v>
      </c>
      <c r="C731" s="595" t="str">
        <f>'dbc''s'!N101</f>
        <v>TBA085</v>
      </c>
      <c r="D731" s="592">
        <f>'dbc''s'!P101</f>
        <v>3461</v>
      </c>
      <c r="E731" s="491" t="s">
        <v>1371</v>
      </c>
      <c r="H731" s="608">
        <v>39814</v>
      </c>
    </row>
    <row r="732" spans="1:8" ht="12.75">
      <c r="A732" s="491">
        <f t="shared" si="32"/>
        <v>730</v>
      </c>
      <c r="B732" s="127">
        <f t="shared" si="33"/>
        <v>0</v>
      </c>
      <c r="C732" s="595" t="str">
        <f>'dbc''s'!N102</f>
        <v>TBA086</v>
      </c>
      <c r="D732" s="592">
        <f>'dbc''s'!P102</f>
        <v>4253</v>
      </c>
      <c r="E732" s="491" t="s">
        <v>1371</v>
      </c>
      <c r="H732" s="608">
        <v>39814</v>
      </c>
    </row>
    <row r="733" spans="1:8" ht="12.75">
      <c r="A733" s="491">
        <f t="shared" si="32"/>
        <v>731</v>
      </c>
      <c r="B733" s="127">
        <f t="shared" si="33"/>
        <v>0</v>
      </c>
      <c r="C733" s="595" t="str">
        <f>'dbc''s'!N103</f>
        <v>TBA087</v>
      </c>
      <c r="D733" s="592">
        <f>'dbc''s'!P103</f>
        <v>6566</v>
      </c>
      <c r="E733" s="491" t="s">
        <v>1371</v>
      </c>
      <c r="H733" s="608">
        <v>39814</v>
      </c>
    </row>
    <row r="734" spans="1:8" ht="12.75">
      <c r="A734" s="491">
        <f t="shared" si="32"/>
        <v>732</v>
      </c>
      <c r="B734" s="127">
        <f t="shared" si="33"/>
        <v>0</v>
      </c>
      <c r="C734" s="595" t="str">
        <f>'dbc''s'!N104</f>
        <v>TBA148</v>
      </c>
      <c r="D734" s="592">
        <f>'dbc''s'!P104</f>
        <v>12963</v>
      </c>
      <c r="E734" s="491" t="s">
        <v>1371</v>
      </c>
      <c r="H734" s="608">
        <v>39814</v>
      </c>
    </row>
    <row r="735" spans="1:8" ht="12.75">
      <c r="A735" s="491">
        <f t="shared" si="32"/>
        <v>733</v>
      </c>
      <c r="B735" s="127">
        <f t="shared" si="33"/>
        <v>0</v>
      </c>
      <c r="C735" s="595" t="str">
        <f>'dbc''s'!N105</f>
        <v>TBA149</v>
      </c>
      <c r="D735" s="592">
        <f>'dbc''s'!P105</f>
        <v>26892</v>
      </c>
      <c r="E735" s="491" t="s">
        <v>1371</v>
      </c>
      <c r="H735" s="608">
        <v>39814</v>
      </c>
    </row>
    <row r="736" spans="1:8" ht="12.75">
      <c r="A736" s="491">
        <f t="shared" si="32"/>
        <v>734</v>
      </c>
      <c r="B736" s="127">
        <f t="shared" si="33"/>
        <v>0</v>
      </c>
      <c r="C736" s="595" t="str">
        <f>'dbc''s'!N106</f>
        <v>TBA089</v>
      </c>
      <c r="D736" s="592">
        <f>'dbc''s'!P106</f>
        <v>966</v>
      </c>
      <c r="E736" s="491" t="s">
        <v>1371</v>
      </c>
      <c r="H736" s="608">
        <v>39814</v>
      </c>
    </row>
    <row r="737" spans="1:8" ht="12.75">
      <c r="A737" s="491">
        <f t="shared" si="32"/>
        <v>735</v>
      </c>
      <c r="B737" s="127">
        <f t="shared" si="33"/>
        <v>0</v>
      </c>
      <c r="C737" s="595" t="str">
        <f>'dbc''s'!N107</f>
        <v>TBA090</v>
      </c>
      <c r="D737" s="592">
        <f>'dbc''s'!P107</f>
        <v>1108</v>
      </c>
      <c r="E737" s="491" t="s">
        <v>1371</v>
      </c>
      <c r="H737" s="608">
        <v>39814</v>
      </c>
    </row>
    <row r="738" spans="1:8" ht="12.75">
      <c r="A738" s="491">
        <f t="shared" si="32"/>
        <v>736</v>
      </c>
      <c r="B738" s="127">
        <f t="shared" si="33"/>
        <v>0</v>
      </c>
      <c r="C738" s="595" t="str">
        <f>'dbc''s'!N108</f>
        <v>TBA091</v>
      </c>
      <c r="D738" s="592">
        <f>'dbc''s'!P108</f>
        <v>1964</v>
      </c>
      <c r="E738" s="491" t="s">
        <v>1371</v>
      </c>
      <c r="H738" s="608">
        <v>39814</v>
      </c>
    </row>
    <row r="739" spans="1:8" ht="12.75">
      <c r="A739" s="491">
        <f t="shared" si="32"/>
        <v>737</v>
      </c>
      <c r="B739" s="127">
        <f t="shared" si="33"/>
        <v>0</v>
      </c>
      <c r="C739" s="595" t="str">
        <f>'dbc''s'!N109</f>
        <v>TBA092</v>
      </c>
      <c r="D739" s="592">
        <f>'dbc''s'!P109</f>
        <v>2193</v>
      </c>
      <c r="E739" s="491" t="s">
        <v>1371</v>
      </c>
      <c r="H739" s="608">
        <v>39814</v>
      </c>
    </row>
    <row r="740" spans="1:8" ht="12.75">
      <c r="A740" s="491">
        <f t="shared" si="32"/>
        <v>738</v>
      </c>
      <c r="B740" s="127">
        <f t="shared" si="33"/>
        <v>0</v>
      </c>
      <c r="C740" s="595" t="str">
        <f>'dbc''s'!N110</f>
        <v>TBA093</v>
      </c>
      <c r="D740" s="592">
        <f>'dbc''s'!P110</f>
        <v>3741</v>
      </c>
      <c r="E740" s="491" t="s">
        <v>1371</v>
      </c>
      <c r="H740" s="608">
        <v>39814</v>
      </c>
    </row>
    <row r="741" spans="1:8" ht="12.75">
      <c r="A741" s="491">
        <f t="shared" si="32"/>
        <v>739</v>
      </c>
      <c r="B741" s="127">
        <f t="shared" si="33"/>
        <v>0</v>
      </c>
      <c r="C741" s="595" t="str">
        <f>'dbc''s'!N111</f>
        <v>TBA094</v>
      </c>
      <c r="D741" s="592">
        <f>'dbc''s'!P111</f>
        <v>4232</v>
      </c>
      <c r="E741" s="491" t="s">
        <v>1371</v>
      </c>
      <c r="H741" s="608">
        <v>39814</v>
      </c>
    </row>
    <row r="742" spans="1:8" ht="12.75">
      <c r="A742" s="491">
        <f t="shared" si="32"/>
        <v>740</v>
      </c>
      <c r="B742" s="127">
        <f t="shared" si="33"/>
        <v>0</v>
      </c>
      <c r="C742" s="595" t="str">
        <f>'dbc''s'!N112</f>
        <v>TBA095</v>
      </c>
      <c r="D742" s="592">
        <f>'dbc''s'!P112</f>
        <v>6473</v>
      </c>
      <c r="E742" s="491" t="s">
        <v>1371</v>
      </c>
      <c r="H742" s="608">
        <v>39814</v>
      </c>
    </row>
    <row r="743" spans="1:8" ht="12.75">
      <c r="A743" s="491">
        <f t="shared" si="32"/>
        <v>741</v>
      </c>
      <c r="B743" s="127">
        <f t="shared" si="33"/>
        <v>0</v>
      </c>
      <c r="C743" s="595" t="str">
        <f>'dbc''s'!N113</f>
        <v>TBA096</v>
      </c>
      <c r="D743" s="592">
        <f>'dbc''s'!P113</f>
        <v>7515</v>
      </c>
      <c r="E743" s="491" t="s">
        <v>1371</v>
      </c>
      <c r="H743" s="608">
        <v>39814</v>
      </c>
    </row>
    <row r="744" spans="1:8" ht="12.75">
      <c r="A744" s="491">
        <f t="shared" si="32"/>
        <v>742</v>
      </c>
      <c r="B744" s="127">
        <f t="shared" si="33"/>
        <v>0</v>
      </c>
      <c r="C744" s="595" t="str">
        <f>'dbc''s'!N114</f>
        <v>TBA097</v>
      </c>
      <c r="D744" s="592">
        <f>'dbc''s'!P114</f>
        <v>10995</v>
      </c>
      <c r="E744" s="491" t="s">
        <v>1371</v>
      </c>
      <c r="H744" s="608">
        <v>39814</v>
      </c>
    </row>
    <row r="745" spans="1:8" ht="12.75">
      <c r="A745" s="491">
        <f t="shared" si="32"/>
        <v>743</v>
      </c>
      <c r="B745" s="127">
        <f t="shared" si="33"/>
        <v>0</v>
      </c>
      <c r="C745" s="595" t="str">
        <f>'dbc''s'!N115</f>
        <v>TBA098</v>
      </c>
      <c r="D745" s="592">
        <f>'dbc''s'!P115</f>
        <v>13466</v>
      </c>
      <c r="E745" s="491" t="s">
        <v>1371</v>
      </c>
      <c r="H745" s="608">
        <v>39814</v>
      </c>
    </row>
    <row r="746" spans="1:8" ht="12.75">
      <c r="A746" s="491">
        <f t="shared" si="32"/>
        <v>744</v>
      </c>
      <c r="B746" s="127">
        <f t="shared" si="33"/>
        <v>0</v>
      </c>
      <c r="C746" s="595" t="str">
        <f>'dbc''s'!N116</f>
        <v>TBA150</v>
      </c>
      <c r="D746" s="592">
        <f>'dbc''s'!P116</f>
        <v>22879</v>
      </c>
      <c r="E746" s="491" t="s">
        <v>1371</v>
      </c>
      <c r="H746" s="608">
        <v>39814</v>
      </c>
    </row>
    <row r="747" spans="1:8" ht="12.75">
      <c r="A747" s="491">
        <f t="shared" si="32"/>
        <v>745</v>
      </c>
      <c r="B747" s="127">
        <f t="shared" si="33"/>
        <v>0</v>
      </c>
      <c r="C747" s="595" t="str">
        <f>'dbc''s'!N117</f>
        <v>TBA151</v>
      </c>
      <c r="D747" s="592">
        <f>'dbc''s'!P117</f>
        <v>35241</v>
      </c>
      <c r="E747" s="491" t="s">
        <v>1371</v>
      </c>
      <c r="H747" s="608">
        <v>39814</v>
      </c>
    </row>
    <row r="748" spans="1:8" ht="12.75">
      <c r="A748" s="491">
        <f t="shared" si="32"/>
        <v>746</v>
      </c>
      <c r="B748" s="127">
        <f t="shared" si="33"/>
        <v>0</v>
      </c>
      <c r="C748" s="595" t="str">
        <f>'dbc''s'!N118</f>
        <v>TBA100</v>
      </c>
      <c r="D748" s="592">
        <f>'dbc''s'!P118</f>
        <v>883</v>
      </c>
      <c r="E748" s="491" t="s">
        <v>1371</v>
      </c>
      <c r="H748" s="608">
        <v>39814</v>
      </c>
    </row>
    <row r="749" spans="1:8" ht="12.75">
      <c r="A749" s="491">
        <f t="shared" si="32"/>
        <v>747</v>
      </c>
      <c r="B749" s="127">
        <f t="shared" si="33"/>
        <v>0</v>
      </c>
      <c r="C749" s="595" t="str">
        <f>'dbc''s'!N119</f>
        <v>TBA101</v>
      </c>
      <c r="D749" s="592">
        <f>'dbc''s'!P119</f>
        <v>1087</v>
      </c>
      <c r="E749" s="491" t="s">
        <v>1371</v>
      </c>
      <c r="H749" s="608">
        <v>39814</v>
      </c>
    </row>
    <row r="750" spans="1:8" ht="12.75">
      <c r="A750" s="491">
        <f t="shared" si="32"/>
        <v>748</v>
      </c>
      <c r="B750" s="127">
        <f t="shared" si="33"/>
        <v>0</v>
      </c>
      <c r="C750" s="595" t="str">
        <f>'dbc''s'!N120</f>
        <v>TBA102</v>
      </c>
      <c r="D750" s="592">
        <f>'dbc''s'!P120</f>
        <v>1856</v>
      </c>
      <c r="E750" s="491" t="s">
        <v>1371</v>
      </c>
      <c r="H750" s="608">
        <v>39814</v>
      </c>
    </row>
    <row r="751" spans="1:8" ht="12.75">
      <c r="A751" s="491">
        <f t="shared" si="32"/>
        <v>749</v>
      </c>
      <c r="B751" s="127">
        <f t="shared" si="33"/>
        <v>0</v>
      </c>
      <c r="C751" s="595" t="str">
        <f>'dbc''s'!N121</f>
        <v>TBA103</v>
      </c>
      <c r="D751" s="592">
        <f>'dbc''s'!P121</f>
        <v>2125</v>
      </c>
      <c r="E751" s="491" t="s">
        <v>1371</v>
      </c>
      <c r="H751" s="608">
        <v>39814</v>
      </c>
    </row>
    <row r="752" spans="1:8" ht="12.75">
      <c r="A752" s="491">
        <f t="shared" si="32"/>
        <v>750</v>
      </c>
      <c r="B752" s="127">
        <f t="shared" si="33"/>
        <v>0</v>
      </c>
      <c r="C752" s="595" t="str">
        <f>'dbc''s'!N122</f>
        <v>TBA104</v>
      </c>
      <c r="D752" s="592">
        <f>'dbc''s'!P122</f>
        <v>3686</v>
      </c>
      <c r="E752" s="491" t="s">
        <v>1371</v>
      </c>
      <c r="H752" s="608">
        <v>39814</v>
      </c>
    </row>
    <row r="753" spans="1:8" ht="12.75">
      <c r="A753" s="491">
        <f t="shared" si="32"/>
        <v>751</v>
      </c>
      <c r="B753" s="127">
        <f t="shared" si="33"/>
        <v>0</v>
      </c>
      <c r="C753" s="595" t="str">
        <f>'dbc''s'!N123</f>
        <v>TBA105</v>
      </c>
      <c r="D753" s="592">
        <f>'dbc''s'!P123</f>
        <v>6254</v>
      </c>
      <c r="E753" s="491" t="s">
        <v>1371</v>
      </c>
      <c r="H753" s="608">
        <v>39814</v>
      </c>
    </row>
    <row r="754" spans="1:8" ht="12.75">
      <c r="A754" s="491">
        <f t="shared" si="32"/>
        <v>752</v>
      </c>
      <c r="B754" s="127">
        <f t="shared" si="33"/>
        <v>0</v>
      </c>
      <c r="C754" s="595" t="str">
        <f>'dbc''s'!N124</f>
        <v>TBA152</v>
      </c>
      <c r="D754" s="592">
        <f>'dbc''s'!P124</f>
        <v>12833</v>
      </c>
      <c r="E754" s="491" t="s">
        <v>1371</v>
      </c>
      <c r="H754" s="608">
        <v>39814</v>
      </c>
    </row>
    <row r="755" spans="1:8" ht="12.75">
      <c r="A755" s="491">
        <f aca="true" t="shared" si="34" ref="A755:A817">A754+1</f>
        <v>753</v>
      </c>
      <c r="B755" s="127">
        <f aca="true" t="shared" si="35" ref="B755:B817">B754</f>
        <v>0</v>
      </c>
      <c r="C755" s="595" t="str">
        <f>'dbc''s'!N125</f>
        <v>TBA153</v>
      </c>
      <c r="D755" s="592">
        <f>'dbc''s'!P125</f>
        <v>28918</v>
      </c>
      <c r="E755" s="491" t="s">
        <v>1371</v>
      </c>
      <c r="H755" s="608">
        <v>39814</v>
      </c>
    </row>
    <row r="756" spans="1:8" ht="12.75">
      <c r="A756" s="491">
        <f t="shared" si="34"/>
        <v>754</v>
      </c>
      <c r="B756" s="127">
        <f t="shared" si="35"/>
        <v>0</v>
      </c>
      <c r="C756" s="595" t="str">
        <f>'dbc''s'!N126</f>
        <v>TBA107</v>
      </c>
      <c r="D756" s="592">
        <f>'dbc''s'!P126</f>
        <v>875</v>
      </c>
      <c r="E756" s="491" t="s">
        <v>1371</v>
      </c>
      <c r="H756" s="608">
        <v>39814</v>
      </c>
    </row>
    <row r="757" spans="1:8" ht="12.75">
      <c r="A757" s="491">
        <f t="shared" si="34"/>
        <v>755</v>
      </c>
      <c r="B757" s="127">
        <f t="shared" si="35"/>
        <v>0</v>
      </c>
      <c r="C757" s="595" t="str">
        <f>'dbc''s'!N127</f>
        <v>TBA108</v>
      </c>
      <c r="D757" s="592">
        <f>'dbc''s'!P127</f>
        <v>1016</v>
      </c>
      <c r="E757" s="491" t="s">
        <v>1371</v>
      </c>
      <c r="H757" s="608">
        <v>39814</v>
      </c>
    </row>
    <row r="758" spans="1:8" ht="12.75">
      <c r="A758" s="491">
        <f t="shared" si="34"/>
        <v>756</v>
      </c>
      <c r="B758" s="127">
        <f t="shared" si="35"/>
        <v>0</v>
      </c>
      <c r="C758" s="595" t="str">
        <f>'dbc''s'!N128</f>
        <v>TBA109</v>
      </c>
      <c r="D758" s="592">
        <f>'dbc''s'!P128</f>
        <v>1891</v>
      </c>
      <c r="E758" s="491" t="s">
        <v>1371</v>
      </c>
      <c r="H758" s="608">
        <v>39814</v>
      </c>
    </row>
    <row r="759" spans="1:8" ht="12.75">
      <c r="A759" s="491">
        <f t="shared" si="34"/>
        <v>757</v>
      </c>
      <c r="B759" s="127">
        <f t="shared" si="35"/>
        <v>0</v>
      </c>
      <c r="C759" s="595" t="str">
        <f>'dbc''s'!N129</f>
        <v>TBA110</v>
      </c>
      <c r="D759" s="592">
        <f>'dbc''s'!P129</f>
        <v>2112</v>
      </c>
      <c r="E759" s="491" t="s">
        <v>1371</v>
      </c>
      <c r="H759" s="608">
        <v>39814</v>
      </c>
    </row>
    <row r="760" spans="1:8" ht="12.75">
      <c r="A760" s="491">
        <f t="shared" si="34"/>
        <v>758</v>
      </c>
      <c r="B760" s="127">
        <f t="shared" si="35"/>
        <v>0</v>
      </c>
      <c r="C760" s="595" t="str">
        <f>'dbc''s'!N130</f>
        <v>TBA111</v>
      </c>
      <c r="D760" s="592">
        <f>'dbc''s'!P130</f>
        <v>3876</v>
      </c>
      <c r="E760" s="491" t="s">
        <v>1371</v>
      </c>
      <c r="H760" s="608">
        <v>39814</v>
      </c>
    </row>
    <row r="761" spans="1:8" ht="12.75">
      <c r="A761" s="491">
        <f t="shared" si="34"/>
        <v>759</v>
      </c>
      <c r="B761" s="127">
        <f t="shared" si="35"/>
        <v>0</v>
      </c>
      <c r="C761" s="595" t="str">
        <f>'dbc''s'!N132</f>
        <v>TBA112</v>
      </c>
      <c r="D761" s="592">
        <f>'dbc''s'!P132</f>
        <v>6555</v>
      </c>
      <c r="E761" s="491" t="s">
        <v>1371</v>
      </c>
      <c r="H761" s="608">
        <v>39814</v>
      </c>
    </row>
    <row r="762" spans="1:8" ht="12.75">
      <c r="A762" s="491">
        <f t="shared" si="34"/>
        <v>760</v>
      </c>
      <c r="B762" s="127">
        <f t="shared" si="35"/>
        <v>0</v>
      </c>
      <c r="C762" s="595" t="str">
        <f>'dbc''s'!N133</f>
        <v>TBA154</v>
      </c>
      <c r="D762" s="592">
        <f>'dbc''s'!P133</f>
        <v>12625</v>
      </c>
      <c r="E762" s="491" t="s">
        <v>1371</v>
      </c>
      <c r="H762" s="608">
        <v>39814</v>
      </c>
    </row>
    <row r="763" spans="1:8" ht="12.75">
      <c r="A763" s="491">
        <f t="shared" si="34"/>
        <v>761</v>
      </c>
      <c r="B763" s="127">
        <f t="shared" si="35"/>
        <v>0</v>
      </c>
      <c r="C763" s="595" t="str">
        <f>'dbc''s'!N134</f>
        <v>TBA155</v>
      </c>
      <c r="D763" s="592">
        <f>'dbc''s'!P134</f>
        <v>26241</v>
      </c>
      <c r="E763" s="491" t="s">
        <v>1371</v>
      </c>
      <c r="H763" s="608">
        <v>39814</v>
      </c>
    </row>
    <row r="764" spans="1:8" ht="12.75">
      <c r="A764" s="491">
        <f t="shared" si="34"/>
        <v>762</v>
      </c>
      <c r="B764" s="127">
        <f t="shared" si="35"/>
        <v>0</v>
      </c>
      <c r="C764" s="595" t="str">
        <f>'dbc''s'!N135</f>
        <v>TBA114</v>
      </c>
      <c r="D764" s="592">
        <f>'dbc''s'!P135</f>
        <v>953</v>
      </c>
      <c r="E764" s="491" t="s">
        <v>1371</v>
      </c>
      <c r="H764" s="608">
        <v>39814</v>
      </c>
    </row>
    <row r="765" spans="1:8" ht="12.75">
      <c r="A765" s="491">
        <f t="shared" si="34"/>
        <v>763</v>
      </c>
      <c r="B765" s="127">
        <f t="shared" si="35"/>
        <v>0</v>
      </c>
      <c r="C765" s="595" t="str">
        <f>'dbc''s'!N136</f>
        <v>TBA115</v>
      </c>
      <c r="D765" s="592">
        <f>'dbc''s'!P136</f>
        <v>1155</v>
      </c>
      <c r="E765" s="491" t="s">
        <v>1371</v>
      </c>
      <c r="H765" s="608">
        <v>39814</v>
      </c>
    </row>
    <row r="766" spans="1:8" ht="12.75">
      <c r="A766" s="491">
        <f t="shared" si="34"/>
        <v>764</v>
      </c>
      <c r="B766" s="127">
        <f t="shared" si="35"/>
        <v>0</v>
      </c>
      <c r="C766" s="595" t="str">
        <f>'dbc''s'!N137</f>
        <v>TBA116</v>
      </c>
      <c r="D766" s="592">
        <f>'dbc''s'!P137</f>
        <v>1949</v>
      </c>
      <c r="E766" s="491" t="s">
        <v>1371</v>
      </c>
      <c r="H766" s="608">
        <v>39814</v>
      </c>
    </row>
    <row r="767" spans="1:8" ht="12.75">
      <c r="A767" s="491">
        <f t="shared" si="34"/>
        <v>765</v>
      </c>
      <c r="B767" s="127">
        <f t="shared" si="35"/>
        <v>0</v>
      </c>
      <c r="C767" s="595" t="str">
        <f>'dbc''s'!N138</f>
        <v>TBA117</v>
      </c>
      <c r="D767" s="592">
        <f>'dbc''s'!P138</f>
        <v>2260</v>
      </c>
      <c r="E767" s="491" t="s">
        <v>1371</v>
      </c>
      <c r="H767" s="608">
        <v>39814</v>
      </c>
    </row>
    <row r="768" spans="1:8" ht="12.75">
      <c r="A768" s="491">
        <f t="shared" si="34"/>
        <v>766</v>
      </c>
      <c r="B768" s="127">
        <f t="shared" si="35"/>
        <v>0</v>
      </c>
      <c r="C768" s="595" t="str">
        <f>'dbc''s'!N139</f>
        <v>TBA118</v>
      </c>
      <c r="D768" s="592">
        <f>'dbc''s'!P139</f>
        <v>3993</v>
      </c>
      <c r="E768" s="491" t="s">
        <v>1371</v>
      </c>
      <c r="H768" s="608">
        <v>39814</v>
      </c>
    </row>
    <row r="769" spans="1:8" ht="12.75">
      <c r="A769" s="491">
        <f t="shared" si="34"/>
        <v>767</v>
      </c>
      <c r="B769" s="127">
        <f t="shared" si="35"/>
        <v>0</v>
      </c>
      <c r="C769" s="595" t="str">
        <f>'dbc''s'!N140</f>
        <v>TBA119</v>
      </c>
      <c r="D769" s="592">
        <f>'dbc''s'!P140</f>
        <v>6690</v>
      </c>
      <c r="E769" s="491" t="s">
        <v>1371</v>
      </c>
      <c r="H769" s="608">
        <v>39814</v>
      </c>
    </row>
    <row r="770" spans="1:8" ht="12.75">
      <c r="A770" s="491">
        <f t="shared" si="34"/>
        <v>768</v>
      </c>
      <c r="B770" s="127">
        <f t="shared" si="35"/>
        <v>0</v>
      </c>
      <c r="C770" s="595" t="str">
        <f>'dbc''s'!N141</f>
        <v>TBA156</v>
      </c>
      <c r="D770" s="592">
        <f>'dbc''s'!P141</f>
        <v>12977</v>
      </c>
      <c r="E770" s="491" t="s">
        <v>1371</v>
      </c>
      <c r="H770" s="608">
        <v>39814</v>
      </c>
    </row>
    <row r="771" spans="1:8" ht="12.75">
      <c r="A771" s="491">
        <f t="shared" si="34"/>
        <v>769</v>
      </c>
      <c r="B771" s="127">
        <f t="shared" si="35"/>
        <v>0</v>
      </c>
      <c r="C771" s="595" t="str">
        <f>'dbc''s'!N142</f>
        <v>TBA157</v>
      </c>
      <c r="D771" s="592">
        <f>'dbc''s'!P142</f>
        <v>26438</v>
      </c>
      <c r="E771" s="491" t="s">
        <v>1371</v>
      </c>
      <c r="H771" s="608">
        <v>39814</v>
      </c>
    </row>
    <row r="772" spans="1:8" ht="12.75">
      <c r="A772" s="491">
        <f t="shared" si="34"/>
        <v>770</v>
      </c>
      <c r="B772" s="127">
        <f t="shared" si="35"/>
        <v>0</v>
      </c>
      <c r="C772" s="595" t="str">
        <f>'dbc''s'!N143</f>
        <v>TBA121</v>
      </c>
      <c r="D772" s="592">
        <f>'dbc''s'!P143</f>
        <v>1023</v>
      </c>
      <c r="E772" s="491" t="s">
        <v>1371</v>
      </c>
      <c r="H772" s="608">
        <v>39814</v>
      </c>
    </row>
    <row r="773" spans="1:8" ht="12.75">
      <c r="A773" s="491">
        <f t="shared" si="34"/>
        <v>771</v>
      </c>
      <c r="B773" s="127">
        <f t="shared" si="35"/>
        <v>0</v>
      </c>
      <c r="C773" s="595" t="str">
        <f>'dbc''s'!N144</f>
        <v>TBA122</v>
      </c>
      <c r="D773" s="592">
        <f>'dbc''s'!P144</f>
        <v>2012</v>
      </c>
      <c r="E773" s="491" t="s">
        <v>1371</v>
      </c>
      <c r="H773" s="608">
        <v>39814</v>
      </c>
    </row>
    <row r="774" spans="1:8" ht="12.75">
      <c r="A774" s="491">
        <f t="shared" si="34"/>
        <v>772</v>
      </c>
      <c r="B774" s="127">
        <f t="shared" si="35"/>
        <v>0</v>
      </c>
      <c r="C774" s="595" t="str">
        <f>'dbc''s'!N145</f>
        <v>TBA123</v>
      </c>
      <c r="D774" s="592">
        <f>'dbc''s'!P145</f>
        <v>2339</v>
      </c>
      <c r="E774" s="491" t="s">
        <v>1371</v>
      </c>
      <c r="H774" s="608">
        <v>39814</v>
      </c>
    </row>
    <row r="775" spans="1:8" ht="12.75">
      <c r="A775" s="491">
        <f t="shared" si="34"/>
        <v>773</v>
      </c>
      <c r="B775" s="127">
        <f t="shared" si="35"/>
        <v>0</v>
      </c>
      <c r="C775" s="595" t="str">
        <f>'dbc''s'!N146</f>
        <v>TBA124</v>
      </c>
      <c r="D775" s="592">
        <f>'dbc''s'!P146</f>
        <v>3707</v>
      </c>
      <c r="E775" s="491" t="s">
        <v>1371</v>
      </c>
      <c r="H775" s="608">
        <v>39814</v>
      </c>
    </row>
    <row r="776" spans="1:8" ht="12.75">
      <c r="A776" s="491">
        <f t="shared" si="34"/>
        <v>774</v>
      </c>
      <c r="B776" s="127">
        <f t="shared" si="35"/>
        <v>0</v>
      </c>
      <c r="C776" s="595" t="str">
        <f>'dbc''s'!N147</f>
        <v>TBA125</v>
      </c>
      <c r="D776" s="592">
        <f>'dbc''s'!P147</f>
        <v>4084</v>
      </c>
      <c r="E776" s="491" t="s">
        <v>1371</v>
      </c>
      <c r="H776" s="608">
        <v>39814</v>
      </c>
    </row>
    <row r="777" spans="1:8" ht="12.75">
      <c r="A777" s="491">
        <f t="shared" si="34"/>
        <v>775</v>
      </c>
      <c r="B777" s="127">
        <f t="shared" si="35"/>
        <v>0</v>
      </c>
      <c r="C777" s="595" t="str">
        <f>'dbc''s'!N148</f>
        <v>TBA126</v>
      </c>
      <c r="D777" s="592">
        <f>'dbc''s'!P148</f>
        <v>6203</v>
      </c>
      <c r="E777" s="491" t="s">
        <v>1371</v>
      </c>
      <c r="H777" s="608">
        <v>39814</v>
      </c>
    </row>
    <row r="778" spans="1:8" ht="12.75">
      <c r="A778" s="491">
        <f t="shared" si="34"/>
        <v>776</v>
      </c>
      <c r="B778" s="127">
        <f t="shared" si="35"/>
        <v>0</v>
      </c>
      <c r="C778" s="595" t="str">
        <f>'dbc''s'!N149</f>
        <v>TBA127</v>
      </c>
      <c r="D778" s="592">
        <f>'dbc''s'!P149</f>
        <v>7233</v>
      </c>
      <c r="E778" s="491" t="s">
        <v>1371</v>
      </c>
      <c r="H778" s="608">
        <v>39814</v>
      </c>
    </row>
    <row r="779" spans="1:8" ht="12.75">
      <c r="A779" s="491">
        <f t="shared" si="34"/>
        <v>777</v>
      </c>
      <c r="B779" s="127">
        <f t="shared" si="35"/>
        <v>0</v>
      </c>
      <c r="C779" s="595" t="str">
        <f>'dbc''s'!N150</f>
        <v>TBA128</v>
      </c>
      <c r="D779" s="592">
        <f>'dbc''s'!P150</f>
        <v>11015</v>
      </c>
      <c r="E779" s="491" t="s">
        <v>1371</v>
      </c>
      <c r="H779" s="608">
        <v>39814</v>
      </c>
    </row>
    <row r="780" spans="1:8" ht="12.75">
      <c r="A780" s="491">
        <f t="shared" si="34"/>
        <v>778</v>
      </c>
      <c r="B780" s="127">
        <f t="shared" si="35"/>
        <v>0</v>
      </c>
      <c r="C780" s="595" t="str">
        <f>'dbc''s'!N151</f>
        <v>TBA129</v>
      </c>
      <c r="D780" s="592">
        <f>'dbc''s'!P151</f>
        <v>13372</v>
      </c>
      <c r="E780" s="491" t="s">
        <v>1371</v>
      </c>
      <c r="H780" s="608">
        <v>39814</v>
      </c>
    </row>
    <row r="781" spans="1:8" ht="12.75">
      <c r="A781" s="491">
        <f t="shared" si="34"/>
        <v>779</v>
      </c>
      <c r="B781" s="127">
        <f t="shared" si="35"/>
        <v>0</v>
      </c>
      <c r="C781" s="595" t="str">
        <f>'dbc''s'!N152</f>
        <v>TBA158</v>
      </c>
      <c r="D781" s="592">
        <f>'dbc''s'!P152</f>
        <v>22960</v>
      </c>
      <c r="E781" s="491" t="s">
        <v>1371</v>
      </c>
      <c r="H781" s="608">
        <v>39814</v>
      </c>
    </row>
    <row r="782" spans="1:8" ht="12.75">
      <c r="A782" s="491">
        <f t="shared" si="34"/>
        <v>780</v>
      </c>
      <c r="B782" s="127">
        <f t="shared" si="35"/>
        <v>0</v>
      </c>
      <c r="C782" s="595" t="str">
        <f>'dbc''s'!N153</f>
        <v>TBA159</v>
      </c>
      <c r="D782" s="592">
        <f>'dbc''s'!P153</f>
        <v>37625</v>
      </c>
      <c r="E782" s="491" t="s">
        <v>1371</v>
      </c>
      <c r="H782" s="608">
        <v>39814</v>
      </c>
    </row>
    <row r="783" spans="1:8" ht="12.75">
      <c r="A783" s="491">
        <f t="shared" si="34"/>
        <v>781</v>
      </c>
      <c r="B783" s="127">
        <f t="shared" si="35"/>
        <v>0</v>
      </c>
      <c r="C783" s="595" t="str">
        <f>'dbc''s'!O7</f>
        <v>TBV001</v>
      </c>
      <c r="D783" s="592">
        <f>'dbc''s'!P7</f>
        <v>0</v>
      </c>
      <c r="E783" s="491" t="s">
        <v>1373</v>
      </c>
      <c r="H783" s="608">
        <v>39814</v>
      </c>
    </row>
    <row r="784" spans="1:8" ht="12.75">
      <c r="A784" s="491">
        <f t="shared" si="34"/>
        <v>782</v>
      </c>
      <c r="B784" s="127">
        <f t="shared" si="35"/>
        <v>0</v>
      </c>
      <c r="C784" s="595" t="str">
        <f>'dbc''s'!O8</f>
        <v>TBV002</v>
      </c>
      <c r="D784" s="592">
        <f>'dbc''s'!P8</f>
        <v>46</v>
      </c>
      <c r="E784" s="491" t="s">
        <v>1373</v>
      </c>
      <c r="H784" s="608">
        <v>39814</v>
      </c>
    </row>
    <row r="785" spans="1:8" ht="12.75">
      <c r="A785" s="491">
        <f t="shared" si="34"/>
        <v>783</v>
      </c>
      <c r="B785" s="127">
        <f t="shared" si="35"/>
        <v>0</v>
      </c>
      <c r="C785" s="595" t="str">
        <f>'dbc''s'!O9</f>
        <v>TBV003</v>
      </c>
      <c r="D785" s="592">
        <f>'dbc''s'!P9</f>
        <v>115</v>
      </c>
      <c r="E785" s="491" t="s">
        <v>1373</v>
      </c>
      <c r="H785" s="608">
        <v>39814</v>
      </c>
    </row>
    <row r="786" spans="1:8" ht="12.75">
      <c r="A786" s="491">
        <f t="shared" si="34"/>
        <v>784</v>
      </c>
      <c r="B786" s="127">
        <f t="shared" si="35"/>
        <v>0</v>
      </c>
      <c r="C786" s="595" t="str">
        <f>'dbc''s'!O10</f>
        <v>TBV004</v>
      </c>
      <c r="D786" s="592">
        <f>'dbc''s'!P10</f>
        <v>238</v>
      </c>
      <c r="E786" s="491" t="s">
        <v>1373</v>
      </c>
      <c r="H786" s="608">
        <v>39814</v>
      </c>
    </row>
    <row r="787" spans="1:8" ht="12.75">
      <c r="A787" s="491">
        <f t="shared" si="34"/>
        <v>785</v>
      </c>
      <c r="B787" s="127">
        <f t="shared" si="35"/>
        <v>0</v>
      </c>
      <c r="C787" s="595" t="str">
        <f>'dbc''s'!O11</f>
        <v>TBV005</v>
      </c>
      <c r="D787" s="592">
        <f>'dbc''s'!P11</f>
        <v>512</v>
      </c>
      <c r="E787" s="491" t="s">
        <v>1373</v>
      </c>
      <c r="H787" s="608">
        <v>39814</v>
      </c>
    </row>
    <row r="788" spans="1:8" ht="12.75">
      <c r="A788" s="491">
        <f t="shared" si="34"/>
        <v>786</v>
      </c>
      <c r="B788" s="127">
        <f t="shared" si="35"/>
        <v>0</v>
      </c>
      <c r="C788" s="595" t="str">
        <f>'dbc''s'!O12</f>
        <v>TBV006</v>
      </c>
      <c r="D788" s="592">
        <f>'dbc''s'!P12</f>
        <v>1315</v>
      </c>
      <c r="E788" s="491" t="s">
        <v>1373</v>
      </c>
      <c r="H788" s="608">
        <v>39814</v>
      </c>
    </row>
    <row r="789" spans="1:8" ht="12.75">
      <c r="A789" s="491">
        <f t="shared" si="34"/>
        <v>787</v>
      </c>
      <c r="B789" s="127">
        <f t="shared" si="35"/>
        <v>0</v>
      </c>
      <c r="C789" s="595" t="str">
        <f>'dbc''s'!O13</f>
        <v>TBV007</v>
      </c>
      <c r="D789" s="592">
        <f>'dbc''s'!P13</f>
        <v>133</v>
      </c>
      <c r="E789" s="491" t="s">
        <v>1373</v>
      </c>
      <c r="H789" s="608">
        <v>39814</v>
      </c>
    </row>
    <row r="790" spans="1:8" ht="12.75">
      <c r="A790" s="491">
        <f t="shared" si="34"/>
        <v>788</v>
      </c>
      <c r="B790" s="127">
        <f t="shared" si="35"/>
        <v>0</v>
      </c>
      <c r="C790" s="595" t="str">
        <f>'dbc''s'!O14</f>
        <v>TBV008</v>
      </c>
      <c r="D790" s="592">
        <f>'dbc''s'!P14</f>
        <v>278</v>
      </c>
      <c r="E790" s="491" t="s">
        <v>1373</v>
      </c>
      <c r="H790" s="608">
        <v>39814</v>
      </c>
    </row>
    <row r="791" spans="1:8" ht="12.75">
      <c r="A791" s="491">
        <f t="shared" si="34"/>
        <v>789</v>
      </c>
      <c r="B791" s="127">
        <f t="shared" si="35"/>
        <v>0</v>
      </c>
      <c r="C791" s="595" t="str">
        <f>'dbc''s'!O15</f>
        <v>TBV009</v>
      </c>
      <c r="D791" s="592">
        <f>'dbc''s'!P15</f>
        <v>513</v>
      </c>
      <c r="E791" s="491" t="s">
        <v>1373</v>
      </c>
      <c r="H791" s="608">
        <v>39814</v>
      </c>
    </row>
    <row r="792" spans="1:8" ht="12.75">
      <c r="A792" s="491">
        <f t="shared" si="34"/>
        <v>790</v>
      </c>
      <c r="B792" s="127">
        <f t="shared" si="35"/>
        <v>0</v>
      </c>
      <c r="C792" s="595" t="str">
        <f>'dbc''s'!O16</f>
        <v>TBV010</v>
      </c>
      <c r="D792" s="592">
        <f>'dbc''s'!P16</f>
        <v>939</v>
      </c>
      <c r="E792" s="491" t="s">
        <v>1373</v>
      </c>
      <c r="H792" s="608">
        <v>39814</v>
      </c>
    </row>
    <row r="793" spans="1:8" ht="12.75">
      <c r="A793" s="491">
        <f t="shared" si="34"/>
        <v>791</v>
      </c>
      <c r="B793" s="127">
        <f t="shared" si="35"/>
        <v>0</v>
      </c>
      <c r="C793" s="595" t="str">
        <f>'dbc''s'!O17</f>
        <v>TBV011</v>
      </c>
      <c r="D793" s="592">
        <f>'dbc''s'!P17</f>
        <v>1143</v>
      </c>
      <c r="E793" s="491" t="s">
        <v>1373</v>
      </c>
      <c r="H793" s="608">
        <v>39814</v>
      </c>
    </row>
    <row r="794" spans="1:8" ht="12.75">
      <c r="A794" s="491">
        <f t="shared" si="34"/>
        <v>792</v>
      </c>
      <c r="B794" s="127">
        <f t="shared" si="35"/>
        <v>0</v>
      </c>
      <c r="C794" s="595" t="str">
        <f>'dbc''s'!O18</f>
        <v>TBV012</v>
      </c>
      <c r="D794" s="592">
        <f>'dbc''s'!P18</f>
        <v>2124</v>
      </c>
      <c r="E794" s="491" t="s">
        <v>1373</v>
      </c>
      <c r="H794" s="608">
        <v>39814</v>
      </c>
    </row>
    <row r="795" spans="1:8" ht="12.75">
      <c r="A795" s="491">
        <f t="shared" si="34"/>
        <v>793</v>
      </c>
      <c r="B795" s="127">
        <f t="shared" si="35"/>
        <v>0</v>
      </c>
      <c r="C795" s="595" t="str">
        <f>'dbc''s'!O19</f>
        <v>TBV013</v>
      </c>
      <c r="D795" s="592">
        <f>'dbc''s'!P19</f>
        <v>105</v>
      </c>
      <c r="E795" s="491" t="s">
        <v>1373</v>
      </c>
      <c r="H795" s="608">
        <v>39814</v>
      </c>
    </row>
    <row r="796" spans="1:8" ht="12.75">
      <c r="A796" s="491">
        <f t="shared" si="34"/>
        <v>794</v>
      </c>
      <c r="B796" s="127">
        <f t="shared" si="35"/>
        <v>0</v>
      </c>
      <c r="C796" s="595" t="str">
        <f>'dbc''s'!O20</f>
        <v>TBV014</v>
      </c>
      <c r="D796" s="592">
        <f>'dbc''s'!P20</f>
        <v>248</v>
      </c>
      <c r="E796" s="491" t="s">
        <v>1373</v>
      </c>
      <c r="H796" s="608">
        <v>39814</v>
      </c>
    </row>
    <row r="797" spans="1:8" ht="12.75">
      <c r="A797" s="491">
        <f t="shared" si="34"/>
        <v>795</v>
      </c>
      <c r="B797" s="127">
        <f t="shared" si="35"/>
        <v>0</v>
      </c>
      <c r="C797" s="595" t="str">
        <f>'dbc''s'!O21</f>
        <v>TBV015</v>
      </c>
      <c r="D797" s="592">
        <f>'dbc''s'!P21</f>
        <v>485</v>
      </c>
      <c r="E797" s="491" t="s">
        <v>1373</v>
      </c>
      <c r="H797" s="608">
        <v>39814</v>
      </c>
    </row>
    <row r="798" spans="1:8" ht="12.75">
      <c r="A798" s="491">
        <f t="shared" si="34"/>
        <v>796</v>
      </c>
      <c r="B798" s="127">
        <f t="shared" si="35"/>
        <v>0</v>
      </c>
      <c r="C798" s="595" t="str">
        <f>'dbc''s'!O22</f>
        <v>TBV016</v>
      </c>
      <c r="D798" s="592">
        <f>'dbc''s'!P22</f>
        <v>921</v>
      </c>
      <c r="E798" s="491" t="s">
        <v>1373</v>
      </c>
      <c r="H798" s="608">
        <v>39814</v>
      </c>
    </row>
    <row r="799" spans="1:8" ht="12.75">
      <c r="A799" s="491">
        <f t="shared" si="34"/>
        <v>797</v>
      </c>
      <c r="B799" s="127">
        <f t="shared" si="35"/>
        <v>0</v>
      </c>
      <c r="C799" s="595" t="str">
        <f>'dbc''s'!O23</f>
        <v>TBV017</v>
      </c>
      <c r="D799" s="592">
        <f>'dbc''s'!P23</f>
        <v>1997</v>
      </c>
      <c r="E799" s="491" t="s">
        <v>1373</v>
      </c>
      <c r="H799" s="608">
        <v>39814</v>
      </c>
    </row>
    <row r="800" spans="1:8" ht="12.75">
      <c r="A800" s="491">
        <f t="shared" si="34"/>
        <v>798</v>
      </c>
      <c r="B800" s="127">
        <f t="shared" si="35"/>
        <v>0</v>
      </c>
      <c r="C800" s="595" t="str">
        <f>'dbc''s'!O24</f>
        <v>TBV018</v>
      </c>
      <c r="D800" s="592">
        <f>'dbc''s'!P24</f>
        <v>104</v>
      </c>
      <c r="E800" s="491" t="s">
        <v>1373</v>
      </c>
      <c r="H800" s="608">
        <v>39814</v>
      </c>
    </row>
    <row r="801" spans="1:8" ht="12.75">
      <c r="A801" s="491">
        <f t="shared" si="34"/>
        <v>799</v>
      </c>
      <c r="B801" s="127">
        <f t="shared" si="35"/>
        <v>0</v>
      </c>
      <c r="C801" s="595" t="str">
        <f>'dbc''s'!O25</f>
        <v>TBV019</v>
      </c>
      <c r="D801" s="592">
        <f>'dbc''s'!P25</f>
        <v>139</v>
      </c>
      <c r="E801" s="491" t="s">
        <v>1373</v>
      </c>
      <c r="H801" s="608">
        <v>39814</v>
      </c>
    </row>
    <row r="802" spans="1:8" ht="12.75">
      <c r="A802" s="491">
        <f t="shared" si="34"/>
        <v>800</v>
      </c>
      <c r="B802" s="127">
        <f t="shared" si="35"/>
        <v>0</v>
      </c>
      <c r="C802" s="595" t="str">
        <f>'dbc''s'!O26</f>
        <v>TBV020</v>
      </c>
      <c r="D802" s="592">
        <f>'dbc''s'!P26</f>
        <v>271</v>
      </c>
      <c r="E802" s="491" t="s">
        <v>1373</v>
      </c>
      <c r="H802" s="608">
        <v>39814</v>
      </c>
    </row>
    <row r="803" spans="1:8" ht="12.75">
      <c r="A803" s="491">
        <f t="shared" si="34"/>
        <v>801</v>
      </c>
      <c r="B803" s="127">
        <f t="shared" si="35"/>
        <v>0</v>
      </c>
      <c r="C803" s="595" t="str">
        <f>'dbc''s'!O27</f>
        <v>TBV021</v>
      </c>
      <c r="D803" s="592">
        <f>'dbc''s'!P27</f>
        <v>338</v>
      </c>
      <c r="E803" s="491" t="s">
        <v>1373</v>
      </c>
      <c r="H803" s="608">
        <v>39814</v>
      </c>
    </row>
    <row r="804" spans="1:8" ht="12.75">
      <c r="A804" s="491">
        <f t="shared" si="34"/>
        <v>802</v>
      </c>
      <c r="B804" s="127">
        <f t="shared" si="35"/>
        <v>0</v>
      </c>
      <c r="C804" s="595" t="str">
        <f>'dbc''s'!O28</f>
        <v>TBV022</v>
      </c>
      <c r="D804" s="592">
        <f>'dbc''s'!P28</f>
        <v>496</v>
      </c>
      <c r="E804" s="491" t="s">
        <v>1373</v>
      </c>
      <c r="H804" s="608">
        <v>39814</v>
      </c>
    </row>
    <row r="805" spans="1:8" ht="12.75">
      <c r="A805" s="491">
        <f t="shared" si="34"/>
        <v>803</v>
      </c>
      <c r="B805" s="127">
        <f t="shared" si="35"/>
        <v>0</v>
      </c>
      <c r="C805" s="595" t="str">
        <f>'dbc''s'!O29</f>
        <v>TBV023</v>
      </c>
      <c r="D805" s="592">
        <f>'dbc''s'!P29</f>
        <v>603</v>
      </c>
      <c r="E805" s="491" t="s">
        <v>1373</v>
      </c>
      <c r="H805" s="608">
        <v>39814</v>
      </c>
    </row>
    <row r="806" spans="1:8" ht="12.75">
      <c r="A806" s="491">
        <f t="shared" si="34"/>
        <v>804</v>
      </c>
      <c r="B806" s="127">
        <f t="shared" si="35"/>
        <v>0</v>
      </c>
      <c r="C806" s="595" t="str">
        <f>'dbc''s'!O30</f>
        <v>TBV024</v>
      </c>
      <c r="D806" s="592">
        <f>'dbc''s'!P30</f>
        <v>841</v>
      </c>
      <c r="E806" s="491" t="s">
        <v>1373</v>
      </c>
      <c r="H806" s="608">
        <v>39814</v>
      </c>
    </row>
    <row r="807" spans="1:8" ht="12.75">
      <c r="A807" s="491">
        <f t="shared" si="34"/>
        <v>805</v>
      </c>
      <c r="B807" s="127">
        <f t="shared" si="35"/>
        <v>0</v>
      </c>
      <c r="C807" s="595" t="str">
        <f>'dbc''s'!O31</f>
        <v>TBV025</v>
      </c>
      <c r="D807" s="592">
        <f>'dbc''s'!P31</f>
        <v>939</v>
      </c>
      <c r="E807" s="491" t="s">
        <v>1373</v>
      </c>
      <c r="H807" s="608">
        <v>39814</v>
      </c>
    </row>
    <row r="808" spans="1:8" ht="12.75">
      <c r="A808" s="491">
        <f t="shared" si="34"/>
        <v>806</v>
      </c>
      <c r="B808" s="127">
        <f t="shared" si="35"/>
        <v>0</v>
      </c>
      <c r="C808" s="595" t="str">
        <f>'dbc''s'!O32</f>
        <v>TBV026</v>
      </c>
      <c r="D808" s="592">
        <f>'dbc''s'!P32</f>
        <v>1644</v>
      </c>
      <c r="E808" s="491" t="s">
        <v>1373</v>
      </c>
      <c r="H808" s="608">
        <v>39814</v>
      </c>
    </row>
    <row r="809" spans="1:8" ht="12.75">
      <c r="A809" s="491">
        <f t="shared" si="34"/>
        <v>807</v>
      </c>
      <c r="B809" s="127">
        <f t="shared" si="35"/>
        <v>0</v>
      </c>
      <c r="C809" s="595" t="str">
        <f>'dbc''s'!O33</f>
        <v>TBV027</v>
      </c>
      <c r="D809" s="592">
        <f>'dbc''s'!P33</f>
        <v>1036</v>
      </c>
      <c r="E809" s="491" t="s">
        <v>1373</v>
      </c>
      <c r="H809" s="608">
        <v>39814</v>
      </c>
    </row>
    <row r="810" spans="1:8" ht="12.75">
      <c r="A810" s="491">
        <f t="shared" si="34"/>
        <v>808</v>
      </c>
      <c r="B810" s="127">
        <f t="shared" si="35"/>
        <v>0</v>
      </c>
      <c r="C810" s="595" t="str">
        <f>'dbc''s'!O34</f>
        <v>TBV028</v>
      </c>
      <c r="D810" s="592">
        <f>'dbc''s'!P34</f>
        <v>1987</v>
      </c>
      <c r="E810" s="491" t="s">
        <v>1373</v>
      </c>
      <c r="H810" s="608">
        <v>39814</v>
      </c>
    </row>
    <row r="811" spans="1:8" ht="12.75">
      <c r="A811" s="491">
        <f t="shared" si="34"/>
        <v>809</v>
      </c>
      <c r="B811" s="127">
        <f t="shared" si="35"/>
        <v>0</v>
      </c>
      <c r="C811" s="595" t="str">
        <f>'dbc''s'!O35</f>
        <v>TBV029</v>
      </c>
      <c r="D811" s="592">
        <f>'dbc''s'!P35</f>
        <v>2277</v>
      </c>
      <c r="E811" s="491" t="s">
        <v>1373</v>
      </c>
      <c r="H811" s="608">
        <v>39814</v>
      </c>
    </row>
    <row r="812" spans="1:8" ht="12.75">
      <c r="A812" s="491">
        <f t="shared" si="34"/>
        <v>810</v>
      </c>
      <c r="B812" s="127">
        <f t="shared" si="35"/>
        <v>0</v>
      </c>
      <c r="C812" s="595" t="str">
        <f>'dbc''s'!O36</f>
        <v>TBV030</v>
      </c>
      <c r="D812" s="592">
        <f>'dbc''s'!P36</f>
        <v>3954</v>
      </c>
      <c r="E812" s="491" t="s">
        <v>1373</v>
      </c>
      <c r="H812" s="608">
        <v>39814</v>
      </c>
    </row>
    <row r="813" spans="1:8" ht="12.75">
      <c r="A813" s="491">
        <f t="shared" si="34"/>
        <v>811</v>
      </c>
      <c r="B813" s="127">
        <f t="shared" si="35"/>
        <v>0</v>
      </c>
      <c r="C813" s="595" t="str">
        <f>'dbc''s'!O37</f>
        <v>TBV031</v>
      </c>
      <c r="D813" s="592">
        <f>'dbc''s'!P37</f>
        <v>7344</v>
      </c>
      <c r="E813" s="491" t="s">
        <v>1373</v>
      </c>
      <c r="H813" s="608">
        <v>39814</v>
      </c>
    </row>
    <row r="814" spans="1:8" ht="12.75">
      <c r="A814" s="491">
        <f t="shared" si="34"/>
        <v>812</v>
      </c>
      <c r="B814" s="127">
        <f t="shared" si="35"/>
        <v>0</v>
      </c>
      <c r="C814" s="595" t="str">
        <f>'dbc''s'!O38</f>
        <v>TBV131</v>
      </c>
      <c r="D814" s="592">
        <f>'dbc''s'!P38</f>
        <v>12388</v>
      </c>
      <c r="E814" s="491" t="s">
        <v>1373</v>
      </c>
      <c r="H814" s="608">
        <v>39814</v>
      </c>
    </row>
    <row r="815" spans="1:8" ht="12.75">
      <c r="A815" s="491">
        <f t="shared" si="34"/>
        <v>813</v>
      </c>
      <c r="B815" s="127">
        <f t="shared" si="35"/>
        <v>0</v>
      </c>
      <c r="C815" s="595" t="str">
        <f>'dbc''s'!O39</f>
        <v>TBV132</v>
      </c>
      <c r="D815" s="592">
        <f>'dbc''s'!P39</f>
        <v>31072</v>
      </c>
      <c r="E815" s="491" t="s">
        <v>1373</v>
      </c>
      <c r="H815" s="608">
        <v>39814</v>
      </c>
    </row>
    <row r="816" spans="1:8" ht="12.75">
      <c r="A816" s="491">
        <f t="shared" si="34"/>
        <v>814</v>
      </c>
      <c r="B816" s="127">
        <f t="shared" si="35"/>
        <v>0</v>
      </c>
      <c r="C816" s="595" t="str">
        <f>'dbc''s'!O40</f>
        <v>TBV033</v>
      </c>
      <c r="D816" s="592">
        <f>'dbc''s'!P40</f>
        <v>1050</v>
      </c>
      <c r="E816" s="491" t="s">
        <v>1373</v>
      </c>
      <c r="H816" s="608">
        <v>39814</v>
      </c>
    </row>
    <row r="817" spans="1:8" ht="12.75">
      <c r="A817" s="491">
        <f t="shared" si="34"/>
        <v>815</v>
      </c>
      <c r="B817" s="127">
        <f t="shared" si="35"/>
        <v>0</v>
      </c>
      <c r="C817" s="595" t="str">
        <f>'dbc''s'!O41</f>
        <v>TBV034</v>
      </c>
      <c r="D817" s="592">
        <f>'dbc''s'!P41</f>
        <v>2033</v>
      </c>
      <c r="E817" s="491" t="s">
        <v>1373</v>
      </c>
      <c r="H817" s="608">
        <v>39814</v>
      </c>
    </row>
    <row r="818" spans="1:8" ht="12.75">
      <c r="A818" s="491">
        <f aca="true" t="shared" si="36" ref="A818:A880">A817+1</f>
        <v>816</v>
      </c>
      <c r="B818" s="127">
        <f aca="true" t="shared" si="37" ref="B818:B880">B817</f>
        <v>0</v>
      </c>
      <c r="C818" s="595" t="str">
        <f>'dbc''s'!O42</f>
        <v>TBV035</v>
      </c>
      <c r="D818" s="592">
        <f>'dbc''s'!P42</f>
        <v>2302</v>
      </c>
      <c r="E818" s="491" t="s">
        <v>1373</v>
      </c>
      <c r="H818" s="608">
        <v>39814</v>
      </c>
    </row>
    <row r="819" spans="1:8" ht="12.75">
      <c r="A819" s="491">
        <f t="shared" si="36"/>
        <v>817</v>
      </c>
      <c r="B819" s="127">
        <f t="shared" si="37"/>
        <v>0</v>
      </c>
      <c r="C819" s="595" t="str">
        <f>'dbc''s'!O43</f>
        <v>TBV036</v>
      </c>
      <c r="D819" s="592">
        <f>'dbc''s'!P43</f>
        <v>3847</v>
      </c>
      <c r="E819" s="491" t="s">
        <v>1373</v>
      </c>
      <c r="H819" s="608">
        <v>39814</v>
      </c>
    </row>
    <row r="820" spans="1:8" ht="12.75">
      <c r="A820" s="491">
        <f t="shared" si="36"/>
        <v>818</v>
      </c>
      <c r="B820" s="127">
        <f t="shared" si="37"/>
        <v>0</v>
      </c>
      <c r="C820" s="595" t="str">
        <f>'dbc''s'!O44</f>
        <v>TBV037</v>
      </c>
      <c r="D820" s="592">
        <f>'dbc''s'!P44</f>
        <v>4577</v>
      </c>
      <c r="E820" s="491" t="s">
        <v>1373</v>
      </c>
      <c r="H820" s="608">
        <v>39814</v>
      </c>
    </row>
    <row r="821" spans="1:8" ht="12.75">
      <c r="A821" s="491">
        <f t="shared" si="36"/>
        <v>819</v>
      </c>
      <c r="B821" s="127">
        <f t="shared" si="37"/>
        <v>0</v>
      </c>
      <c r="C821" s="595" t="str">
        <f>'dbc''s'!O45</f>
        <v>TBV038</v>
      </c>
      <c r="D821" s="592">
        <f>'dbc''s'!P45</f>
        <v>6373</v>
      </c>
      <c r="E821" s="491" t="s">
        <v>1373</v>
      </c>
      <c r="H821" s="608">
        <v>39814</v>
      </c>
    </row>
    <row r="822" spans="1:8" ht="12.75">
      <c r="A822" s="491">
        <f t="shared" si="36"/>
        <v>820</v>
      </c>
      <c r="B822" s="127">
        <f t="shared" si="37"/>
        <v>0</v>
      </c>
      <c r="C822" s="595" t="str">
        <f>'dbc''s'!O46</f>
        <v>TBV133</v>
      </c>
      <c r="D822" s="592">
        <f>'dbc''s'!P46</f>
        <v>12690</v>
      </c>
      <c r="E822" s="491" t="s">
        <v>1373</v>
      </c>
      <c r="H822" s="608">
        <v>39814</v>
      </c>
    </row>
    <row r="823" spans="1:8" ht="12.75">
      <c r="A823" s="491">
        <f t="shared" si="36"/>
        <v>821</v>
      </c>
      <c r="B823" s="127">
        <f t="shared" si="37"/>
        <v>0</v>
      </c>
      <c r="C823" s="595" t="str">
        <f>'dbc''s'!O47</f>
        <v>TBV134</v>
      </c>
      <c r="D823" s="592">
        <f>'dbc''s'!P47</f>
        <v>27749</v>
      </c>
      <c r="E823" s="491" t="s">
        <v>1373</v>
      </c>
      <c r="H823" s="608">
        <v>39814</v>
      </c>
    </row>
    <row r="824" spans="1:8" ht="12.75">
      <c r="A824" s="491">
        <f t="shared" si="36"/>
        <v>822</v>
      </c>
      <c r="B824" s="127">
        <f t="shared" si="37"/>
        <v>0</v>
      </c>
      <c r="C824" s="595" t="str">
        <f>'dbc''s'!O48</f>
        <v>TBV040</v>
      </c>
      <c r="D824" s="592">
        <f>'dbc''s'!P48</f>
        <v>1069</v>
      </c>
      <c r="E824" s="491" t="s">
        <v>1373</v>
      </c>
      <c r="H824" s="608">
        <v>39814</v>
      </c>
    </row>
    <row r="825" spans="1:8" ht="12.75">
      <c r="A825" s="491">
        <f t="shared" si="36"/>
        <v>823</v>
      </c>
      <c r="B825" s="127">
        <f t="shared" si="37"/>
        <v>0</v>
      </c>
      <c r="C825" s="595" t="str">
        <f>'dbc''s'!O49</f>
        <v>TBV041</v>
      </c>
      <c r="D825" s="592">
        <f>'dbc''s'!P49</f>
        <v>2205</v>
      </c>
      <c r="E825" s="491" t="s">
        <v>1373</v>
      </c>
      <c r="H825" s="608">
        <v>39814</v>
      </c>
    </row>
    <row r="826" spans="1:8" ht="12.75">
      <c r="A826" s="491">
        <f t="shared" si="36"/>
        <v>824</v>
      </c>
      <c r="B826" s="127">
        <f t="shared" si="37"/>
        <v>0</v>
      </c>
      <c r="C826" s="595" t="str">
        <f>'dbc''s'!O50</f>
        <v>TBV042</v>
      </c>
      <c r="D826" s="592">
        <f>'dbc''s'!P50</f>
        <v>4049</v>
      </c>
      <c r="E826" s="491" t="s">
        <v>1373</v>
      </c>
      <c r="H826" s="608">
        <v>39814</v>
      </c>
    </row>
    <row r="827" spans="1:8" ht="12.75">
      <c r="A827" s="491">
        <f t="shared" si="36"/>
        <v>825</v>
      </c>
      <c r="B827" s="127">
        <f t="shared" si="37"/>
        <v>0</v>
      </c>
      <c r="C827" s="595" t="str">
        <f>'dbc''s'!O51</f>
        <v>TBV135</v>
      </c>
      <c r="D827" s="592">
        <f>'dbc''s'!P51</f>
        <v>6497</v>
      </c>
      <c r="E827" s="491" t="s">
        <v>1373</v>
      </c>
      <c r="H827" s="608">
        <v>39814</v>
      </c>
    </row>
    <row r="828" spans="1:8" ht="12.75">
      <c r="A828" s="491">
        <f t="shared" si="36"/>
        <v>826</v>
      </c>
      <c r="B828" s="127">
        <f t="shared" si="37"/>
        <v>0</v>
      </c>
      <c r="C828" s="595" t="str">
        <f>'dbc''s'!O52</f>
        <v>TBV136</v>
      </c>
      <c r="D828" s="592">
        <f>'dbc''s'!P52</f>
        <v>12939</v>
      </c>
      <c r="E828" s="491" t="s">
        <v>1373</v>
      </c>
      <c r="H828" s="608">
        <v>39814</v>
      </c>
    </row>
    <row r="829" spans="1:8" ht="12.75">
      <c r="A829" s="491">
        <f t="shared" si="36"/>
        <v>827</v>
      </c>
      <c r="B829" s="127">
        <f t="shared" si="37"/>
        <v>0</v>
      </c>
      <c r="C829" s="595" t="str">
        <f>'dbc''s'!O53</f>
        <v>TBV044</v>
      </c>
      <c r="D829" s="592">
        <f>'dbc''s'!P53</f>
        <v>958</v>
      </c>
      <c r="E829" s="491" t="s">
        <v>1373</v>
      </c>
      <c r="H829" s="608">
        <v>39814</v>
      </c>
    </row>
    <row r="830" spans="1:8" ht="12.75">
      <c r="A830" s="491">
        <f t="shared" si="36"/>
        <v>828</v>
      </c>
      <c r="B830" s="127">
        <f t="shared" si="37"/>
        <v>0</v>
      </c>
      <c r="C830" s="595" t="str">
        <f>'dbc''s'!O54</f>
        <v>TBV045</v>
      </c>
      <c r="D830" s="592">
        <f>'dbc''s'!P54</f>
        <v>1106</v>
      </c>
      <c r="E830" s="491" t="s">
        <v>1373</v>
      </c>
      <c r="H830" s="608">
        <v>39814</v>
      </c>
    </row>
    <row r="831" spans="1:8" ht="12.75">
      <c r="A831" s="491">
        <f t="shared" si="36"/>
        <v>829</v>
      </c>
      <c r="B831" s="127">
        <f t="shared" si="37"/>
        <v>0</v>
      </c>
      <c r="C831" s="595" t="str">
        <f>'dbc''s'!O55</f>
        <v>TBV046</v>
      </c>
      <c r="D831" s="592">
        <f>'dbc''s'!P55</f>
        <v>1835</v>
      </c>
      <c r="E831" s="491" t="s">
        <v>1373</v>
      </c>
      <c r="H831" s="608">
        <v>39814</v>
      </c>
    </row>
    <row r="832" spans="1:8" ht="12.75">
      <c r="A832" s="491">
        <f t="shared" si="36"/>
        <v>830</v>
      </c>
      <c r="B832" s="127">
        <f t="shared" si="37"/>
        <v>0</v>
      </c>
      <c r="C832" s="595" t="str">
        <f>'dbc''s'!O56</f>
        <v>TBV047</v>
      </c>
      <c r="D832" s="592">
        <f>'dbc''s'!P56</f>
        <v>2150</v>
      </c>
      <c r="E832" s="491" t="s">
        <v>1373</v>
      </c>
      <c r="H832" s="608">
        <v>39814</v>
      </c>
    </row>
    <row r="833" spans="1:8" ht="12.75">
      <c r="A833" s="491">
        <f t="shared" si="36"/>
        <v>831</v>
      </c>
      <c r="B833" s="127">
        <f t="shared" si="37"/>
        <v>0</v>
      </c>
      <c r="C833" s="595" t="str">
        <f>'dbc''s'!O57</f>
        <v>TBV048</v>
      </c>
      <c r="D833" s="592">
        <f>'dbc''s'!P57</f>
        <v>3589</v>
      </c>
      <c r="E833" s="491" t="s">
        <v>1373</v>
      </c>
      <c r="H833" s="608">
        <v>39814</v>
      </c>
    </row>
    <row r="834" spans="1:8" ht="12.75">
      <c r="A834" s="491">
        <f t="shared" si="36"/>
        <v>832</v>
      </c>
      <c r="B834" s="127">
        <f t="shared" si="37"/>
        <v>0</v>
      </c>
      <c r="C834" s="595" t="str">
        <f>'dbc''s'!O58</f>
        <v>TBV049</v>
      </c>
      <c r="D834" s="592">
        <f>'dbc''s'!P58</f>
        <v>6354</v>
      </c>
      <c r="E834" s="491" t="s">
        <v>1373</v>
      </c>
      <c r="H834" s="608">
        <v>39814</v>
      </c>
    </row>
    <row r="835" spans="1:8" ht="12.75">
      <c r="A835" s="491">
        <f t="shared" si="36"/>
        <v>833</v>
      </c>
      <c r="B835" s="127">
        <f t="shared" si="37"/>
        <v>0</v>
      </c>
      <c r="C835" s="595" t="str">
        <f>'dbc''s'!O59</f>
        <v>TBV137</v>
      </c>
      <c r="D835" s="592">
        <f>'dbc''s'!P59</f>
        <v>12034</v>
      </c>
      <c r="E835" s="491" t="s">
        <v>1373</v>
      </c>
      <c r="H835" s="608">
        <v>39814</v>
      </c>
    </row>
    <row r="836" spans="1:8" ht="12.75">
      <c r="A836" s="491">
        <f t="shared" si="36"/>
        <v>834</v>
      </c>
      <c r="B836" s="127">
        <f t="shared" si="37"/>
        <v>0</v>
      </c>
      <c r="C836" s="595" t="str">
        <f>'dbc''s'!O60</f>
        <v>TBV138</v>
      </c>
      <c r="D836" s="592">
        <f>'dbc''s'!P60</f>
        <v>33754</v>
      </c>
      <c r="E836" s="491" t="s">
        <v>1373</v>
      </c>
      <c r="H836" s="608">
        <v>39814</v>
      </c>
    </row>
    <row r="837" spans="1:8" ht="12.75">
      <c r="A837" s="491">
        <f t="shared" si="36"/>
        <v>835</v>
      </c>
      <c r="B837" s="127">
        <f t="shared" si="37"/>
        <v>0</v>
      </c>
      <c r="C837" s="595" t="str">
        <f>'dbc''s'!O61</f>
        <v>TBV051</v>
      </c>
      <c r="D837" s="592">
        <f>'dbc''s'!P61</f>
        <v>834</v>
      </c>
      <c r="E837" s="491" t="s">
        <v>1373</v>
      </c>
      <c r="H837" s="608">
        <v>39814</v>
      </c>
    </row>
    <row r="838" spans="1:8" ht="12.75">
      <c r="A838" s="491">
        <f t="shared" si="36"/>
        <v>836</v>
      </c>
      <c r="B838" s="127">
        <f t="shared" si="37"/>
        <v>0</v>
      </c>
      <c r="C838" s="595" t="str">
        <f>'dbc''s'!O62</f>
        <v>TBV052</v>
      </c>
      <c r="D838" s="592">
        <f>'dbc''s'!P62</f>
        <v>1974</v>
      </c>
      <c r="E838" s="491" t="s">
        <v>1373</v>
      </c>
      <c r="H838" s="608">
        <v>39814</v>
      </c>
    </row>
    <row r="839" spans="1:8" ht="12.75">
      <c r="A839" s="491">
        <f t="shared" si="36"/>
        <v>837</v>
      </c>
      <c r="B839" s="127">
        <f t="shared" si="37"/>
        <v>0</v>
      </c>
      <c r="C839" s="595" t="str">
        <f>'dbc''s'!O63</f>
        <v>TBV053</v>
      </c>
      <c r="D839" s="592">
        <f>'dbc''s'!P63</f>
        <v>3682</v>
      </c>
      <c r="E839" s="491" t="s">
        <v>1373</v>
      </c>
      <c r="H839" s="608">
        <v>39814</v>
      </c>
    </row>
    <row r="840" spans="1:8" ht="12.75">
      <c r="A840" s="491">
        <f t="shared" si="36"/>
        <v>838</v>
      </c>
      <c r="B840" s="127">
        <f t="shared" si="37"/>
        <v>0</v>
      </c>
      <c r="C840" s="595" t="str">
        <f>'dbc''s'!O64</f>
        <v>TBV054</v>
      </c>
      <c r="D840" s="592">
        <f>'dbc''s'!P64</f>
        <v>6213</v>
      </c>
      <c r="E840" s="491" t="s">
        <v>1373</v>
      </c>
      <c r="H840" s="608">
        <v>39814</v>
      </c>
    </row>
    <row r="841" spans="1:8" ht="12.75">
      <c r="A841" s="491">
        <f t="shared" si="36"/>
        <v>839</v>
      </c>
      <c r="B841" s="127">
        <f t="shared" si="37"/>
        <v>0</v>
      </c>
      <c r="C841" s="595" t="str">
        <f>'dbc''s'!O65</f>
        <v>TBV139</v>
      </c>
      <c r="D841" s="592">
        <f>'dbc''s'!P65</f>
        <v>12418</v>
      </c>
      <c r="E841" s="491" t="s">
        <v>1373</v>
      </c>
      <c r="H841" s="608">
        <v>39814</v>
      </c>
    </row>
    <row r="842" spans="1:8" ht="12.75">
      <c r="A842" s="491">
        <f t="shared" si="36"/>
        <v>840</v>
      </c>
      <c r="B842" s="127">
        <f t="shared" si="37"/>
        <v>0</v>
      </c>
      <c r="C842" s="595" t="str">
        <f>'dbc''s'!O66</f>
        <v>TBV140</v>
      </c>
      <c r="D842" s="592">
        <f>'dbc''s'!P66</f>
        <v>30310</v>
      </c>
      <c r="E842" s="491" t="s">
        <v>1373</v>
      </c>
      <c r="H842" s="608">
        <v>39814</v>
      </c>
    </row>
    <row r="843" spans="1:8" ht="12.75">
      <c r="A843" s="491">
        <f t="shared" si="36"/>
        <v>841</v>
      </c>
      <c r="B843" s="127">
        <f t="shared" si="37"/>
        <v>0</v>
      </c>
      <c r="C843" s="595" t="str">
        <f>'dbc''s'!O68</f>
        <v>TBV056</v>
      </c>
      <c r="D843" s="592">
        <f>'dbc''s'!P68</f>
        <v>858</v>
      </c>
      <c r="E843" s="491" t="s">
        <v>1373</v>
      </c>
      <c r="H843" s="608">
        <v>39814</v>
      </c>
    </row>
    <row r="844" spans="1:8" ht="12.75">
      <c r="A844" s="491">
        <f t="shared" si="36"/>
        <v>842</v>
      </c>
      <c r="B844" s="127">
        <f t="shared" si="37"/>
        <v>0</v>
      </c>
      <c r="C844" s="595" t="str">
        <f>'dbc''s'!O69</f>
        <v>TBV057</v>
      </c>
      <c r="D844" s="592">
        <f>'dbc''s'!P69</f>
        <v>1951</v>
      </c>
      <c r="E844" s="491" t="s">
        <v>1373</v>
      </c>
      <c r="H844" s="608">
        <v>39814</v>
      </c>
    </row>
    <row r="845" spans="1:8" ht="12.75">
      <c r="A845" s="491">
        <f t="shared" si="36"/>
        <v>843</v>
      </c>
      <c r="B845" s="127">
        <f t="shared" si="37"/>
        <v>0</v>
      </c>
      <c r="C845" s="595" t="str">
        <f>'dbc''s'!O70</f>
        <v>TBV058</v>
      </c>
      <c r="D845" s="592">
        <f>'dbc''s'!P70</f>
        <v>2366</v>
      </c>
      <c r="E845" s="491" t="s">
        <v>1373</v>
      </c>
      <c r="H845" s="608">
        <v>39814</v>
      </c>
    </row>
    <row r="846" spans="1:8" ht="12.75">
      <c r="A846" s="491">
        <f t="shared" si="36"/>
        <v>844</v>
      </c>
      <c r="B846" s="127">
        <f t="shared" si="37"/>
        <v>0</v>
      </c>
      <c r="C846" s="595" t="str">
        <f>'dbc''s'!O71</f>
        <v>TBV059</v>
      </c>
      <c r="D846" s="592">
        <f>'dbc''s'!P71</f>
        <v>3616</v>
      </c>
      <c r="E846" s="491" t="s">
        <v>1373</v>
      </c>
      <c r="H846" s="608">
        <v>39814</v>
      </c>
    </row>
    <row r="847" spans="1:8" ht="12.75">
      <c r="A847" s="491">
        <f t="shared" si="36"/>
        <v>845</v>
      </c>
      <c r="B847" s="127">
        <f t="shared" si="37"/>
        <v>0</v>
      </c>
      <c r="C847" s="595" t="str">
        <f>'dbc''s'!O72</f>
        <v>TBV060</v>
      </c>
      <c r="D847" s="592">
        <f>'dbc''s'!P72</f>
        <v>6223</v>
      </c>
      <c r="E847" s="491" t="s">
        <v>1373</v>
      </c>
      <c r="H847" s="608">
        <v>39814</v>
      </c>
    </row>
    <row r="848" spans="1:8" ht="12.75">
      <c r="A848" s="491">
        <f t="shared" si="36"/>
        <v>846</v>
      </c>
      <c r="B848" s="127">
        <f t="shared" si="37"/>
        <v>0</v>
      </c>
      <c r="C848" s="595" t="str">
        <f>'dbc''s'!O73</f>
        <v>TBV141</v>
      </c>
      <c r="D848" s="592">
        <f>'dbc''s'!P73</f>
        <v>12568</v>
      </c>
      <c r="E848" s="491" t="s">
        <v>1373</v>
      </c>
      <c r="H848" s="608">
        <v>39814</v>
      </c>
    </row>
    <row r="849" spans="1:8" ht="12.75">
      <c r="A849" s="491">
        <f t="shared" si="36"/>
        <v>847</v>
      </c>
      <c r="B849" s="127">
        <f t="shared" si="37"/>
        <v>0</v>
      </c>
      <c r="C849" s="595" t="str">
        <f>'dbc''s'!O74</f>
        <v>TBV142</v>
      </c>
      <c r="D849" s="592">
        <f>'dbc''s'!P74</f>
        <v>31300</v>
      </c>
      <c r="E849" s="491" t="s">
        <v>1373</v>
      </c>
      <c r="H849" s="608">
        <v>39814</v>
      </c>
    </row>
    <row r="850" spans="1:8" ht="12.75">
      <c r="A850" s="491">
        <f t="shared" si="36"/>
        <v>848</v>
      </c>
      <c r="B850" s="127">
        <f t="shared" si="37"/>
        <v>0</v>
      </c>
      <c r="C850" s="595" t="str">
        <f>'dbc''s'!O75</f>
        <v>TBV062</v>
      </c>
      <c r="D850" s="592">
        <f>'dbc''s'!P75</f>
        <v>935</v>
      </c>
      <c r="E850" s="491" t="s">
        <v>1373</v>
      </c>
      <c r="H850" s="608">
        <v>39814</v>
      </c>
    </row>
    <row r="851" spans="1:8" ht="12.75">
      <c r="A851" s="491">
        <f t="shared" si="36"/>
        <v>849</v>
      </c>
      <c r="B851" s="127">
        <f t="shared" si="37"/>
        <v>0</v>
      </c>
      <c r="C851" s="595" t="str">
        <f>'dbc''s'!O76</f>
        <v>TBV063</v>
      </c>
      <c r="D851" s="592">
        <f>'dbc''s'!P76</f>
        <v>1078</v>
      </c>
      <c r="E851" s="491" t="s">
        <v>1373</v>
      </c>
      <c r="H851" s="608">
        <v>39814</v>
      </c>
    </row>
    <row r="852" spans="1:8" ht="12.75">
      <c r="A852" s="491">
        <f t="shared" si="36"/>
        <v>850</v>
      </c>
      <c r="B852" s="127">
        <f t="shared" si="37"/>
        <v>0</v>
      </c>
      <c r="C852" s="595" t="str">
        <f>'dbc''s'!O77</f>
        <v>TBV064</v>
      </c>
      <c r="D852" s="592">
        <f>'dbc''s'!P77</f>
        <v>1932</v>
      </c>
      <c r="E852" s="491" t="s">
        <v>1373</v>
      </c>
      <c r="H852" s="608">
        <v>39814</v>
      </c>
    </row>
    <row r="853" spans="1:8" ht="12.75">
      <c r="A853" s="491">
        <f t="shared" si="36"/>
        <v>851</v>
      </c>
      <c r="B853" s="127">
        <f t="shared" si="37"/>
        <v>0</v>
      </c>
      <c r="C853" s="595" t="str">
        <f>'dbc''s'!O78</f>
        <v>TBV065</v>
      </c>
      <c r="D853" s="592">
        <f>'dbc''s'!P78</f>
        <v>2126</v>
      </c>
      <c r="E853" s="491" t="s">
        <v>1373</v>
      </c>
      <c r="H853" s="608">
        <v>39814</v>
      </c>
    </row>
    <row r="854" spans="1:8" ht="12.75">
      <c r="A854" s="491">
        <f t="shared" si="36"/>
        <v>852</v>
      </c>
      <c r="B854" s="127">
        <f t="shared" si="37"/>
        <v>0</v>
      </c>
      <c r="C854" s="595" t="str">
        <f>'dbc''s'!O79</f>
        <v>TBV066</v>
      </c>
      <c r="D854" s="592">
        <f>'dbc''s'!P79</f>
        <v>3735</v>
      </c>
      <c r="E854" s="491" t="s">
        <v>1373</v>
      </c>
      <c r="H854" s="608">
        <v>39814</v>
      </c>
    </row>
    <row r="855" spans="1:8" ht="12.75">
      <c r="A855" s="491">
        <f t="shared" si="36"/>
        <v>853</v>
      </c>
      <c r="B855" s="127">
        <f t="shared" si="37"/>
        <v>0</v>
      </c>
      <c r="C855" s="595" t="str">
        <f>'dbc''s'!O80</f>
        <v>TBV067</v>
      </c>
      <c r="D855" s="592">
        <f>'dbc''s'!P80</f>
        <v>6139</v>
      </c>
      <c r="E855" s="491" t="s">
        <v>1373</v>
      </c>
      <c r="H855" s="608">
        <v>39814</v>
      </c>
    </row>
    <row r="856" spans="1:8" ht="12.75">
      <c r="A856" s="491">
        <f t="shared" si="36"/>
        <v>854</v>
      </c>
      <c r="B856" s="127">
        <f t="shared" si="37"/>
        <v>0</v>
      </c>
      <c r="C856" s="595" t="str">
        <f>'dbc''s'!O81</f>
        <v>TBV068</v>
      </c>
      <c r="D856" s="592">
        <f>'dbc''s'!P81</f>
        <v>11345</v>
      </c>
      <c r="E856" s="491" t="s">
        <v>1373</v>
      </c>
      <c r="H856" s="608">
        <v>39814</v>
      </c>
    </row>
    <row r="857" spans="1:8" ht="12.75">
      <c r="A857" s="491">
        <f t="shared" si="36"/>
        <v>855</v>
      </c>
      <c r="B857" s="127">
        <f t="shared" si="37"/>
        <v>0</v>
      </c>
      <c r="C857" s="595" t="str">
        <f>'dbc''s'!O82</f>
        <v>TBV143</v>
      </c>
      <c r="D857" s="592">
        <f>'dbc''s'!P82</f>
        <v>20911</v>
      </c>
      <c r="E857" s="491" t="s">
        <v>1373</v>
      </c>
      <c r="H857" s="608">
        <v>39814</v>
      </c>
    </row>
    <row r="858" spans="1:8" ht="12.75">
      <c r="A858" s="491">
        <f t="shared" si="36"/>
        <v>856</v>
      </c>
      <c r="B858" s="127">
        <f t="shared" si="37"/>
        <v>0</v>
      </c>
      <c r="C858" s="595" t="str">
        <f>'dbc''s'!O83</f>
        <v>TBV144</v>
      </c>
      <c r="D858" s="592">
        <f>'dbc''s'!P83</f>
        <v>30159</v>
      </c>
      <c r="E858" s="491" t="s">
        <v>1373</v>
      </c>
      <c r="H858" s="608">
        <v>39814</v>
      </c>
    </row>
    <row r="859" spans="1:8" ht="12.75">
      <c r="A859" s="491">
        <f t="shared" si="36"/>
        <v>857</v>
      </c>
      <c r="B859" s="127">
        <f t="shared" si="37"/>
        <v>0</v>
      </c>
      <c r="C859" s="595" t="str">
        <f>'dbc''s'!O84</f>
        <v>TBV145</v>
      </c>
      <c r="D859" s="592">
        <f>'dbc''s'!P84</f>
        <v>43415</v>
      </c>
      <c r="E859" s="491" t="s">
        <v>1373</v>
      </c>
      <c r="H859" s="608">
        <v>39814</v>
      </c>
    </row>
    <row r="860" spans="1:8" ht="12.75">
      <c r="A860" s="491">
        <f t="shared" si="36"/>
        <v>858</v>
      </c>
      <c r="B860" s="127">
        <f t="shared" si="37"/>
        <v>0</v>
      </c>
      <c r="C860" s="595" t="str">
        <f>'dbc''s'!O85</f>
        <v>TBV070</v>
      </c>
      <c r="D860" s="592">
        <f>'dbc''s'!P85</f>
        <v>979</v>
      </c>
      <c r="E860" s="491" t="s">
        <v>1373</v>
      </c>
      <c r="H860" s="608">
        <v>39814</v>
      </c>
    </row>
    <row r="861" spans="1:8" ht="12.75">
      <c r="A861" s="491">
        <f t="shared" si="36"/>
        <v>859</v>
      </c>
      <c r="B861" s="127">
        <f t="shared" si="37"/>
        <v>0</v>
      </c>
      <c r="C861" s="595" t="str">
        <f>'dbc''s'!O86</f>
        <v>TBV071</v>
      </c>
      <c r="D861" s="592">
        <f>'dbc''s'!P86</f>
        <v>1189</v>
      </c>
      <c r="E861" s="491" t="s">
        <v>1373</v>
      </c>
      <c r="H861" s="608">
        <v>39814</v>
      </c>
    </row>
    <row r="862" spans="1:8" ht="12.75">
      <c r="A862" s="491">
        <f t="shared" si="36"/>
        <v>860</v>
      </c>
      <c r="B862" s="127">
        <f t="shared" si="37"/>
        <v>0</v>
      </c>
      <c r="C862" s="595" t="str">
        <f>'dbc''s'!O87</f>
        <v>TBV072</v>
      </c>
      <c r="D862" s="592">
        <f>'dbc''s'!P87</f>
        <v>1993</v>
      </c>
      <c r="E862" s="491" t="s">
        <v>1373</v>
      </c>
      <c r="H862" s="608">
        <v>39814</v>
      </c>
    </row>
    <row r="863" spans="1:8" ht="12.75">
      <c r="A863" s="491">
        <f t="shared" si="36"/>
        <v>861</v>
      </c>
      <c r="B863" s="127">
        <f t="shared" si="37"/>
        <v>0</v>
      </c>
      <c r="C863" s="595" t="str">
        <f>'dbc''s'!O88</f>
        <v>TBV073</v>
      </c>
      <c r="D863" s="592">
        <f>'dbc''s'!P88</f>
        <v>2288</v>
      </c>
      <c r="E863" s="491" t="s">
        <v>1373</v>
      </c>
      <c r="H863" s="608">
        <v>39814</v>
      </c>
    </row>
    <row r="864" spans="1:8" ht="12.75">
      <c r="A864" s="491">
        <f t="shared" si="36"/>
        <v>862</v>
      </c>
      <c r="B864" s="127">
        <f t="shared" si="37"/>
        <v>0</v>
      </c>
      <c r="C864" s="595" t="str">
        <f>'dbc''s'!O89</f>
        <v>TBV074</v>
      </c>
      <c r="D864" s="592">
        <f>'dbc''s'!P89</f>
        <v>3679</v>
      </c>
      <c r="E864" s="491" t="s">
        <v>1373</v>
      </c>
      <c r="H864" s="608">
        <v>39814</v>
      </c>
    </row>
    <row r="865" spans="1:8" ht="12.75">
      <c r="A865" s="491">
        <f t="shared" si="36"/>
        <v>863</v>
      </c>
      <c r="B865" s="127">
        <f t="shared" si="37"/>
        <v>0</v>
      </c>
      <c r="C865" s="595" t="str">
        <f>'dbc''s'!O90</f>
        <v>TBV075</v>
      </c>
      <c r="D865" s="592">
        <f>'dbc''s'!P90</f>
        <v>4054</v>
      </c>
      <c r="E865" s="491" t="s">
        <v>1373</v>
      </c>
      <c r="H865" s="608">
        <v>39814</v>
      </c>
    </row>
    <row r="866" spans="1:8" ht="12.75">
      <c r="A866" s="491">
        <f t="shared" si="36"/>
        <v>864</v>
      </c>
      <c r="B866" s="127">
        <f t="shared" si="37"/>
        <v>0</v>
      </c>
      <c r="C866" s="595" t="str">
        <f>'dbc''s'!O91</f>
        <v>TBV076</v>
      </c>
      <c r="D866" s="592">
        <f>'dbc''s'!P91</f>
        <v>6262</v>
      </c>
      <c r="E866" s="491" t="s">
        <v>1373</v>
      </c>
      <c r="H866" s="608">
        <v>39814</v>
      </c>
    </row>
    <row r="867" spans="1:8" ht="12.75">
      <c r="A867" s="491">
        <f t="shared" si="36"/>
        <v>865</v>
      </c>
      <c r="B867" s="127">
        <f t="shared" si="37"/>
        <v>0</v>
      </c>
      <c r="C867" s="595" t="str">
        <f>'dbc''s'!O92</f>
        <v>TBV077</v>
      </c>
      <c r="D867" s="592">
        <f>'dbc''s'!P92</f>
        <v>7052</v>
      </c>
      <c r="E867" s="491" t="s">
        <v>1373</v>
      </c>
      <c r="H867" s="608">
        <v>39814</v>
      </c>
    </row>
    <row r="868" spans="1:8" ht="12.75">
      <c r="A868" s="491">
        <f t="shared" si="36"/>
        <v>866</v>
      </c>
      <c r="B868" s="127">
        <f t="shared" si="37"/>
        <v>0</v>
      </c>
      <c r="C868" s="595" t="str">
        <f>'dbc''s'!O93</f>
        <v>TBV078</v>
      </c>
      <c r="D868" s="592">
        <f>'dbc''s'!P93</f>
        <v>11645</v>
      </c>
      <c r="E868" s="491" t="s">
        <v>1373</v>
      </c>
      <c r="H868" s="608">
        <v>39814</v>
      </c>
    </row>
    <row r="869" spans="1:8" ht="12.75">
      <c r="A869" s="491">
        <f t="shared" si="36"/>
        <v>867</v>
      </c>
      <c r="B869" s="127">
        <f t="shared" si="37"/>
        <v>0</v>
      </c>
      <c r="C869" s="595" t="str">
        <f>'dbc''s'!O94</f>
        <v>TBV079</v>
      </c>
      <c r="D869" s="592">
        <f>'dbc''s'!P94</f>
        <v>13541</v>
      </c>
      <c r="E869" s="491" t="s">
        <v>1373</v>
      </c>
      <c r="H869" s="608">
        <v>39814</v>
      </c>
    </row>
    <row r="870" spans="1:8" ht="12.75">
      <c r="A870" s="491">
        <f t="shared" si="36"/>
        <v>868</v>
      </c>
      <c r="B870" s="127">
        <f t="shared" si="37"/>
        <v>0</v>
      </c>
      <c r="C870" s="595" t="str">
        <f>'dbc''s'!O95</f>
        <v>TBV146</v>
      </c>
      <c r="D870" s="592">
        <f>'dbc''s'!P95</f>
        <v>22000</v>
      </c>
      <c r="E870" s="491" t="s">
        <v>1373</v>
      </c>
      <c r="H870" s="608">
        <v>39814</v>
      </c>
    </row>
    <row r="871" spans="1:8" ht="12.75">
      <c r="A871" s="491">
        <f t="shared" si="36"/>
        <v>869</v>
      </c>
      <c r="B871" s="127">
        <f t="shared" si="37"/>
        <v>0</v>
      </c>
      <c r="C871" s="595" t="str">
        <f>'dbc''s'!O96</f>
        <v>TBV147</v>
      </c>
      <c r="D871" s="592">
        <f>'dbc''s'!P96</f>
        <v>34972</v>
      </c>
      <c r="E871" s="491" t="s">
        <v>1373</v>
      </c>
      <c r="H871" s="608">
        <v>39814</v>
      </c>
    </row>
    <row r="872" spans="1:8" ht="12.75">
      <c r="A872" s="491">
        <f t="shared" si="36"/>
        <v>870</v>
      </c>
      <c r="B872" s="127">
        <f t="shared" si="37"/>
        <v>0</v>
      </c>
      <c r="C872" s="595" t="str">
        <f>'dbc''s'!O97</f>
        <v>TBV081</v>
      </c>
      <c r="D872" s="592">
        <f>'dbc''s'!P97</f>
        <v>955</v>
      </c>
      <c r="E872" s="491" t="s">
        <v>1373</v>
      </c>
      <c r="H872" s="608">
        <v>39814</v>
      </c>
    </row>
    <row r="873" spans="1:8" ht="12.75">
      <c r="A873" s="491">
        <f t="shared" si="36"/>
        <v>871</v>
      </c>
      <c r="B873" s="127">
        <f t="shared" si="37"/>
        <v>0</v>
      </c>
      <c r="C873" s="595" t="str">
        <f>'dbc''s'!O98</f>
        <v>TBV082</v>
      </c>
      <c r="D873" s="592">
        <f>'dbc''s'!P98</f>
        <v>1110</v>
      </c>
      <c r="E873" s="491" t="s">
        <v>1373</v>
      </c>
      <c r="H873" s="608">
        <v>39814</v>
      </c>
    </row>
    <row r="874" spans="1:8" ht="12.75">
      <c r="A874" s="491">
        <f t="shared" si="36"/>
        <v>872</v>
      </c>
      <c r="B874" s="127">
        <f t="shared" si="37"/>
        <v>0</v>
      </c>
      <c r="C874" s="595" t="str">
        <f>'dbc''s'!O99</f>
        <v>TBV083</v>
      </c>
      <c r="D874" s="592">
        <f>'dbc''s'!P99</f>
        <v>2113</v>
      </c>
      <c r="E874" s="491" t="s">
        <v>1373</v>
      </c>
      <c r="H874" s="608">
        <v>39814</v>
      </c>
    </row>
    <row r="875" spans="1:8" ht="12.75">
      <c r="A875" s="491">
        <f t="shared" si="36"/>
        <v>873</v>
      </c>
      <c r="B875" s="127">
        <f t="shared" si="37"/>
        <v>0</v>
      </c>
      <c r="C875" s="595" t="str">
        <f>'dbc''s'!O100</f>
        <v>TBV084</v>
      </c>
      <c r="D875" s="592">
        <f>'dbc''s'!P100</f>
        <v>2411</v>
      </c>
      <c r="E875" s="491" t="s">
        <v>1373</v>
      </c>
      <c r="H875" s="608">
        <v>39814</v>
      </c>
    </row>
    <row r="876" spans="1:8" ht="12.75">
      <c r="A876" s="491">
        <f t="shared" si="36"/>
        <v>874</v>
      </c>
      <c r="B876" s="127">
        <f t="shared" si="37"/>
        <v>0</v>
      </c>
      <c r="C876" s="595" t="str">
        <f>'dbc''s'!O101</f>
        <v>TBV085</v>
      </c>
      <c r="D876" s="592">
        <f>'dbc''s'!P101</f>
        <v>3461</v>
      </c>
      <c r="E876" s="491" t="s">
        <v>1373</v>
      </c>
      <c r="H876" s="608">
        <v>39814</v>
      </c>
    </row>
    <row r="877" spans="1:8" ht="12.75">
      <c r="A877" s="491">
        <f t="shared" si="36"/>
        <v>875</v>
      </c>
      <c r="B877" s="127">
        <f t="shared" si="37"/>
        <v>0</v>
      </c>
      <c r="C877" s="595" t="str">
        <f>'dbc''s'!O102</f>
        <v>TBV086</v>
      </c>
      <c r="D877" s="592">
        <f>'dbc''s'!P102</f>
        <v>4253</v>
      </c>
      <c r="E877" s="491" t="s">
        <v>1373</v>
      </c>
      <c r="H877" s="608">
        <v>39814</v>
      </c>
    </row>
    <row r="878" spans="1:8" ht="12.75">
      <c r="A878" s="491">
        <f t="shared" si="36"/>
        <v>876</v>
      </c>
      <c r="B878" s="127">
        <f t="shared" si="37"/>
        <v>0</v>
      </c>
      <c r="C878" s="595" t="str">
        <f>'dbc''s'!O103</f>
        <v>TBV087</v>
      </c>
      <c r="D878" s="592">
        <f>'dbc''s'!P103</f>
        <v>6566</v>
      </c>
      <c r="E878" s="491" t="s">
        <v>1373</v>
      </c>
      <c r="H878" s="608">
        <v>39814</v>
      </c>
    </row>
    <row r="879" spans="1:8" ht="12.75">
      <c r="A879" s="491">
        <f t="shared" si="36"/>
        <v>877</v>
      </c>
      <c r="B879" s="127">
        <f t="shared" si="37"/>
        <v>0</v>
      </c>
      <c r="C879" s="595" t="str">
        <f>'dbc''s'!O104</f>
        <v>TBV148</v>
      </c>
      <c r="D879" s="592">
        <f>'dbc''s'!P104</f>
        <v>12963</v>
      </c>
      <c r="E879" s="491" t="s">
        <v>1373</v>
      </c>
      <c r="H879" s="608">
        <v>39814</v>
      </c>
    </row>
    <row r="880" spans="1:8" ht="12.75">
      <c r="A880" s="491">
        <f t="shared" si="36"/>
        <v>878</v>
      </c>
      <c r="B880" s="127">
        <f t="shared" si="37"/>
        <v>0</v>
      </c>
      <c r="C880" s="595" t="str">
        <f>'dbc''s'!O105</f>
        <v>TBV149</v>
      </c>
      <c r="D880" s="592">
        <f>'dbc''s'!P105</f>
        <v>26892</v>
      </c>
      <c r="E880" s="491" t="s">
        <v>1373</v>
      </c>
      <c r="H880" s="608">
        <v>39814</v>
      </c>
    </row>
    <row r="881" spans="1:8" ht="12.75">
      <c r="A881" s="491">
        <f aca="true" t="shared" si="38" ref="A881:A943">A880+1</f>
        <v>879</v>
      </c>
      <c r="B881" s="127">
        <f aca="true" t="shared" si="39" ref="B881:B943">B880</f>
        <v>0</v>
      </c>
      <c r="C881" s="595" t="str">
        <f>'dbc''s'!O106</f>
        <v>TBV089</v>
      </c>
      <c r="D881" s="592">
        <f>'dbc''s'!P106</f>
        <v>966</v>
      </c>
      <c r="E881" s="491" t="s">
        <v>1373</v>
      </c>
      <c r="H881" s="608">
        <v>39814</v>
      </c>
    </row>
    <row r="882" spans="1:8" ht="12.75">
      <c r="A882" s="491">
        <f t="shared" si="38"/>
        <v>880</v>
      </c>
      <c r="B882" s="127">
        <f t="shared" si="39"/>
        <v>0</v>
      </c>
      <c r="C882" s="595" t="str">
        <f>'dbc''s'!O107</f>
        <v>TBV090</v>
      </c>
      <c r="D882" s="592">
        <f>'dbc''s'!P107</f>
        <v>1108</v>
      </c>
      <c r="E882" s="491" t="s">
        <v>1373</v>
      </c>
      <c r="H882" s="608">
        <v>39814</v>
      </c>
    </row>
    <row r="883" spans="1:8" ht="12.75">
      <c r="A883" s="491">
        <f t="shared" si="38"/>
        <v>881</v>
      </c>
      <c r="B883" s="127">
        <f t="shared" si="39"/>
        <v>0</v>
      </c>
      <c r="C883" s="595" t="str">
        <f>'dbc''s'!O108</f>
        <v>TBV091</v>
      </c>
      <c r="D883" s="592">
        <f>'dbc''s'!P108</f>
        <v>1964</v>
      </c>
      <c r="E883" s="491" t="s">
        <v>1373</v>
      </c>
      <c r="H883" s="608">
        <v>39814</v>
      </c>
    </row>
    <row r="884" spans="1:8" ht="12.75">
      <c r="A884" s="491">
        <f t="shared" si="38"/>
        <v>882</v>
      </c>
      <c r="B884" s="127">
        <f t="shared" si="39"/>
        <v>0</v>
      </c>
      <c r="C884" s="595" t="str">
        <f>'dbc''s'!O109</f>
        <v>TBV092</v>
      </c>
      <c r="D884" s="592">
        <f>'dbc''s'!P109</f>
        <v>2193</v>
      </c>
      <c r="E884" s="491" t="s">
        <v>1373</v>
      </c>
      <c r="H884" s="608">
        <v>39814</v>
      </c>
    </row>
    <row r="885" spans="1:8" ht="12.75">
      <c r="A885" s="491">
        <f t="shared" si="38"/>
        <v>883</v>
      </c>
      <c r="B885" s="127">
        <f t="shared" si="39"/>
        <v>0</v>
      </c>
      <c r="C885" s="595" t="str">
        <f>'dbc''s'!O110</f>
        <v>TBV093</v>
      </c>
      <c r="D885" s="592">
        <f>'dbc''s'!P110</f>
        <v>3741</v>
      </c>
      <c r="E885" s="491" t="s">
        <v>1373</v>
      </c>
      <c r="H885" s="608">
        <v>39814</v>
      </c>
    </row>
    <row r="886" spans="1:8" ht="12.75">
      <c r="A886" s="491">
        <f t="shared" si="38"/>
        <v>884</v>
      </c>
      <c r="B886" s="127">
        <f t="shared" si="39"/>
        <v>0</v>
      </c>
      <c r="C886" s="595" t="str">
        <f>'dbc''s'!O111</f>
        <v>TBV094</v>
      </c>
      <c r="D886" s="592">
        <f>'dbc''s'!P111</f>
        <v>4232</v>
      </c>
      <c r="E886" s="491" t="s">
        <v>1373</v>
      </c>
      <c r="H886" s="608">
        <v>39814</v>
      </c>
    </row>
    <row r="887" spans="1:8" ht="12.75">
      <c r="A887" s="491">
        <f t="shared" si="38"/>
        <v>885</v>
      </c>
      <c r="B887" s="127">
        <f t="shared" si="39"/>
        <v>0</v>
      </c>
      <c r="C887" s="595" t="str">
        <f>'dbc''s'!O112</f>
        <v>TBV095</v>
      </c>
      <c r="D887" s="592">
        <f>'dbc''s'!P112</f>
        <v>6473</v>
      </c>
      <c r="E887" s="491" t="s">
        <v>1373</v>
      </c>
      <c r="H887" s="608">
        <v>39814</v>
      </c>
    </row>
    <row r="888" spans="1:8" ht="12.75">
      <c r="A888" s="491">
        <f t="shared" si="38"/>
        <v>886</v>
      </c>
      <c r="B888" s="127">
        <f t="shared" si="39"/>
        <v>0</v>
      </c>
      <c r="C888" s="595" t="str">
        <f>'dbc''s'!O113</f>
        <v>TBV096</v>
      </c>
      <c r="D888" s="592">
        <f>'dbc''s'!P113</f>
        <v>7515</v>
      </c>
      <c r="E888" s="491" t="s">
        <v>1373</v>
      </c>
      <c r="H888" s="608">
        <v>39814</v>
      </c>
    </row>
    <row r="889" spans="1:8" ht="12.75">
      <c r="A889" s="491">
        <f t="shared" si="38"/>
        <v>887</v>
      </c>
      <c r="B889" s="127">
        <f t="shared" si="39"/>
        <v>0</v>
      </c>
      <c r="C889" s="595" t="str">
        <f>'dbc''s'!O114</f>
        <v>TBV097</v>
      </c>
      <c r="D889" s="592">
        <f>'dbc''s'!P114</f>
        <v>10995</v>
      </c>
      <c r="E889" s="491" t="s">
        <v>1373</v>
      </c>
      <c r="H889" s="608">
        <v>39814</v>
      </c>
    </row>
    <row r="890" spans="1:8" ht="12.75">
      <c r="A890" s="491">
        <f t="shared" si="38"/>
        <v>888</v>
      </c>
      <c r="B890" s="127">
        <f t="shared" si="39"/>
        <v>0</v>
      </c>
      <c r="C890" s="595" t="str">
        <f>'dbc''s'!O115</f>
        <v>TBV098</v>
      </c>
      <c r="D890" s="592">
        <f>'dbc''s'!P115</f>
        <v>13466</v>
      </c>
      <c r="E890" s="491" t="s">
        <v>1373</v>
      </c>
      <c r="H890" s="608">
        <v>39814</v>
      </c>
    </row>
    <row r="891" spans="1:8" ht="12.75">
      <c r="A891" s="491">
        <f t="shared" si="38"/>
        <v>889</v>
      </c>
      <c r="B891" s="127">
        <f t="shared" si="39"/>
        <v>0</v>
      </c>
      <c r="C891" s="595" t="str">
        <f>'dbc''s'!O116</f>
        <v>TBV150</v>
      </c>
      <c r="D891" s="592">
        <f>'dbc''s'!P116</f>
        <v>22879</v>
      </c>
      <c r="E891" s="491" t="s">
        <v>1373</v>
      </c>
      <c r="H891" s="608">
        <v>39814</v>
      </c>
    </row>
    <row r="892" spans="1:8" ht="12.75">
      <c r="A892" s="491">
        <f t="shared" si="38"/>
        <v>890</v>
      </c>
      <c r="B892" s="127">
        <f t="shared" si="39"/>
        <v>0</v>
      </c>
      <c r="C892" s="595" t="str">
        <f>'dbc''s'!O117</f>
        <v>TBV151</v>
      </c>
      <c r="D892" s="592">
        <f>'dbc''s'!P117</f>
        <v>35241</v>
      </c>
      <c r="E892" s="491" t="s">
        <v>1373</v>
      </c>
      <c r="H892" s="608">
        <v>39814</v>
      </c>
    </row>
    <row r="893" spans="1:8" ht="12.75">
      <c r="A893" s="491">
        <f t="shared" si="38"/>
        <v>891</v>
      </c>
      <c r="B893" s="127">
        <f t="shared" si="39"/>
        <v>0</v>
      </c>
      <c r="C893" s="595" t="str">
        <f>'dbc''s'!O118</f>
        <v>TBV100</v>
      </c>
      <c r="D893" s="592">
        <f>'dbc''s'!P118</f>
        <v>883</v>
      </c>
      <c r="E893" s="491" t="s">
        <v>1373</v>
      </c>
      <c r="H893" s="608">
        <v>39814</v>
      </c>
    </row>
    <row r="894" spans="1:8" ht="12.75">
      <c r="A894" s="491">
        <f t="shared" si="38"/>
        <v>892</v>
      </c>
      <c r="B894" s="127">
        <f t="shared" si="39"/>
        <v>0</v>
      </c>
      <c r="C894" s="595" t="str">
        <f>'dbc''s'!O119</f>
        <v>TBV101</v>
      </c>
      <c r="D894" s="592">
        <f>'dbc''s'!P119</f>
        <v>1087</v>
      </c>
      <c r="E894" s="491" t="s">
        <v>1373</v>
      </c>
      <c r="H894" s="608">
        <v>39814</v>
      </c>
    </row>
    <row r="895" spans="1:8" ht="12.75">
      <c r="A895" s="491">
        <f t="shared" si="38"/>
        <v>893</v>
      </c>
      <c r="B895" s="127">
        <f t="shared" si="39"/>
        <v>0</v>
      </c>
      <c r="C895" s="595" t="str">
        <f>'dbc''s'!O120</f>
        <v>TBV102</v>
      </c>
      <c r="D895" s="592">
        <f>'dbc''s'!P120</f>
        <v>1856</v>
      </c>
      <c r="E895" s="491" t="s">
        <v>1373</v>
      </c>
      <c r="H895" s="608">
        <v>39814</v>
      </c>
    </row>
    <row r="896" spans="1:8" ht="12.75">
      <c r="A896" s="491">
        <f t="shared" si="38"/>
        <v>894</v>
      </c>
      <c r="B896" s="127">
        <f t="shared" si="39"/>
        <v>0</v>
      </c>
      <c r="C896" s="595" t="str">
        <f>'dbc''s'!O121</f>
        <v>TBV103</v>
      </c>
      <c r="D896" s="592">
        <f>'dbc''s'!P121</f>
        <v>2125</v>
      </c>
      <c r="E896" s="491" t="s">
        <v>1373</v>
      </c>
      <c r="H896" s="608">
        <v>39814</v>
      </c>
    </row>
    <row r="897" spans="1:8" ht="12.75">
      <c r="A897" s="491">
        <f t="shared" si="38"/>
        <v>895</v>
      </c>
      <c r="B897" s="127">
        <f t="shared" si="39"/>
        <v>0</v>
      </c>
      <c r="C897" s="595" t="str">
        <f>'dbc''s'!O122</f>
        <v>TBV104</v>
      </c>
      <c r="D897" s="592">
        <f>'dbc''s'!P122</f>
        <v>3686</v>
      </c>
      <c r="E897" s="491" t="s">
        <v>1373</v>
      </c>
      <c r="H897" s="608">
        <v>39814</v>
      </c>
    </row>
    <row r="898" spans="1:8" ht="12.75">
      <c r="A898" s="491">
        <f t="shared" si="38"/>
        <v>896</v>
      </c>
      <c r="B898" s="127">
        <f t="shared" si="39"/>
        <v>0</v>
      </c>
      <c r="C898" s="595" t="str">
        <f>'dbc''s'!O123</f>
        <v>TBV105</v>
      </c>
      <c r="D898" s="592">
        <f>'dbc''s'!P123</f>
        <v>6254</v>
      </c>
      <c r="E898" s="491" t="s">
        <v>1373</v>
      </c>
      <c r="H898" s="608">
        <v>39814</v>
      </c>
    </row>
    <row r="899" spans="1:8" ht="12.75">
      <c r="A899" s="491">
        <f t="shared" si="38"/>
        <v>897</v>
      </c>
      <c r="B899" s="127">
        <f t="shared" si="39"/>
        <v>0</v>
      </c>
      <c r="C899" s="595" t="str">
        <f>'dbc''s'!O124</f>
        <v>TBV152</v>
      </c>
      <c r="D899" s="592">
        <f>'dbc''s'!P124</f>
        <v>12833</v>
      </c>
      <c r="E899" s="491" t="s">
        <v>1373</v>
      </c>
      <c r="H899" s="608">
        <v>39814</v>
      </c>
    </row>
    <row r="900" spans="1:8" ht="12.75">
      <c r="A900" s="491">
        <f t="shared" si="38"/>
        <v>898</v>
      </c>
      <c r="B900" s="127">
        <f t="shared" si="39"/>
        <v>0</v>
      </c>
      <c r="C900" s="595" t="str">
        <f>'dbc''s'!O125</f>
        <v>TBV153</v>
      </c>
      <c r="D900" s="592">
        <f>'dbc''s'!P125</f>
        <v>28918</v>
      </c>
      <c r="E900" s="491" t="s">
        <v>1373</v>
      </c>
      <c r="H900" s="608">
        <v>39814</v>
      </c>
    </row>
    <row r="901" spans="1:8" ht="12.75">
      <c r="A901" s="491">
        <f t="shared" si="38"/>
        <v>899</v>
      </c>
      <c r="B901" s="127">
        <f t="shared" si="39"/>
        <v>0</v>
      </c>
      <c r="C901" s="595" t="str">
        <f>'dbc''s'!O126</f>
        <v>TBV107</v>
      </c>
      <c r="D901" s="592">
        <f>'dbc''s'!P126</f>
        <v>875</v>
      </c>
      <c r="E901" s="491" t="s">
        <v>1373</v>
      </c>
      <c r="H901" s="608">
        <v>39814</v>
      </c>
    </row>
    <row r="902" spans="1:8" ht="12.75">
      <c r="A902" s="491">
        <f t="shared" si="38"/>
        <v>900</v>
      </c>
      <c r="B902" s="127">
        <f t="shared" si="39"/>
        <v>0</v>
      </c>
      <c r="C902" s="595" t="str">
        <f>'dbc''s'!O127</f>
        <v>TBV108</v>
      </c>
      <c r="D902" s="592">
        <f>'dbc''s'!P127</f>
        <v>1016</v>
      </c>
      <c r="E902" s="491" t="s">
        <v>1373</v>
      </c>
      <c r="H902" s="608">
        <v>39814</v>
      </c>
    </row>
    <row r="903" spans="1:8" ht="12.75">
      <c r="A903" s="491">
        <f t="shared" si="38"/>
        <v>901</v>
      </c>
      <c r="B903" s="127">
        <f t="shared" si="39"/>
        <v>0</v>
      </c>
      <c r="C903" s="595" t="str">
        <f>'dbc''s'!O128</f>
        <v>TBV109</v>
      </c>
      <c r="D903" s="592">
        <f>'dbc''s'!P128</f>
        <v>1891</v>
      </c>
      <c r="E903" s="491" t="s">
        <v>1373</v>
      </c>
      <c r="H903" s="608">
        <v>39814</v>
      </c>
    </row>
    <row r="904" spans="1:8" ht="12.75">
      <c r="A904" s="491">
        <f t="shared" si="38"/>
        <v>902</v>
      </c>
      <c r="B904" s="127">
        <f t="shared" si="39"/>
        <v>0</v>
      </c>
      <c r="C904" s="595" t="str">
        <f>'dbc''s'!O129</f>
        <v>TBV110</v>
      </c>
      <c r="D904" s="592">
        <f>'dbc''s'!P129</f>
        <v>2112</v>
      </c>
      <c r="E904" s="491" t="s">
        <v>1373</v>
      </c>
      <c r="H904" s="608">
        <v>39814</v>
      </c>
    </row>
    <row r="905" spans="1:8" ht="12.75">
      <c r="A905" s="491">
        <f t="shared" si="38"/>
        <v>903</v>
      </c>
      <c r="B905" s="127">
        <f t="shared" si="39"/>
        <v>0</v>
      </c>
      <c r="C905" s="595" t="str">
        <f>'dbc''s'!O130</f>
        <v>TBV111</v>
      </c>
      <c r="D905" s="592">
        <f>'dbc''s'!P130</f>
        <v>3876</v>
      </c>
      <c r="E905" s="491" t="s">
        <v>1373</v>
      </c>
      <c r="H905" s="608">
        <v>39814</v>
      </c>
    </row>
    <row r="906" spans="1:8" ht="12.75">
      <c r="A906" s="491">
        <f t="shared" si="38"/>
        <v>904</v>
      </c>
      <c r="B906" s="127">
        <f t="shared" si="39"/>
        <v>0</v>
      </c>
      <c r="C906" s="595" t="str">
        <f>'dbc''s'!O132</f>
        <v>TBV112</v>
      </c>
      <c r="D906" s="592">
        <f>'dbc''s'!P132</f>
        <v>6555</v>
      </c>
      <c r="E906" s="491" t="s">
        <v>1373</v>
      </c>
      <c r="H906" s="608">
        <v>39814</v>
      </c>
    </row>
    <row r="907" spans="1:8" ht="12.75">
      <c r="A907" s="491">
        <f t="shared" si="38"/>
        <v>905</v>
      </c>
      <c r="B907" s="127">
        <f t="shared" si="39"/>
        <v>0</v>
      </c>
      <c r="C907" s="595" t="str">
        <f>'dbc''s'!O133</f>
        <v>TBV154</v>
      </c>
      <c r="D907" s="592">
        <f>'dbc''s'!P133</f>
        <v>12625</v>
      </c>
      <c r="E907" s="491" t="s">
        <v>1373</v>
      </c>
      <c r="H907" s="608">
        <v>39814</v>
      </c>
    </row>
    <row r="908" spans="1:8" ht="12.75">
      <c r="A908" s="491">
        <f t="shared" si="38"/>
        <v>906</v>
      </c>
      <c r="B908" s="127">
        <f t="shared" si="39"/>
        <v>0</v>
      </c>
      <c r="C908" s="595" t="str">
        <f>'dbc''s'!O134</f>
        <v>TBV155</v>
      </c>
      <c r="D908" s="592">
        <f>'dbc''s'!P134</f>
        <v>26241</v>
      </c>
      <c r="E908" s="491" t="s">
        <v>1373</v>
      </c>
      <c r="H908" s="608">
        <v>39814</v>
      </c>
    </row>
    <row r="909" spans="1:8" ht="12.75">
      <c r="A909" s="491">
        <f t="shared" si="38"/>
        <v>907</v>
      </c>
      <c r="B909" s="127">
        <f t="shared" si="39"/>
        <v>0</v>
      </c>
      <c r="C909" s="595" t="str">
        <f>'dbc''s'!O135</f>
        <v>TBV114</v>
      </c>
      <c r="D909" s="592">
        <f>'dbc''s'!P135</f>
        <v>953</v>
      </c>
      <c r="E909" s="491" t="s">
        <v>1373</v>
      </c>
      <c r="H909" s="608">
        <v>39814</v>
      </c>
    </row>
    <row r="910" spans="1:8" ht="12.75">
      <c r="A910" s="491">
        <f t="shared" si="38"/>
        <v>908</v>
      </c>
      <c r="B910" s="127">
        <f t="shared" si="39"/>
        <v>0</v>
      </c>
      <c r="C910" s="595" t="str">
        <f>'dbc''s'!O136</f>
        <v>TBV115</v>
      </c>
      <c r="D910" s="592">
        <f>'dbc''s'!P136</f>
        <v>1155</v>
      </c>
      <c r="E910" s="491" t="s">
        <v>1373</v>
      </c>
      <c r="H910" s="608">
        <v>39814</v>
      </c>
    </row>
    <row r="911" spans="1:8" ht="12.75">
      <c r="A911" s="491">
        <f t="shared" si="38"/>
        <v>909</v>
      </c>
      <c r="B911" s="127">
        <f t="shared" si="39"/>
        <v>0</v>
      </c>
      <c r="C911" s="595" t="str">
        <f>'dbc''s'!O137</f>
        <v>TBV116</v>
      </c>
      <c r="D911" s="592">
        <f>'dbc''s'!P137</f>
        <v>1949</v>
      </c>
      <c r="E911" s="491" t="s">
        <v>1373</v>
      </c>
      <c r="H911" s="608">
        <v>39814</v>
      </c>
    </row>
    <row r="912" spans="1:8" ht="12.75">
      <c r="A912" s="491">
        <f t="shared" si="38"/>
        <v>910</v>
      </c>
      <c r="B912" s="127">
        <f t="shared" si="39"/>
        <v>0</v>
      </c>
      <c r="C912" s="595" t="str">
        <f>'dbc''s'!O138</f>
        <v>TBV117</v>
      </c>
      <c r="D912" s="592">
        <f>'dbc''s'!P138</f>
        <v>2260</v>
      </c>
      <c r="E912" s="491" t="s">
        <v>1373</v>
      </c>
      <c r="H912" s="608">
        <v>39814</v>
      </c>
    </row>
    <row r="913" spans="1:8" ht="12.75">
      <c r="A913" s="491">
        <f t="shared" si="38"/>
        <v>911</v>
      </c>
      <c r="B913" s="127">
        <f t="shared" si="39"/>
        <v>0</v>
      </c>
      <c r="C913" s="595" t="str">
        <f>'dbc''s'!O139</f>
        <v>TBV118</v>
      </c>
      <c r="D913" s="592">
        <f>'dbc''s'!P139</f>
        <v>3993</v>
      </c>
      <c r="E913" s="491" t="s">
        <v>1373</v>
      </c>
      <c r="H913" s="608">
        <v>39814</v>
      </c>
    </row>
    <row r="914" spans="1:8" ht="12.75">
      <c r="A914" s="491">
        <f t="shared" si="38"/>
        <v>912</v>
      </c>
      <c r="B914" s="127">
        <f t="shared" si="39"/>
        <v>0</v>
      </c>
      <c r="C914" s="595" t="str">
        <f>'dbc''s'!O140</f>
        <v>TBV119</v>
      </c>
      <c r="D914" s="592">
        <f>'dbc''s'!P140</f>
        <v>6690</v>
      </c>
      <c r="E914" s="491" t="s">
        <v>1373</v>
      </c>
      <c r="H914" s="608">
        <v>39814</v>
      </c>
    </row>
    <row r="915" spans="1:8" ht="12.75">
      <c r="A915" s="491">
        <f t="shared" si="38"/>
        <v>913</v>
      </c>
      <c r="B915" s="127">
        <f t="shared" si="39"/>
        <v>0</v>
      </c>
      <c r="C915" s="595" t="str">
        <f>'dbc''s'!O141</f>
        <v>TBV156</v>
      </c>
      <c r="D915" s="592">
        <f>'dbc''s'!P141</f>
        <v>12977</v>
      </c>
      <c r="E915" s="491" t="s">
        <v>1373</v>
      </c>
      <c r="H915" s="608">
        <v>39814</v>
      </c>
    </row>
    <row r="916" spans="1:8" ht="12.75">
      <c r="A916" s="491">
        <f t="shared" si="38"/>
        <v>914</v>
      </c>
      <c r="B916" s="127">
        <f t="shared" si="39"/>
        <v>0</v>
      </c>
      <c r="C916" s="595" t="str">
        <f>'dbc''s'!O142</f>
        <v>TBV157</v>
      </c>
      <c r="D916" s="592">
        <f>'dbc''s'!P142</f>
        <v>26438</v>
      </c>
      <c r="E916" s="491" t="s">
        <v>1373</v>
      </c>
      <c r="H916" s="608">
        <v>39814</v>
      </c>
    </row>
    <row r="917" spans="1:8" ht="12.75">
      <c r="A917" s="491">
        <f t="shared" si="38"/>
        <v>915</v>
      </c>
      <c r="B917" s="127">
        <f t="shared" si="39"/>
        <v>0</v>
      </c>
      <c r="C917" s="595" t="str">
        <f>'dbc''s'!O143</f>
        <v>TBV121</v>
      </c>
      <c r="D917" s="592">
        <f>'dbc''s'!P143</f>
        <v>1023</v>
      </c>
      <c r="E917" s="491" t="s">
        <v>1373</v>
      </c>
      <c r="H917" s="608">
        <v>39814</v>
      </c>
    </row>
    <row r="918" spans="1:8" ht="12.75">
      <c r="A918" s="491">
        <f t="shared" si="38"/>
        <v>916</v>
      </c>
      <c r="B918" s="127">
        <f t="shared" si="39"/>
        <v>0</v>
      </c>
      <c r="C918" s="595" t="str">
        <f>'dbc''s'!O144</f>
        <v>TBV122</v>
      </c>
      <c r="D918" s="592">
        <f>'dbc''s'!P144</f>
        <v>2012</v>
      </c>
      <c r="E918" s="491" t="s">
        <v>1373</v>
      </c>
      <c r="H918" s="608">
        <v>39814</v>
      </c>
    </row>
    <row r="919" spans="1:8" ht="12.75">
      <c r="A919" s="491">
        <f t="shared" si="38"/>
        <v>917</v>
      </c>
      <c r="B919" s="127">
        <f t="shared" si="39"/>
        <v>0</v>
      </c>
      <c r="C919" s="595" t="str">
        <f>'dbc''s'!O145</f>
        <v>TBV123</v>
      </c>
      <c r="D919" s="592">
        <f>'dbc''s'!P145</f>
        <v>2339</v>
      </c>
      <c r="E919" s="491" t="s">
        <v>1373</v>
      </c>
      <c r="H919" s="608">
        <v>39814</v>
      </c>
    </row>
    <row r="920" spans="1:8" ht="12.75">
      <c r="A920" s="491">
        <f t="shared" si="38"/>
        <v>918</v>
      </c>
      <c r="B920" s="127">
        <f t="shared" si="39"/>
        <v>0</v>
      </c>
      <c r="C920" s="595" t="str">
        <f>'dbc''s'!O146</f>
        <v>TBV124</v>
      </c>
      <c r="D920" s="592">
        <f>'dbc''s'!P146</f>
        <v>3707</v>
      </c>
      <c r="E920" s="491" t="s">
        <v>1373</v>
      </c>
      <c r="H920" s="608">
        <v>39814</v>
      </c>
    </row>
    <row r="921" spans="1:8" ht="12.75">
      <c r="A921" s="491">
        <f t="shared" si="38"/>
        <v>919</v>
      </c>
      <c r="B921" s="127">
        <f t="shared" si="39"/>
        <v>0</v>
      </c>
      <c r="C921" s="595" t="str">
        <f>'dbc''s'!O147</f>
        <v>TBV125</v>
      </c>
      <c r="D921" s="592">
        <f>'dbc''s'!P147</f>
        <v>4084</v>
      </c>
      <c r="E921" s="491" t="s">
        <v>1373</v>
      </c>
      <c r="H921" s="608">
        <v>39814</v>
      </c>
    </row>
    <row r="922" spans="1:8" ht="12.75">
      <c r="A922" s="491">
        <f t="shared" si="38"/>
        <v>920</v>
      </c>
      <c r="B922" s="127">
        <f t="shared" si="39"/>
        <v>0</v>
      </c>
      <c r="C922" s="595" t="str">
        <f>'dbc''s'!O148</f>
        <v>TBV126</v>
      </c>
      <c r="D922" s="592">
        <f>'dbc''s'!P148</f>
        <v>6203</v>
      </c>
      <c r="E922" s="491" t="s">
        <v>1373</v>
      </c>
      <c r="H922" s="608">
        <v>39814</v>
      </c>
    </row>
    <row r="923" spans="1:8" ht="12.75">
      <c r="A923" s="491">
        <f t="shared" si="38"/>
        <v>921</v>
      </c>
      <c r="B923" s="127">
        <f t="shared" si="39"/>
        <v>0</v>
      </c>
      <c r="C923" s="595" t="str">
        <f>'dbc''s'!O149</f>
        <v>TBV127</v>
      </c>
      <c r="D923" s="592">
        <f>'dbc''s'!P149</f>
        <v>7233</v>
      </c>
      <c r="E923" s="491" t="s">
        <v>1373</v>
      </c>
      <c r="H923" s="608">
        <v>39814</v>
      </c>
    </row>
    <row r="924" spans="1:8" ht="12.75">
      <c r="A924" s="491">
        <f t="shared" si="38"/>
        <v>922</v>
      </c>
      <c r="B924" s="127">
        <f t="shared" si="39"/>
        <v>0</v>
      </c>
      <c r="C924" s="595" t="str">
        <f>'dbc''s'!O150</f>
        <v>TBV128</v>
      </c>
      <c r="D924" s="592">
        <f>'dbc''s'!P150</f>
        <v>11015</v>
      </c>
      <c r="E924" s="491" t="s">
        <v>1373</v>
      </c>
      <c r="H924" s="608">
        <v>39814</v>
      </c>
    </row>
    <row r="925" spans="1:8" ht="12.75">
      <c r="A925" s="491">
        <f t="shared" si="38"/>
        <v>923</v>
      </c>
      <c r="B925" s="127">
        <f t="shared" si="39"/>
        <v>0</v>
      </c>
      <c r="C925" s="595" t="str">
        <f>'dbc''s'!O151</f>
        <v>TBV129</v>
      </c>
      <c r="D925" s="592">
        <f>'dbc''s'!P151</f>
        <v>13372</v>
      </c>
      <c r="E925" s="491" t="s">
        <v>1373</v>
      </c>
      <c r="H925" s="608">
        <v>39814</v>
      </c>
    </row>
    <row r="926" spans="1:8" ht="12.75">
      <c r="A926" s="491">
        <f t="shared" si="38"/>
        <v>924</v>
      </c>
      <c r="B926" s="127">
        <f t="shared" si="39"/>
        <v>0</v>
      </c>
      <c r="C926" s="595" t="str">
        <f>'dbc''s'!O152</f>
        <v>TBV158</v>
      </c>
      <c r="D926" s="592">
        <f>'dbc''s'!P152</f>
        <v>22960</v>
      </c>
      <c r="E926" s="491" t="s">
        <v>1373</v>
      </c>
      <c r="H926" s="608">
        <v>39814</v>
      </c>
    </row>
    <row r="927" spans="1:8" ht="12.75">
      <c r="A927" s="491">
        <f t="shared" si="38"/>
        <v>925</v>
      </c>
      <c r="B927" s="127">
        <f t="shared" si="39"/>
        <v>0</v>
      </c>
      <c r="C927" s="595" t="str">
        <f>'dbc''s'!O153</f>
        <v>TBV159</v>
      </c>
      <c r="D927" s="592">
        <f>'dbc''s'!P153</f>
        <v>37625</v>
      </c>
      <c r="E927" s="491" t="s">
        <v>1373</v>
      </c>
      <c r="H927" s="608">
        <v>39814</v>
      </c>
    </row>
    <row r="928" spans="1:8" ht="12.75">
      <c r="A928" s="491">
        <f t="shared" si="38"/>
        <v>926</v>
      </c>
      <c r="B928" s="127">
        <f t="shared" si="39"/>
        <v>0</v>
      </c>
      <c r="C928" s="595" t="str">
        <f>'dbc''s'!O158</f>
        <v>TV000</v>
      </c>
      <c r="D928" s="592">
        <f>'dbc''s'!P158</f>
        <v>0</v>
      </c>
      <c r="E928" s="491" t="s">
        <v>1372</v>
      </c>
      <c r="H928" s="608">
        <v>39814</v>
      </c>
    </row>
    <row r="929" spans="1:8" ht="12.75">
      <c r="A929" s="491">
        <f t="shared" si="38"/>
        <v>927</v>
      </c>
      <c r="B929" s="127">
        <f t="shared" si="39"/>
        <v>0</v>
      </c>
      <c r="C929" s="595" t="str">
        <f>'dbc''s'!O159</f>
        <v>TV011</v>
      </c>
      <c r="D929" s="592">
        <f>'dbc''s'!P159</f>
        <v>195</v>
      </c>
      <c r="E929" s="491" t="s">
        <v>1372</v>
      </c>
      <c r="H929" s="608">
        <v>39814</v>
      </c>
    </row>
    <row r="930" spans="1:8" ht="12.75">
      <c r="A930" s="491">
        <f t="shared" si="38"/>
        <v>928</v>
      </c>
      <c r="B930" s="127">
        <f t="shared" si="39"/>
        <v>0</v>
      </c>
      <c r="C930" s="595" t="str">
        <f>'dbc''s'!O160</f>
        <v>TV012</v>
      </c>
      <c r="D930" s="592">
        <f>'dbc''s'!P160</f>
        <v>457</v>
      </c>
      <c r="E930" s="491" t="s">
        <v>1372</v>
      </c>
      <c r="H930" s="608">
        <v>39814</v>
      </c>
    </row>
    <row r="931" spans="1:8" ht="12.75">
      <c r="A931" s="491">
        <f t="shared" si="38"/>
        <v>929</v>
      </c>
      <c r="B931" s="127">
        <f t="shared" si="39"/>
        <v>0</v>
      </c>
      <c r="C931" s="595" t="str">
        <f>'dbc''s'!O161</f>
        <v>TV013</v>
      </c>
      <c r="D931" s="592">
        <f>'dbc''s'!P161</f>
        <v>690</v>
      </c>
      <c r="E931" s="491" t="s">
        <v>1372</v>
      </c>
      <c r="H931" s="608">
        <v>39814</v>
      </c>
    </row>
    <row r="932" spans="1:8" ht="12.75">
      <c r="A932" s="491">
        <f t="shared" si="38"/>
        <v>930</v>
      </c>
      <c r="B932" s="127">
        <f t="shared" si="39"/>
        <v>0</v>
      </c>
      <c r="C932" s="595" t="str">
        <f>'dbc''s'!O162</f>
        <v>TV014</v>
      </c>
      <c r="D932" s="592">
        <f>'dbc''s'!P162</f>
        <v>1072</v>
      </c>
      <c r="E932" s="491" t="s">
        <v>1372</v>
      </c>
      <c r="H932" s="608">
        <v>39814</v>
      </c>
    </row>
    <row r="933" spans="1:8" ht="12.75">
      <c r="A933" s="491">
        <f t="shared" si="38"/>
        <v>931</v>
      </c>
      <c r="B933" s="127">
        <f t="shared" si="39"/>
        <v>0</v>
      </c>
      <c r="C933" s="595" t="str">
        <f>'dbc''s'!O163</f>
        <v>TV015</v>
      </c>
      <c r="D933" s="592">
        <f>'dbc''s'!P163</f>
        <v>1665</v>
      </c>
      <c r="E933" s="491" t="s">
        <v>1372</v>
      </c>
      <c r="H933" s="608">
        <v>39814</v>
      </c>
    </row>
    <row r="934" spans="1:8" ht="12.75">
      <c r="A934" s="491">
        <f t="shared" si="38"/>
        <v>932</v>
      </c>
      <c r="B934" s="127">
        <f t="shared" si="39"/>
        <v>0</v>
      </c>
      <c r="C934" s="595" t="str">
        <f>'dbc''s'!O164</f>
        <v>TV021</v>
      </c>
      <c r="D934" s="592">
        <f>'dbc''s'!P164</f>
        <v>480</v>
      </c>
      <c r="E934" s="491" t="s">
        <v>1372</v>
      </c>
      <c r="H934" s="608">
        <v>39814</v>
      </c>
    </row>
    <row r="935" spans="1:8" ht="12.75">
      <c r="A935" s="491">
        <f t="shared" si="38"/>
        <v>933</v>
      </c>
      <c r="B935" s="127">
        <f t="shared" si="39"/>
        <v>0</v>
      </c>
      <c r="C935" s="595" t="str">
        <f>'dbc''s'!O165</f>
        <v>TV022</v>
      </c>
      <c r="D935" s="592">
        <f>'dbc''s'!P165</f>
        <v>1124</v>
      </c>
      <c r="E935" s="491" t="s">
        <v>1372</v>
      </c>
      <c r="H935" s="608">
        <v>39814</v>
      </c>
    </row>
    <row r="936" spans="1:8" ht="12.75">
      <c r="A936" s="491">
        <f t="shared" si="38"/>
        <v>934</v>
      </c>
      <c r="B936" s="127">
        <f t="shared" si="39"/>
        <v>0</v>
      </c>
      <c r="C936" s="595" t="str">
        <f>'dbc''s'!O166</f>
        <v>TV023</v>
      </c>
      <c r="D936" s="592">
        <f>'dbc''s'!P166</f>
        <v>1759</v>
      </c>
      <c r="E936" s="491" t="s">
        <v>1372</v>
      </c>
      <c r="H936" s="608">
        <v>39814</v>
      </c>
    </row>
    <row r="937" spans="1:8" ht="12.75">
      <c r="A937" s="491">
        <f t="shared" si="38"/>
        <v>935</v>
      </c>
      <c r="B937" s="127">
        <f t="shared" si="39"/>
        <v>0</v>
      </c>
      <c r="C937" s="595" t="str">
        <f>'dbc''s'!O167</f>
        <v>TV024</v>
      </c>
      <c r="D937" s="592">
        <f>'dbc''s'!P167</f>
        <v>2733</v>
      </c>
      <c r="E937" s="491" t="s">
        <v>1372</v>
      </c>
      <c r="H937" s="608">
        <v>39814</v>
      </c>
    </row>
    <row r="938" spans="1:8" ht="12.75">
      <c r="A938" s="491">
        <f t="shared" si="38"/>
        <v>936</v>
      </c>
      <c r="B938" s="127">
        <f t="shared" si="39"/>
        <v>0</v>
      </c>
      <c r="C938" s="595" t="str">
        <f>'dbc''s'!O168</f>
        <v>TV025</v>
      </c>
      <c r="D938" s="592">
        <f>'dbc''s'!P168</f>
        <v>4246</v>
      </c>
      <c r="E938" s="491" t="s">
        <v>1372</v>
      </c>
      <c r="H938" s="608">
        <v>39814</v>
      </c>
    </row>
    <row r="939" spans="1:8" ht="12.75">
      <c r="A939" s="491">
        <f t="shared" si="38"/>
        <v>937</v>
      </c>
      <c r="B939" s="127">
        <f t="shared" si="39"/>
        <v>0</v>
      </c>
      <c r="C939" s="595" t="str">
        <f>'dbc''s'!O169</f>
        <v>TV031</v>
      </c>
      <c r="D939" s="592">
        <f>'dbc''s'!P169</f>
        <v>972</v>
      </c>
      <c r="E939" s="491" t="s">
        <v>1372</v>
      </c>
      <c r="H939" s="608">
        <v>39814</v>
      </c>
    </row>
    <row r="940" spans="1:8" ht="12.75">
      <c r="A940" s="491">
        <f t="shared" si="38"/>
        <v>938</v>
      </c>
      <c r="B940" s="127">
        <f t="shared" si="39"/>
        <v>0</v>
      </c>
      <c r="C940" s="595" t="str">
        <f>'dbc''s'!O170</f>
        <v>TV032</v>
      </c>
      <c r="D940" s="592">
        <f>'dbc''s'!P170</f>
        <v>2276</v>
      </c>
      <c r="E940" s="491" t="s">
        <v>1372</v>
      </c>
      <c r="H940" s="608">
        <v>39814</v>
      </c>
    </row>
    <row r="941" spans="1:8" ht="12.75">
      <c r="A941" s="491">
        <f t="shared" si="38"/>
        <v>939</v>
      </c>
      <c r="B941" s="127">
        <f t="shared" si="39"/>
        <v>0</v>
      </c>
      <c r="C941" s="595" t="str">
        <f>'dbc''s'!O171</f>
        <v>TV033</v>
      </c>
      <c r="D941" s="592">
        <f>'dbc''s'!P171</f>
        <v>3293</v>
      </c>
      <c r="E941" s="491" t="s">
        <v>1372</v>
      </c>
      <c r="H941" s="608">
        <v>39814</v>
      </c>
    </row>
    <row r="942" spans="1:8" ht="12.75">
      <c r="A942" s="491">
        <f t="shared" si="38"/>
        <v>940</v>
      </c>
      <c r="B942" s="127">
        <f t="shared" si="39"/>
        <v>0</v>
      </c>
      <c r="C942" s="595" t="str">
        <f>'dbc''s'!O172</f>
        <v>TV034</v>
      </c>
      <c r="D942" s="592">
        <f>'dbc''s'!P172</f>
        <v>5118</v>
      </c>
      <c r="E942" s="491" t="s">
        <v>1372</v>
      </c>
      <c r="H942" s="608">
        <v>39814</v>
      </c>
    </row>
    <row r="943" spans="1:8" ht="12.75">
      <c r="A943" s="491">
        <f t="shared" si="38"/>
        <v>941</v>
      </c>
      <c r="B943" s="127">
        <f t="shared" si="39"/>
        <v>0</v>
      </c>
      <c r="C943" s="595" t="str">
        <f>'dbc''s'!O173</f>
        <v>TV035</v>
      </c>
      <c r="D943" s="592">
        <f>'dbc''s'!P173</f>
        <v>7950</v>
      </c>
      <c r="E943" s="491" t="s">
        <v>1372</v>
      </c>
      <c r="H943" s="608">
        <v>39814</v>
      </c>
    </row>
    <row r="944" spans="1:8" ht="12.75">
      <c r="A944" s="491">
        <f aca="true" t="shared" si="40" ref="A944:A998">A943+1</f>
        <v>942</v>
      </c>
      <c r="B944" s="127">
        <f aca="true" t="shared" si="41" ref="B944:B998">B943</f>
        <v>0</v>
      </c>
      <c r="C944" s="595" t="str">
        <f>'dbc''s'!O174</f>
        <v>TV041</v>
      </c>
      <c r="D944" s="592">
        <f>'dbc''s'!P174</f>
        <v>1671</v>
      </c>
      <c r="E944" s="491" t="s">
        <v>1372</v>
      </c>
      <c r="H944" s="608">
        <v>39814</v>
      </c>
    </row>
    <row r="945" spans="1:8" ht="12.75">
      <c r="A945" s="491">
        <f t="shared" si="40"/>
        <v>943</v>
      </c>
      <c r="B945" s="127">
        <f t="shared" si="41"/>
        <v>0</v>
      </c>
      <c r="C945" s="595" t="str">
        <f>'dbc''s'!O175</f>
        <v>TV042</v>
      </c>
      <c r="D945" s="592">
        <f>'dbc''s'!P175</f>
        <v>3913</v>
      </c>
      <c r="E945" s="491" t="s">
        <v>1372</v>
      </c>
      <c r="H945" s="608">
        <v>39814</v>
      </c>
    </row>
    <row r="946" spans="1:8" ht="12.75">
      <c r="A946" s="491">
        <f t="shared" si="40"/>
        <v>944</v>
      </c>
      <c r="B946" s="127">
        <f t="shared" si="41"/>
        <v>0</v>
      </c>
      <c r="C946" s="595" t="str">
        <f>'dbc''s'!O176</f>
        <v>TV043</v>
      </c>
      <c r="D946" s="592">
        <f>'dbc''s'!P176</f>
        <v>5604</v>
      </c>
      <c r="E946" s="491" t="s">
        <v>1372</v>
      </c>
      <c r="H946" s="608">
        <v>39814</v>
      </c>
    </row>
    <row r="947" spans="1:8" ht="12.75">
      <c r="A947" s="491">
        <f t="shared" si="40"/>
        <v>945</v>
      </c>
      <c r="B947" s="127">
        <f t="shared" si="41"/>
        <v>0</v>
      </c>
      <c r="C947" s="595" t="str">
        <f>'dbc''s'!O177</f>
        <v>TV044</v>
      </c>
      <c r="D947" s="592">
        <f>'dbc''s'!P177</f>
        <v>8708</v>
      </c>
      <c r="E947" s="491" t="s">
        <v>1372</v>
      </c>
      <c r="H947" s="608">
        <v>39814</v>
      </c>
    </row>
    <row r="948" spans="1:8" ht="12.75">
      <c r="A948" s="491">
        <f t="shared" si="40"/>
        <v>946</v>
      </c>
      <c r="B948" s="127">
        <f t="shared" si="41"/>
        <v>0</v>
      </c>
      <c r="C948" s="595" t="str">
        <f>'dbc''s'!O178</f>
        <v>TV045</v>
      </c>
      <c r="D948" s="592">
        <f>'dbc''s'!P178</f>
        <v>13528</v>
      </c>
      <c r="E948" s="491" t="s">
        <v>1372</v>
      </c>
      <c r="H948" s="608">
        <v>39814</v>
      </c>
    </row>
    <row r="949" spans="1:8" ht="12.75">
      <c r="A949" s="491">
        <f t="shared" si="40"/>
        <v>947</v>
      </c>
      <c r="B949" s="127">
        <f t="shared" si="41"/>
        <v>0</v>
      </c>
      <c r="C949" s="595" t="str">
        <f>'dbc''s'!O179</f>
        <v>TV051</v>
      </c>
      <c r="D949" s="592">
        <f>'dbc''s'!P179</f>
        <v>2983</v>
      </c>
      <c r="E949" s="491" t="s">
        <v>1372</v>
      </c>
      <c r="H949" s="608">
        <v>39814</v>
      </c>
    </row>
    <row r="950" spans="1:8" ht="12.75">
      <c r="A950" s="491">
        <f t="shared" si="40"/>
        <v>948</v>
      </c>
      <c r="B950" s="127">
        <f t="shared" si="41"/>
        <v>0</v>
      </c>
      <c r="C950" s="595" t="str">
        <f>'dbc''s'!O180</f>
        <v>TV052</v>
      </c>
      <c r="D950" s="592">
        <f>'dbc''s'!P180</f>
        <v>6987</v>
      </c>
      <c r="E950" s="491" t="s">
        <v>1372</v>
      </c>
      <c r="H950" s="608">
        <v>39814</v>
      </c>
    </row>
    <row r="951" spans="1:8" ht="12.75">
      <c r="A951" s="491">
        <f t="shared" si="40"/>
        <v>949</v>
      </c>
      <c r="B951" s="127">
        <f t="shared" si="41"/>
        <v>0</v>
      </c>
      <c r="C951" s="595" t="str">
        <f>'dbc''s'!O181</f>
        <v>TV053</v>
      </c>
      <c r="D951" s="592">
        <f>'dbc''s'!P181</f>
        <v>10770</v>
      </c>
      <c r="E951" s="491" t="s">
        <v>1372</v>
      </c>
      <c r="H951" s="608">
        <v>39814</v>
      </c>
    </row>
    <row r="952" spans="1:8" ht="12.75">
      <c r="A952" s="491">
        <f t="shared" si="40"/>
        <v>950</v>
      </c>
      <c r="B952" s="127">
        <f t="shared" si="41"/>
        <v>0</v>
      </c>
      <c r="C952" s="595" t="str">
        <f>'dbc''s'!O182</f>
        <v>TV054</v>
      </c>
      <c r="D952" s="592">
        <f>'dbc''s'!P182</f>
        <v>16737</v>
      </c>
      <c r="E952" s="491" t="s">
        <v>1372</v>
      </c>
      <c r="H952" s="608">
        <v>39814</v>
      </c>
    </row>
    <row r="953" spans="1:8" ht="12.75">
      <c r="A953" s="491">
        <f t="shared" si="40"/>
        <v>951</v>
      </c>
      <c r="B953" s="127">
        <f t="shared" si="41"/>
        <v>0</v>
      </c>
      <c r="C953" s="595" t="str">
        <f>'dbc''s'!O183</f>
        <v>TV055</v>
      </c>
      <c r="D953" s="592">
        <f>'dbc''s'!P183</f>
        <v>25999</v>
      </c>
      <c r="E953" s="491" t="s">
        <v>1372</v>
      </c>
      <c r="H953" s="608">
        <v>39814</v>
      </c>
    </row>
    <row r="954" spans="1:8" ht="12.75">
      <c r="A954" s="491">
        <f t="shared" si="40"/>
        <v>952</v>
      </c>
      <c r="B954" s="127">
        <f t="shared" si="41"/>
        <v>0</v>
      </c>
      <c r="C954" s="595" t="str">
        <f>'dbc''s'!O184</f>
        <v>TV061</v>
      </c>
      <c r="D954" s="592">
        <f>'dbc''s'!P184</f>
        <v>4891</v>
      </c>
      <c r="E954" s="491" t="s">
        <v>1372</v>
      </c>
      <c r="H954" s="608">
        <v>39814</v>
      </c>
    </row>
    <row r="955" spans="1:8" ht="12.75">
      <c r="A955" s="491">
        <f t="shared" si="40"/>
        <v>953</v>
      </c>
      <c r="B955" s="127">
        <f t="shared" si="41"/>
        <v>0</v>
      </c>
      <c r="C955" s="595" t="str">
        <f>'dbc''s'!O185</f>
        <v>TV062</v>
      </c>
      <c r="D955" s="592">
        <f>'dbc''s'!P185</f>
        <v>11455</v>
      </c>
      <c r="E955" s="491" t="s">
        <v>1372</v>
      </c>
      <c r="H955" s="608">
        <v>39814</v>
      </c>
    </row>
    <row r="956" spans="1:8" ht="12.75">
      <c r="A956" s="491">
        <f t="shared" si="40"/>
        <v>954</v>
      </c>
      <c r="B956" s="127">
        <f t="shared" si="41"/>
        <v>0</v>
      </c>
      <c r="C956" s="595" t="str">
        <f>'dbc''s'!O186</f>
        <v>TV063</v>
      </c>
      <c r="D956" s="592">
        <f>'dbc''s'!P186</f>
        <v>16794</v>
      </c>
      <c r="E956" s="491" t="s">
        <v>1372</v>
      </c>
      <c r="H956" s="608">
        <v>39814</v>
      </c>
    </row>
    <row r="957" spans="1:8" ht="12.75">
      <c r="A957" s="491">
        <f t="shared" si="40"/>
        <v>955</v>
      </c>
      <c r="B957" s="127">
        <f t="shared" si="41"/>
        <v>0</v>
      </c>
      <c r="C957" s="595" t="str">
        <f>'dbc''s'!O187</f>
        <v>TV064</v>
      </c>
      <c r="D957" s="592">
        <f>'dbc''s'!P187</f>
        <v>26099</v>
      </c>
      <c r="E957" s="491" t="s">
        <v>1372</v>
      </c>
      <c r="H957" s="608">
        <v>39814</v>
      </c>
    </row>
    <row r="958" spans="1:8" ht="12.75">
      <c r="A958" s="491">
        <f t="shared" si="40"/>
        <v>956</v>
      </c>
      <c r="B958" s="127">
        <f t="shared" si="41"/>
        <v>0</v>
      </c>
      <c r="C958" s="595" t="str">
        <f>'dbc''s'!O188</f>
        <v>TV065</v>
      </c>
      <c r="D958" s="592">
        <f>'dbc''s'!P188</f>
        <v>40542</v>
      </c>
      <c r="E958" s="491" t="s">
        <v>1372</v>
      </c>
      <c r="H958" s="608">
        <v>39814</v>
      </c>
    </row>
    <row r="959" spans="1:8" ht="12.75">
      <c r="A959" s="491">
        <f t="shared" si="40"/>
        <v>957</v>
      </c>
      <c r="B959" s="127">
        <f t="shared" si="41"/>
        <v>0</v>
      </c>
      <c r="C959" s="595" t="str">
        <f>'dbc''s'!O189</f>
        <v>TV071</v>
      </c>
      <c r="D959" s="592">
        <f>'dbc''s'!P189</f>
        <v>5671</v>
      </c>
      <c r="E959" s="491" t="s">
        <v>1372</v>
      </c>
      <c r="H959" s="608">
        <v>39814</v>
      </c>
    </row>
    <row r="960" spans="1:8" ht="12.75">
      <c r="A960" s="491">
        <f t="shared" si="40"/>
        <v>958</v>
      </c>
      <c r="B960" s="127">
        <f t="shared" si="41"/>
        <v>0</v>
      </c>
      <c r="C960" s="595" t="str">
        <f>'dbc''s'!O190</f>
        <v>TV072</v>
      </c>
      <c r="D960" s="592">
        <f>'dbc''s'!P190</f>
        <v>15074</v>
      </c>
      <c r="E960" s="491" t="s">
        <v>1372</v>
      </c>
      <c r="H960" s="608">
        <v>39814</v>
      </c>
    </row>
    <row r="961" spans="1:8" ht="12.75">
      <c r="A961" s="491">
        <f t="shared" si="40"/>
        <v>959</v>
      </c>
      <c r="B961" s="127">
        <f t="shared" si="41"/>
        <v>0</v>
      </c>
      <c r="C961" s="595" t="str">
        <f>'dbc''s'!O191</f>
        <v>TV073</v>
      </c>
      <c r="D961" s="592">
        <f>'dbc''s'!P191</f>
        <v>23426</v>
      </c>
      <c r="E961" s="491" t="s">
        <v>1372</v>
      </c>
      <c r="H961" s="608">
        <v>39814</v>
      </c>
    </row>
    <row r="962" spans="1:8" ht="12.75">
      <c r="A962" s="491">
        <f t="shared" si="40"/>
        <v>960</v>
      </c>
      <c r="B962" s="127">
        <f t="shared" si="41"/>
        <v>0</v>
      </c>
      <c r="C962" s="595" t="str">
        <f>'dbc''s'!O192</f>
        <v>TV074</v>
      </c>
      <c r="D962" s="592">
        <f>'dbc''s'!P192</f>
        <v>36406</v>
      </c>
      <c r="E962" s="491" t="s">
        <v>1372</v>
      </c>
      <c r="H962" s="608">
        <v>39814</v>
      </c>
    </row>
    <row r="963" spans="1:8" ht="12.75">
      <c r="A963" s="491">
        <f t="shared" si="40"/>
        <v>961</v>
      </c>
      <c r="B963" s="127">
        <f t="shared" si="41"/>
        <v>0</v>
      </c>
      <c r="C963" s="595" t="str">
        <f>'dbc''s'!O193</f>
        <v>TV075</v>
      </c>
      <c r="D963" s="592">
        <f>'dbc''s'!P193</f>
        <v>56552</v>
      </c>
      <c r="E963" s="491" t="s">
        <v>1372</v>
      </c>
      <c r="H963" s="608">
        <v>39814</v>
      </c>
    </row>
    <row r="964" spans="1:8" ht="12.75">
      <c r="A964" s="491">
        <f t="shared" si="40"/>
        <v>962</v>
      </c>
      <c r="B964" s="127">
        <f t="shared" si="41"/>
        <v>0</v>
      </c>
      <c r="C964" s="595" t="str">
        <f>'dbc''s'!O194</f>
        <v>TV111</v>
      </c>
      <c r="D964" s="592">
        <f>'dbc''s'!P194</f>
        <v>9377</v>
      </c>
      <c r="E964" s="491" t="s">
        <v>1372</v>
      </c>
      <c r="H964" s="608">
        <v>39814</v>
      </c>
    </row>
    <row r="965" spans="1:8" ht="12.75">
      <c r="A965" s="491">
        <f t="shared" si="40"/>
        <v>963</v>
      </c>
      <c r="B965" s="127">
        <f t="shared" si="41"/>
        <v>0</v>
      </c>
      <c r="C965" s="595" t="str">
        <f>'dbc''s'!O195</f>
        <v>TV112</v>
      </c>
      <c r="D965" s="592">
        <f>'dbc''s'!P195</f>
        <v>22408</v>
      </c>
      <c r="E965" s="491" t="s">
        <v>1372</v>
      </c>
      <c r="H965" s="608">
        <v>39814</v>
      </c>
    </row>
    <row r="966" spans="1:8" ht="12.75">
      <c r="A966" s="491">
        <f t="shared" si="40"/>
        <v>964</v>
      </c>
      <c r="B966" s="127">
        <f t="shared" si="41"/>
        <v>0</v>
      </c>
      <c r="C966" s="595" t="str">
        <f>'dbc''s'!O196</f>
        <v>TV113</v>
      </c>
      <c r="D966" s="592">
        <f>'dbc''s'!P196</f>
        <v>33831</v>
      </c>
      <c r="E966" s="491" t="s">
        <v>1372</v>
      </c>
      <c r="H966" s="608">
        <v>39814</v>
      </c>
    </row>
    <row r="967" spans="1:8" ht="12.75">
      <c r="A967" s="491">
        <f t="shared" si="40"/>
        <v>965</v>
      </c>
      <c r="B967" s="127">
        <f t="shared" si="41"/>
        <v>0</v>
      </c>
      <c r="C967" s="595" t="str">
        <f>'dbc''s'!O197</f>
        <v>TV114</v>
      </c>
      <c r="D967" s="592">
        <f>'dbc''s'!P197</f>
        <v>52576</v>
      </c>
      <c r="E967" s="491" t="s">
        <v>1372</v>
      </c>
      <c r="H967" s="608">
        <v>39814</v>
      </c>
    </row>
    <row r="968" spans="1:8" ht="12.75">
      <c r="A968" s="491">
        <f t="shared" si="40"/>
        <v>966</v>
      </c>
      <c r="B968" s="127">
        <f t="shared" si="41"/>
        <v>0</v>
      </c>
      <c r="C968" s="595" t="str">
        <f>'dbc''s'!O198</f>
        <v>TV115</v>
      </c>
      <c r="D968" s="592">
        <f>'dbc''s'!P198</f>
        <v>81672</v>
      </c>
      <c r="E968" s="491" t="s">
        <v>1372</v>
      </c>
      <c r="H968" s="608">
        <v>39814</v>
      </c>
    </row>
    <row r="969" spans="1:8" ht="12.75">
      <c r="A969" s="491">
        <f t="shared" si="40"/>
        <v>967</v>
      </c>
      <c r="B969" s="127">
        <f t="shared" si="41"/>
        <v>0</v>
      </c>
      <c r="C969" s="595" t="str">
        <f>'dbc''s'!O199</f>
        <v>TV121</v>
      </c>
      <c r="D969" s="592">
        <f>'dbc''s'!P199</f>
        <v>14490</v>
      </c>
      <c r="E969" s="491" t="s">
        <v>1372</v>
      </c>
      <c r="H969" s="608">
        <v>39814</v>
      </c>
    </row>
    <row r="970" spans="1:8" ht="12.75">
      <c r="A970" s="491">
        <f t="shared" si="40"/>
        <v>968</v>
      </c>
      <c r="B970" s="127">
        <f t="shared" si="41"/>
        <v>0</v>
      </c>
      <c r="C970" s="595" t="str">
        <f>'dbc''s'!O200</f>
        <v>TV122</v>
      </c>
      <c r="D970" s="592">
        <f>'dbc''s'!P200</f>
        <v>33937</v>
      </c>
      <c r="E970" s="491" t="s">
        <v>1372</v>
      </c>
      <c r="H970" s="608">
        <v>39814</v>
      </c>
    </row>
    <row r="971" spans="1:8" ht="12.75">
      <c r="A971" s="491">
        <f t="shared" si="40"/>
        <v>969</v>
      </c>
      <c r="B971" s="127">
        <f t="shared" si="41"/>
        <v>0</v>
      </c>
      <c r="C971" s="595" t="str">
        <f>'dbc''s'!O201</f>
        <v>TV123</v>
      </c>
      <c r="D971" s="592">
        <f>'dbc''s'!P201</f>
        <v>51238</v>
      </c>
      <c r="E971" s="491" t="s">
        <v>1372</v>
      </c>
      <c r="H971" s="608">
        <v>39814</v>
      </c>
    </row>
    <row r="972" spans="1:8" ht="12.75">
      <c r="A972" s="491">
        <f t="shared" si="40"/>
        <v>970</v>
      </c>
      <c r="B972" s="127">
        <f t="shared" si="41"/>
        <v>0</v>
      </c>
      <c r="C972" s="595" t="str">
        <f>'dbc''s'!O202</f>
        <v>TV124</v>
      </c>
      <c r="D972" s="592">
        <f>'dbc''s'!P202</f>
        <v>79628</v>
      </c>
      <c r="E972" s="491" t="s">
        <v>1372</v>
      </c>
      <c r="H972" s="608">
        <v>39814</v>
      </c>
    </row>
    <row r="973" spans="1:8" ht="12.75">
      <c r="A973" s="491">
        <f t="shared" si="40"/>
        <v>971</v>
      </c>
      <c r="B973" s="127">
        <f t="shared" si="41"/>
        <v>0</v>
      </c>
      <c r="C973" s="595" t="str">
        <f>'dbc''s'!O203</f>
        <v>TV125</v>
      </c>
      <c r="D973" s="592">
        <f>'dbc''s'!P203</f>
        <v>123693</v>
      </c>
      <c r="E973" s="491" t="s">
        <v>1372</v>
      </c>
      <c r="H973" s="608">
        <v>39814</v>
      </c>
    </row>
    <row r="974" spans="1:8" ht="12.75">
      <c r="A974" s="491">
        <f t="shared" si="40"/>
        <v>972</v>
      </c>
      <c r="B974" s="127">
        <f t="shared" si="41"/>
        <v>0</v>
      </c>
      <c r="C974" s="595" t="str">
        <f>'dbc''s'!O204</f>
        <v>TV131</v>
      </c>
      <c r="D974" s="592">
        <f>'dbc''s'!P204</f>
        <v>19527</v>
      </c>
      <c r="E974" s="491" t="s">
        <v>1372</v>
      </c>
      <c r="H974" s="608">
        <v>39814</v>
      </c>
    </row>
    <row r="975" spans="1:8" ht="12.75">
      <c r="A975" s="491">
        <f t="shared" si="40"/>
        <v>973</v>
      </c>
      <c r="B975" s="127">
        <f t="shared" si="41"/>
        <v>0</v>
      </c>
      <c r="C975" s="595" t="str">
        <f>'dbc''s'!O205</f>
        <v>TV132</v>
      </c>
      <c r="D975" s="592">
        <f>'dbc''s'!P205</f>
        <v>45735</v>
      </c>
      <c r="E975" s="491" t="s">
        <v>1372</v>
      </c>
      <c r="H975" s="608">
        <v>39814</v>
      </c>
    </row>
    <row r="976" spans="1:8" ht="12.75">
      <c r="A976" s="491">
        <f t="shared" si="40"/>
        <v>974</v>
      </c>
      <c r="B976" s="127">
        <f t="shared" si="41"/>
        <v>0</v>
      </c>
      <c r="C976" s="595" t="str">
        <f>'dbc''s'!O206</f>
        <v>TV133</v>
      </c>
      <c r="D976" s="592">
        <f>'dbc''s'!P206</f>
        <v>69051</v>
      </c>
      <c r="E976" s="491" t="s">
        <v>1372</v>
      </c>
      <c r="H976" s="608">
        <v>39814</v>
      </c>
    </row>
    <row r="977" spans="1:8" ht="12.75">
      <c r="A977" s="491">
        <f t="shared" si="40"/>
        <v>975</v>
      </c>
      <c r="B977" s="127">
        <f t="shared" si="41"/>
        <v>0</v>
      </c>
      <c r="C977" s="595" t="str">
        <f>'dbc''s'!O207</f>
        <v>TV134</v>
      </c>
      <c r="D977" s="592">
        <f>'dbc''s'!P207</f>
        <v>107311</v>
      </c>
      <c r="E977" s="491" t="s">
        <v>1372</v>
      </c>
      <c r="H977" s="608">
        <v>39814</v>
      </c>
    </row>
    <row r="978" spans="1:8" ht="12.75">
      <c r="A978" s="491">
        <f t="shared" si="40"/>
        <v>976</v>
      </c>
      <c r="B978" s="127">
        <f t="shared" si="41"/>
        <v>0</v>
      </c>
      <c r="C978" s="595" t="str">
        <f>'dbc''s'!O208</f>
        <v>TV135</v>
      </c>
      <c r="D978" s="592">
        <f>'dbc''s'!P208</f>
        <v>166696</v>
      </c>
      <c r="E978" s="491" t="s">
        <v>1372</v>
      </c>
      <c r="H978" s="608">
        <v>39814</v>
      </c>
    </row>
    <row r="979" spans="1:8" ht="12.75">
      <c r="A979" s="491">
        <f t="shared" si="40"/>
        <v>977</v>
      </c>
      <c r="B979" s="127">
        <f t="shared" si="41"/>
        <v>0</v>
      </c>
      <c r="C979" s="595" t="str">
        <f>'dbc''s'!O209</f>
        <v>TV141</v>
      </c>
      <c r="D979" s="592">
        <f>'dbc''s'!P209</f>
        <v>21372</v>
      </c>
      <c r="E979" s="491" t="s">
        <v>1372</v>
      </c>
      <c r="H979" s="608">
        <v>39814</v>
      </c>
    </row>
    <row r="980" spans="1:8" ht="12.75">
      <c r="A980" s="491">
        <f t="shared" si="40"/>
        <v>978</v>
      </c>
      <c r="B980" s="127">
        <f t="shared" si="41"/>
        <v>0</v>
      </c>
      <c r="C980" s="595" t="str">
        <f>'dbc''s'!O210</f>
        <v>TV142</v>
      </c>
      <c r="D980" s="592">
        <f>'dbc''s'!P210</f>
        <v>50057</v>
      </c>
      <c r="E980" s="491" t="s">
        <v>1372</v>
      </c>
      <c r="H980" s="608">
        <v>39814</v>
      </c>
    </row>
    <row r="981" spans="1:8" ht="12.75">
      <c r="A981" s="491">
        <f t="shared" si="40"/>
        <v>979</v>
      </c>
      <c r="B981" s="127">
        <f t="shared" si="41"/>
        <v>0</v>
      </c>
      <c r="C981" s="595" t="str">
        <f>'dbc''s'!O211</f>
        <v>TV143</v>
      </c>
      <c r="D981" s="592">
        <f>'dbc''s'!P211</f>
        <v>75575</v>
      </c>
      <c r="E981" s="491" t="s">
        <v>1372</v>
      </c>
      <c r="H981" s="608">
        <v>39814</v>
      </c>
    </row>
    <row r="982" spans="1:8" ht="12.75">
      <c r="A982" s="491">
        <f t="shared" si="40"/>
        <v>980</v>
      </c>
      <c r="B982" s="127">
        <f t="shared" si="41"/>
        <v>0</v>
      </c>
      <c r="C982" s="595" t="str">
        <f>'dbc''s'!O212</f>
        <v>TV144</v>
      </c>
      <c r="D982" s="592">
        <f>'dbc''s'!P212</f>
        <v>117450</v>
      </c>
      <c r="E982" s="491" t="s">
        <v>1372</v>
      </c>
      <c r="H982" s="608">
        <v>39814</v>
      </c>
    </row>
    <row r="983" spans="1:8" ht="12.75">
      <c r="A983" s="491">
        <f t="shared" si="40"/>
        <v>981</v>
      </c>
      <c r="B983" s="127">
        <f t="shared" si="41"/>
        <v>0</v>
      </c>
      <c r="C983" s="595" t="str">
        <f>'dbc''s'!O213</f>
        <v>TV145</v>
      </c>
      <c r="D983" s="592">
        <f>'dbc''s'!P213</f>
        <v>182446</v>
      </c>
      <c r="E983" s="491" t="s">
        <v>1372</v>
      </c>
      <c r="H983" s="608">
        <v>39814</v>
      </c>
    </row>
    <row r="984" spans="1:8" ht="12.75">
      <c r="A984" s="491">
        <f t="shared" si="40"/>
        <v>982</v>
      </c>
      <c r="B984" s="127">
        <f t="shared" si="41"/>
        <v>0</v>
      </c>
      <c r="C984" s="595" t="str">
        <f>'dbc''s'!O214</f>
        <v>TV151</v>
      </c>
      <c r="D984" s="592">
        <f>'dbc''s'!P214</f>
        <v>27432</v>
      </c>
      <c r="E984" s="491" t="s">
        <v>1372</v>
      </c>
      <c r="H984" s="608">
        <v>39814</v>
      </c>
    </row>
    <row r="985" spans="1:8" ht="12.75">
      <c r="A985" s="491">
        <f t="shared" si="40"/>
        <v>983</v>
      </c>
      <c r="B985" s="127">
        <f t="shared" si="41"/>
        <v>0</v>
      </c>
      <c r="C985" s="595" t="str">
        <f>'dbc''s'!O215</f>
        <v>TV152</v>
      </c>
      <c r="D985" s="592">
        <f>'dbc''s'!P215</f>
        <v>64250</v>
      </c>
      <c r="E985" s="491" t="s">
        <v>1372</v>
      </c>
      <c r="H985" s="608">
        <v>39814</v>
      </c>
    </row>
    <row r="986" spans="1:8" ht="12.75">
      <c r="A986" s="491">
        <f t="shared" si="40"/>
        <v>984</v>
      </c>
      <c r="B986" s="127">
        <f t="shared" si="41"/>
        <v>0</v>
      </c>
      <c r="C986" s="595" t="str">
        <f>'dbc''s'!O216</f>
        <v>TV153</v>
      </c>
      <c r="D986" s="592">
        <f>'dbc''s'!P216</f>
        <v>97003</v>
      </c>
      <c r="E986" s="491" t="s">
        <v>1372</v>
      </c>
      <c r="H986" s="608">
        <v>39814</v>
      </c>
    </row>
    <row r="987" spans="1:8" ht="12.75">
      <c r="A987" s="491">
        <f t="shared" si="40"/>
        <v>985</v>
      </c>
      <c r="B987" s="127">
        <f t="shared" si="41"/>
        <v>0</v>
      </c>
      <c r="C987" s="595" t="str">
        <f>'dbc''s'!O218</f>
        <v>TV154</v>
      </c>
      <c r="D987" s="592">
        <f>'dbc''s'!P218</f>
        <v>150751</v>
      </c>
      <c r="E987" s="491" t="s">
        <v>1372</v>
      </c>
      <c r="H987" s="608">
        <v>39814</v>
      </c>
    </row>
    <row r="988" spans="1:8" ht="12.75">
      <c r="A988" s="491">
        <f t="shared" si="40"/>
        <v>986</v>
      </c>
      <c r="B988" s="127">
        <f t="shared" si="41"/>
        <v>0</v>
      </c>
      <c r="C988" s="595" t="str">
        <f>'dbc''s'!O219</f>
        <v>TV155</v>
      </c>
      <c r="D988" s="592">
        <f>'dbc''s'!P219</f>
        <v>234176</v>
      </c>
      <c r="E988" s="491" t="s">
        <v>1372</v>
      </c>
      <c r="H988" s="608">
        <v>39814</v>
      </c>
    </row>
    <row r="989" spans="1:8" ht="12.75">
      <c r="A989" s="491">
        <f t="shared" si="40"/>
        <v>987</v>
      </c>
      <c r="B989" s="127">
        <f t="shared" si="41"/>
        <v>0</v>
      </c>
      <c r="C989" s="595" t="str">
        <f>'dbc''s'!O220</f>
        <v>TV161</v>
      </c>
      <c r="D989" s="592">
        <f>'dbc''s'!P220</f>
        <v>31755</v>
      </c>
      <c r="E989" s="491" t="s">
        <v>1372</v>
      </c>
      <c r="H989" s="608">
        <v>39814</v>
      </c>
    </row>
    <row r="990" spans="1:8" ht="12.75">
      <c r="A990" s="491">
        <f t="shared" si="40"/>
        <v>988</v>
      </c>
      <c r="B990" s="127">
        <f t="shared" si="41"/>
        <v>0</v>
      </c>
      <c r="C990" s="595" t="str">
        <f>'dbc''s'!O221</f>
        <v>TV162</v>
      </c>
      <c r="D990" s="592">
        <f>'dbc''s'!P221</f>
        <v>74375</v>
      </c>
      <c r="E990" s="491" t="s">
        <v>1372</v>
      </c>
      <c r="H990" s="608">
        <v>39814</v>
      </c>
    </row>
    <row r="991" spans="1:8" ht="12.75">
      <c r="A991" s="491">
        <f t="shared" si="40"/>
        <v>989</v>
      </c>
      <c r="B991" s="127">
        <f t="shared" si="41"/>
        <v>0</v>
      </c>
      <c r="C991" s="595" t="str">
        <f>'dbc''s'!O222</f>
        <v>TV163</v>
      </c>
      <c r="D991" s="592">
        <f>'dbc''s'!P222</f>
        <v>112290</v>
      </c>
      <c r="E991" s="491" t="s">
        <v>1372</v>
      </c>
      <c r="H991" s="608">
        <v>39814</v>
      </c>
    </row>
    <row r="992" spans="1:8" ht="12.75">
      <c r="A992" s="491">
        <f t="shared" si="40"/>
        <v>990</v>
      </c>
      <c r="B992" s="127">
        <f t="shared" si="41"/>
        <v>0</v>
      </c>
      <c r="C992" s="595" t="str">
        <f>'dbc''s'!O223</f>
        <v>TV164</v>
      </c>
      <c r="D992" s="592">
        <f>'dbc''s'!P223</f>
        <v>174508</v>
      </c>
      <c r="E992" s="491" t="s">
        <v>1372</v>
      </c>
      <c r="H992" s="608">
        <v>39814</v>
      </c>
    </row>
    <row r="993" spans="1:8" ht="12.75">
      <c r="A993" s="491">
        <f t="shared" si="40"/>
        <v>991</v>
      </c>
      <c r="B993" s="127">
        <f t="shared" si="41"/>
        <v>0</v>
      </c>
      <c r="C993" s="595" t="str">
        <f>'dbc''s'!O224</f>
        <v>TV165</v>
      </c>
      <c r="D993" s="592">
        <f>'dbc''s'!P224</f>
        <v>271079</v>
      </c>
      <c r="E993" s="491" t="s">
        <v>1372</v>
      </c>
      <c r="H993" s="608">
        <v>39814</v>
      </c>
    </row>
    <row r="994" spans="1:8" ht="12.75">
      <c r="A994" s="491">
        <f t="shared" si="40"/>
        <v>992</v>
      </c>
      <c r="B994" s="127">
        <f t="shared" si="41"/>
        <v>0</v>
      </c>
      <c r="C994" s="595" t="str">
        <f>'dbc''s'!O225</f>
        <v>TV171</v>
      </c>
      <c r="D994" s="592">
        <f>'dbc''s'!P225</f>
        <v>35163</v>
      </c>
      <c r="E994" s="491" t="s">
        <v>1372</v>
      </c>
      <c r="H994" s="608">
        <v>39814</v>
      </c>
    </row>
    <row r="995" spans="1:8" ht="12.75">
      <c r="A995" s="491">
        <f t="shared" si="40"/>
        <v>993</v>
      </c>
      <c r="B995" s="127">
        <f t="shared" si="41"/>
        <v>0</v>
      </c>
      <c r="C995" s="595" t="str">
        <f>'dbc''s'!O226</f>
        <v>TV172</v>
      </c>
      <c r="D995" s="592">
        <f>'dbc''s'!P226</f>
        <v>79681</v>
      </c>
      <c r="E995" s="491" t="s">
        <v>1372</v>
      </c>
      <c r="H995" s="608">
        <v>39814</v>
      </c>
    </row>
    <row r="996" spans="1:8" ht="12.75">
      <c r="A996" s="491">
        <f t="shared" si="40"/>
        <v>994</v>
      </c>
      <c r="B996" s="127">
        <f t="shared" si="41"/>
        <v>0</v>
      </c>
      <c r="C996" s="595" t="str">
        <f>'dbc''s'!O227</f>
        <v>TV173</v>
      </c>
      <c r="D996" s="592">
        <f>'dbc''s'!P227</f>
        <v>119620</v>
      </c>
      <c r="E996" s="491" t="s">
        <v>1372</v>
      </c>
      <c r="H996" s="608">
        <v>39814</v>
      </c>
    </row>
    <row r="997" spans="1:8" ht="12.75">
      <c r="A997" s="491">
        <f t="shared" si="40"/>
        <v>995</v>
      </c>
      <c r="B997" s="127">
        <f t="shared" si="41"/>
        <v>0</v>
      </c>
      <c r="C997" s="595" t="str">
        <f>'dbc''s'!O228</f>
        <v>TV174</v>
      </c>
      <c r="D997" s="592">
        <f>'dbc''s'!P228</f>
        <v>183804</v>
      </c>
      <c r="E997" s="491" t="s">
        <v>1372</v>
      </c>
      <c r="H997" s="608">
        <v>39814</v>
      </c>
    </row>
    <row r="998" spans="1:8" ht="12.75">
      <c r="A998" s="491">
        <f t="shared" si="40"/>
        <v>996</v>
      </c>
      <c r="B998" s="127">
        <f t="shared" si="41"/>
        <v>0</v>
      </c>
      <c r="C998" s="595" t="str">
        <f>'dbc''s'!O229</f>
        <v>TV175</v>
      </c>
      <c r="D998" s="592">
        <f>'dbc''s'!P229</f>
        <v>271320</v>
      </c>
      <c r="E998" s="491" t="s">
        <v>1372</v>
      </c>
      <c r="H998" s="608">
        <v>39814</v>
      </c>
    </row>
    <row r="999" spans="3:4" ht="12.75">
      <c r="C999" s="595"/>
      <c r="D999" s="592"/>
    </row>
    <row r="1000" spans="3:4" ht="12.75">
      <c r="C1000" s="595"/>
      <c r="D1000" s="592"/>
    </row>
    <row r="1001" spans="3:4" ht="12.75">
      <c r="C1001" s="595"/>
      <c r="D1001" s="592"/>
    </row>
    <row r="1002" spans="3:4" ht="12.75">
      <c r="C1002" s="595"/>
      <c r="D1002" s="592"/>
    </row>
  </sheetData>
  <sheetProtection password="9487" sheet="1" objects="1" scenarios="1"/>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B1:K59"/>
  <sheetViews>
    <sheetView showGridLines="0" workbookViewId="0" topLeftCell="A1">
      <selection activeCell="C45" sqref="C45"/>
    </sheetView>
  </sheetViews>
  <sheetFormatPr defaultColWidth="9.140625" defaultRowHeight="12.75"/>
  <cols>
    <col min="1" max="1" width="3.140625" style="540" customWidth="1"/>
    <col min="2" max="2" width="42.57421875" style="540" bestFit="1" customWidth="1"/>
    <col min="3" max="3" width="8.7109375" style="540" customWidth="1"/>
    <col min="4" max="4" width="15.00390625" style="540" customWidth="1"/>
    <col min="5" max="5" width="12.7109375" style="540" bestFit="1" customWidth="1"/>
    <col min="6" max="7" width="15.8515625" style="540" customWidth="1"/>
    <col min="8" max="8" width="9.8515625" style="540" bestFit="1" customWidth="1"/>
    <col min="9" max="9" width="12.00390625" style="540" bestFit="1" customWidth="1"/>
    <col min="10" max="10" width="11.140625" style="540" bestFit="1" customWidth="1"/>
    <col min="11" max="11" width="11.28125" style="540" bestFit="1" customWidth="1"/>
    <col min="12" max="16384" width="9.140625" style="540" customWidth="1"/>
  </cols>
  <sheetData>
    <row r="1" spans="7:10" s="532" customFormat="1" ht="12.75">
      <c r="G1" s="532" t="s">
        <v>1374</v>
      </c>
      <c r="J1" s="533" t="s">
        <v>1375</v>
      </c>
    </row>
    <row r="2" spans="2:5" s="532" customFormat="1" ht="12.75">
      <c r="B2" s="598" t="e">
        <f>VLOOKUP(E3,NAW!B2:E199,4,FALSE)</f>
        <v>#N/A</v>
      </c>
      <c r="C2" s="534"/>
      <c r="D2" s="601">
        <v>120</v>
      </c>
      <c r="E2" s="535"/>
    </row>
    <row r="3" spans="2:5" s="532" customFormat="1" ht="12.75">
      <c r="B3" s="536"/>
      <c r="C3" s="537"/>
      <c r="D3" s="599">
        <v>450</v>
      </c>
      <c r="E3" s="600">
        <f>voorblad!F38</f>
        <v>0</v>
      </c>
    </row>
    <row r="5" spans="2:9" ht="12.75">
      <c r="B5" s="538" t="s">
        <v>1376</v>
      </c>
      <c r="C5" s="539"/>
      <c r="H5" s="540" t="s">
        <v>1377</v>
      </c>
      <c r="I5" s="541" t="s">
        <v>1378</v>
      </c>
    </row>
    <row r="6" spans="2:9" ht="12.75">
      <c r="B6" s="542" t="s">
        <v>1379</v>
      </c>
      <c r="D6" s="543"/>
      <c r="E6" s="544"/>
      <c r="F6" s="540" t="s">
        <v>1380</v>
      </c>
      <c r="H6" s="540" t="s">
        <v>1381</v>
      </c>
      <c r="I6" s="540">
        <v>120</v>
      </c>
    </row>
    <row r="7" spans="2:10" ht="12.75">
      <c r="B7" s="545" t="s">
        <v>1382</v>
      </c>
      <c r="C7" s="546"/>
      <c r="D7" s="546"/>
      <c r="E7" s="547"/>
      <c r="F7" s="540" t="s">
        <v>1380</v>
      </c>
      <c r="H7" s="540" t="s">
        <v>1383</v>
      </c>
      <c r="I7" s="540">
        <v>120</v>
      </c>
      <c r="J7" s="540">
        <v>1</v>
      </c>
    </row>
    <row r="8" spans="2:9" ht="12.75">
      <c r="B8" s="545" t="s">
        <v>1384</v>
      </c>
      <c r="C8" s="546"/>
      <c r="D8" s="546"/>
      <c r="E8" s="547"/>
      <c r="F8" s="540" t="s">
        <v>1380</v>
      </c>
      <c r="H8" s="540" t="s">
        <v>1385</v>
      </c>
      <c r="I8" s="540">
        <v>120</v>
      </c>
    </row>
    <row r="9" spans="2:10" ht="12.75">
      <c r="B9" s="545" t="s">
        <v>1386</v>
      </c>
      <c r="C9" s="546"/>
      <c r="D9" s="546"/>
      <c r="E9" s="547"/>
      <c r="F9" s="540" t="s">
        <v>1380</v>
      </c>
      <c r="H9" s="540" t="s">
        <v>1387</v>
      </c>
      <c r="I9" s="540">
        <v>120</v>
      </c>
      <c r="J9" s="548"/>
    </row>
    <row r="10" spans="2:9" ht="12.75">
      <c r="B10" s="545" t="s">
        <v>1388</v>
      </c>
      <c r="C10" s="546"/>
      <c r="D10" s="546"/>
      <c r="E10" s="549"/>
      <c r="F10" s="540" t="s">
        <v>1380</v>
      </c>
      <c r="H10" s="540" t="s">
        <v>1389</v>
      </c>
      <c r="I10" s="540">
        <v>120</v>
      </c>
    </row>
    <row r="11" spans="2:5" ht="12.75">
      <c r="B11" s="545" t="s">
        <v>1431</v>
      </c>
      <c r="C11" s="546"/>
      <c r="D11" s="546"/>
      <c r="E11" s="550">
        <f>SUM(E6:E10)</f>
        <v>0</v>
      </c>
    </row>
    <row r="12" spans="2:5" ht="12.75">
      <c r="B12" s="545"/>
      <c r="C12" s="546"/>
      <c r="D12" s="546"/>
      <c r="E12" s="551"/>
    </row>
    <row r="13" spans="2:9" ht="12.75">
      <c r="B13" s="545" t="s">
        <v>1390</v>
      </c>
      <c r="C13" s="546"/>
      <c r="D13" s="546"/>
      <c r="E13" s="547"/>
      <c r="F13" s="540" t="s">
        <v>1391</v>
      </c>
      <c r="H13" s="540" t="s">
        <v>1392</v>
      </c>
      <c r="I13" s="540">
        <v>120</v>
      </c>
    </row>
    <row r="14" spans="2:9" ht="12.75">
      <c r="B14" s="545" t="s">
        <v>1393</v>
      </c>
      <c r="C14" s="546"/>
      <c r="D14" s="546"/>
      <c r="E14" s="547"/>
      <c r="F14" s="540" t="s">
        <v>1391</v>
      </c>
      <c r="H14" s="540" t="s">
        <v>1394</v>
      </c>
      <c r="I14" s="540">
        <v>120</v>
      </c>
    </row>
    <row r="15" spans="2:9" ht="12.75">
      <c r="B15" s="545" t="s">
        <v>1395</v>
      </c>
      <c r="C15" s="546"/>
      <c r="D15" s="546"/>
      <c r="E15" s="549"/>
      <c r="F15" s="540" t="s">
        <v>1391</v>
      </c>
      <c r="H15" s="540" t="s">
        <v>1396</v>
      </c>
      <c r="I15" s="540">
        <v>120</v>
      </c>
    </row>
    <row r="16" spans="2:10" ht="12.75">
      <c r="B16" s="545" t="s">
        <v>1432</v>
      </c>
      <c r="C16" s="546"/>
      <c r="D16" s="546"/>
      <c r="E16" s="550">
        <f>SUM(E11:E15)</f>
        <v>0</v>
      </c>
      <c r="H16" s="603" t="s">
        <v>1397</v>
      </c>
      <c r="I16" s="540">
        <v>450</v>
      </c>
      <c r="J16" s="552">
        <f>ROUND(E16*E19,0)</f>
        <v>0</v>
      </c>
    </row>
    <row r="17" spans="2:10" ht="12.75">
      <c r="B17" s="545" t="s">
        <v>1398</v>
      </c>
      <c r="C17" s="546"/>
      <c r="D17" s="546"/>
      <c r="E17" s="553"/>
      <c r="F17" s="540" t="s">
        <v>1391</v>
      </c>
      <c r="H17" s="603" t="s">
        <v>1399</v>
      </c>
      <c r="I17" s="540">
        <v>450</v>
      </c>
      <c r="J17" s="552">
        <f>ROUND(E17*E19,0)</f>
        <v>0</v>
      </c>
    </row>
    <row r="18" spans="2:10" ht="13.5" thickBot="1">
      <c r="B18" s="545" t="s">
        <v>1400</v>
      </c>
      <c r="C18" s="546"/>
      <c r="D18" s="546"/>
      <c r="E18" s="554">
        <f>SUM(E16:E17)</f>
        <v>0</v>
      </c>
      <c r="J18" s="555">
        <f>SUM(J16:J17)</f>
        <v>0</v>
      </c>
    </row>
    <row r="19" spans="2:6" ht="13.5" thickTop="1">
      <c r="B19" s="545" t="s">
        <v>1401</v>
      </c>
      <c r="C19" s="546"/>
      <c r="D19" s="546"/>
      <c r="E19" s="556"/>
      <c r="F19" s="540" t="s">
        <v>1391</v>
      </c>
    </row>
    <row r="20" spans="2:6" ht="12.75">
      <c r="B20" s="545" t="s">
        <v>1402</v>
      </c>
      <c r="C20" s="546"/>
      <c r="D20" s="546"/>
      <c r="E20" s="557">
        <f>E18*E19</f>
        <v>0</v>
      </c>
      <c r="F20" s="540" t="s">
        <v>1403</v>
      </c>
    </row>
    <row r="21" spans="2:5" ht="12.75">
      <c r="B21" s="545"/>
      <c r="C21" s="546"/>
      <c r="D21" s="546"/>
      <c r="E21" s="558"/>
    </row>
    <row r="22" spans="2:5" ht="12.75">
      <c r="B22" s="545" t="s">
        <v>1433</v>
      </c>
      <c r="C22" s="546"/>
      <c r="D22" s="559"/>
      <c r="E22" s="558"/>
    </row>
    <row r="23" spans="2:5" ht="12.75">
      <c r="B23" s="560"/>
      <c r="C23" s="561"/>
      <c r="D23" s="561"/>
      <c r="E23" s="562"/>
    </row>
    <row r="26" ht="12.75">
      <c r="B26" s="602" t="s">
        <v>1404</v>
      </c>
    </row>
    <row r="27" spans="2:6" ht="12.75">
      <c r="B27" s="563" t="s">
        <v>1405</v>
      </c>
      <c r="C27" s="564"/>
      <c r="D27" s="565"/>
      <c r="E27" s="566"/>
      <c r="F27" s="548"/>
    </row>
    <row r="28" spans="2:6" ht="12.75">
      <c r="B28" s="567" t="s">
        <v>1406</v>
      </c>
      <c r="C28" s="568"/>
      <c r="D28" s="569"/>
      <c r="E28" s="570">
        <f>'0000'!H281</f>
        <v>0</v>
      </c>
      <c r="F28" s="548" t="s">
        <v>1434</v>
      </c>
    </row>
    <row r="29" spans="2:6" ht="12.75">
      <c r="B29" s="545" t="s">
        <v>1407</v>
      </c>
      <c r="C29" s="546"/>
      <c r="D29" s="559"/>
      <c r="E29" s="571">
        <f>'0000'!H282</f>
        <v>0</v>
      </c>
      <c r="F29" s="548" t="s">
        <v>1435</v>
      </c>
    </row>
    <row r="30" spans="2:6" ht="12.75">
      <c r="B30" s="545" t="s">
        <v>1408</v>
      </c>
      <c r="C30" s="546"/>
      <c r="D30" s="559"/>
      <c r="E30" s="572">
        <f>'0000'!H283</f>
        <v>0</v>
      </c>
      <c r="F30" s="548" t="s">
        <v>1436</v>
      </c>
    </row>
    <row r="31" spans="2:6" ht="12.75">
      <c r="B31" s="545"/>
      <c r="C31" s="546"/>
      <c r="D31" s="559"/>
      <c r="E31" s="550">
        <f>SUM(E28:E30)</f>
        <v>0</v>
      </c>
      <c r="F31" s="548"/>
    </row>
    <row r="32" spans="2:5" ht="12.75">
      <c r="B32" s="545"/>
      <c r="C32" s="546"/>
      <c r="D32" s="559"/>
      <c r="E32" s="551"/>
    </row>
    <row r="33" spans="2:5" ht="12.75">
      <c r="B33" s="545"/>
      <c r="C33" s="546" t="s">
        <v>1409</v>
      </c>
      <c r="D33" s="559"/>
      <c r="E33" s="551">
        <f>-E58</f>
        <v>0</v>
      </c>
    </row>
    <row r="34" spans="2:5" ht="12.75">
      <c r="B34" s="545"/>
      <c r="C34" s="597" t="s">
        <v>1410</v>
      </c>
      <c r="D34" s="559"/>
      <c r="E34" s="549"/>
    </row>
    <row r="35" spans="2:5" ht="13.5" thickBot="1">
      <c r="B35" s="545"/>
      <c r="C35" s="546"/>
      <c r="D35" s="559"/>
      <c r="E35" s="554">
        <f>SUM(E31:E34)</f>
        <v>0</v>
      </c>
    </row>
    <row r="36" spans="2:5" ht="13.5" thickTop="1">
      <c r="B36" s="545"/>
      <c r="C36" s="546"/>
      <c r="D36" s="559"/>
      <c r="E36" s="550"/>
    </row>
    <row r="37" spans="2:6" ht="12.75">
      <c r="B37" s="545" t="s">
        <v>1411</v>
      </c>
      <c r="C37" s="573">
        <f>'0000'!G297</f>
        <v>0</v>
      </c>
      <c r="D37" s="559"/>
      <c r="E37" s="551">
        <f>E35*C37</f>
        <v>0</v>
      </c>
      <c r="F37" s="540" t="s">
        <v>1437</v>
      </c>
    </row>
    <row r="38" spans="2:6" ht="12.75">
      <c r="B38" s="545" t="s">
        <v>1412</v>
      </c>
      <c r="C38" s="546"/>
      <c r="D38" s="559"/>
      <c r="E38" s="572">
        <f>-'0000'!H291</f>
        <v>0</v>
      </c>
      <c r="F38" s="548" t="s">
        <v>1413</v>
      </c>
    </row>
    <row r="39" spans="2:5" ht="12.75">
      <c r="B39" s="545"/>
      <c r="C39" s="546"/>
      <c r="D39" s="559"/>
      <c r="E39" s="550">
        <f>E37+E38</f>
        <v>0</v>
      </c>
    </row>
    <row r="40" spans="2:5" ht="12.75">
      <c r="B40" s="545" t="s">
        <v>1414</v>
      </c>
      <c r="C40" s="574"/>
      <c r="D40" s="559"/>
      <c r="E40" s="551"/>
    </row>
    <row r="41" spans="2:6" ht="12.75">
      <c r="B41" s="545" t="s">
        <v>1415</v>
      </c>
      <c r="C41" s="574"/>
      <c r="D41" s="575">
        <f>'dbc''s'!H230</f>
        <v>0</v>
      </c>
      <c r="E41" s="551"/>
      <c r="F41" s="548" t="s">
        <v>1416</v>
      </c>
    </row>
    <row r="42" spans="2:6" ht="12.75">
      <c r="B42" s="545" t="s">
        <v>1417</v>
      </c>
      <c r="C42" s="574"/>
      <c r="D42" s="575">
        <f>'dbc''s'!H154</f>
        <v>0</v>
      </c>
      <c r="E42" s="576">
        <f>-(D42+D41)</f>
        <v>0</v>
      </c>
      <c r="F42" s="548" t="s">
        <v>1418</v>
      </c>
    </row>
    <row r="43" spans="2:5" ht="13.5" thickBot="1">
      <c r="B43" s="545" t="s">
        <v>1419</v>
      </c>
      <c r="C43" s="574"/>
      <c r="D43" s="559"/>
      <c r="E43" s="554">
        <f>E42+E39</f>
        <v>0</v>
      </c>
    </row>
    <row r="44" spans="2:5" ht="13.5" thickTop="1">
      <c r="B44" s="545"/>
      <c r="C44" s="574"/>
      <c r="D44" s="559"/>
      <c r="E44" s="550"/>
    </row>
    <row r="45" spans="2:5" ht="12.75">
      <c r="B45" s="545" t="s">
        <v>1420</v>
      </c>
      <c r="C45" s="574">
        <f>IF(E42=0,0,E39/-E42-1)</f>
        <v>0</v>
      </c>
      <c r="D45" s="559">
        <f>-E42</f>
        <v>0</v>
      </c>
      <c r="E45" s="577">
        <f>D45*C45</f>
        <v>0</v>
      </c>
    </row>
    <row r="46" spans="2:5" ht="12.75">
      <c r="B46" s="545" t="s">
        <v>1421</v>
      </c>
      <c r="C46" s="531">
        <f>IF(D46=0,0,E46/D46)</f>
        <v>0</v>
      </c>
      <c r="D46" s="559">
        <f>D42+D41-E38</f>
        <v>0</v>
      </c>
      <c r="E46" s="551">
        <f>E43</f>
        <v>0</v>
      </c>
    </row>
    <row r="47" spans="2:5" ht="12.75">
      <c r="B47" s="578" t="s">
        <v>1422</v>
      </c>
      <c r="C47" s="579"/>
      <c r="D47" s="580"/>
      <c r="E47" s="581"/>
    </row>
    <row r="48" spans="2:5" ht="12.75">
      <c r="B48" s="560"/>
      <c r="C48" s="561"/>
      <c r="D48" s="561"/>
      <c r="E48" s="562"/>
    </row>
    <row r="52" spans="2:11" ht="12.75">
      <c r="B52" s="538" t="s">
        <v>1423</v>
      </c>
      <c r="I52" s="541" t="s">
        <v>1424</v>
      </c>
      <c r="J52" s="541" t="s">
        <v>1425</v>
      </c>
      <c r="K52" s="541" t="s">
        <v>409</v>
      </c>
    </row>
    <row r="53" spans="2:11" ht="12.75">
      <c r="B53" s="563" t="s">
        <v>1426</v>
      </c>
      <c r="C53" s="564"/>
      <c r="D53" s="565"/>
      <c r="E53" s="582">
        <f>J16</f>
        <v>0</v>
      </c>
      <c r="H53" s="552" t="s">
        <v>266</v>
      </c>
      <c r="I53" s="552">
        <f>E28</f>
        <v>0</v>
      </c>
      <c r="J53" s="540">
        <v>0</v>
      </c>
      <c r="K53" s="552">
        <f>I53+J53</f>
        <v>0</v>
      </c>
    </row>
    <row r="54" spans="2:11" ht="12.75">
      <c r="B54" s="567"/>
      <c r="C54" s="568"/>
      <c r="D54" s="569"/>
      <c r="E54" s="550"/>
      <c r="H54" s="552" t="s">
        <v>1427</v>
      </c>
      <c r="I54" s="552">
        <f>D41</f>
        <v>0</v>
      </c>
      <c r="J54" s="552">
        <f>D42</f>
        <v>0</v>
      </c>
      <c r="K54" s="552">
        <f>I54+J54</f>
        <v>0</v>
      </c>
    </row>
    <row r="55" spans="2:11" ht="12.75">
      <c r="B55" s="545" t="s">
        <v>1428</v>
      </c>
      <c r="C55" s="546">
        <v>1.148</v>
      </c>
      <c r="D55" s="559">
        <f>D41</f>
        <v>0</v>
      </c>
      <c r="E55" s="551">
        <f>D55/C55-D55</f>
        <v>0</v>
      </c>
      <c r="I55" s="552">
        <f>I53-I54</f>
        <v>0</v>
      </c>
      <c r="J55" s="552">
        <f>J53-J54</f>
        <v>0</v>
      </c>
      <c r="K55" s="552">
        <f>K53-K54</f>
        <v>0</v>
      </c>
    </row>
    <row r="56" spans="2:11" ht="12.75">
      <c r="B56" s="578" t="s">
        <v>1429</v>
      </c>
      <c r="C56" s="579">
        <v>1.078</v>
      </c>
      <c r="D56" s="580">
        <f>D42</f>
        <v>0</v>
      </c>
      <c r="E56" s="577">
        <f>D56/C56-D56</f>
        <v>0</v>
      </c>
      <c r="H56" s="583">
        <f>I56+K56</f>
        <v>0</v>
      </c>
      <c r="I56" s="583">
        <f>IF(I55&gt;0,1,0)</f>
        <v>0</v>
      </c>
      <c r="J56" s="583"/>
      <c r="K56" s="583">
        <f>IF(K55&lt;0,1,0)</f>
        <v>0</v>
      </c>
    </row>
    <row r="57" spans="2:5" ht="12.75">
      <c r="B57" s="578" t="s">
        <v>1430</v>
      </c>
      <c r="C57" s="579">
        <v>1.078</v>
      </c>
      <c r="D57" s="580">
        <f>IF(H56=2,K55,0)</f>
        <v>0</v>
      </c>
      <c r="E57" s="577">
        <f>D57/C57-D57</f>
        <v>0</v>
      </c>
    </row>
    <row r="58" spans="2:5" ht="13.5" thickBot="1">
      <c r="B58" s="545"/>
      <c r="C58" s="546"/>
      <c r="D58" s="584">
        <f>SUM(D55:D57)</f>
        <v>0</v>
      </c>
      <c r="E58" s="554">
        <f>SUM(E53:E57)</f>
        <v>0</v>
      </c>
    </row>
    <row r="59" spans="2:5" ht="13.5" thickTop="1">
      <c r="B59" s="560"/>
      <c r="C59" s="561"/>
      <c r="D59" s="561"/>
      <c r="E59" s="562"/>
    </row>
  </sheetData>
  <sheetProtection password="9487" sheet="1" objects="1" scenarios="1"/>
  <conditionalFormatting sqref="J7">
    <cfRule type="cellIs" priority="1" dxfId="16" operator="equal" stopIfTrue="1">
      <formula>1</formula>
    </cfRule>
  </conditionalFormatting>
  <conditionalFormatting sqref="E34 E2 E6:E10 E13:E15 E17 E19">
    <cfRule type="expression" priority="2" dxfId="2" stopIfTrue="1">
      <formula>$J$1="j"</formula>
    </cfRule>
  </conditionalFormatting>
  <dataValidations count="2">
    <dataValidation type="whole" operator="lessThan" allowBlank="1" showInputMessage="1" showErrorMessage="1" sqref="E10 E38">
      <formula1>0</formula1>
    </dataValidation>
    <dataValidation type="whole" operator="greaterThan" allowBlank="1" showInputMessage="1" showErrorMessage="1" sqref="D41:D42">
      <formula1>0</formula1>
    </dataValidation>
  </dataValidations>
  <printOptions/>
  <pageMargins left="0.75" right="0.75" top="1" bottom="1" header="0.5" footer="0.5"/>
  <pageSetup horizontalDpi="1200" verticalDpi="12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2:T103"/>
  <sheetViews>
    <sheetView showGridLines="0" tabSelected="1" workbookViewId="0" topLeftCell="A1">
      <selection activeCell="K42" sqref="K42:N42"/>
    </sheetView>
  </sheetViews>
  <sheetFormatPr defaultColWidth="9.140625" defaultRowHeight="12.75"/>
  <cols>
    <col min="1" max="1" width="8.57421875" style="90" customWidth="1"/>
    <col min="2" max="2" width="9.140625" style="90" customWidth="1"/>
    <col min="3" max="3" width="8.28125" style="90" customWidth="1"/>
    <col min="4" max="4" width="14.8515625" style="90" customWidth="1"/>
    <col min="5" max="5" width="15.57421875" style="90" customWidth="1"/>
    <col min="6" max="6" width="16.8515625" style="90" customWidth="1"/>
    <col min="7" max="7" width="10.00390625" style="90" customWidth="1"/>
    <col min="8" max="8" width="11.140625" style="90" bestFit="1" customWidth="1"/>
    <col min="9" max="9" width="8.7109375" style="90" customWidth="1"/>
    <col min="10" max="10" width="6.00390625" style="90" customWidth="1"/>
    <col min="11" max="11" width="9.28125" style="90" customWidth="1"/>
    <col min="12" max="12" width="14.28125" style="90" customWidth="1"/>
    <col min="13" max="13" width="11.8515625" style="90" customWidth="1"/>
    <col min="14" max="14" width="10.28125" style="90" customWidth="1"/>
    <col min="15" max="15" width="9.140625" style="90" customWidth="1"/>
    <col min="16" max="16" width="5.28125" style="90" hidden="1" customWidth="1"/>
    <col min="17" max="18" width="52.28125" style="90" hidden="1" customWidth="1"/>
    <col min="19" max="19" width="33.140625" style="90" hidden="1" customWidth="1"/>
    <col min="20" max="20" width="164.57421875" style="90" hidden="1" customWidth="1"/>
    <col min="21" max="21" width="9.7109375" style="90" customWidth="1"/>
    <col min="22" max="16384" width="9.140625" style="90" customWidth="1"/>
  </cols>
  <sheetData>
    <row r="1" ht="11.25"/>
    <row r="2" spans="1:14" ht="12" customHeight="1">
      <c r="A2" s="142"/>
      <c r="B2" s="130"/>
      <c r="C2" s="130"/>
      <c r="D2" s="130"/>
      <c r="E2" s="130"/>
      <c r="F2" s="130"/>
      <c r="G2" s="131"/>
      <c r="K2" s="132"/>
      <c r="L2" s="132"/>
      <c r="M2" s="131"/>
      <c r="N2" s="131"/>
    </row>
    <row r="3" spans="1:14" ht="24" customHeight="1">
      <c r="A3" s="660" t="s">
        <v>1072</v>
      </c>
      <c r="B3" s="83"/>
      <c r="C3" s="83"/>
      <c r="D3" s="83"/>
      <c r="E3" s="83"/>
      <c r="F3" s="134"/>
      <c r="G3" s="635">
        <f>G6</f>
        <v>0</v>
      </c>
      <c r="K3" s="97"/>
      <c r="L3" s="97"/>
      <c r="M3" s="133"/>
      <c r="N3" s="133"/>
    </row>
    <row r="4" spans="1:14" ht="32.25" customHeight="1">
      <c r="A4" s="636">
        <v>3</v>
      </c>
      <c r="B4" s="137"/>
      <c r="C4" s="137"/>
      <c r="D4" s="228"/>
      <c r="E4" s="135"/>
      <c r="F4" s="136"/>
      <c r="G4" s="509"/>
      <c r="J4" s="86"/>
      <c r="K4" s="137"/>
      <c r="L4" s="137"/>
      <c r="M4" s="138"/>
      <c r="N4" s="138"/>
    </row>
    <row r="5" spans="1:14" ht="36" customHeight="1">
      <c r="A5" s="719" t="str">
        <f>LOOKUP(A4,P17:R20)</f>
        <v>Mutatieformulier ZVW budget en DBC's GGZ</v>
      </c>
      <c r="B5" s="720"/>
      <c r="C5" s="720"/>
      <c r="D5" s="721"/>
      <c r="E5" s="224">
        <v>2009</v>
      </c>
      <c r="F5" s="722" t="str">
        <f>LOOKUP(A4,P17:S20)</f>
        <v>Inzenden vóór 15 september 2009</v>
      </c>
      <c r="G5" s="723"/>
      <c r="H5" s="723"/>
      <c r="I5" s="723"/>
      <c r="J5" s="723"/>
      <c r="K5" s="139"/>
      <c r="L5" s="140" t="s">
        <v>1581</v>
      </c>
      <c r="M5" s="724">
        <v>40001</v>
      </c>
      <c r="N5" s="725"/>
    </row>
    <row r="6" spans="1:14" ht="17.25" customHeight="1">
      <c r="A6" s="726" t="str">
        <f>LOOKUP(A4,P17:T21)</f>
        <v>Hiernaast geeft u de datum van ingang aan, in het formulier vermeldt u alleen de wijzigingen: bv in kolom II onderdeel verpleegdagen op regel 2 het aantal dagen op kasbasis</v>
      </c>
      <c r="B6" s="727"/>
      <c r="C6" s="727"/>
      <c r="D6" s="727"/>
      <c r="E6" s="727"/>
      <c r="F6" s="727"/>
      <c r="G6" s="141"/>
      <c r="H6" s="273"/>
      <c r="I6" s="115"/>
      <c r="J6" s="115"/>
      <c r="K6" s="115"/>
      <c r="L6" s="274" t="s">
        <v>1745</v>
      </c>
      <c r="M6" s="275"/>
      <c r="N6" s="510">
        <f>R31</f>
        <v>40072</v>
      </c>
    </row>
    <row r="7" spans="1:14" ht="18" customHeight="1">
      <c r="A7" s="727"/>
      <c r="B7" s="727"/>
      <c r="C7" s="727"/>
      <c r="D7" s="727"/>
      <c r="E7" s="727"/>
      <c r="F7" s="727"/>
      <c r="G7" s="141"/>
      <c r="H7" s="115"/>
      <c r="I7" s="115"/>
      <c r="J7" s="115"/>
      <c r="K7" s="115"/>
      <c r="L7" s="728" t="s">
        <v>683</v>
      </c>
      <c r="M7" s="729"/>
      <c r="N7" s="730"/>
    </row>
    <row r="8" spans="1:14" ht="26.25" customHeight="1">
      <c r="A8" s="358" t="s">
        <v>648</v>
      </c>
      <c r="B8" s="97"/>
      <c r="C8" s="133"/>
      <c r="D8" s="133"/>
      <c r="E8" s="133"/>
      <c r="F8" s="511"/>
      <c r="G8" s="134"/>
      <c r="H8" s="134"/>
      <c r="I8" s="137"/>
      <c r="J8" s="137"/>
      <c r="K8" s="137"/>
      <c r="L8" s="731"/>
      <c r="M8" s="732"/>
      <c r="N8" s="733"/>
    </row>
    <row r="9" spans="1:14" ht="30" customHeight="1">
      <c r="A9" s="142"/>
      <c r="B9" s="713" t="s">
        <v>81</v>
      </c>
      <c r="C9" s="714"/>
      <c r="D9" s="714"/>
      <c r="E9" s="714"/>
      <c r="F9" s="714"/>
      <c r="G9" s="714"/>
      <c r="H9" s="714"/>
      <c r="I9" s="714"/>
      <c r="J9" s="714"/>
      <c r="K9" s="714"/>
      <c r="L9" s="714"/>
      <c r="M9" s="714"/>
      <c r="N9" s="143"/>
    </row>
    <row r="10" spans="1:14" ht="6" customHeight="1" thickBot="1">
      <c r="A10" s="144"/>
      <c r="B10" s="144"/>
      <c r="C10" s="144"/>
      <c r="D10" s="144"/>
      <c r="E10" s="144"/>
      <c r="F10" s="144"/>
      <c r="G10" s="144"/>
      <c r="H10" s="144"/>
      <c r="I10" s="144"/>
      <c r="J10" s="144"/>
      <c r="K10" s="144"/>
      <c r="L10" s="144"/>
      <c r="M10" s="144"/>
      <c r="N10" s="144"/>
    </row>
    <row r="11" spans="1:17" ht="11.25">
      <c r="A11" s="133"/>
      <c r="B11" s="145"/>
      <c r="C11" s="146" t="s">
        <v>1681</v>
      </c>
      <c r="D11" s="147"/>
      <c r="E11" s="147"/>
      <c r="F11" s="147"/>
      <c r="G11" s="147"/>
      <c r="H11" s="147"/>
      <c r="I11" s="148"/>
      <c r="J11" s="148"/>
      <c r="K11" s="148"/>
      <c r="L11" s="148"/>
      <c r="M11" s="149"/>
      <c r="N11" s="133"/>
      <c r="P11" s="150" t="s">
        <v>259</v>
      </c>
      <c r="Q11" s="151" t="s">
        <v>260</v>
      </c>
    </row>
    <row r="12" spans="1:17" ht="11.25">
      <c r="A12" s="133"/>
      <c r="B12" s="152"/>
      <c r="D12" s="134"/>
      <c r="E12" s="134"/>
      <c r="F12" s="134"/>
      <c r="G12" s="134"/>
      <c r="H12" s="134"/>
      <c r="I12" s="137"/>
      <c r="J12" s="137"/>
      <c r="K12" s="137"/>
      <c r="L12" s="137"/>
      <c r="M12" s="153"/>
      <c r="N12" s="133"/>
      <c r="P12" s="154">
        <v>1</v>
      </c>
      <c r="Q12" s="155" t="s">
        <v>1884</v>
      </c>
    </row>
    <row r="13" spans="1:17" ht="12.75" customHeight="1">
      <c r="A13" s="133"/>
      <c r="B13" s="152"/>
      <c r="C13" s="134"/>
      <c r="D13" s="716" t="s">
        <v>682</v>
      </c>
      <c r="E13" s="717"/>
      <c r="F13" s="717"/>
      <c r="G13" s="717"/>
      <c r="H13" s="717"/>
      <c r="I13" s="717"/>
      <c r="J13" s="717"/>
      <c r="K13" s="717"/>
      <c r="L13" s="717"/>
      <c r="M13" s="153"/>
      <c r="N13" s="133"/>
      <c r="P13" s="154">
        <v>2</v>
      </c>
      <c r="Q13" s="155" t="s">
        <v>261</v>
      </c>
    </row>
    <row r="14" spans="1:17" ht="11.25">
      <c r="A14" s="133"/>
      <c r="B14" s="152"/>
      <c r="C14" s="134"/>
      <c r="D14" s="716"/>
      <c r="E14" s="717"/>
      <c r="F14" s="717"/>
      <c r="G14" s="717"/>
      <c r="H14" s="717"/>
      <c r="I14" s="717"/>
      <c r="J14" s="717"/>
      <c r="K14" s="717"/>
      <c r="L14" s="717"/>
      <c r="M14" s="153"/>
      <c r="N14" s="133"/>
      <c r="P14" s="156">
        <v>3</v>
      </c>
      <c r="Q14" s="157" t="s">
        <v>262</v>
      </c>
    </row>
    <row r="15" spans="1:14" ht="11.25">
      <c r="A15" s="133"/>
      <c r="B15" s="152"/>
      <c r="C15" s="134"/>
      <c r="D15" s="716"/>
      <c r="E15" s="717"/>
      <c r="F15" s="717"/>
      <c r="G15" s="717"/>
      <c r="H15" s="717"/>
      <c r="I15" s="717"/>
      <c r="J15" s="717"/>
      <c r="K15" s="717"/>
      <c r="L15" s="717"/>
      <c r="M15" s="153"/>
      <c r="N15" s="133"/>
    </row>
    <row r="16" spans="1:20" ht="11.25">
      <c r="A16" s="133"/>
      <c r="B16" s="152"/>
      <c r="D16" s="717"/>
      <c r="E16" s="717"/>
      <c r="F16" s="717"/>
      <c r="G16" s="717"/>
      <c r="H16" s="717"/>
      <c r="I16" s="717"/>
      <c r="J16" s="717"/>
      <c r="K16" s="717"/>
      <c r="L16" s="717"/>
      <c r="M16" s="153"/>
      <c r="N16" s="133"/>
      <c r="P16" s="150" t="s">
        <v>259</v>
      </c>
      <c r="Q16" s="151" t="s">
        <v>527</v>
      </c>
      <c r="R16" s="151" t="s">
        <v>528</v>
      </c>
      <c r="S16" s="151" t="s">
        <v>529</v>
      </c>
      <c r="T16" s="151" t="s">
        <v>530</v>
      </c>
    </row>
    <row r="17" spans="1:20" ht="11.25">
      <c r="A17" s="133"/>
      <c r="B17" s="152"/>
      <c r="C17" s="134"/>
      <c r="D17" s="717"/>
      <c r="E17" s="717"/>
      <c r="F17" s="717"/>
      <c r="G17" s="717"/>
      <c r="H17" s="717"/>
      <c r="I17" s="717"/>
      <c r="J17" s="717"/>
      <c r="K17" s="717"/>
      <c r="L17" s="717"/>
      <c r="M17" s="153"/>
      <c r="N17" s="133"/>
      <c r="P17" s="155">
        <v>1</v>
      </c>
      <c r="Q17" s="155" t="s">
        <v>465</v>
      </c>
      <c r="R17" s="155" t="s">
        <v>1685</v>
      </c>
      <c r="S17" s="155" t="s">
        <v>1685</v>
      </c>
      <c r="T17" s="155" t="s">
        <v>1685</v>
      </c>
    </row>
    <row r="18" spans="1:20" ht="12.75" customHeight="1">
      <c r="A18" s="133"/>
      <c r="B18" s="152"/>
      <c r="C18" s="134"/>
      <c r="D18" s="716" t="s">
        <v>227</v>
      </c>
      <c r="E18" s="717"/>
      <c r="F18" s="717"/>
      <c r="G18" s="717"/>
      <c r="H18" s="717"/>
      <c r="I18" s="717"/>
      <c r="J18" s="717"/>
      <c r="K18" s="717"/>
      <c r="L18" s="717"/>
      <c r="M18" s="153"/>
      <c r="N18" s="133"/>
      <c r="P18" s="155">
        <v>2</v>
      </c>
      <c r="Q18" s="155"/>
      <c r="R18" s="155"/>
      <c r="S18" s="155"/>
      <c r="T18" s="155" t="s">
        <v>1685</v>
      </c>
    </row>
    <row r="19" spans="1:20" ht="11.25">
      <c r="A19" s="133"/>
      <c r="B19" s="152"/>
      <c r="C19" s="134"/>
      <c r="D19" s="716"/>
      <c r="E19" s="717"/>
      <c r="F19" s="717"/>
      <c r="G19" s="717"/>
      <c r="H19" s="717"/>
      <c r="I19" s="717"/>
      <c r="J19" s="717"/>
      <c r="K19" s="717"/>
      <c r="L19" s="717"/>
      <c r="M19" s="153"/>
      <c r="N19" s="133"/>
      <c r="P19" s="155">
        <v>3</v>
      </c>
      <c r="Q19" s="155" t="s">
        <v>356</v>
      </c>
      <c r="R19" s="155" t="s">
        <v>356</v>
      </c>
      <c r="S19" s="488" t="s">
        <v>1806</v>
      </c>
      <c r="T19" s="86" t="s">
        <v>1920</v>
      </c>
    </row>
    <row r="20" spans="1:20" ht="11.25">
      <c r="A20" s="133"/>
      <c r="B20" s="152"/>
      <c r="C20" s="134"/>
      <c r="D20" s="716"/>
      <c r="E20" s="717"/>
      <c r="F20" s="717"/>
      <c r="G20" s="717"/>
      <c r="H20" s="717"/>
      <c r="I20" s="717"/>
      <c r="J20" s="717"/>
      <c r="K20" s="717"/>
      <c r="L20" s="717"/>
      <c r="M20" s="153"/>
      <c r="N20" s="133"/>
      <c r="P20" s="157">
        <v>4</v>
      </c>
      <c r="Q20" s="157"/>
      <c r="R20" s="157"/>
      <c r="S20" s="157"/>
      <c r="T20" s="157"/>
    </row>
    <row r="21" spans="1:14" ht="11.25">
      <c r="A21" s="133"/>
      <c r="B21" s="152"/>
      <c r="C21" s="134"/>
      <c r="D21" s="717"/>
      <c r="E21" s="717"/>
      <c r="F21" s="717"/>
      <c r="G21" s="717"/>
      <c r="H21" s="717"/>
      <c r="I21" s="717"/>
      <c r="J21" s="717"/>
      <c r="K21" s="717"/>
      <c r="L21" s="717"/>
      <c r="M21" s="153"/>
      <c r="N21" s="133"/>
    </row>
    <row r="22" spans="1:14" ht="11.25" customHeight="1">
      <c r="A22" s="133"/>
      <c r="B22" s="152"/>
      <c r="C22" s="134"/>
      <c r="D22" s="717"/>
      <c r="E22" s="717"/>
      <c r="F22" s="717"/>
      <c r="G22" s="717"/>
      <c r="H22" s="717"/>
      <c r="I22" s="717"/>
      <c r="J22" s="717"/>
      <c r="K22" s="717"/>
      <c r="L22" s="717"/>
      <c r="M22" s="153"/>
      <c r="N22" s="133"/>
    </row>
    <row r="23" spans="1:14" ht="11.25" customHeight="1">
      <c r="A23" s="133"/>
      <c r="B23" s="152"/>
      <c r="C23" s="134"/>
      <c r="D23" s="718"/>
      <c r="E23" s="718"/>
      <c r="F23" s="718"/>
      <c r="G23" s="718"/>
      <c r="H23" s="718"/>
      <c r="I23" s="718"/>
      <c r="J23" s="718"/>
      <c r="K23" s="718"/>
      <c r="L23" s="718"/>
      <c r="M23" s="153"/>
      <c r="N23" s="133"/>
    </row>
    <row r="24" spans="1:18" ht="12.75" customHeight="1">
      <c r="A24" s="133"/>
      <c r="B24" s="152"/>
      <c r="C24" s="134"/>
      <c r="D24" s="715" t="s">
        <v>443</v>
      </c>
      <c r="E24" s="715"/>
      <c r="F24" s="715"/>
      <c r="G24" s="715"/>
      <c r="H24" s="715"/>
      <c r="I24" s="715"/>
      <c r="J24" s="715"/>
      <c r="K24" s="715"/>
      <c r="L24" s="715"/>
      <c r="M24" s="153"/>
      <c r="N24" s="133"/>
      <c r="Q24" s="150" t="s">
        <v>1960</v>
      </c>
      <c r="R24" s="150" t="s">
        <v>1783</v>
      </c>
    </row>
    <row r="25" spans="1:18" ht="11.25">
      <c r="A25" s="133"/>
      <c r="B25" s="152"/>
      <c r="C25" s="134"/>
      <c r="D25" s="715"/>
      <c r="E25" s="715"/>
      <c r="F25" s="715"/>
      <c r="G25" s="715"/>
      <c r="H25" s="715"/>
      <c r="I25" s="715"/>
      <c r="J25" s="715"/>
      <c r="K25" s="715"/>
      <c r="L25" s="715"/>
      <c r="M25" s="153"/>
      <c r="N25" s="133"/>
      <c r="Q25" s="158">
        <v>39873</v>
      </c>
      <c r="R25" s="159">
        <f>Q25</f>
        <v>39873</v>
      </c>
    </row>
    <row r="26" spans="1:18" ht="11.25">
      <c r="A26" s="133"/>
      <c r="B26" s="152"/>
      <c r="C26" s="134"/>
      <c r="D26" s="715"/>
      <c r="E26" s="715"/>
      <c r="F26" s="715"/>
      <c r="G26" s="715"/>
      <c r="H26" s="715"/>
      <c r="I26" s="715"/>
      <c r="J26" s="715"/>
      <c r="K26" s="715"/>
      <c r="L26" s="715"/>
      <c r="M26" s="153"/>
      <c r="N26" s="133"/>
      <c r="Q26" s="158">
        <v>40071</v>
      </c>
      <c r="R26" s="159">
        <f>Q26</f>
        <v>40071</v>
      </c>
    </row>
    <row r="27" spans="1:18" ht="11.25">
      <c r="A27" s="133"/>
      <c r="B27" s="152"/>
      <c r="C27" s="134"/>
      <c r="D27" s="137"/>
      <c r="E27" s="137"/>
      <c r="F27" s="137"/>
      <c r="G27" s="137"/>
      <c r="H27" s="137"/>
      <c r="I27" s="137"/>
      <c r="J27" s="137"/>
      <c r="K27" s="137"/>
      <c r="L27" s="137"/>
      <c r="M27" s="153"/>
      <c r="N27" s="133"/>
      <c r="Q27" s="158"/>
      <c r="R27" s="159">
        <f>Q27</f>
        <v>0</v>
      </c>
    </row>
    <row r="28" spans="1:18" ht="12.75">
      <c r="A28" s="133"/>
      <c r="B28" s="152"/>
      <c r="C28" s="134"/>
      <c r="D28" s="221" t="str">
        <f>IF(D29=TRUE,"      Invulvelden gearceerd","      Invulvelden niet gearceerd")</f>
        <v>      Invulvelden gearceerd</v>
      </c>
      <c r="E28" s="222"/>
      <c r="F28" s="160"/>
      <c r="G28" s="512" t="s">
        <v>1691</v>
      </c>
      <c r="I28" s="513"/>
      <c r="M28" s="161"/>
      <c r="N28" s="133"/>
      <c r="Q28" s="162"/>
      <c r="R28" s="163"/>
    </row>
    <row r="29" spans="1:18" ht="12" thickBot="1">
      <c r="A29" s="102"/>
      <c r="B29" s="164"/>
      <c r="C29" s="165"/>
      <c r="D29" s="634" t="b">
        <v>1</v>
      </c>
      <c r="E29" s="166"/>
      <c r="F29" s="166"/>
      <c r="G29" s="165"/>
      <c r="H29" s="165"/>
      <c r="I29" s="514"/>
      <c r="J29" s="166"/>
      <c r="K29" s="166"/>
      <c r="L29" s="167"/>
      <c r="M29" s="168"/>
      <c r="N29" s="102"/>
      <c r="Q29" s="151" t="s">
        <v>267</v>
      </c>
      <c r="R29" s="151"/>
    </row>
    <row r="30" spans="10:18" ht="11.25">
      <c r="J30" s="169"/>
      <c r="K30" s="169"/>
      <c r="L30" s="170"/>
      <c r="M30" s="29"/>
      <c r="N30" s="102"/>
      <c r="Q30" s="151" t="s">
        <v>266</v>
      </c>
      <c r="R30" s="171">
        <v>39903</v>
      </c>
    </row>
    <row r="31" spans="5:18" ht="22.5">
      <c r="E31" s="169"/>
      <c r="F31" s="169"/>
      <c r="G31" s="83"/>
      <c r="K31" s="497" t="s">
        <v>33</v>
      </c>
      <c r="L31" s="498" t="str">
        <f>'0000'!Y311</f>
        <v>1101</v>
      </c>
      <c r="M31" s="338" t="s">
        <v>1677</v>
      </c>
      <c r="N31" s="339"/>
      <c r="Q31" s="151" t="s">
        <v>337</v>
      </c>
      <c r="R31" s="171">
        <v>40072</v>
      </c>
    </row>
    <row r="32" spans="5:14" ht="11.25">
      <c r="E32" s="169"/>
      <c r="F32" s="169"/>
      <c r="G32" s="172"/>
      <c r="K32" s="173" t="s">
        <v>340</v>
      </c>
      <c r="L32" s="174"/>
      <c r="M32" s="175">
        <f ca="1">TODAY()</f>
        <v>40000</v>
      </c>
      <c r="N32" s="176">
        <f>M32</f>
        <v>40000</v>
      </c>
    </row>
    <row r="33" spans="5:18" ht="11.25">
      <c r="E33" s="83"/>
      <c r="F33" s="83"/>
      <c r="G33" s="83"/>
      <c r="K33" s="177" t="s">
        <v>1678</v>
      </c>
      <c r="L33" s="178"/>
      <c r="M33" s="340" t="str">
        <f>CONCATENATE(E5,"-",)</f>
        <v>2009-</v>
      </c>
      <c r="N33" s="674">
        <v>7</v>
      </c>
      <c r="Q33" s="150" t="s">
        <v>612</v>
      </c>
      <c r="R33" s="150" t="s">
        <v>1783</v>
      </c>
    </row>
    <row r="34" spans="7:18" ht="11.25">
      <c r="G34" s="183"/>
      <c r="K34" s="184" t="s">
        <v>1679</v>
      </c>
      <c r="L34" s="185"/>
      <c r="M34" s="341"/>
      <c r="N34" s="342"/>
      <c r="Q34" s="158">
        <v>39814</v>
      </c>
      <c r="R34" s="159">
        <f>Q34</f>
        <v>39814</v>
      </c>
    </row>
    <row r="35" spans="7:18" ht="11.25">
      <c r="G35" s="183"/>
      <c r="K35" s="188" t="s">
        <v>1680</v>
      </c>
      <c r="L35" s="189"/>
      <c r="M35" s="343" t="str">
        <f>IF('0000'!$A$3=0," ",VLOOKUP('0000'!$A$3,NAW!$B$2:$D$242,3,FALSE))</f>
        <v> </v>
      </c>
      <c r="N35" s="339"/>
      <c r="Q35" s="151" t="s">
        <v>611</v>
      </c>
      <c r="R35" s="159">
        <f>G6</f>
        <v>0</v>
      </c>
    </row>
    <row r="36" spans="7:18" ht="11.25">
      <c r="G36" s="183"/>
      <c r="Q36" s="151" t="s">
        <v>1696</v>
      </c>
      <c r="R36" s="159">
        <f>365-(R35-R34)</f>
        <v>40179</v>
      </c>
    </row>
    <row r="37" spans="1:18" ht="12.75">
      <c r="A37" s="179" t="s">
        <v>587</v>
      </c>
      <c r="B37" s="180"/>
      <c r="C37" s="180"/>
      <c r="D37" s="180"/>
      <c r="E37" s="181" t="s">
        <v>1682</v>
      </c>
      <c r="F37" s="182" t="s">
        <v>1683</v>
      </c>
      <c r="G37" s="193"/>
      <c r="H37" s="194" t="s">
        <v>331</v>
      </c>
      <c r="I37" s="195"/>
      <c r="J37" s="186"/>
      <c r="K37" s="701"/>
      <c r="L37" s="702"/>
      <c r="M37" s="702"/>
      <c r="N37" s="703"/>
      <c r="Q37" s="151" t="s">
        <v>1444</v>
      </c>
      <c r="R37" s="151">
        <v>365</v>
      </c>
    </row>
    <row r="38" spans="1:18" ht="12.75">
      <c r="A38" s="515" t="str">
        <f>IF(F38=0,"Hiernaast uw NZa nr. invullen a.u.b. !"," ")</f>
        <v>Hiernaast uw NZa nr. invullen a.u.b. !</v>
      </c>
      <c r="B38" s="186"/>
      <c r="C38" s="186"/>
      <c r="D38" s="183"/>
      <c r="E38" s="456">
        <v>450</v>
      </c>
      <c r="F38" s="187"/>
      <c r="G38" s="193"/>
      <c r="H38" s="361" t="s">
        <v>533</v>
      </c>
      <c r="I38" s="360"/>
      <c r="J38" s="359"/>
      <c r="K38" s="198" t="s">
        <v>1884</v>
      </c>
      <c r="L38" s="688"/>
      <c r="M38" s="689"/>
      <c r="N38" s="690"/>
      <c r="Q38" s="151" t="s">
        <v>613</v>
      </c>
      <c r="R38" s="508">
        <f>1/R37*R36</f>
        <v>110.07945205479452</v>
      </c>
    </row>
    <row r="39" spans="1:18" ht="12.75">
      <c r="A39" s="190"/>
      <c r="B39" s="135"/>
      <c r="C39" s="135"/>
      <c r="D39" s="183"/>
      <c r="E39" s="183"/>
      <c r="F39" s="191"/>
      <c r="G39" s="193"/>
      <c r="H39" s="201" t="s">
        <v>1679</v>
      </c>
      <c r="I39" s="183"/>
      <c r="J39" s="183"/>
      <c r="K39" s="691"/>
      <c r="L39" s="692"/>
      <c r="M39" s="692"/>
      <c r="N39" s="693"/>
      <c r="Q39" s="151" t="s">
        <v>614</v>
      </c>
      <c r="R39" s="508">
        <f>1/R36*R37</f>
        <v>0.0090843475447373</v>
      </c>
    </row>
    <row r="40" spans="1:14" ht="12.75">
      <c r="A40" s="192" t="s">
        <v>531</v>
      </c>
      <c r="B40" s="142"/>
      <c r="C40" s="183"/>
      <c r="D40" s="681"/>
      <c r="E40" s="682"/>
      <c r="F40" s="683"/>
      <c r="G40" s="193"/>
      <c r="H40" s="365" t="s">
        <v>332</v>
      </c>
      <c r="I40" s="366"/>
      <c r="J40" s="367"/>
      <c r="K40" s="694"/>
      <c r="L40" s="695"/>
      <c r="M40" s="695"/>
      <c r="N40" s="696"/>
    </row>
    <row r="41" spans="1:14" ht="12.75">
      <c r="A41" s="196" t="s">
        <v>532</v>
      </c>
      <c r="B41" s="197"/>
      <c r="C41" s="197"/>
      <c r="D41" s="684"/>
      <c r="E41" s="685"/>
      <c r="F41" s="686"/>
      <c r="G41" s="193"/>
      <c r="H41" s="364"/>
      <c r="K41" s="697"/>
      <c r="L41" s="698"/>
      <c r="M41" s="698"/>
      <c r="N41" s="672"/>
    </row>
    <row r="42" spans="1:14" ht="12.75">
      <c r="A42" s="194" t="s">
        <v>533</v>
      </c>
      <c r="B42" s="186"/>
      <c r="C42" s="186"/>
      <c r="D42" s="198" t="s">
        <v>1884</v>
      </c>
      <c r="E42" s="687"/>
      <c r="F42" s="683"/>
      <c r="G42" s="193"/>
      <c r="H42" s="194" t="s">
        <v>333</v>
      </c>
      <c r="I42" s="195"/>
      <c r="J42" s="186"/>
      <c r="K42" s="701"/>
      <c r="L42" s="711"/>
      <c r="M42" s="711"/>
      <c r="N42" s="712"/>
    </row>
    <row r="43" spans="1:14" ht="12.75">
      <c r="A43" s="199" t="s">
        <v>534</v>
      </c>
      <c r="B43" s="200"/>
      <c r="C43" s="200"/>
      <c r="D43" s="675"/>
      <c r="E43" s="676"/>
      <c r="F43" s="677"/>
      <c r="G43" s="193"/>
      <c r="H43" s="361" t="s">
        <v>533</v>
      </c>
      <c r="I43" s="360"/>
      <c r="J43" s="359"/>
      <c r="K43" s="198" t="s">
        <v>1884</v>
      </c>
      <c r="L43" s="688"/>
      <c r="M43" s="689"/>
      <c r="N43" s="690"/>
    </row>
    <row r="44" spans="1:14" ht="12.75">
      <c r="A44" s="199" t="s">
        <v>535</v>
      </c>
      <c r="B44" s="200"/>
      <c r="C44" s="200"/>
      <c r="D44" s="675"/>
      <c r="E44" s="676"/>
      <c r="F44" s="677"/>
      <c r="G44" s="193"/>
      <c r="H44" s="201" t="s">
        <v>1679</v>
      </c>
      <c r="I44" s="183"/>
      <c r="J44" s="183"/>
      <c r="K44" s="691"/>
      <c r="L44" s="692"/>
      <c r="M44" s="692"/>
      <c r="N44" s="693"/>
    </row>
    <row r="45" spans="1:14" ht="13.5" customHeight="1">
      <c r="A45" s="196" t="s">
        <v>536</v>
      </c>
      <c r="B45" s="197"/>
      <c r="C45" s="197"/>
      <c r="D45" s="678"/>
      <c r="E45" s="679"/>
      <c r="F45" s="680"/>
      <c r="G45" s="193"/>
      <c r="H45" s="365" t="s">
        <v>332</v>
      </c>
      <c r="I45" s="366"/>
      <c r="J45" s="367"/>
      <c r="K45" s="694"/>
      <c r="L45" s="695"/>
      <c r="M45" s="695"/>
      <c r="N45" s="696"/>
    </row>
    <row r="46" spans="1:14" ht="12.75">
      <c r="A46" s="201"/>
      <c r="B46" s="183"/>
      <c r="C46" s="183"/>
      <c r="D46" s="183"/>
      <c r="E46" s="183"/>
      <c r="F46" s="276"/>
      <c r="G46" s="193"/>
      <c r="H46" s="364"/>
      <c r="K46" s="697"/>
      <c r="L46" s="698"/>
      <c r="M46" s="698"/>
      <c r="N46" s="672"/>
    </row>
    <row r="47" spans="1:14" ht="12.75">
      <c r="A47" s="202" t="s">
        <v>285</v>
      </c>
      <c r="B47" s="203"/>
      <c r="C47" s="203"/>
      <c r="D47" s="203"/>
      <c r="E47" s="203"/>
      <c r="F47" s="204"/>
      <c r="G47" s="193"/>
      <c r="H47" s="194" t="s">
        <v>334</v>
      </c>
      <c r="I47" s="195"/>
      <c r="J47" s="186"/>
      <c r="K47" s="701"/>
      <c r="L47" s="702"/>
      <c r="M47" s="702"/>
      <c r="N47" s="703"/>
    </row>
    <row r="48" spans="1:14" ht="12.75">
      <c r="A48" s="205"/>
      <c r="B48" s="206"/>
      <c r="C48" s="206"/>
      <c r="D48" s="206"/>
      <c r="E48" s="206"/>
      <c r="F48" s="207"/>
      <c r="G48" s="193"/>
      <c r="H48" s="361" t="s">
        <v>533</v>
      </c>
      <c r="I48" s="360"/>
      <c r="J48" s="359"/>
      <c r="K48" s="198" t="s">
        <v>1884</v>
      </c>
      <c r="L48" s="688"/>
      <c r="M48" s="689"/>
      <c r="N48" s="690"/>
    </row>
    <row r="49" spans="1:14" ht="12" customHeight="1">
      <c r="A49" s="208" t="str">
        <f>IF(foutmeldingen!E30&gt;0,"nog niet ondertekenen, er is een foutmelding, zie tab foutmeldingen"," ")</f>
        <v>nog niet ondertekenen, er is een foutmelding, zie tab foutmeldingen</v>
      </c>
      <c r="B49" s="86"/>
      <c r="C49" s="206"/>
      <c r="D49" s="206"/>
      <c r="E49" s="206"/>
      <c r="F49" s="207"/>
      <c r="G49" s="193"/>
      <c r="H49" s="201" t="s">
        <v>1679</v>
      </c>
      <c r="I49" s="183"/>
      <c r="J49" s="183"/>
      <c r="K49" s="691"/>
      <c r="L49" s="692"/>
      <c r="M49" s="692"/>
      <c r="N49" s="693"/>
    </row>
    <row r="50" spans="1:14" ht="15" customHeight="1">
      <c r="A50" s="205"/>
      <c r="B50" s="206"/>
      <c r="C50" s="206"/>
      <c r="D50" s="206"/>
      <c r="E50" s="206"/>
      <c r="F50" s="209" t="s">
        <v>537</v>
      </c>
      <c r="G50" s="193"/>
      <c r="H50" s="365" t="s">
        <v>332</v>
      </c>
      <c r="I50" s="366"/>
      <c r="J50" s="367"/>
      <c r="K50" s="694"/>
      <c r="L50" s="695"/>
      <c r="M50" s="695"/>
      <c r="N50" s="696"/>
    </row>
    <row r="51" spans="1:14" ht="18" customHeight="1">
      <c r="A51" s="707"/>
      <c r="B51" s="708"/>
      <c r="C51" s="210" t="s">
        <v>538</v>
      </c>
      <c r="D51" s="709"/>
      <c r="E51" s="710"/>
      <c r="F51" s="211" t="s">
        <v>539</v>
      </c>
      <c r="H51" s="364"/>
      <c r="I51" s="226"/>
      <c r="J51" s="226"/>
      <c r="K51" s="704"/>
      <c r="L51" s="705"/>
      <c r="M51" s="705"/>
      <c r="N51" s="706"/>
    </row>
    <row r="52" spans="1:14" ht="10.5" customHeight="1">
      <c r="A52" s="169"/>
      <c r="B52" s="325"/>
      <c r="C52" s="325"/>
      <c r="D52" s="325"/>
      <c r="E52" s="325"/>
      <c r="F52" s="325"/>
      <c r="G52" s="325"/>
      <c r="H52" s="325"/>
      <c r="I52" s="325"/>
      <c r="J52" s="325"/>
      <c r="K52" s="325"/>
      <c r="L52" s="325"/>
      <c r="M52" s="325"/>
      <c r="N52" s="325"/>
    </row>
    <row r="53" spans="1:14" ht="11.25" customHeight="1">
      <c r="A53" s="169"/>
      <c r="B53" s="325"/>
      <c r="C53" s="325"/>
      <c r="D53" s="325"/>
      <c r="E53" s="325"/>
      <c r="F53" s="325"/>
      <c r="G53" s="325"/>
      <c r="H53" s="325"/>
      <c r="I53" s="325"/>
      <c r="J53" s="325"/>
      <c r="K53" s="325"/>
      <c r="L53" s="325"/>
      <c r="M53" s="325"/>
      <c r="N53" s="325"/>
    </row>
    <row r="54" spans="1:14" ht="32.25" customHeight="1">
      <c r="A54" s="699" t="s">
        <v>512</v>
      </c>
      <c r="B54" s="700"/>
      <c r="C54" s="700"/>
      <c r="D54" s="700"/>
      <c r="E54" s="700"/>
      <c r="F54" s="700"/>
      <c r="G54" s="700"/>
      <c r="H54" s="700"/>
      <c r="I54" s="700"/>
      <c r="J54" s="700"/>
      <c r="K54" s="700"/>
      <c r="L54" s="700"/>
      <c r="M54" s="700"/>
      <c r="N54" s="700"/>
    </row>
    <row r="56" spans="1:14" ht="11.25">
      <c r="A56" s="212" t="s">
        <v>1443</v>
      </c>
      <c r="B56" s="213"/>
      <c r="C56" s="213"/>
      <c r="D56" s="174"/>
      <c r="E56" s="189">
        <f>'0000'!A284</f>
        <v>194</v>
      </c>
      <c r="F56" s="214">
        <f>'0000'!H284</f>
        <v>0</v>
      </c>
      <c r="G56" s="215"/>
      <c r="H56" s="173" t="s">
        <v>496</v>
      </c>
      <c r="I56" s="174"/>
      <c r="J56" s="174"/>
      <c r="K56" s="189"/>
      <c r="L56" s="189">
        <f>'0000'!A290</f>
        <v>196</v>
      </c>
      <c r="M56" s="673">
        <f>'0000'!H290</f>
        <v>0</v>
      </c>
      <c r="N56" s="668"/>
    </row>
    <row r="57" spans="1:14" ht="11.25">
      <c r="A57" s="212"/>
      <c r="B57" s="213"/>
      <c r="C57" s="213"/>
      <c r="D57" s="174"/>
      <c r="E57" s="189"/>
      <c r="F57" s="214"/>
      <c r="H57" s="405" t="s">
        <v>290</v>
      </c>
      <c r="I57" s="174"/>
      <c r="J57" s="174"/>
      <c r="K57" s="174"/>
      <c r="L57" s="151">
        <f>'0000'!A291</f>
        <v>197</v>
      </c>
      <c r="M57" s="673">
        <f>'0000'!H291</f>
        <v>0</v>
      </c>
      <c r="N57" s="668"/>
    </row>
    <row r="58" spans="1:14" ht="12.75">
      <c r="A58" s="173" t="s">
        <v>1228</v>
      </c>
      <c r="B58" s="174"/>
      <c r="C58" s="174"/>
      <c r="D58" s="174"/>
      <c r="E58" s="174"/>
      <c r="F58" s="433" t="str">
        <f>CONCATENATE(tijdbesteding!D11,"   uur")</f>
        <v>0   uur</v>
      </c>
      <c r="H58" s="669" t="s">
        <v>335</v>
      </c>
      <c r="I58" s="670"/>
      <c r="J58" s="670"/>
      <c r="K58" s="670"/>
      <c r="L58" s="671"/>
      <c r="M58" s="673">
        <f>M57+M56</f>
        <v>0</v>
      </c>
      <c r="N58" s="668"/>
    </row>
    <row r="59" spans="8:14" ht="12.75">
      <c r="H59" s="665" t="s">
        <v>336</v>
      </c>
      <c r="I59" s="666"/>
      <c r="J59" s="666"/>
      <c r="K59" s="666"/>
      <c r="L59" s="667"/>
      <c r="M59" s="363" t="e">
        <f>'0000'!C309</f>
        <v>#DIV/0!</v>
      </c>
      <c r="N59" s="362">
        <f>'0000'!C308</f>
        <v>0</v>
      </c>
    </row>
    <row r="60" ht="11.25">
      <c r="G60" s="86"/>
    </row>
    <row r="62" spans="1:6" ht="11.25">
      <c r="A62" s="86"/>
      <c r="B62" s="86"/>
      <c r="C62" s="86"/>
      <c r="D62" s="86"/>
      <c r="E62" s="86"/>
      <c r="F62" s="86"/>
    </row>
    <row r="63" spans="1:13" ht="11.25">
      <c r="A63" s="86"/>
      <c r="B63" s="86"/>
      <c r="C63" s="86"/>
      <c r="D63" s="86"/>
      <c r="E63" s="86"/>
      <c r="F63" s="86"/>
      <c r="G63" s="216"/>
      <c r="H63" s="216"/>
      <c r="I63" s="86"/>
      <c r="J63" s="86"/>
      <c r="K63" s="86"/>
      <c r="L63" s="86"/>
      <c r="M63" s="86"/>
    </row>
    <row r="64" spans="1:14" ht="11.25">
      <c r="A64" s="86"/>
      <c r="B64" s="86"/>
      <c r="C64" s="86"/>
      <c r="D64" s="86"/>
      <c r="E64" s="86"/>
      <c r="F64" s="86"/>
      <c r="G64" s="216"/>
      <c r="H64" s="86"/>
      <c r="I64" s="86"/>
      <c r="J64" s="86"/>
      <c r="K64" s="86"/>
      <c r="L64" s="86"/>
      <c r="M64" s="86"/>
      <c r="N64" s="86"/>
    </row>
    <row r="65" spans="1:14" ht="11.25">
      <c r="A65" s="86"/>
      <c r="B65" s="86"/>
      <c r="C65" s="86"/>
      <c r="D65" s="86"/>
      <c r="E65" s="86"/>
      <c r="F65" s="86"/>
      <c r="G65" s="217"/>
      <c r="H65" s="86"/>
      <c r="I65" s="86"/>
      <c r="J65" s="86"/>
      <c r="K65" s="86"/>
      <c r="L65" s="86"/>
      <c r="M65" s="86"/>
      <c r="N65" s="86"/>
    </row>
    <row r="66" spans="1:14" ht="11.25">
      <c r="A66" s="86"/>
      <c r="B66" s="86"/>
      <c r="C66" s="86"/>
      <c r="D66" s="86"/>
      <c r="E66" s="86"/>
      <c r="F66" s="86"/>
      <c r="G66" s="218"/>
      <c r="H66" s="96"/>
      <c r="I66" s="86"/>
      <c r="J66" s="86"/>
      <c r="K66" s="86"/>
      <c r="L66" s="86"/>
      <c r="M66" s="86"/>
      <c r="N66" s="86"/>
    </row>
    <row r="67" spans="1:14" ht="11.25">
      <c r="A67" s="86"/>
      <c r="B67" s="86"/>
      <c r="C67" s="86"/>
      <c r="D67" s="86"/>
      <c r="E67" s="86"/>
      <c r="F67" s="86"/>
      <c r="G67" s="218"/>
      <c r="H67" s="96"/>
      <c r="I67" s="86"/>
      <c r="J67" s="86"/>
      <c r="K67" s="86"/>
      <c r="L67" s="86"/>
      <c r="M67" s="86"/>
      <c r="N67" s="86"/>
    </row>
    <row r="68" spans="1:14" ht="11.25">
      <c r="A68" s="86"/>
      <c r="B68" s="86"/>
      <c r="C68" s="86"/>
      <c r="D68" s="86"/>
      <c r="E68" s="86"/>
      <c r="F68" s="86"/>
      <c r="G68" s="218"/>
      <c r="H68" s="96"/>
      <c r="I68" s="86"/>
      <c r="J68" s="86"/>
      <c r="K68" s="86"/>
      <c r="L68" s="86"/>
      <c r="M68" s="86"/>
      <c r="N68" s="86"/>
    </row>
    <row r="69" spans="1:14" ht="11.25">
      <c r="A69" s="86"/>
      <c r="B69" s="86"/>
      <c r="C69" s="86"/>
      <c r="D69" s="86"/>
      <c r="E69" s="86"/>
      <c r="F69" s="86"/>
      <c r="G69" s="218"/>
      <c r="H69" s="86"/>
      <c r="I69" s="86"/>
      <c r="J69" s="86"/>
      <c r="K69" s="86"/>
      <c r="L69" s="86"/>
      <c r="M69" s="86"/>
      <c r="N69" s="86"/>
    </row>
    <row r="70" spans="1:14" ht="11.25">
      <c r="A70" s="86"/>
      <c r="B70" s="86"/>
      <c r="C70" s="86"/>
      <c r="D70" s="86"/>
      <c r="E70" s="86"/>
      <c r="F70" s="86"/>
      <c r="G70" s="218"/>
      <c r="H70" s="86"/>
      <c r="I70" s="86"/>
      <c r="J70" s="86"/>
      <c r="K70" s="86"/>
      <c r="L70" s="86"/>
      <c r="M70" s="86"/>
      <c r="N70" s="86"/>
    </row>
    <row r="71" spans="1:14" ht="11.25">
      <c r="A71" s="86"/>
      <c r="B71" s="86"/>
      <c r="C71" s="86"/>
      <c r="D71" s="86"/>
      <c r="E71" s="86"/>
      <c r="F71" s="86"/>
      <c r="G71" s="218"/>
      <c r="H71" s="86"/>
      <c r="I71" s="86"/>
      <c r="J71" s="86"/>
      <c r="K71" s="86"/>
      <c r="L71" s="86"/>
      <c r="M71" s="86"/>
      <c r="N71" s="86"/>
    </row>
    <row r="72" spans="1:14" ht="11.25">
      <c r="A72" s="86"/>
      <c r="B72" s="86"/>
      <c r="C72" s="86"/>
      <c r="D72" s="86"/>
      <c r="E72" s="86"/>
      <c r="F72" s="86"/>
      <c r="G72" s="218"/>
      <c r="H72" s="86"/>
      <c r="I72" s="86"/>
      <c r="J72" s="86"/>
      <c r="K72" s="86"/>
      <c r="L72" s="86"/>
      <c r="M72" s="86"/>
      <c r="N72" s="86"/>
    </row>
    <row r="73" spans="1:14" ht="11.25">
      <c r="A73" s="86"/>
      <c r="B73" s="86"/>
      <c r="C73" s="86"/>
      <c r="D73" s="86"/>
      <c r="E73" s="86"/>
      <c r="F73" s="86"/>
      <c r="G73" s="218"/>
      <c r="H73" s="86"/>
      <c r="I73" s="86"/>
      <c r="J73" s="86"/>
      <c r="K73" s="86"/>
      <c r="L73" s="86"/>
      <c r="M73" s="86"/>
      <c r="N73" s="86"/>
    </row>
    <row r="74" spans="1:14" ht="11.25">
      <c r="A74" s="86"/>
      <c r="B74" s="86"/>
      <c r="C74" s="86"/>
      <c r="D74" s="86"/>
      <c r="E74" s="86"/>
      <c r="F74" s="86"/>
      <c r="G74" s="218"/>
      <c r="H74" s="86"/>
      <c r="I74" s="86"/>
      <c r="J74" s="86"/>
      <c r="K74" s="86"/>
      <c r="L74" s="86"/>
      <c r="M74" s="86"/>
      <c r="N74" s="86"/>
    </row>
    <row r="75" spans="1:14" ht="11.25">
      <c r="A75" s="86"/>
      <c r="B75" s="86"/>
      <c r="C75" s="86"/>
      <c r="D75" s="86"/>
      <c r="E75" s="86"/>
      <c r="F75" s="86"/>
      <c r="G75" s="218"/>
      <c r="H75" s="86"/>
      <c r="I75" s="86"/>
      <c r="J75" s="86"/>
      <c r="K75" s="86"/>
      <c r="L75" s="86"/>
      <c r="M75" s="86"/>
      <c r="N75" s="86"/>
    </row>
    <row r="76" spans="1:14" ht="11.25">
      <c r="A76" s="86"/>
      <c r="B76" s="86"/>
      <c r="C76" s="86"/>
      <c r="D76" s="86"/>
      <c r="E76" s="86"/>
      <c r="F76" s="86"/>
      <c r="G76" s="218"/>
      <c r="H76" s="86"/>
      <c r="I76" s="86"/>
      <c r="J76" s="86"/>
      <c r="K76" s="86"/>
      <c r="L76" s="86"/>
      <c r="M76" s="86"/>
      <c r="N76" s="86"/>
    </row>
    <row r="77" spans="1:14" ht="11.25">
      <c r="A77" s="86"/>
      <c r="B77" s="86"/>
      <c r="C77" s="86"/>
      <c r="D77" s="86"/>
      <c r="E77" s="86"/>
      <c r="F77" s="86"/>
      <c r="G77" s="218"/>
      <c r="H77" s="86"/>
      <c r="I77" s="86"/>
      <c r="J77" s="86"/>
      <c r="K77" s="86"/>
      <c r="L77" s="219"/>
      <c r="M77" s="220"/>
      <c r="N77" s="86"/>
    </row>
    <row r="78" spans="1:14" ht="11.25">
      <c r="A78" s="86"/>
      <c r="B78" s="86"/>
      <c r="C78" s="86"/>
      <c r="D78" s="86"/>
      <c r="E78" s="86"/>
      <c r="F78" s="86"/>
      <c r="G78" s="86"/>
      <c r="H78" s="86"/>
      <c r="I78" s="86"/>
      <c r="J78" s="86"/>
      <c r="K78" s="86"/>
      <c r="L78" s="86"/>
      <c r="M78" s="86"/>
      <c r="N78" s="86"/>
    </row>
    <row r="79" spans="1:14" ht="11.25">
      <c r="A79" s="86"/>
      <c r="B79" s="86"/>
      <c r="C79" s="86"/>
      <c r="D79" s="86"/>
      <c r="E79" s="86"/>
      <c r="F79" s="86"/>
      <c r="G79" s="218"/>
      <c r="H79" s="86"/>
      <c r="I79" s="86"/>
      <c r="J79" s="86"/>
      <c r="K79" s="86"/>
      <c r="L79" s="86"/>
      <c r="M79" s="86"/>
      <c r="N79" s="86"/>
    </row>
    <row r="80" spans="1:14" ht="11.25">
      <c r="A80" s="86"/>
      <c r="B80" s="86"/>
      <c r="C80" s="86"/>
      <c r="D80" s="86"/>
      <c r="E80" s="86"/>
      <c r="F80" s="86"/>
      <c r="G80" s="218"/>
      <c r="H80" s="86"/>
      <c r="I80" s="86"/>
      <c r="J80" s="86"/>
      <c r="K80" s="86"/>
      <c r="L80" s="86"/>
      <c r="M80" s="86"/>
      <c r="N80" s="86"/>
    </row>
    <row r="81" spans="1:14" ht="11.25">
      <c r="A81" s="86"/>
      <c r="B81" s="86"/>
      <c r="C81" s="86"/>
      <c r="D81" s="86"/>
      <c r="E81" s="86"/>
      <c r="F81" s="86"/>
      <c r="G81" s="218"/>
      <c r="H81" s="86"/>
      <c r="I81" s="86"/>
      <c r="J81" s="86"/>
      <c r="K81" s="86"/>
      <c r="L81" s="86"/>
      <c r="M81" s="86"/>
      <c r="N81" s="86"/>
    </row>
    <row r="82" spans="1:14" ht="11.25">
      <c r="A82" s="86"/>
      <c r="B82" s="86"/>
      <c r="C82" s="86"/>
      <c r="D82" s="86"/>
      <c r="E82" s="86"/>
      <c r="F82" s="86"/>
      <c r="G82" s="218"/>
      <c r="H82" s="86"/>
      <c r="I82" s="86"/>
      <c r="J82" s="86"/>
      <c r="K82" s="86"/>
      <c r="L82" s="86"/>
      <c r="M82" s="86"/>
      <c r="N82" s="86"/>
    </row>
    <row r="83" spans="1:14" ht="11.25">
      <c r="A83" s="86"/>
      <c r="B83" s="86"/>
      <c r="C83" s="86"/>
      <c r="D83" s="86"/>
      <c r="E83" s="86"/>
      <c r="F83" s="86"/>
      <c r="G83" s="218"/>
      <c r="H83" s="86"/>
      <c r="I83" s="86"/>
      <c r="J83" s="86"/>
      <c r="K83" s="86"/>
      <c r="L83" s="86"/>
      <c r="M83" s="86"/>
      <c r="N83" s="86"/>
    </row>
    <row r="84" spans="1:14" ht="11.25">
      <c r="A84" s="86"/>
      <c r="B84" s="86"/>
      <c r="C84" s="86"/>
      <c r="D84" s="86"/>
      <c r="E84" s="86"/>
      <c r="F84" s="86"/>
      <c r="G84" s="218"/>
      <c r="H84" s="86"/>
      <c r="I84" s="86"/>
      <c r="J84" s="86"/>
      <c r="K84" s="86"/>
      <c r="L84" s="86"/>
      <c r="M84" s="86"/>
      <c r="N84" s="86"/>
    </row>
    <row r="85" spans="1:14" ht="11.25">
      <c r="A85" s="86"/>
      <c r="B85" s="86"/>
      <c r="C85" s="86"/>
      <c r="D85" s="86"/>
      <c r="E85" s="86"/>
      <c r="F85" s="86"/>
      <c r="G85" s="218"/>
      <c r="H85" s="86"/>
      <c r="I85" s="86"/>
      <c r="J85" s="86"/>
      <c r="K85" s="86"/>
      <c r="L85" s="86"/>
      <c r="M85" s="86"/>
      <c r="N85" s="86"/>
    </row>
    <row r="86" spans="1:14" ht="11.25">
      <c r="A86" s="86"/>
      <c r="B86" s="86"/>
      <c r="C86" s="86"/>
      <c r="D86" s="86"/>
      <c r="E86" s="86"/>
      <c r="F86" s="86"/>
      <c r="G86" s="218"/>
      <c r="H86" s="86"/>
      <c r="I86" s="86"/>
      <c r="J86" s="86"/>
      <c r="K86" s="86"/>
      <c r="L86" s="86"/>
      <c r="M86" s="86"/>
      <c r="N86" s="86"/>
    </row>
    <row r="87" spans="1:14" ht="11.25">
      <c r="A87" s="86"/>
      <c r="B87" s="86"/>
      <c r="C87" s="86"/>
      <c r="D87" s="86"/>
      <c r="E87" s="86"/>
      <c r="F87" s="86"/>
      <c r="G87" s="218"/>
      <c r="H87" s="86"/>
      <c r="I87" s="86"/>
      <c r="J87" s="86"/>
      <c r="K87" s="86"/>
      <c r="L87" s="86"/>
      <c r="M87" s="86"/>
      <c r="N87" s="86"/>
    </row>
    <row r="88" spans="1:13" ht="11.25">
      <c r="A88" s="86"/>
      <c r="B88" s="86"/>
      <c r="C88" s="86"/>
      <c r="D88" s="86"/>
      <c r="E88" s="86"/>
      <c r="F88" s="86"/>
      <c r="G88" s="218"/>
      <c r="H88" s="86"/>
      <c r="I88" s="86"/>
      <c r="J88" s="86"/>
      <c r="K88" s="86"/>
      <c r="L88" s="86"/>
      <c r="M88" s="86"/>
    </row>
    <row r="89" spans="1:13" ht="11.25">
      <c r="A89" s="86"/>
      <c r="B89" s="86"/>
      <c r="C89" s="86"/>
      <c r="D89" s="86"/>
      <c r="E89" s="86"/>
      <c r="F89" s="86"/>
      <c r="G89" s="218"/>
      <c r="H89" s="86"/>
      <c r="I89" s="86"/>
      <c r="J89" s="86"/>
      <c r="K89" s="86"/>
      <c r="L89" s="86"/>
      <c r="M89" s="86"/>
    </row>
    <row r="90" spans="1:13" ht="11.25">
      <c r="A90" s="86"/>
      <c r="B90" s="86"/>
      <c r="C90" s="86"/>
      <c r="D90" s="86"/>
      <c r="E90" s="86"/>
      <c r="F90" s="86"/>
      <c r="G90" s="89"/>
      <c r="H90" s="86"/>
      <c r="I90" s="86"/>
      <c r="J90" s="86"/>
      <c r="K90" s="86"/>
      <c r="L90" s="86"/>
      <c r="M90" s="86"/>
    </row>
    <row r="91" spans="1:13" ht="11.25">
      <c r="A91" s="86"/>
      <c r="B91" s="86"/>
      <c r="C91" s="86"/>
      <c r="D91" s="86"/>
      <c r="E91" s="86"/>
      <c r="F91" s="86"/>
      <c r="G91" s="89"/>
      <c r="H91" s="86"/>
      <c r="I91" s="86"/>
      <c r="J91" s="86"/>
      <c r="K91" s="86"/>
      <c r="L91" s="86"/>
      <c r="M91" s="86"/>
    </row>
    <row r="92" spans="1:13" ht="11.25">
      <c r="A92" s="86"/>
      <c r="B92" s="86"/>
      <c r="C92" s="86"/>
      <c r="D92" s="86"/>
      <c r="E92" s="86"/>
      <c r="F92" s="86"/>
      <c r="G92" s="216"/>
      <c r="H92" s="86"/>
      <c r="I92" s="86"/>
      <c r="J92" s="86"/>
      <c r="K92" s="86"/>
      <c r="L92" s="86"/>
      <c r="M92" s="86"/>
    </row>
    <row r="93" spans="1:13" ht="11.25">
      <c r="A93" s="86"/>
      <c r="B93" s="86"/>
      <c r="C93" s="86"/>
      <c r="D93" s="86"/>
      <c r="E93" s="86"/>
      <c r="F93" s="86"/>
      <c r="G93" s="86"/>
      <c r="H93" s="86"/>
      <c r="I93" s="86"/>
      <c r="J93" s="86"/>
      <c r="K93" s="86"/>
      <c r="L93" s="86"/>
      <c r="M93" s="86"/>
    </row>
    <row r="94" spans="1:13" ht="11.25">
      <c r="A94" s="86"/>
      <c r="B94" s="86"/>
      <c r="C94" s="86"/>
      <c r="D94" s="86"/>
      <c r="E94" s="86"/>
      <c r="F94" s="86"/>
      <c r="G94" s="86"/>
      <c r="H94" s="86"/>
      <c r="I94" s="86"/>
      <c r="J94" s="86"/>
      <c r="K94" s="86"/>
      <c r="L94" s="86"/>
      <c r="M94" s="86"/>
    </row>
    <row r="95" spans="1:13" ht="11.25">
      <c r="A95" s="86"/>
      <c r="B95" s="86"/>
      <c r="C95" s="86"/>
      <c r="D95" s="86"/>
      <c r="E95" s="86"/>
      <c r="F95" s="86"/>
      <c r="G95" s="86"/>
      <c r="H95" s="86"/>
      <c r="I95" s="86"/>
      <c r="J95" s="86"/>
      <c r="K95" s="86"/>
      <c r="L95" s="86"/>
      <c r="M95" s="86"/>
    </row>
    <row r="96" spans="1:13" ht="11.25">
      <c r="A96" s="86"/>
      <c r="B96" s="86"/>
      <c r="C96" s="86"/>
      <c r="D96" s="86"/>
      <c r="E96" s="86"/>
      <c r="F96" s="86"/>
      <c r="G96" s="86"/>
      <c r="H96" s="86"/>
      <c r="I96" s="86"/>
      <c r="J96" s="86"/>
      <c r="K96" s="86"/>
      <c r="L96" s="86"/>
      <c r="M96" s="86"/>
    </row>
    <row r="97" spans="1:13" ht="11.25">
      <c r="A97" s="86"/>
      <c r="B97" s="86"/>
      <c r="C97" s="86"/>
      <c r="D97" s="86"/>
      <c r="E97" s="86"/>
      <c r="F97" s="86"/>
      <c r="G97" s="86"/>
      <c r="H97" s="86"/>
      <c r="I97" s="86"/>
      <c r="J97" s="86"/>
      <c r="K97" s="86"/>
      <c r="L97" s="86"/>
      <c r="M97" s="86"/>
    </row>
    <row r="98" spans="1:13" ht="11.25">
      <c r="A98" s="86"/>
      <c r="B98" s="86"/>
      <c r="C98" s="86"/>
      <c r="D98" s="86"/>
      <c r="E98" s="86"/>
      <c r="F98" s="86"/>
      <c r="G98" s="86"/>
      <c r="H98" s="86"/>
      <c r="I98" s="86"/>
      <c r="J98" s="86"/>
      <c r="K98" s="86"/>
      <c r="L98" s="86"/>
      <c r="M98" s="86"/>
    </row>
    <row r="99" spans="1:13" ht="11.25">
      <c r="A99" s="86"/>
      <c r="B99" s="86"/>
      <c r="C99" s="86"/>
      <c r="D99" s="86"/>
      <c r="E99" s="86"/>
      <c r="F99" s="86"/>
      <c r="G99" s="86"/>
      <c r="H99" s="86"/>
      <c r="I99" s="86"/>
      <c r="J99" s="86"/>
      <c r="K99" s="86"/>
      <c r="L99" s="86"/>
      <c r="M99" s="86"/>
    </row>
    <row r="100" spans="1:13" ht="11.25">
      <c r="A100" s="86"/>
      <c r="B100" s="86"/>
      <c r="C100" s="86"/>
      <c r="D100" s="86"/>
      <c r="E100" s="86"/>
      <c r="F100" s="86"/>
      <c r="G100" s="86"/>
      <c r="H100" s="86"/>
      <c r="I100" s="86"/>
      <c r="J100" s="86"/>
      <c r="K100" s="86"/>
      <c r="L100" s="86"/>
      <c r="M100" s="86"/>
    </row>
    <row r="101" spans="1:13" ht="11.25">
      <c r="A101" s="86"/>
      <c r="B101" s="86"/>
      <c r="C101" s="86"/>
      <c r="D101" s="86"/>
      <c r="E101" s="86"/>
      <c r="F101" s="86"/>
      <c r="G101" s="86"/>
      <c r="H101" s="86"/>
      <c r="I101" s="86"/>
      <c r="J101" s="86"/>
      <c r="K101" s="86"/>
      <c r="L101" s="86"/>
      <c r="M101" s="86"/>
    </row>
    <row r="102" spans="1:13" ht="11.25">
      <c r="A102" s="86"/>
      <c r="B102" s="86"/>
      <c r="C102" s="86"/>
      <c r="D102" s="86"/>
      <c r="E102" s="86"/>
      <c r="F102" s="86"/>
      <c r="G102" s="86"/>
      <c r="H102" s="86"/>
      <c r="I102" s="86"/>
      <c r="J102" s="86"/>
      <c r="K102" s="86"/>
      <c r="L102" s="86"/>
      <c r="M102" s="86"/>
    </row>
    <row r="103" spans="7:13" ht="11.25">
      <c r="G103" s="86"/>
      <c r="H103" s="86"/>
      <c r="I103" s="86"/>
      <c r="J103" s="86"/>
      <c r="K103" s="86"/>
      <c r="L103" s="86"/>
      <c r="M103" s="86"/>
    </row>
  </sheetData>
  <sheetProtection password="9487" sheet="1" objects="1" scenarios="1"/>
  <mergeCells count="38">
    <mergeCell ref="A5:D5"/>
    <mergeCell ref="F5:J5"/>
    <mergeCell ref="M5:N5"/>
    <mergeCell ref="A6:F7"/>
    <mergeCell ref="L7:N8"/>
    <mergeCell ref="B9:M9"/>
    <mergeCell ref="D24:L26"/>
    <mergeCell ref="D13:L17"/>
    <mergeCell ref="D18:L23"/>
    <mergeCell ref="L38:N38"/>
    <mergeCell ref="K39:N39"/>
    <mergeCell ref="K37:N37"/>
    <mergeCell ref="K42:N42"/>
    <mergeCell ref="K40:N40"/>
    <mergeCell ref="K41:N41"/>
    <mergeCell ref="M56:N56"/>
    <mergeCell ref="A54:N54"/>
    <mergeCell ref="K49:N49"/>
    <mergeCell ref="K47:N47"/>
    <mergeCell ref="K50:N50"/>
    <mergeCell ref="K51:N51"/>
    <mergeCell ref="A51:B51"/>
    <mergeCell ref="D51:E51"/>
    <mergeCell ref="M58:N58"/>
    <mergeCell ref="H58:L58"/>
    <mergeCell ref="H59:L59"/>
    <mergeCell ref="M57:N57"/>
    <mergeCell ref="L43:N43"/>
    <mergeCell ref="L48:N48"/>
    <mergeCell ref="K44:N44"/>
    <mergeCell ref="K45:N45"/>
    <mergeCell ref="K46:N46"/>
    <mergeCell ref="D44:F44"/>
    <mergeCell ref="D45:F45"/>
    <mergeCell ref="D40:F40"/>
    <mergeCell ref="D41:F41"/>
    <mergeCell ref="E42:F42"/>
    <mergeCell ref="D43:F43"/>
  </mergeCells>
  <conditionalFormatting sqref="H6">
    <cfRule type="expression" priority="1" dxfId="0" stopIfTrue="1">
      <formula>A4="mutatieformulier"</formula>
    </cfRule>
  </conditionalFormatting>
  <conditionalFormatting sqref="A6">
    <cfRule type="expression" priority="2" dxfId="0" stopIfTrue="1">
      <formula>IM4="mutatieformulier"</formula>
    </cfRule>
  </conditionalFormatting>
  <conditionalFormatting sqref="G6">
    <cfRule type="expression" priority="3" dxfId="1" stopIfTrue="1">
      <formula>A4=3</formula>
    </cfRule>
  </conditionalFormatting>
  <conditionalFormatting sqref="L43 K38:L38 L48 F38 K37 K39:K51 D40:D45 E42">
    <cfRule type="expression" priority="4" dxfId="2" stopIfTrue="1">
      <formula>$D$29=TRUE</formula>
    </cfRule>
  </conditionalFormatting>
  <conditionalFormatting sqref="G77">
    <cfRule type="expression" priority="5" dxfId="3" stopIfTrue="1">
      <formula>$G$77&gt;0</formula>
    </cfRule>
  </conditionalFormatting>
  <conditionalFormatting sqref="G69">
    <cfRule type="expression" priority="6" dxfId="3" stopIfTrue="1">
      <formula>$G$69&gt;0</formula>
    </cfRule>
  </conditionalFormatting>
  <conditionalFormatting sqref="G73">
    <cfRule type="expression" priority="7" dxfId="3" stopIfTrue="1">
      <formula>$G$73&gt;0</formula>
    </cfRule>
  </conditionalFormatting>
  <conditionalFormatting sqref="G65">
    <cfRule type="expression" priority="8" dxfId="3" stopIfTrue="1">
      <formula>$G$65&gt;0</formula>
    </cfRule>
  </conditionalFormatting>
  <conditionalFormatting sqref="A51">
    <cfRule type="expression" priority="9" dxfId="4" stopIfTrue="1">
      <formula>$D$29=TRUE</formula>
    </cfRule>
  </conditionalFormatting>
  <conditionalFormatting sqref="D51">
    <cfRule type="expression" priority="10" dxfId="2" stopIfTrue="1">
      <formula>$D$29=TRUE</formula>
    </cfRule>
  </conditionalFormatting>
  <conditionalFormatting sqref="A48:F50">
    <cfRule type="expression" priority="11" dxfId="3" stopIfTrue="1">
      <formula>$G$89&gt;0</formula>
    </cfRule>
  </conditionalFormatting>
  <conditionalFormatting sqref="A38:D38">
    <cfRule type="expression" priority="12" dxfId="5" stopIfTrue="1">
      <formula>$F$38=0</formula>
    </cfRule>
  </conditionalFormatting>
  <conditionalFormatting sqref="E32:G32">
    <cfRule type="expression" priority="13" dxfId="6" stopIfTrue="1">
      <formula>$G$89&gt;0</formula>
    </cfRule>
  </conditionalFormatting>
  <conditionalFormatting sqref="E31:G31">
    <cfRule type="expression" priority="14" dxfId="7" stopIfTrue="1">
      <formula>$G$89&gt;0</formula>
    </cfRule>
  </conditionalFormatting>
  <conditionalFormatting sqref="E33:G33">
    <cfRule type="expression" priority="15" dxfId="8" stopIfTrue="1">
      <formula>$G$89&gt;0</formula>
    </cfRule>
  </conditionalFormatting>
  <conditionalFormatting sqref="D28:E28">
    <cfRule type="expression" priority="16" dxfId="1" stopIfTrue="1">
      <formula>$D$29=TRUE</formula>
    </cfRule>
  </conditionalFormatting>
  <dataValidations count="2">
    <dataValidation type="list" allowBlank="1" showInputMessage="1" showErrorMessage="1" sqref="K48 K43 K38 D42">
      <formula1>"Dhr/Mevr,Dhr,Mevr"</formula1>
    </dataValidation>
    <dataValidation allowBlank="1" showInputMessage="1" showErrorMessage="1" prompt="dd-mm-jj" sqref="G6"/>
  </dataValidations>
  <hyperlinks>
    <hyperlink ref="G28" r:id="rId1" display="inbox@nza.nl"/>
  </hyperlinks>
  <printOptions horizontalCentered="1" verticalCentered="1"/>
  <pageMargins left="0.3937007874015748" right="0.3937007874015748" top="0.1968503937007874" bottom="0.1968503937007874" header="0.5118110236220472" footer="0.11811023622047245"/>
  <pageSetup errors="dash" firstPageNumber="1" useFirstPageNumber="1" fitToHeight="1" fitToWidth="1" horizontalDpi="600" verticalDpi="600" orientation="landscape" paperSize="9" scale="94" r:id="rId4"/>
  <headerFooter alignWithMargins="0">
    <oddFooter>&amp;RPagina &amp;P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A1:L58"/>
  <sheetViews>
    <sheetView showGridLines="0" zoomScale="110" zoomScaleNormal="110" workbookViewId="0" topLeftCell="A1">
      <selection activeCell="A15" sqref="A15:L15"/>
    </sheetView>
  </sheetViews>
  <sheetFormatPr defaultColWidth="9.140625" defaultRowHeight="12.75"/>
  <cols>
    <col min="1" max="1" width="5.28125" style="127" customWidth="1"/>
    <col min="2" max="12" width="12.00390625" style="127" customWidth="1"/>
    <col min="13" max="16384" width="9.140625" style="127" customWidth="1"/>
  </cols>
  <sheetData>
    <row r="1" spans="1:12" ht="15" customHeight="1">
      <c r="A1" s="612" t="s">
        <v>540</v>
      </c>
      <c r="B1" s="613"/>
      <c r="C1" s="613"/>
      <c r="D1" s="613"/>
      <c r="E1" s="613"/>
      <c r="F1" s="614"/>
      <c r="G1" s="615"/>
      <c r="H1" s="613"/>
      <c r="I1" s="613"/>
      <c r="J1" s="616"/>
      <c r="K1" s="616"/>
      <c r="L1" s="613"/>
    </row>
    <row r="2" spans="2:12" ht="13.5" customHeight="1">
      <c r="B2" s="617"/>
      <c r="C2" s="618"/>
      <c r="D2" s="617"/>
      <c r="E2" s="617"/>
      <c r="F2" s="617"/>
      <c r="G2" s="617"/>
      <c r="H2" s="617"/>
      <c r="I2" s="617"/>
      <c r="J2" s="617"/>
      <c r="K2" s="617"/>
      <c r="L2" s="617"/>
    </row>
    <row r="3" spans="1:12" ht="11.25" customHeight="1">
      <c r="A3" s="612" t="s">
        <v>1580</v>
      </c>
      <c r="B3" s="617"/>
      <c r="C3" s="618"/>
      <c r="D3" s="617"/>
      <c r="E3" s="617"/>
      <c r="F3" s="617"/>
      <c r="G3" s="617"/>
      <c r="H3" s="617"/>
      <c r="I3" s="617"/>
      <c r="J3" s="617"/>
      <c r="K3" s="617"/>
      <c r="L3" s="617"/>
    </row>
    <row r="4" spans="1:12" ht="30.75" customHeight="1">
      <c r="A4" s="741" t="s">
        <v>846</v>
      </c>
      <c r="B4" s="714"/>
      <c r="C4" s="714"/>
      <c r="D4" s="714"/>
      <c r="E4" s="714"/>
      <c r="F4" s="714"/>
      <c r="G4" s="714"/>
      <c r="H4" s="714"/>
      <c r="I4" s="714"/>
      <c r="J4" s="714"/>
      <c r="K4" s="714"/>
      <c r="L4" s="714"/>
    </row>
    <row r="5" spans="1:12" ht="29.25" customHeight="1">
      <c r="A5" s="737" t="s">
        <v>444</v>
      </c>
      <c r="B5" s="740"/>
      <c r="C5" s="740"/>
      <c r="D5" s="740"/>
      <c r="E5" s="740"/>
      <c r="F5" s="740"/>
      <c r="G5" s="740"/>
      <c r="H5" s="740"/>
      <c r="I5" s="740"/>
      <c r="J5" s="740"/>
      <c r="K5" s="740"/>
      <c r="L5" s="740"/>
    </row>
    <row r="6" spans="1:12" ht="16.5" customHeight="1">
      <c r="A6" s="737" t="s">
        <v>1919</v>
      </c>
      <c r="B6" s="714"/>
      <c r="C6" s="714"/>
      <c r="D6" s="714"/>
      <c r="E6" s="714"/>
      <c r="F6" s="714"/>
      <c r="G6" s="714"/>
      <c r="H6" s="714"/>
      <c r="I6" s="714"/>
      <c r="J6" s="714"/>
      <c r="K6" s="714"/>
      <c r="L6" s="714"/>
    </row>
    <row r="7" spans="1:12" ht="48.75" customHeight="1">
      <c r="A7" s="737" t="s">
        <v>1252</v>
      </c>
      <c r="B7" s="714"/>
      <c r="C7" s="714"/>
      <c r="D7" s="714"/>
      <c r="E7" s="714"/>
      <c r="F7" s="714"/>
      <c r="G7" s="714"/>
      <c r="H7" s="714"/>
      <c r="I7" s="714"/>
      <c r="J7" s="714"/>
      <c r="K7" s="714"/>
      <c r="L7" s="714"/>
    </row>
    <row r="8" spans="1:12" ht="35.25" customHeight="1">
      <c r="A8" s="746" t="s">
        <v>228</v>
      </c>
      <c r="B8" s="747"/>
      <c r="C8" s="747"/>
      <c r="D8" s="747"/>
      <c r="E8" s="747"/>
      <c r="F8" s="747"/>
      <c r="G8" s="747"/>
      <c r="H8" s="747"/>
      <c r="I8" s="747"/>
      <c r="J8" s="747"/>
      <c r="K8" s="747"/>
      <c r="L8" s="747"/>
    </row>
    <row r="9" spans="1:12" ht="75" customHeight="1">
      <c r="A9" s="748" t="s">
        <v>0</v>
      </c>
      <c r="B9" s="749"/>
      <c r="C9" s="749"/>
      <c r="D9" s="749"/>
      <c r="E9" s="749"/>
      <c r="F9" s="749"/>
      <c r="G9" s="749"/>
      <c r="H9" s="749"/>
      <c r="I9" s="749"/>
      <c r="J9" s="749"/>
      <c r="K9" s="749"/>
      <c r="L9" s="750"/>
    </row>
    <row r="10" spans="1:12" ht="41.25" customHeight="1">
      <c r="A10" s="751" t="s">
        <v>615</v>
      </c>
      <c r="B10" s="752"/>
      <c r="C10" s="752"/>
      <c r="D10" s="752"/>
      <c r="E10" s="752"/>
      <c r="F10" s="752"/>
      <c r="G10" s="752"/>
      <c r="H10" s="752"/>
      <c r="I10" s="752"/>
      <c r="J10" s="752"/>
      <c r="K10" s="752"/>
      <c r="L10" s="753"/>
    </row>
    <row r="11" spans="1:12" ht="9" customHeight="1">
      <c r="A11" s="653"/>
      <c r="B11" s="653"/>
      <c r="C11" s="653"/>
      <c r="D11" s="653"/>
      <c r="E11" s="653"/>
      <c r="F11" s="653"/>
      <c r="G11" s="653"/>
      <c r="H11" s="653"/>
      <c r="I11" s="653"/>
      <c r="J11" s="653"/>
      <c r="K11" s="653"/>
      <c r="L11" s="653"/>
    </row>
    <row r="12" spans="1:12" ht="27.75" customHeight="1">
      <c r="A12" s="744" t="s">
        <v>445</v>
      </c>
      <c r="B12" s="744"/>
      <c r="C12" s="744"/>
      <c r="D12" s="744"/>
      <c r="E12" s="744"/>
      <c r="F12" s="744"/>
      <c r="G12" s="744"/>
      <c r="H12" s="744"/>
      <c r="I12" s="744"/>
      <c r="J12" s="744"/>
      <c r="K12" s="744"/>
      <c r="L12" s="744"/>
    </row>
    <row r="13" spans="1:12" ht="30" customHeight="1">
      <c r="A13" s="737" t="s">
        <v>446</v>
      </c>
      <c r="B13" s="714"/>
      <c r="C13" s="714"/>
      <c r="D13" s="714"/>
      <c r="E13" s="714"/>
      <c r="F13" s="714"/>
      <c r="G13" s="714"/>
      <c r="H13" s="714"/>
      <c r="I13" s="714"/>
      <c r="J13" s="714"/>
      <c r="K13" s="714"/>
      <c r="L13" s="714"/>
    </row>
    <row r="14" spans="1:12" ht="51" customHeight="1">
      <c r="A14" s="737" t="s">
        <v>1586</v>
      </c>
      <c r="B14" s="714"/>
      <c r="C14" s="714"/>
      <c r="D14" s="714"/>
      <c r="E14" s="714"/>
      <c r="F14" s="714"/>
      <c r="G14" s="714"/>
      <c r="H14" s="714"/>
      <c r="I14" s="714"/>
      <c r="J14" s="714"/>
      <c r="K14" s="714"/>
      <c r="L14" s="714"/>
    </row>
    <row r="15" spans="1:12" ht="72.75" customHeight="1">
      <c r="A15" s="737" t="s">
        <v>447</v>
      </c>
      <c r="B15" s="714"/>
      <c r="C15" s="714"/>
      <c r="D15" s="714"/>
      <c r="E15" s="714"/>
      <c r="F15" s="714"/>
      <c r="G15" s="714"/>
      <c r="H15" s="714"/>
      <c r="I15" s="714"/>
      <c r="J15" s="714"/>
      <c r="K15" s="714"/>
      <c r="L15" s="714"/>
    </row>
    <row r="16" spans="1:12" ht="14.25" customHeight="1">
      <c r="A16" s="741" t="s">
        <v>1</v>
      </c>
      <c r="B16" s="745"/>
      <c r="C16" s="745"/>
      <c r="D16" s="745"/>
      <c r="E16" s="745"/>
      <c r="F16" s="745"/>
      <c r="G16" s="745"/>
      <c r="H16" s="745"/>
      <c r="I16" s="745"/>
      <c r="J16" s="745"/>
      <c r="K16" s="745"/>
      <c r="L16" s="745"/>
    </row>
    <row r="17" spans="1:12" ht="17.25" customHeight="1">
      <c r="A17" s="737" t="s">
        <v>448</v>
      </c>
      <c r="B17" s="714"/>
      <c r="C17" s="714"/>
      <c r="D17" s="714"/>
      <c r="E17" s="714"/>
      <c r="F17" s="714"/>
      <c r="G17" s="714"/>
      <c r="H17" s="714"/>
      <c r="I17" s="714"/>
      <c r="J17" s="714"/>
      <c r="K17" s="714"/>
      <c r="L17" s="714"/>
    </row>
    <row r="18" spans="1:12" ht="11.25">
      <c r="A18" s="619" t="s">
        <v>1694</v>
      </c>
      <c r="B18" s="617"/>
      <c r="C18" s="618"/>
      <c r="D18" s="617"/>
      <c r="E18" s="617"/>
      <c r="F18" s="617"/>
      <c r="G18" s="617"/>
      <c r="H18" s="617"/>
      <c r="I18" s="617"/>
      <c r="J18" s="617"/>
      <c r="K18" s="617"/>
      <c r="L18" s="617"/>
    </row>
    <row r="19" spans="1:12" ht="14.25" customHeight="1">
      <c r="A19" s="620" t="s">
        <v>1885</v>
      </c>
      <c r="B19" s="605" t="s">
        <v>1799</v>
      </c>
      <c r="C19" s="621"/>
      <c r="D19" s="622"/>
      <c r="E19" s="622"/>
      <c r="F19" s="617"/>
      <c r="G19" s="622"/>
      <c r="H19" s="622"/>
      <c r="I19" s="622"/>
      <c r="J19" s="622"/>
      <c r="K19" s="622"/>
      <c r="L19" s="617"/>
    </row>
    <row r="20" spans="1:12" ht="53.25" customHeight="1">
      <c r="A20" s="737" t="s">
        <v>2</v>
      </c>
      <c r="B20" s="737"/>
      <c r="C20" s="737"/>
      <c r="D20" s="737"/>
      <c r="E20" s="737"/>
      <c r="F20" s="737"/>
      <c r="G20" s="737"/>
      <c r="H20" s="737"/>
      <c r="I20" s="737"/>
      <c r="J20" s="737"/>
      <c r="K20" s="737"/>
      <c r="L20" s="737"/>
    </row>
    <row r="21" spans="1:12" ht="33" customHeight="1">
      <c r="A21" s="737" t="s">
        <v>847</v>
      </c>
      <c r="B21" s="743"/>
      <c r="C21" s="743"/>
      <c r="D21" s="743"/>
      <c r="E21" s="743"/>
      <c r="F21" s="743"/>
      <c r="G21" s="743"/>
      <c r="H21" s="743"/>
      <c r="I21" s="743"/>
      <c r="J21" s="743"/>
      <c r="K21" s="743"/>
      <c r="L21" s="743"/>
    </row>
    <row r="22" spans="1:12" ht="11.25">
      <c r="A22" s="620" t="s">
        <v>343</v>
      </c>
      <c r="B22" s="605" t="s">
        <v>3</v>
      </c>
      <c r="C22" s="654"/>
      <c r="D22" s="613"/>
      <c r="E22" s="44"/>
      <c r="F22" s="613"/>
      <c r="G22" s="613"/>
      <c r="H22" s="613"/>
      <c r="I22" s="613"/>
      <c r="J22" s="613"/>
      <c r="K22" s="613"/>
      <c r="L22" s="613"/>
    </row>
    <row r="23" spans="1:12" ht="42" customHeight="1">
      <c r="A23" s="737" t="s">
        <v>449</v>
      </c>
      <c r="B23" s="742"/>
      <c r="C23" s="742"/>
      <c r="D23" s="742"/>
      <c r="E23" s="742"/>
      <c r="F23" s="742"/>
      <c r="G23" s="742"/>
      <c r="H23" s="742"/>
      <c r="I23" s="742"/>
      <c r="J23" s="742"/>
      <c r="K23" s="742"/>
      <c r="L23" s="742"/>
    </row>
    <row r="24" spans="1:12" ht="12" customHeight="1">
      <c r="A24" s="624" t="s">
        <v>344</v>
      </c>
      <c r="B24" s="738" t="s">
        <v>605</v>
      </c>
      <c r="C24" s="714"/>
      <c r="D24" s="714"/>
      <c r="E24" s="714"/>
      <c r="F24" s="623"/>
      <c r="G24" s="623"/>
      <c r="H24" s="623"/>
      <c r="I24" s="623"/>
      <c r="J24" s="623"/>
      <c r="K24" s="623"/>
      <c r="L24" s="623"/>
    </row>
    <row r="25" spans="1:12" ht="29.25" customHeight="1">
      <c r="A25" s="713" t="s">
        <v>4</v>
      </c>
      <c r="B25" s="713"/>
      <c r="C25" s="713"/>
      <c r="D25" s="713"/>
      <c r="E25" s="713"/>
      <c r="F25" s="713"/>
      <c r="G25" s="713"/>
      <c r="H25" s="713"/>
      <c r="I25" s="713"/>
      <c r="J25" s="713"/>
      <c r="K25" s="713"/>
      <c r="L25" s="713"/>
    </row>
    <row r="26" spans="1:12" ht="12" customHeight="1">
      <c r="A26" s="624" t="s">
        <v>345</v>
      </c>
      <c r="B26" s="738" t="s">
        <v>1791</v>
      </c>
      <c r="C26" s="714"/>
      <c r="D26" s="714"/>
      <c r="E26" s="714"/>
      <c r="F26" s="623"/>
      <c r="G26" s="623"/>
      <c r="H26" s="623"/>
      <c r="I26" s="623"/>
      <c r="J26" s="623"/>
      <c r="K26" s="623"/>
      <c r="L26" s="623"/>
    </row>
    <row r="27" spans="1:12" ht="18" customHeight="1">
      <c r="A27" s="713" t="s">
        <v>1672</v>
      </c>
      <c r="B27" s="713"/>
      <c r="C27" s="713"/>
      <c r="D27" s="713"/>
      <c r="E27" s="713"/>
      <c r="F27" s="713"/>
      <c r="G27" s="713"/>
      <c r="H27" s="713"/>
      <c r="I27" s="713"/>
      <c r="J27" s="713"/>
      <c r="K27" s="713"/>
      <c r="L27" s="713"/>
    </row>
    <row r="28" spans="1:12" ht="12" customHeight="1">
      <c r="A28" s="624" t="s">
        <v>346</v>
      </c>
      <c r="B28" s="738" t="s">
        <v>464</v>
      </c>
      <c r="C28" s="714"/>
      <c r="D28" s="714"/>
      <c r="E28" s="714"/>
      <c r="F28" s="623"/>
      <c r="G28" s="623"/>
      <c r="H28" s="623"/>
      <c r="I28" s="623"/>
      <c r="J28" s="623"/>
      <c r="K28" s="623"/>
      <c r="L28" s="623"/>
    </row>
    <row r="29" spans="1:12" ht="18.75" customHeight="1">
      <c r="A29" s="713" t="s">
        <v>848</v>
      </c>
      <c r="B29" s="713"/>
      <c r="C29" s="713"/>
      <c r="D29" s="713"/>
      <c r="E29" s="713"/>
      <c r="F29" s="713"/>
      <c r="G29" s="713"/>
      <c r="H29" s="713"/>
      <c r="I29" s="713"/>
      <c r="J29" s="713"/>
      <c r="K29" s="713"/>
      <c r="L29" s="713"/>
    </row>
    <row r="30" spans="1:12" ht="12" customHeight="1">
      <c r="A30" s="624">
        <v>2</v>
      </c>
      <c r="B30" s="738" t="s">
        <v>1602</v>
      </c>
      <c r="C30" s="714"/>
      <c r="D30" s="714"/>
      <c r="E30" s="714"/>
      <c r="F30" s="623"/>
      <c r="G30" s="623"/>
      <c r="H30" s="623"/>
      <c r="I30" s="623"/>
      <c r="J30" s="623"/>
      <c r="K30" s="623"/>
      <c r="L30" s="623"/>
    </row>
    <row r="31" spans="1:12" ht="30.75" customHeight="1">
      <c r="A31" s="754" t="s">
        <v>1673</v>
      </c>
      <c r="B31" s="754"/>
      <c r="C31" s="754"/>
      <c r="D31" s="754"/>
      <c r="E31" s="754"/>
      <c r="F31" s="754"/>
      <c r="G31" s="754"/>
      <c r="H31" s="754"/>
      <c r="I31" s="754"/>
      <c r="J31" s="754"/>
      <c r="K31" s="754"/>
      <c r="L31" s="754"/>
    </row>
    <row r="32" spans="1:12" ht="12" customHeight="1">
      <c r="A32" s="624">
        <v>3</v>
      </c>
      <c r="B32" s="738" t="s">
        <v>1802</v>
      </c>
      <c r="C32" s="714"/>
      <c r="D32" s="714"/>
      <c r="E32" s="714"/>
      <c r="F32" s="623"/>
      <c r="G32" s="623"/>
      <c r="H32" s="623"/>
      <c r="I32" s="623"/>
      <c r="J32" s="623"/>
      <c r="K32" s="623"/>
      <c r="L32" s="623"/>
    </row>
    <row r="33" spans="1:12" ht="26.25" customHeight="1">
      <c r="A33" s="713" t="s">
        <v>5</v>
      </c>
      <c r="B33" s="713"/>
      <c r="C33" s="713"/>
      <c r="D33" s="713"/>
      <c r="E33" s="713"/>
      <c r="F33" s="713"/>
      <c r="G33" s="713"/>
      <c r="H33" s="713"/>
      <c r="I33" s="713"/>
      <c r="J33" s="713"/>
      <c r="K33" s="713"/>
      <c r="L33" s="713"/>
    </row>
    <row r="34" spans="1:12" ht="16.5" customHeight="1">
      <c r="A34" s="624" t="s">
        <v>347</v>
      </c>
      <c r="B34" s="738" t="s">
        <v>1439</v>
      </c>
      <c r="C34" s="714"/>
      <c r="D34" s="714"/>
      <c r="E34" s="714"/>
      <c r="F34" s="623"/>
      <c r="G34" s="623"/>
      <c r="H34" s="623"/>
      <c r="I34" s="623"/>
      <c r="J34" s="623"/>
      <c r="K34" s="623"/>
      <c r="L34" s="623"/>
    </row>
    <row r="35" spans="1:12" ht="62.25" customHeight="1">
      <c r="A35" s="713" t="s">
        <v>82</v>
      </c>
      <c r="B35" s="713"/>
      <c r="C35" s="713"/>
      <c r="D35" s="713"/>
      <c r="E35" s="713"/>
      <c r="F35" s="713"/>
      <c r="G35" s="713"/>
      <c r="H35" s="713"/>
      <c r="I35" s="713"/>
      <c r="J35" s="713"/>
      <c r="K35" s="713"/>
      <c r="L35" s="713"/>
    </row>
    <row r="36" spans="1:12" ht="15" customHeight="1">
      <c r="A36" s="624">
        <v>4</v>
      </c>
      <c r="B36" s="738" t="s">
        <v>622</v>
      </c>
      <c r="C36" s="714"/>
      <c r="D36" s="714"/>
      <c r="E36" s="714"/>
      <c r="F36" s="623"/>
      <c r="G36" s="623"/>
      <c r="H36" s="623"/>
      <c r="I36" s="623"/>
      <c r="J36" s="623"/>
      <c r="K36" s="623"/>
      <c r="L36" s="623"/>
    </row>
    <row r="37" spans="1:12" ht="30.75" customHeight="1">
      <c r="A37" s="713" t="s">
        <v>1071</v>
      </c>
      <c r="B37" s="713"/>
      <c r="C37" s="713"/>
      <c r="D37" s="713"/>
      <c r="E37" s="713"/>
      <c r="F37" s="713"/>
      <c r="G37" s="713"/>
      <c r="H37" s="713"/>
      <c r="I37" s="713"/>
      <c r="J37" s="713"/>
      <c r="K37" s="713"/>
      <c r="L37" s="713"/>
    </row>
    <row r="38" spans="1:12" ht="18.75" customHeight="1">
      <c r="A38" s="625">
        <v>5</v>
      </c>
      <c r="B38" s="627" t="s">
        <v>1692</v>
      </c>
      <c r="C38" s="628"/>
      <c r="D38" s="628"/>
      <c r="E38" s="628"/>
      <c r="F38" s="626"/>
      <c r="G38" s="626"/>
      <c r="H38" s="626"/>
      <c r="I38" s="626"/>
      <c r="J38" s="626"/>
      <c r="K38" s="626"/>
      <c r="L38" s="626"/>
    </row>
    <row r="39" spans="1:12" ht="11.25">
      <c r="A39" s="620" t="s">
        <v>348</v>
      </c>
      <c r="B39" s="627" t="s">
        <v>1595</v>
      </c>
      <c r="C39" s="629"/>
      <c r="D39" s="629"/>
      <c r="E39" s="629"/>
      <c r="F39" s="617"/>
      <c r="G39" s="630"/>
      <c r="H39" s="630"/>
      <c r="I39" s="630"/>
      <c r="J39" s="617"/>
      <c r="K39" s="617"/>
      <c r="L39" s="617"/>
    </row>
    <row r="40" spans="1:12" ht="43.5" customHeight="1">
      <c r="A40" s="739" t="s">
        <v>849</v>
      </c>
      <c r="B40" s="739"/>
      <c r="C40" s="739"/>
      <c r="D40" s="739"/>
      <c r="E40" s="739"/>
      <c r="F40" s="739"/>
      <c r="G40" s="739"/>
      <c r="H40" s="739"/>
      <c r="I40" s="739"/>
      <c r="J40" s="739"/>
      <c r="K40" s="739"/>
      <c r="L40" s="739"/>
    </row>
    <row r="41" spans="1:12" ht="11.25">
      <c r="A41" s="620" t="s">
        <v>349</v>
      </c>
      <c r="B41" s="15" t="s">
        <v>1804</v>
      </c>
      <c r="C41" s="629"/>
      <c r="D41" s="629"/>
      <c r="E41" s="629"/>
      <c r="F41" s="617"/>
      <c r="G41" s="630"/>
      <c r="H41" s="630"/>
      <c r="I41" s="630"/>
      <c r="J41" s="617"/>
      <c r="K41" s="617"/>
      <c r="L41" s="617"/>
    </row>
    <row r="42" spans="1:12" ht="18" customHeight="1">
      <c r="A42" s="739" t="s">
        <v>1596</v>
      </c>
      <c r="B42" s="739"/>
      <c r="C42" s="739"/>
      <c r="D42" s="739"/>
      <c r="E42" s="739"/>
      <c r="F42" s="739"/>
      <c r="G42" s="739"/>
      <c r="H42" s="739"/>
      <c r="I42" s="739"/>
      <c r="J42" s="739"/>
      <c r="K42" s="739"/>
      <c r="L42" s="739"/>
    </row>
    <row r="43" spans="1:12" ht="11.25">
      <c r="A43" s="620" t="s">
        <v>350</v>
      </c>
      <c r="B43" s="44" t="s">
        <v>1597</v>
      </c>
      <c r="C43" s="618"/>
      <c r="F43" s="626"/>
      <c r="G43" s="626"/>
      <c r="H43" s="626"/>
      <c r="I43" s="626"/>
      <c r="J43" s="626"/>
      <c r="K43" s="626"/>
      <c r="L43" s="626"/>
    </row>
    <row r="44" spans="1:12" ht="49.5" customHeight="1">
      <c r="A44" s="713" t="s">
        <v>582</v>
      </c>
      <c r="B44" s="713"/>
      <c r="C44" s="713"/>
      <c r="D44" s="713"/>
      <c r="E44" s="713"/>
      <c r="F44" s="713"/>
      <c r="G44" s="713"/>
      <c r="H44" s="713"/>
      <c r="I44" s="713"/>
      <c r="J44" s="713"/>
      <c r="K44" s="713"/>
      <c r="L44" s="713"/>
    </row>
    <row r="45" spans="1:12" ht="11.25">
      <c r="A45" s="620" t="s">
        <v>351</v>
      </c>
      <c r="B45" s="44" t="s">
        <v>1598</v>
      </c>
      <c r="C45" s="618"/>
      <c r="F45" s="626"/>
      <c r="G45" s="626"/>
      <c r="H45" s="626"/>
      <c r="I45" s="626"/>
      <c r="J45" s="626"/>
      <c r="K45" s="626"/>
      <c r="L45" s="626"/>
    </row>
    <row r="46" spans="1:12" ht="39" customHeight="1">
      <c r="A46" s="713" t="s">
        <v>6</v>
      </c>
      <c r="B46" s="713"/>
      <c r="C46" s="713"/>
      <c r="D46" s="713"/>
      <c r="E46" s="713"/>
      <c r="F46" s="713"/>
      <c r="G46" s="713"/>
      <c r="H46" s="713"/>
      <c r="I46" s="713"/>
      <c r="J46" s="713"/>
      <c r="K46" s="713"/>
      <c r="L46" s="713"/>
    </row>
    <row r="47" spans="1:12" ht="29.25" customHeight="1">
      <c r="A47" s="713" t="s">
        <v>1807</v>
      </c>
      <c r="B47" s="713"/>
      <c r="C47" s="713"/>
      <c r="D47" s="713"/>
      <c r="E47" s="713"/>
      <c r="F47" s="713"/>
      <c r="G47" s="713"/>
      <c r="H47" s="713"/>
      <c r="I47" s="713"/>
      <c r="J47" s="713"/>
      <c r="K47" s="713"/>
      <c r="L47" s="713"/>
    </row>
    <row r="48" spans="1:12" ht="11.25">
      <c r="A48" s="620" t="s">
        <v>1917</v>
      </c>
      <c r="B48" s="44"/>
      <c r="C48" s="626"/>
      <c r="D48" s="626"/>
      <c r="E48" s="626"/>
      <c r="F48" s="626"/>
      <c r="G48" s="626"/>
      <c r="H48" s="626"/>
      <c r="I48" s="626"/>
      <c r="J48" s="626"/>
      <c r="K48" s="626"/>
      <c r="L48" s="626"/>
    </row>
    <row r="49" spans="1:12" ht="51.75" customHeight="1">
      <c r="A49" s="736" t="s">
        <v>850</v>
      </c>
      <c r="B49" s="736"/>
      <c r="C49" s="736"/>
      <c r="D49" s="736"/>
      <c r="E49" s="736"/>
      <c r="F49" s="736"/>
      <c r="G49" s="736"/>
      <c r="H49" s="736"/>
      <c r="I49" s="736"/>
      <c r="J49" s="736"/>
      <c r="K49" s="736"/>
      <c r="L49" s="736"/>
    </row>
    <row r="50" spans="1:12" ht="39.75" customHeight="1">
      <c r="A50" s="734" t="s">
        <v>83</v>
      </c>
      <c r="B50" s="734"/>
      <c r="C50" s="734"/>
      <c r="D50" s="734"/>
      <c r="E50" s="734"/>
      <c r="F50" s="734"/>
      <c r="G50" s="734"/>
      <c r="H50" s="734"/>
      <c r="I50" s="734"/>
      <c r="J50" s="734"/>
      <c r="K50" s="734"/>
      <c r="L50" s="734"/>
    </row>
    <row r="51" spans="1:12" ht="39.75" customHeight="1">
      <c r="A51" s="734" t="s">
        <v>1073</v>
      </c>
      <c r="B51" s="735"/>
      <c r="C51" s="735"/>
      <c r="D51" s="735"/>
      <c r="E51" s="735"/>
      <c r="F51" s="735"/>
      <c r="G51" s="735"/>
      <c r="H51" s="735"/>
      <c r="I51" s="735"/>
      <c r="J51" s="735"/>
      <c r="K51" s="735"/>
      <c r="L51" s="735"/>
    </row>
    <row r="52" spans="1:12" ht="18.75" customHeight="1">
      <c r="A52" s="631" t="s">
        <v>1592</v>
      </c>
      <c r="B52" s="605"/>
      <c r="C52" s="628"/>
      <c r="D52" s="628"/>
      <c r="E52" s="628"/>
      <c r="F52" s="628"/>
      <c r="G52" s="632" t="s">
        <v>549</v>
      </c>
      <c r="H52" s="628" t="s">
        <v>1594</v>
      </c>
      <c r="I52" s="628"/>
      <c r="J52" s="628"/>
      <c r="K52" s="628"/>
      <c r="L52" s="628"/>
    </row>
    <row r="53" spans="1:12" ht="18.75" customHeight="1">
      <c r="A53" s="631" t="s">
        <v>1599</v>
      </c>
      <c r="B53" s="605"/>
      <c r="C53" s="628"/>
      <c r="D53" s="628"/>
      <c r="E53" s="628"/>
      <c r="F53" s="628"/>
      <c r="G53" s="632" t="s">
        <v>302</v>
      </c>
      <c r="H53" s="628" t="s">
        <v>1593</v>
      </c>
      <c r="I53" s="628"/>
      <c r="J53" s="628"/>
      <c r="K53" s="628"/>
      <c r="L53" s="628"/>
    </row>
    <row r="54" spans="1:12" ht="18.75" customHeight="1">
      <c r="A54" s="631" t="s">
        <v>1600</v>
      </c>
      <c r="B54" s="605"/>
      <c r="C54" s="628"/>
      <c r="D54" s="628"/>
      <c r="E54" s="628"/>
      <c r="F54" s="628"/>
      <c r="G54" s="632" t="s">
        <v>316</v>
      </c>
      <c r="H54" s="628" t="s">
        <v>1593</v>
      </c>
      <c r="I54" s="628"/>
      <c r="J54" s="628"/>
      <c r="K54" s="628"/>
      <c r="L54" s="628"/>
    </row>
    <row r="55" spans="1:12" ht="18.75" customHeight="1" thickBot="1">
      <c r="A55" s="631" t="s">
        <v>1601</v>
      </c>
      <c r="B55" s="605"/>
      <c r="C55" s="628"/>
      <c r="D55" s="628"/>
      <c r="E55" s="628"/>
      <c r="F55" s="628"/>
      <c r="G55" s="633" t="s">
        <v>284</v>
      </c>
      <c r="H55" s="628"/>
      <c r="I55" s="628"/>
      <c r="J55" s="628"/>
      <c r="K55" s="628"/>
      <c r="L55" s="628"/>
    </row>
    <row r="56" spans="1:12" ht="48.75" customHeight="1" thickTop="1">
      <c r="A56" s="734" t="s">
        <v>851</v>
      </c>
      <c r="B56" s="735"/>
      <c r="C56" s="735"/>
      <c r="D56" s="735"/>
      <c r="E56" s="735"/>
      <c r="F56" s="735"/>
      <c r="G56" s="735"/>
      <c r="H56" s="735"/>
      <c r="I56" s="735"/>
      <c r="J56" s="735"/>
      <c r="K56" s="735"/>
      <c r="L56" s="735"/>
    </row>
    <row r="57" spans="1:2" ht="14.25" customHeight="1">
      <c r="A57" s="620" t="s">
        <v>1918</v>
      </c>
      <c r="B57" s="605"/>
    </row>
    <row r="58" spans="1:12" ht="32.25" customHeight="1">
      <c r="A58" s="734" t="s">
        <v>684</v>
      </c>
      <c r="B58" s="735"/>
      <c r="C58" s="735"/>
      <c r="D58" s="735"/>
      <c r="E58" s="735"/>
      <c r="F58" s="735"/>
      <c r="G58" s="735"/>
      <c r="H58" s="735"/>
      <c r="I58" s="735"/>
      <c r="J58" s="735"/>
      <c r="K58" s="735"/>
      <c r="L58" s="735"/>
    </row>
  </sheetData>
  <sheetProtection password="9487" sheet="1" objects="1" scenarios="1"/>
  <mergeCells count="40">
    <mergeCell ref="A44:L44"/>
    <mergeCell ref="A25:L25"/>
    <mergeCell ref="B36:E36"/>
    <mergeCell ref="A40:L40"/>
    <mergeCell ref="A29:L29"/>
    <mergeCell ref="B30:E30"/>
    <mergeCell ref="A31:L31"/>
    <mergeCell ref="A27:L27"/>
    <mergeCell ref="A7:L7"/>
    <mergeCell ref="A14:L14"/>
    <mergeCell ref="A15:L15"/>
    <mergeCell ref="A16:L16"/>
    <mergeCell ref="A8:L8"/>
    <mergeCell ref="A9:L9"/>
    <mergeCell ref="A10:L10"/>
    <mergeCell ref="A58:L58"/>
    <mergeCell ref="A5:L5"/>
    <mergeCell ref="A4:L4"/>
    <mergeCell ref="A20:L20"/>
    <mergeCell ref="A23:L23"/>
    <mergeCell ref="A21:L21"/>
    <mergeCell ref="A12:L12"/>
    <mergeCell ref="A13:L13"/>
    <mergeCell ref="A6:L6"/>
    <mergeCell ref="B32:E32"/>
    <mergeCell ref="A17:L17"/>
    <mergeCell ref="A46:L46"/>
    <mergeCell ref="B26:E26"/>
    <mergeCell ref="B34:E34"/>
    <mergeCell ref="A35:L35"/>
    <mergeCell ref="A37:L37"/>
    <mergeCell ref="A42:L42"/>
    <mergeCell ref="A33:L33"/>
    <mergeCell ref="B28:E28"/>
    <mergeCell ref="B24:E24"/>
    <mergeCell ref="A47:L47"/>
    <mergeCell ref="A56:L56"/>
    <mergeCell ref="A51:L51"/>
    <mergeCell ref="A49:L49"/>
    <mergeCell ref="A50:L50"/>
  </mergeCells>
  <printOptions gridLines="1" horizontalCentered="1"/>
  <pageMargins left="0.3937007874015748" right="0.3937007874015748" top="0.7874015748031497" bottom="0.5905511811023623" header="0.5118110236220472" footer="0.5118110236220472"/>
  <pageSetup firstPageNumber="2" useFirstPageNumber="1" horizontalDpi="600" verticalDpi="600" orientation="landscape" paperSize="9" r:id="rId3"/>
  <headerFooter alignWithMargins="0">
    <oddHeader>&amp;R&amp;G</oddHeader>
    <oddFooter>&amp;RPagina &amp;P</oddFooter>
  </headerFooter>
  <rowBreaks count="4" manualBreakCount="4">
    <brk id="15" max="255" man="1"/>
    <brk id="35" max="255" man="1"/>
    <brk id="51" max="255" man="1"/>
    <brk id="63" max="11" man="1"/>
  </rowBreaks>
  <drawing r:id="rId1"/>
  <legacyDrawingHF r:id="rId2"/>
</worksheet>
</file>

<file path=xl/worksheets/sheet4.xml><?xml version="1.0" encoding="utf-8"?>
<worksheet xmlns="http://schemas.openxmlformats.org/spreadsheetml/2006/main" xmlns:r="http://schemas.openxmlformats.org/officeDocument/2006/relationships">
  <sheetPr codeName="Blad8"/>
  <dimension ref="A2:N43"/>
  <sheetViews>
    <sheetView showGridLines="0" workbookViewId="0" topLeftCell="A4">
      <selection activeCell="D24" sqref="D24"/>
    </sheetView>
  </sheetViews>
  <sheetFormatPr defaultColWidth="9.140625" defaultRowHeight="12.75"/>
  <cols>
    <col min="1" max="1" width="3.8515625" style="98" customWidth="1"/>
    <col min="2" max="2" width="3.140625" style="98" customWidth="1"/>
    <col min="3" max="3" width="8.7109375" style="98" customWidth="1"/>
    <col min="4" max="4" width="74.421875" style="98" customWidth="1"/>
    <col min="5" max="5" width="9.57421875" style="98" hidden="1" customWidth="1"/>
    <col min="6" max="6" width="10.57421875" style="98" hidden="1" customWidth="1"/>
    <col min="7" max="8" width="10.8515625" style="98" hidden="1" customWidth="1"/>
    <col min="9" max="9" width="12.421875" style="98" hidden="1" customWidth="1"/>
    <col min="10" max="10" width="2.140625" style="98" hidden="1" customWidth="1"/>
    <col min="11" max="11" width="9.28125" style="98" hidden="1" customWidth="1"/>
    <col min="12" max="12" width="9.140625" style="98" hidden="1" customWidth="1"/>
    <col min="13" max="16384" width="9.140625" style="98" customWidth="1"/>
  </cols>
  <sheetData>
    <row r="1" ht="11.25"/>
    <row r="2" spans="2:6" ht="11.25">
      <c r="B2" s="229"/>
      <c r="C2" s="230"/>
      <c r="D2" s="231" t="s">
        <v>1893</v>
      </c>
      <c r="E2" s="98">
        <f>voorblad!A4</f>
        <v>3</v>
      </c>
      <c r="F2" s="98" t="s">
        <v>330</v>
      </c>
    </row>
    <row r="3" spans="2:4" ht="84.75" customHeight="1">
      <c r="B3" s="232"/>
      <c r="C3" s="233"/>
      <c r="D3" s="234" t="s">
        <v>328</v>
      </c>
    </row>
    <row r="4" spans="2:7" ht="11.25">
      <c r="B4" s="117"/>
      <c r="C4" s="117"/>
      <c r="D4" s="117"/>
      <c r="E4" s="117"/>
      <c r="F4" s="117"/>
      <c r="G4" s="117"/>
    </row>
    <row r="5" spans="2:7" ht="18" customHeight="1">
      <c r="B5" s="235"/>
      <c r="C5" s="236"/>
      <c r="D5" s="237" t="str">
        <f>IF(E30=0,"Er zijn geen fouten","Er zijn fouten geconstateerd")</f>
        <v>Er zijn fouten geconstateerd</v>
      </c>
      <c r="E5" s="117"/>
      <c r="F5" s="117"/>
      <c r="G5" s="117"/>
    </row>
    <row r="6" spans="2:7" ht="11.25">
      <c r="B6" s="117"/>
      <c r="C6" s="117"/>
      <c r="D6" s="117"/>
      <c r="E6" s="117"/>
      <c r="F6" s="117"/>
      <c r="G6" s="117"/>
    </row>
    <row r="7" spans="2:7" ht="11.25">
      <c r="B7" s="238"/>
      <c r="C7" s="238"/>
      <c r="D7" s="239" t="s">
        <v>1912</v>
      </c>
      <c r="E7" s="117"/>
      <c r="F7" s="117"/>
      <c r="G7" s="117"/>
    </row>
    <row r="8" spans="1:7" ht="24.75" customHeight="1">
      <c r="A8" s="98">
        <v>1</v>
      </c>
      <c r="B8" s="240" t="str">
        <f aca="true" t="shared" si="0" ref="B8:B15">IF(E8=0,"√"," ")</f>
        <v>√</v>
      </c>
      <c r="C8" s="241" t="str">
        <f aca="true" t="shared" si="1" ref="C8:C15">IF(E8&gt;0,"fout"," ")</f>
        <v> </v>
      </c>
      <c r="D8" s="240" t="s">
        <v>425</v>
      </c>
      <c r="E8" s="117">
        <f>IF(voorblad!A4=1,1,0)</f>
        <v>0</v>
      </c>
      <c r="F8" s="117"/>
      <c r="G8" s="117"/>
    </row>
    <row r="9" spans="1:11" ht="19.5" customHeight="1">
      <c r="A9" s="98">
        <v>2</v>
      </c>
      <c r="B9" s="240" t="str">
        <f>IF(E9=0,"√"," ")</f>
        <v> </v>
      </c>
      <c r="C9" s="241" t="str">
        <f>IF(E9&gt;0,"fout"," ")</f>
        <v>fout</v>
      </c>
      <c r="D9" s="240" t="s">
        <v>84</v>
      </c>
      <c r="E9" s="117">
        <f>IF(H9=0,1,0)</f>
        <v>1</v>
      </c>
      <c r="F9" s="117"/>
      <c r="G9" s="117"/>
      <c r="H9" s="243">
        <f>voorblad!F38</f>
        <v>0</v>
      </c>
      <c r="I9" s="117"/>
      <c r="J9" s="117"/>
      <c r="K9" s="117"/>
    </row>
    <row r="10" spans="1:9" ht="29.25" customHeight="1">
      <c r="A10" s="98">
        <v>3</v>
      </c>
      <c r="B10" s="240" t="str">
        <f t="shared" si="0"/>
        <v> </v>
      </c>
      <c r="C10" s="241" t="str">
        <f t="shared" si="1"/>
        <v>fout</v>
      </c>
      <c r="D10" s="240" t="s">
        <v>547</v>
      </c>
      <c r="E10" s="530">
        <f>IF(G10=0,1,0)</f>
        <v>1</v>
      </c>
      <c r="F10" s="530"/>
      <c r="G10" s="530">
        <f>'0000'!A3</f>
        <v>0</v>
      </c>
      <c r="H10" s="530"/>
      <c r="I10" s="530"/>
    </row>
    <row r="11" spans="1:9" ht="29.25" customHeight="1">
      <c r="A11" s="98">
        <v>4</v>
      </c>
      <c r="B11" s="240" t="str">
        <f t="shared" si="0"/>
        <v> </v>
      </c>
      <c r="C11" s="241" t="str">
        <f t="shared" si="1"/>
        <v>fout</v>
      </c>
      <c r="D11" s="637" t="s">
        <v>85</v>
      </c>
      <c r="E11" s="530">
        <f>IF(G11=TRUE,1,0)</f>
        <v>1</v>
      </c>
      <c r="F11" s="530"/>
      <c r="G11" s="530" t="b">
        <f>IF(OR(voorblad!K37="",voorblad!K42=""),TRUE,FALSE)</f>
        <v>1</v>
      </c>
      <c r="H11" s="530"/>
      <c r="I11" s="530"/>
    </row>
    <row r="12" spans="1:7" ht="33.75">
      <c r="A12" s="98">
        <v>5</v>
      </c>
      <c r="B12" s="240" t="str">
        <f t="shared" si="0"/>
        <v>√</v>
      </c>
      <c r="C12" s="241" t="str">
        <f t="shared" si="1"/>
        <v> </v>
      </c>
      <c r="D12" s="240" t="s">
        <v>510</v>
      </c>
      <c r="E12" s="98">
        <f>IF(G12=FALSE,0,1)</f>
        <v>0</v>
      </c>
      <c r="G12" s="98" t="b">
        <f>ISNA('0000'!A1)</f>
        <v>0</v>
      </c>
    </row>
    <row r="13" spans="1:11" ht="17.25" customHeight="1">
      <c r="A13" s="98">
        <v>6</v>
      </c>
      <c r="B13" s="240" t="str">
        <f>IF(E13=0,"√"," ")</f>
        <v>√</v>
      </c>
      <c r="C13" s="241" t="str">
        <f>IF(E13&gt;0,"fout"," ")</f>
        <v> </v>
      </c>
      <c r="D13" s="637" t="s">
        <v>352</v>
      </c>
      <c r="E13" s="117">
        <f>IF(I13&lt;1,1,0)</f>
        <v>0</v>
      </c>
      <c r="F13" s="117"/>
      <c r="G13" s="242">
        <f>voorblad!N32</f>
        <v>40000</v>
      </c>
      <c r="H13" s="243">
        <f>voorblad!R25</f>
        <v>39873</v>
      </c>
      <c r="I13" s="243">
        <f>IF(E2=2,H13-G13,1)</f>
        <v>1</v>
      </c>
      <c r="K13" s="244"/>
    </row>
    <row r="14" spans="1:14" ht="17.25" customHeight="1">
      <c r="A14" s="98">
        <v>7</v>
      </c>
      <c r="B14" s="240" t="str">
        <f>IF(E14=0,"√"," ")</f>
        <v>√</v>
      </c>
      <c r="C14" s="241" t="str">
        <f>IF(E14&gt;0,"fout"," ")</f>
        <v> </v>
      </c>
      <c r="D14" s="240" t="s">
        <v>1959</v>
      </c>
      <c r="E14" s="117">
        <f>IF(I14&lt;1,1,0)</f>
        <v>0</v>
      </c>
      <c r="F14" s="117"/>
      <c r="G14" s="242">
        <f>voorblad!N32</f>
        <v>40000</v>
      </c>
      <c r="H14" s="243">
        <f>voorblad!R26</f>
        <v>40071</v>
      </c>
      <c r="I14" s="243">
        <f>IF(E2=3,H14-G14,1)</f>
        <v>71</v>
      </c>
      <c r="K14" s="244"/>
      <c r="N14" s="245"/>
    </row>
    <row r="15" spans="1:14" ht="36" customHeight="1">
      <c r="A15" s="98">
        <v>8</v>
      </c>
      <c r="B15" s="240" t="str">
        <f t="shared" si="0"/>
        <v>√</v>
      </c>
      <c r="C15" s="241" t="str">
        <f t="shared" si="1"/>
        <v> </v>
      </c>
      <c r="D15" s="240" t="s">
        <v>329</v>
      </c>
      <c r="E15" s="117">
        <f>IF(I15&lt;1,1,0)</f>
        <v>0</v>
      </c>
      <c r="F15" s="117"/>
      <c r="G15" s="242">
        <f>voorblad!N32</f>
        <v>40000</v>
      </c>
      <c r="H15" s="243">
        <f>K15</f>
        <v>40072</v>
      </c>
      <c r="I15" s="243">
        <f>H15-G15</f>
        <v>72</v>
      </c>
      <c r="K15" s="244">
        <f>voorblad!R31</f>
        <v>40072</v>
      </c>
      <c r="N15" s="245"/>
    </row>
    <row r="16" spans="1:9" ht="27" customHeight="1">
      <c r="A16" s="98">
        <v>9</v>
      </c>
      <c r="B16" s="240" t="str">
        <f>IF(E16=0,"√"," ")</f>
        <v> </v>
      </c>
      <c r="C16" s="241" t="str">
        <f>IF(E16&gt;0,"fout"," ")</f>
        <v>fout</v>
      </c>
      <c r="D16" s="240" t="s">
        <v>86</v>
      </c>
      <c r="E16" s="117">
        <f>IF(I16&gt;1,0,1)</f>
        <v>1</v>
      </c>
      <c r="F16" s="117"/>
      <c r="G16" s="117"/>
      <c r="H16" s="117"/>
      <c r="I16" s="413">
        <f>'0000'!F274</f>
        <v>0</v>
      </c>
    </row>
    <row r="17" spans="1:9" ht="27" customHeight="1">
      <c r="A17" s="98">
        <v>10</v>
      </c>
      <c r="B17" s="240" t="str">
        <f>IF(E17=0,"√"," ")</f>
        <v>√</v>
      </c>
      <c r="C17" s="241" t="str">
        <f>IF(E17&gt;0,"fout"," ")</f>
        <v> </v>
      </c>
      <c r="D17" s="240" t="s">
        <v>685</v>
      </c>
      <c r="E17" s="117">
        <f>F17</f>
        <v>0</v>
      </c>
      <c r="F17" s="117">
        <f>IF(H17&gt;G17,1,0)</f>
        <v>0</v>
      </c>
      <c r="G17" s="643">
        <f>'0000'!E100</f>
        <v>0</v>
      </c>
      <c r="H17" s="643">
        <f>'0000'!F100</f>
        <v>0</v>
      </c>
      <c r="I17" s="413"/>
    </row>
    <row r="18" spans="1:9" ht="27" customHeight="1">
      <c r="A18" s="98">
        <v>11</v>
      </c>
      <c r="B18" s="240" t="str">
        <f>IF(E18=0,"√"," ")</f>
        <v>√</v>
      </c>
      <c r="C18" s="241" t="str">
        <f>IF(E18&gt;0,"fout"," ")</f>
        <v> </v>
      </c>
      <c r="D18" s="240" t="s">
        <v>686</v>
      </c>
      <c r="E18" s="117">
        <f>F18</f>
        <v>0</v>
      </c>
      <c r="F18" s="117">
        <f>IF(H18&gt;G18,1,0)</f>
        <v>0</v>
      </c>
      <c r="G18" s="643">
        <f>'0000'!E246</f>
        <v>0</v>
      </c>
      <c r="H18" s="643">
        <f>'0000'!F246</f>
        <v>0</v>
      </c>
      <c r="I18" s="413"/>
    </row>
    <row r="19" spans="1:9" ht="27" customHeight="1">
      <c r="A19" s="98">
        <v>12</v>
      </c>
      <c r="B19" s="240" t="str">
        <f>IF(F19=0,"√"," ")</f>
        <v>√</v>
      </c>
      <c r="C19" s="241" t="str">
        <f>IF(F19&gt;0,"fout"," ")</f>
        <v> </v>
      </c>
      <c r="D19" s="240" t="s">
        <v>72</v>
      </c>
      <c r="E19" s="98">
        <v>0</v>
      </c>
      <c r="F19" s="117">
        <f>IF(H19&gt;10,1,0)</f>
        <v>0</v>
      </c>
      <c r="G19" s="117"/>
      <c r="H19" s="243">
        <f>'0000'!P90</f>
        <v>0</v>
      </c>
      <c r="I19" s="98">
        <f>SUM('0000'!E73:E82)</f>
        <v>0</v>
      </c>
    </row>
    <row r="20" spans="1:11" ht="26.25" customHeight="1">
      <c r="A20" s="98">
        <v>13</v>
      </c>
      <c r="B20" s="240" t="str">
        <f>IF(F20=0,"√"," ")</f>
        <v>√</v>
      </c>
      <c r="C20" s="241" t="str">
        <f>IF(F20&gt;0,"fout"," ")</f>
        <v> </v>
      </c>
      <c r="D20" s="240" t="s">
        <v>73</v>
      </c>
      <c r="E20" s="98">
        <v>0</v>
      </c>
      <c r="F20" s="98">
        <f>IF(G20=FALSE,0,1)</f>
        <v>0</v>
      </c>
      <c r="G20" s="432" t="b">
        <f>AND(H20&gt;1,I20=0)</f>
        <v>0</v>
      </c>
      <c r="H20" s="98">
        <f>'0000'!F86</f>
        <v>0</v>
      </c>
      <c r="I20" s="117">
        <f>'dbc''s'!E230</f>
        <v>0</v>
      </c>
      <c r="K20" s="243"/>
    </row>
    <row r="21" spans="1:11" ht="27" customHeight="1">
      <c r="A21" s="98">
        <v>14</v>
      </c>
      <c r="B21" s="240" t="str">
        <f>IF(F21=0,"√"," ")</f>
        <v>√</v>
      </c>
      <c r="C21" s="241" t="str">
        <f>IF(F21&gt;0,"fout"," ")</f>
        <v> </v>
      </c>
      <c r="D21" s="240" t="s">
        <v>1948</v>
      </c>
      <c r="E21" s="98">
        <v>0</v>
      </c>
      <c r="F21" s="98">
        <f>IF(G21=FALSE,0,1)</f>
        <v>0</v>
      </c>
      <c r="G21" s="432" t="b">
        <f>AND(H21&gt;1,I21=0)</f>
        <v>0</v>
      </c>
      <c r="H21" s="98">
        <f>H20</f>
        <v>0</v>
      </c>
      <c r="I21" s="117">
        <f>'dbc''s'!F154</f>
        <v>0</v>
      </c>
      <c r="K21" s="243"/>
    </row>
    <row r="22" spans="1:11" ht="25.5" customHeight="1">
      <c r="A22" s="98">
        <v>15</v>
      </c>
      <c r="B22" s="240" t="str">
        <f>IF(F22=0,"√"," ")</f>
        <v>√</v>
      </c>
      <c r="C22" s="241" t="str">
        <f>IF(F22&gt;0,"fout"," ")</f>
        <v> </v>
      </c>
      <c r="D22" s="240" t="s">
        <v>1947</v>
      </c>
      <c r="E22" s="98">
        <v>0</v>
      </c>
      <c r="F22" s="98">
        <f>IF(G22=FALSE,0,1)</f>
        <v>0</v>
      </c>
      <c r="G22" s="432" t="b">
        <f>AND(H22&gt;1,I22=0)</f>
        <v>0</v>
      </c>
      <c r="H22" s="98">
        <f>'0000'!H249</f>
        <v>0</v>
      </c>
      <c r="I22" s="117">
        <f>'dbc''s'!E154</f>
        <v>0</v>
      </c>
      <c r="K22" s="243"/>
    </row>
    <row r="23" spans="1:11" ht="25.5" customHeight="1">
      <c r="A23" s="98">
        <v>16</v>
      </c>
      <c r="B23" s="240" t="str">
        <f>IF(F23=0,"√"," ")</f>
        <v>√</v>
      </c>
      <c r="C23" s="241" t="str">
        <f>IF(F23&gt;0,"fout"," ")</f>
        <v> </v>
      </c>
      <c r="D23" s="637" t="s">
        <v>90</v>
      </c>
      <c r="E23" s="98">
        <f>F23</f>
        <v>0</v>
      </c>
      <c r="F23" s="98">
        <f>IF(G23=FALSE,0,1)</f>
        <v>0</v>
      </c>
      <c r="G23" s="432" t="b">
        <f>IF(OR(K23&gt;150,K23&lt;-150),TRUE,FALSE)</f>
        <v>0</v>
      </c>
      <c r="H23" s="98">
        <f>'dbc''s'!F154</f>
        <v>0</v>
      </c>
      <c r="I23" s="117">
        <f>'dbc''s'!E230</f>
        <v>0</v>
      </c>
      <c r="K23" s="243">
        <f>H23-I23</f>
        <v>0</v>
      </c>
    </row>
    <row r="24" spans="1:11" ht="26.25" customHeight="1">
      <c r="A24" s="98">
        <v>17</v>
      </c>
      <c r="B24" s="240" t="str">
        <f>IF(E24=0,"√"," ")</f>
        <v> </v>
      </c>
      <c r="C24" s="241" t="str">
        <f>IF(E24&gt;0,"fout"," ")</f>
        <v>fout</v>
      </c>
      <c r="D24" s="240" t="s">
        <v>89</v>
      </c>
      <c r="E24" s="98">
        <f>IF(H24+I24=3,1,0)</f>
        <v>1</v>
      </c>
      <c r="G24" s="242"/>
      <c r="H24" s="243">
        <f>E2</f>
        <v>3</v>
      </c>
      <c r="I24" s="117">
        <f>'0000'!H301+'0000'!H302</f>
        <v>0</v>
      </c>
      <c r="K24" s="117"/>
    </row>
    <row r="25" spans="1:9" ht="18.75" customHeight="1">
      <c r="A25" s="98">
        <v>18</v>
      </c>
      <c r="B25" s="240" t="str">
        <f>IF(E25=0,"√"," ")</f>
        <v> </v>
      </c>
      <c r="C25" s="241" t="str">
        <f>IF(E25&gt;0,"fout"," ")</f>
        <v>fout</v>
      </c>
      <c r="D25" s="240" t="s">
        <v>327</v>
      </c>
      <c r="E25" s="98">
        <f>IF(H25+I25=3,1,0)</f>
        <v>1</v>
      </c>
      <c r="H25" s="98">
        <f>E2</f>
        <v>3</v>
      </c>
      <c r="I25" s="98">
        <f>voorblad!G6</f>
        <v>0</v>
      </c>
    </row>
    <row r="26" spans="1:8" ht="16.5" customHeight="1">
      <c r="A26" s="98">
        <v>19</v>
      </c>
      <c r="B26" s="240" t="str">
        <f>IF(E26=0,"√"," ")</f>
        <v>√</v>
      </c>
      <c r="C26" s="241" t="str">
        <f>IF(E26&gt;0,"fout"," ")</f>
        <v> </v>
      </c>
      <c r="D26" s="637" t="s">
        <v>88</v>
      </c>
      <c r="E26" s="98">
        <f>F26</f>
        <v>0</v>
      </c>
      <c r="F26" s="98">
        <f>IF(H26=2,1,0)</f>
        <v>0</v>
      </c>
      <c r="H26" s="413">
        <f>'0000'!M313</f>
        <v>1</v>
      </c>
    </row>
    <row r="27" spans="1:11" ht="27.75" customHeight="1">
      <c r="A27" s="98">
        <v>20</v>
      </c>
      <c r="B27" s="240" t="str">
        <f>IF(E27=0,"√"," ")</f>
        <v>√</v>
      </c>
      <c r="C27" s="241" t="str">
        <f>IF(E27&lt;&gt;0,"fout"," ")</f>
        <v> </v>
      </c>
      <c r="D27" s="637" t="s">
        <v>87</v>
      </c>
      <c r="E27" s="98">
        <f>F27</f>
        <v>0</v>
      </c>
      <c r="F27" s="98">
        <f>IF(H27=3,1,0)</f>
        <v>0</v>
      </c>
      <c r="H27" s="413">
        <f>'0000'!M315</f>
        <v>1</v>
      </c>
      <c r="K27" s="651"/>
    </row>
    <row r="28" spans="2:3" ht="11.25">
      <c r="B28" s="246"/>
      <c r="C28" s="246"/>
    </row>
    <row r="29" spans="2:3" ht="11.25">
      <c r="B29" s="246"/>
      <c r="C29" s="246"/>
    </row>
    <row r="30" spans="5:6" ht="12" thickBot="1">
      <c r="E30" s="247">
        <f>SUM(E8:E27)</f>
        <v>6</v>
      </c>
      <c r="F30" s="117"/>
    </row>
    <row r="31" ht="12" thickTop="1">
      <c r="D31" s="98" t="s">
        <v>1685</v>
      </c>
    </row>
    <row r="43" spans="2:3" ht="11.25">
      <c r="B43" s="246"/>
      <c r="C43" s="246"/>
    </row>
  </sheetData>
  <sheetProtection password="9487" sheet="1" objects="1" scenarios="1"/>
  <printOptions/>
  <pageMargins left="0.7874015748031497" right="0.7874015748031497" top="0.7874015748031497" bottom="0.7874015748031497" header="0.5118110236220472" footer="0.5118110236220472"/>
  <pageSetup firstPageNumber="6" useFirstPageNumber="1" horizontalDpi="600" verticalDpi="600" orientation="portrait" paperSize="9" scale="95" r:id="rId4"/>
  <headerFooter alignWithMargins="0">
    <oddHeader>&amp;R&amp;G</oddHeader>
    <oddFooter>&amp;RPagina &amp;P</oddFooter>
  </headerFooter>
  <legacyDrawing r:id="rId2"/>
  <legacyDrawingHF r:id="rId3"/>
</worksheet>
</file>

<file path=xl/worksheets/sheet5.xml><?xml version="1.0" encoding="utf-8"?>
<worksheet xmlns="http://schemas.openxmlformats.org/spreadsheetml/2006/main" xmlns:r="http://schemas.openxmlformats.org/officeDocument/2006/relationships">
  <dimension ref="A1:BD833"/>
  <sheetViews>
    <sheetView showGridLines="0" zoomScale="90" zoomScaleNormal="90" workbookViewId="0" topLeftCell="A4">
      <selection activeCell="G33" sqref="G33"/>
    </sheetView>
  </sheetViews>
  <sheetFormatPr defaultColWidth="9.140625" defaultRowHeight="12.75"/>
  <cols>
    <col min="1" max="1" width="5.7109375" style="90" customWidth="1"/>
    <col min="2" max="2" width="39.140625" style="90" customWidth="1"/>
    <col min="3" max="3" width="6.8515625" style="90" customWidth="1"/>
    <col min="4" max="4" width="6.00390625" style="90" customWidth="1"/>
    <col min="5" max="5" width="17.57421875" style="90" customWidth="1"/>
    <col min="6" max="6" width="17.00390625" style="90" customWidth="1"/>
    <col min="7" max="7" width="11.7109375" style="90" customWidth="1"/>
    <col min="8" max="8" width="18.7109375" style="90" customWidth="1"/>
    <col min="9" max="10" width="4.00390625" style="90" customWidth="1"/>
    <col min="11" max="11" width="10.7109375" style="110" customWidth="1"/>
    <col min="12" max="12" width="11.421875" style="90" bestFit="1" customWidth="1"/>
    <col min="13" max="13" width="4.8515625" style="90" customWidth="1"/>
    <col min="14" max="14" width="2.7109375" style="90" customWidth="1"/>
    <col min="15" max="15" width="9.7109375" style="90" bestFit="1" customWidth="1"/>
    <col min="16" max="16" width="4.7109375" style="90" customWidth="1"/>
    <col min="17" max="17" width="10.57421875" style="90" customWidth="1"/>
    <col min="18" max="18" width="11.28125" style="90" customWidth="1"/>
    <col min="19" max="19" width="2.7109375" style="90" customWidth="1"/>
    <col min="20" max="20" width="10.28125" style="90" customWidth="1"/>
    <col min="21" max="21" width="1.57421875" style="90" customWidth="1"/>
    <col min="22" max="22" width="8.421875" style="90" customWidth="1"/>
    <col min="23" max="24" width="13.140625" style="90" hidden="1" customWidth="1"/>
    <col min="25" max="25" width="16.8515625" style="109" hidden="1" customWidth="1"/>
    <col min="26" max="26" width="14.8515625" style="120" customWidth="1"/>
    <col min="27" max="27" width="9.28125" style="90" customWidth="1"/>
    <col min="28" max="28" width="0" style="90" hidden="1" customWidth="1"/>
    <col min="29" max="29" width="9.28125" style="90" hidden="1" customWidth="1"/>
    <col min="30" max="31" width="0" style="90" hidden="1" customWidth="1"/>
    <col min="32" max="32" width="11.28125" style="90" hidden="1" customWidth="1"/>
    <col min="33" max="33" width="0" style="90" hidden="1" customWidth="1"/>
    <col min="34" max="34" width="9.7109375" style="90" hidden="1" customWidth="1"/>
    <col min="35" max="35" width="0" style="90" hidden="1" customWidth="1"/>
    <col min="36" max="36" width="25.00390625" style="90" customWidth="1"/>
    <col min="37" max="16384" width="9.140625" style="90" customWidth="1"/>
  </cols>
  <sheetData>
    <row r="1" spans="1:36" ht="15.75" customHeight="1" hidden="1">
      <c r="A1" s="248" t="str">
        <f>A4</f>
        <v>Budget invullen</v>
      </c>
      <c r="B1" s="3"/>
      <c r="C1" s="4"/>
      <c r="D1" s="3"/>
      <c r="E1" s="5"/>
      <c r="F1" s="3"/>
      <c r="G1" s="3"/>
      <c r="H1" s="3"/>
      <c r="I1" s="3"/>
      <c r="J1" s="6"/>
      <c r="K1" s="7"/>
      <c r="L1" s="3"/>
      <c r="M1" s="98"/>
      <c r="N1" s="4"/>
      <c r="O1" s="3"/>
      <c r="P1" s="3"/>
      <c r="Q1" s="3"/>
      <c r="R1" s="3"/>
      <c r="S1" s="3"/>
      <c r="T1" s="3"/>
      <c r="U1" s="8"/>
      <c r="V1" s="249"/>
      <c r="AE1" s="90">
        <v>1</v>
      </c>
      <c r="AF1" s="90" t="s">
        <v>1749</v>
      </c>
      <c r="AG1" s="90">
        <v>1</v>
      </c>
      <c r="AH1" s="90" t="s">
        <v>1749</v>
      </c>
      <c r="AI1" s="90">
        <v>1</v>
      </c>
      <c r="AJ1" s="90" t="s">
        <v>626</v>
      </c>
    </row>
    <row r="2" spans="1:36" ht="16.5" customHeight="1" hidden="1">
      <c r="A2" s="248"/>
      <c r="B2" s="3"/>
      <c r="C2" s="4"/>
      <c r="E2" s="5"/>
      <c r="F2" s="3"/>
      <c r="G2" s="3"/>
      <c r="H2" s="3"/>
      <c r="I2" s="3"/>
      <c r="J2" s="6"/>
      <c r="K2" s="7"/>
      <c r="L2" s="3"/>
      <c r="M2" s="98"/>
      <c r="N2" s="4"/>
      <c r="O2" s="3"/>
      <c r="P2" s="3"/>
      <c r="Q2" s="3"/>
      <c r="R2" s="3"/>
      <c r="S2" s="3"/>
      <c r="T2" s="3"/>
      <c r="U2" s="8"/>
      <c r="V2" s="249"/>
      <c r="AE2" s="90">
        <v>2</v>
      </c>
      <c r="AF2" s="90" t="s">
        <v>407</v>
      </c>
      <c r="AG2" s="90">
        <v>2</v>
      </c>
      <c r="AH2" s="90" t="s">
        <v>411</v>
      </c>
      <c r="AI2" s="90">
        <v>2</v>
      </c>
      <c r="AJ2" s="90" t="s">
        <v>1804</v>
      </c>
    </row>
    <row r="3" spans="1:36" ht="14.25" customHeight="1" hidden="1">
      <c r="A3" s="516">
        <f ca="1">VALUE(RIGHT(CELL("bestandsnaam",B3),4))</f>
        <v>0</v>
      </c>
      <c r="B3" s="517"/>
      <c r="C3" s="4"/>
      <c r="D3" s="3"/>
      <c r="E3" s="518"/>
      <c r="F3" s="98"/>
      <c r="G3" s="115"/>
      <c r="H3" s="115"/>
      <c r="I3" s="4"/>
      <c r="J3" s="519"/>
      <c r="K3" s="255"/>
      <c r="L3" s="98"/>
      <c r="M3" s="3"/>
      <c r="N3" s="4"/>
      <c r="O3" s="518" t="b">
        <v>1</v>
      </c>
      <c r="P3" s="9">
        <f>voorblad!A4</f>
        <v>3</v>
      </c>
      <c r="Q3" s="3">
        <f>IF(A1="budget formulier",1,0)</f>
        <v>0</v>
      </c>
      <c r="R3" s="107"/>
      <c r="S3" s="3"/>
      <c r="T3" s="107">
        <f>SUM(G287:G310)</f>
        <v>0</v>
      </c>
      <c r="U3" s="8"/>
      <c r="V3" s="249"/>
      <c r="AE3" s="90">
        <v>3</v>
      </c>
      <c r="AF3" s="90" t="s">
        <v>410</v>
      </c>
      <c r="AG3" s="90">
        <v>3</v>
      </c>
      <c r="AH3" s="90" t="s">
        <v>412</v>
      </c>
      <c r="AI3" s="90">
        <v>3</v>
      </c>
      <c r="AJ3" s="90" t="s">
        <v>1805</v>
      </c>
    </row>
    <row r="4" spans="1:35" ht="15" customHeight="1">
      <c r="A4" s="248" t="str">
        <f>IF(A3=0,CONCATENATE("Budget ",$E$8),CONCATENATE("Budget ",$E$8,"  -  ",VLOOKUP($A$3,NAW!$B$2:$E$242,4,FALSE)," (450-",VLOOKUP($A$3,NAW!$B$2:$E$242,1,FALSE),")"))</f>
        <v>Budget invullen</v>
      </c>
      <c r="B4" s="225"/>
      <c r="C4" s="4"/>
      <c r="D4" s="3"/>
      <c r="E4" s="5"/>
      <c r="F4" s="3"/>
      <c r="G4" s="250" t="str">
        <f>IF(O3=TRUE,"      Invulvelden gearceerd","      Invulvelden niet gearceerd")</f>
        <v>      Invulvelden gearceerd</v>
      </c>
      <c r="H4" s="251"/>
      <c r="I4" s="252"/>
      <c r="J4" s="253"/>
      <c r="K4" s="7"/>
      <c r="L4" s="520"/>
      <c r="N4" s="4"/>
      <c r="S4" s="10"/>
      <c r="T4" s="10"/>
      <c r="U4" s="11"/>
      <c r="V4" s="94"/>
      <c r="Y4" s="109" t="str">
        <f>voorblad!D42</f>
        <v>Dhr/Mevr</v>
      </c>
      <c r="Z4" s="120">
        <f>voorblad!E42</f>
        <v>0</v>
      </c>
      <c r="AB4" s="90">
        <f>voorblad!K39</f>
        <v>0</v>
      </c>
      <c r="AC4" s="90">
        <f>voorblad!L39</f>
        <v>0</v>
      </c>
      <c r="AE4" s="90">
        <v>4</v>
      </c>
      <c r="AG4" s="90">
        <v>4</v>
      </c>
      <c r="AI4" s="90">
        <v>4</v>
      </c>
    </row>
    <row r="5" spans="1:56" ht="13.5" customHeight="1">
      <c r="A5" s="13"/>
      <c r="B5" s="254"/>
      <c r="C5" s="4"/>
      <c r="D5" s="3"/>
      <c r="E5" s="3"/>
      <c r="F5" s="98"/>
      <c r="H5" s="115"/>
      <c r="I5" s="4"/>
      <c r="J5" s="519"/>
      <c r="K5" s="255"/>
      <c r="L5" s="98"/>
      <c r="M5" s="3"/>
      <c r="N5" s="4"/>
      <c r="O5" s="3"/>
      <c r="P5" s="3"/>
      <c r="Q5" s="3"/>
      <c r="R5" s="3"/>
      <c r="S5" s="4"/>
      <c r="T5" s="4"/>
      <c r="U5" s="91"/>
      <c r="V5" s="94"/>
      <c r="Z5" s="120">
        <f>voorblad!D43</f>
        <v>0</v>
      </c>
      <c r="AB5" s="127"/>
      <c r="AC5" s="90">
        <f>voorblad!K40</f>
        <v>0</v>
      </c>
      <c r="AE5" s="90">
        <v>1</v>
      </c>
      <c r="AF5" s="90" t="s">
        <v>1748</v>
      </c>
      <c r="AG5" s="90">
        <v>1</v>
      </c>
      <c r="AH5" s="90" t="s">
        <v>1748</v>
      </c>
      <c r="AZ5" s="4"/>
      <c r="BA5" s="4"/>
      <c r="BB5" s="3"/>
      <c r="BC5" s="98"/>
      <c r="BD5" s="98"/>
    </row>
    <row r="6" spans="1:56" ht="13.5" customHeight="1">
      <c r="A6" s="223"/>
      <c r="B6" s="223"/>
      <c r="C6" s="117"/>
      <c r="D6" s="98"/>
      <c r="E6" s="115"/>
      <c r="F6" s="12"/>
      <c r="G6" s="13"/>
      <c r="H6" s="13"/>
      <c r="I6" s="4"/>
      <c r="J6" s="6"/>
      <c r="K6" s="255"/>
      <c r="L6" s="98"/>
      <c r="M6" s="98"/>
      <c r="N6" s="4"/>
      <c r="O6" s="98"/>
      <c r="P6" s="98"/>
      <c r="Q6" s="98"/>
      <c r="R6" s="98"/>
      <c r="S6" s="117"/>
      <c r="T6" s="117"/>
      <c r="U6" s="91"/>
      <c r="V6" s="94"/>
      <c r="Z6" s="90">
        <f>voorblad!D45</f>
        <v>0</v>
      </c>
      <c r="AB6" s="127"/>
      <c r="AC6" s="90" t="str">
        <f>voorblad!K43</f>
        <v>Dhr/Mevr</v>
      </c>
      <c r="AE6" s="90">
        <v>2</v>
      </c>
      <c r="AF6" s="90" t="s">
        <v>1803</v>
      </c>
      <c r="AG6" s="90">
        <v>2</v>
      </c>
      <c r="AH6" s="90">
        <v>2009</v>
      </c>
      <c r="AZ6" s="4"/>
      <c r="BA6" s="4"/>
      <c r="BB6" s="3"/>
      <c r="BC6" s="98"/>
      <c r="BD6" s="98"/>
    </row>
    <row r="7" spans="2:56" ht="12" customHeight="1">
      <c r="B7" s="129" t="s">
        <v>1579</v>
      </c>
      <c r="C7" s="15"/>
      <c r="D7" s="16"/>
      <c r="E7" s="17" t="str">
        <f>LOOKUP(P3,AE1:AF4)</f>
        <v>Niet</v>
      </c>
      <c r="F7" s="17" t="str">
        <f>LOOKUP(P3,AG1:AH4)</f>
        <v>Mutatie</v>
      </c>
      <c r="G7" s="770" t="str">
        <f>LOOKUP(P3,AI1:AJ4)</f>
        <v>Mutatie budget ZVW 2009</v>
      </c>
      <c r="H7" s="778"/>
      <c r="J7" s="286"/>
      <c r="K7" s="760" t="s">
        <v>53</v>
      </c>
      <c r="L7" s="779"/>
      <c r="M7" s="286"/>
      <c r="U7" s="116"/>
      <c r="V7" s="18"/>
      <c r="AB7" s="127"/>
      <c r="AE7" s="90">
        <v>3</v>
      </c>
      <c r="AF7" s="90" t="s">
        <v>1750</v>
      </c>
      <c r="AG7" s="90">
        <v>3</v>
      </c>
      <c r="AH7" s="90">
        <v>2009</v>
      </c>
      <c r="AZ7" s="4"/>
      <c r="BA7" s="4"/>
      <c r="BB7" s="3"/>
      <c r="BC7" s="98"/>
      <c r="BD7" s="98"/>
    </row>
    <row r="8" spans="1:56" ht="13.5" customHeight="1">
      <c r="A8" s="20"/>
      <c r="C8" s="21"/>
      <c r="D8" s="21"/>
      <c r="E8" s="22" t="str">
        <f>LOOKUP(P3,AE5:AF8)</f>
        <v>invullen</v>
      </c>
      <c r="F8" s="22">
        <f>LOOKUP(P3,AG5:AH8)</f>
        <v>2009</v>
      </c>
      <c r="G8" s="24" t="s">
        <v>521</v>
      </c>
      <c r="H8" s="24" t="s">
        <v>409</v>
      </c>
      <c r="J8" s="286"/>
      <c r="K8" s="24" t="s">
        <v>54</v>
      </c>
      <c r="L8" s="24" t="s">
        <v>55</v>
      </c>
      <c r="M8" s="286"/>
      <c r="U8" s="256"/>
      <c r="V8" s="23"/>
      <c r="Y8" s="109" t="s">
        <v>424</v>
      </c>
      <c r="AB8" s="127"/>
      <c r="AE8" s="90">
        <v>4</v>
      </c>
      <c r="AG8" s="90">
        <v>4</v>
      </c>
      <c r="AZ8" s="4"/>
      <c r="BA8" s="4"/>
      <c r="BB8" s="3"/>
      <c r="BC8" s="98"/>
      <c r="BD8" s="98"/>
    </row>
    <row r="9" spans="1:56" ht="11.25">
      <c r="A9" s="14" t="s">
        <v>1781</v>
      </c>
      <c r="B9" s="605" t="s">
        <v>652</v>
      </c>
      <c r="C9" s="15"/>
      <c r="D9" s="12"/>
      <c r="E9" s="25" t="s">
        <v>617</v>
      </c>
      <c r="F9" s="25" t="s">
        <v>618</v>
      </c>
      <c r="G9" s="282" t="s">
        <v>619</v>
      </c>
      <c r="H9" s="282" t="s">
        <v>620</v>
      </c>
      <c r="J9" s="286"/>
      <c r="K9" s="94"/>
      <c r="L9" s="94"/>
      <c r="M9" s="286"/>
      <c r="U9" s="256"/>
      <c r="V9" s="104"/>
      <c r="AB9" s="127"/>
      <c r="AZ9" s="4"/>
      <c r="BA9" s="4"/>
      <c r="BB9" s="3"/>
      <c r="BC9" s="98"/>
      <c r="BD9" s="98"/>
    </row>
    <row r="10" spans="1:56" ht="11.25">
      <c r="A10" s="14"/>
      <c r="B10" s="12" t="s">
        <v>514</v>
      </c>
      <c r="C10" s="15"/>
      <c r="D10" s="12"/>
      <c r="F10" s="27"/>
      <c r="G10" s="12"/>
      <c r="H10" s="12"/>
      <c r="J10" s="286"/>
      <c r="K10" s="94"/>
      <c r="L10" s="94"/>
      <c r="M10" s="286"/>
      <c r="U10" s="30"/>
      <c r="V10" s="104"/>
      <c r="AB10" s="127"/>
      <c r="AZ10" s="4"/>
      <c r="BA10" s="4"/>
      <c r="BB10" s="3"/>
      <c r="BC10" s="98"/>
      <c r="BD10" s="98"/>
    </row>
    <row r="11" spans="1:56" ht="11.25">
      <c r="A11" s="31">
        <v>1</v>
      </c>
      <c r="B11" s="32" t="s">
        <v>373</v>
      </c>
      <c r="C11" s="32"/>
      <c r="D11" s="33" t="s">
        <v>383</v>
      </c>
      <c r="E11" s="382"/>
      <c r="F11" s="382"/>
      <c r="G11" s="527">
        <f>Uitvoerbestand!I5</f>
        <v>71.86</v>
      </c>
      <c r="H11" s="283">
        <f aca="true" t="shared" si="0" ref="H11:H16">F11*G11</f>
        <v>0</v>
      </c>
      <c r="J11" s="286"/>
      <c r="K11" s="287">
        <f aca="true" t="shared" si="1" ref="K11:K16">IF(E11=0,0,E11/$E$17)</f>
        <v>0</v>
      </c>
      <c r="L11" s="287">
        <f aca="true" t="shared" si="2" ref="L11:L16">IF(F11=0,0,F11/$F$17)</f>
        <v>0</v>
      </c>
      <c r="M11" s="286"/>
      <c r="U11" s="35"/>
      <c r="V11" s="111" t="s">
        <v>384</v>
      </c>
      <c r="Y11" s="109">
        <f aca="true" t="shared" si="3" ref="Y11:Y16">A11*H11</f>
        <v>0</v>
      </c>
      <c r="AB11" s="127"/>
      <c r="AZ11" s="4"/>
      <c r="BA11" s="4"/>
      <c r="BB11" s="3"/>
      <c r="BC11" s="98"/>
      <c r="BD11" s="98"/>
    </row>
    <row r="12" spans="1:56" ht="11.25">
      <c r="A12" s="36">
        <f aca="true" t="shared" si="4" ref="A12:A17">A11+1</f>
        <v>2</v>
      </c>
      <c r="B12" s="32" t="s">
        <v>28</v>
      </c>
      <c r="C12" s="32"/>
      <c r="D12" s="33" t="s">
        <v>1813</v>
      </c>
      <c r="E12" s="382"/>
      <c r="F12" s="382"/>
      <c r="G12" s="527">
        <f>Uitvoerbestand!I6</f>
        <v>87.28</v>
      </c>
      <c r="H12" s="283">
        <f t="shared" si="0"/>
        <v>0</v>
      </c>
      <c r="J12" s="286"/>
      <c r="K12" s="287">
        <f t="shared" si="1"/>
        <v>0</v>
      </c>
      <c r="L12" s="287">
        <f t="shared" si="2"/>
        <v>0</v>
      </c>
      <c r="M12" s="286"/>
      <c r="U12" s="37"/>
      <c r="V12" s="111" t="s">
        <v>385</v>
      </c>
      <c r="Y12" s="109">
        <f t="shared" si="3"/>
        <v>0</v>
      </c>
      <c r="AB12" s="127"/>
      <c r="AZ12" s="4"/>
      <c r="BA12" s="4"/>
      <c r="BB12" s="3"/>
      <c r="BC12" s="98"/>
      <c r="BD12" s="98"/>
    </row>
    <row r="13" spans="1:56" ht="11.25">
      <c r="A13" s="36">
        <f t="shared" si="4"/>
        <v>3</v>
      </c>
      <c r="B13" s="32" t="s">
        <v>29</v>
      </c>
      <c r="C13" s="32"/>
      <c r="D13" s="33" t="s">
        <v>1814</v>
      </c>
      <c r="E13" s="382"/>
      <c r="F13" s="382"/>
      <c r="G13" s="527">
        <f>Uitvoerbestand!I7</f>
        <v>113.16999999999999</v>
      </c>
      <c r="H13" s="283">
        <f t="shared" si="0"/>
        <v>0</v>
      </c>
      <c r="J13" s="286"/>
      <c r="K13" s="287">
        <f t="shared" si="1"/>
        <v>0</v>
      </c>
      <c r="L13" s="287">
        <f t="shared" si="2"/>
        <v>0</v>
      </c>
      <c r="M13" s="286"/>
      <c r="U13" s="257"/>
      <c r="V13" s="111" t="s">
        <v>386</v>
      </c>
      <c r="Y13" s="109">
        <f t="shared" si="3"/>
        <v>0</v>
      </c>
      <c r="AB13" s="127"/>
      <c r="AZ13" s="4"/>
      <c r="BA13" s="4"/>
      <c r="BB13" s="3"/>
      <c r="BC13" s="98"/>
      <c r="BD13" s="98"/>
    </row>
    <row r="14" spans="1:56" ht="11.25">
      <c r="A14" s="36">
        <f t="shared" si="4"/>
        <v>4</v>
      </c>
      <c r="B14" s="32" t="s">
        <v>633</v>
      </c>
      <c r="C14" s="32"/>
      <c r="D14" s="33" t="s">
        <v>1815</v>
      </c>
      <c r="E14" s="382"/>
      <c r="F14" s="382"/>
      <c r="G14" s="527">
        <f>Uitvoerbestand!I8</f>
        <v>122.57</v>
      </c>
      <c r="H14" s="283">
        <f t="shared" si="0"/>
        <v>0</v>
      </c>
      <c r="J14" s="286"/>
      <c r="K14" s="287">
        <f t="shared" si="1"/>
        <v>0</v>
      </c>
      <c r="L14" s="287">
        <f t="shared" si="2"/>
        <v>0</v>
      </c>
      <c r="M14" s="286"/>
      <c r="U14" s="37"/>
      <c r="V14" s="111" t="s">
        <v>387</v>
      </c>
      <c r="Y14" s="109">
        <f t="shared" si="3"/>
        <v>0</v>
      </c>
      <c r="AB14" s="127"/>
      <c r="AZ14" s="4"/>
      <c r="BA14" s="4"/>
      <c r="BB14" s="3"/>
      <c r="BC14" s="98"/>
      <c r="BD14" s="98"/>
    </row>
    <row r="15" spans="1:56" ht="11.25">
      <c r="A15" s="36">
        <f t="shared" si="4"/>
        <v>5</v>
      </c>
      <c r="B15" s="32" t="s">
        <v>634</v>
      </c>
      <c r="C15" s="32"/>
      <c r="D15" s="33" t="s">
        <v>1816</v>
      </c>
      <c r="E15" s="382"/>
      <c r="F15" s="382"/>
      <c r="G15" s="527">
        <f>Uitvoerbestand!I9</f>
        <v>164.12</v>
      </c>
      <c r="H15" s="283">
        <f t="shared" si="0"/>
        <v>0</v>
      </c>
      <c r="J15" s="286"/>
      <c r="K15" s="287">
        <f t="shared" si="1"/>
        <v>0</v>
      </c>
      <c r="L15" s="287">
        <f t="shared" si="2"/>
        <v>0</v>
      </c>
      <c r="M15" s="286"/>
      <c r="U15" s="257"/>
      <c r="V15" s="111" t="s">
        <v>388</v>
      </c>
      <c r="Y15" s="109">
        <f t="shared" si="3"/>
        <v>0</v>
      </c>
      <c r="AB15" s="127"/>
      <c r="AZ15" s="4"/>
      <c r="BA15" s="4"/>
      <c r="BB15" s="3"/>
      <c r="BC15" s="98"/>
      <c r="BD15" s="98"/>
    </row>
    <row r="16" spans="1:56" ht="11.25">
      <c r="A16" s="36">
        <f t="shared" si="4"/>
        <v>6</v>
      </c>
      <c r="B16" s="38" t="s">
        <v>635</v>
      </c>
      <c r="C16" s="38"/>
      <c r="D16" s="33" t="s">
        <v>1817</v>
      </c>
      <c r="E16" s="382"/>
      <c r="F16" s="382"/>
      <c r="G16" s="527">
        <f>Uitvoerbestand!I10</f>
        <v>221.78</v>
      </c>
      <c r="H16" s="283">
        <f t="shared" si="0"/>
        <v>0</v>
      </c>
      <c r="J16" s="286"/>
      <c r="K16" s="287">
        <f t="shared" si="1"/>
        <v>0</v>
      </c>
      <c r="L16" s="287">
        <f t="shared" si="2"/>
        <v>0</v>
      </c>
      <c r="M16" s="286"/>
      <c r="U16" s="257"/>
      <c r="V16" s="111" t="s">
        <v>389</v>
      </c>
      <c r="Y16" s="109">
        <f t="shared" si="3"/>
        <v>0</v>
      </c>
      <c r="AB16" s="127"/>
      <c r="AZ16" s="4"/>
      <c r="BA16" s="4"/>
      <c r="BB16" s="3"/>
      <c r="BC16" s="98"/>
      <c r="BD16" s="98"/>
    </row>
    <row r="17" spans="1:56" ht="11.25">
      <c r="A17" s="31">
        <f t="shared" si="4"/>
        <v>7</v>
      </c>
      <c r="B17" s="39" t="s">
        <v>406</v>
      </c>
      <c r="C17" s="39"/>
      <c r="D17" s="39"/>
      <c r="E17" s="40">
        <f>SUM(E11:E16)</f>
        <v>0</v>
      </c>
      <c r="F17" s="41">
        <f>SUM(F11:F16)</f>
        <v>0</v>
      </c>
      <c r="G17" s="2"/>
      <c r="H17" s="2">
        <f>SUM(H11:H16)</f>
        <v>0</v>
      </c>
      <c r="J17" s="286"/>
      <c r="K17" s="290">
        <f>SUM(K11:K16)</f>
        <v>0</v>
      </c>
      <c r="L17" s="290">
        <f>SUM(L11:L16)</f>
        <v>0</v>
      </c>
      <c r="M17" s="286"/>
      <c r="U17" s="257"/>
      <c r="V17" s="123"/>
      <c r="AB17" s="127"/>
      <c r="AZ17" s="4"/>
      <c r="BA17" s="4"/>
      <c r="BB17" s="3"/>
      <c r="BC17" s="98"/>
      <c r="BD17" s="98"/>
    </row>
    <row r="18" spans="1:56" ht="11.25">
      <c r="A18" s="14"/>
      <c r="B18" s="12" t="s">
        <v>515</v>
      </c>
      <c r="C18" s="15"/>
      <c r="D18" s="12"/>
      <c r="E18" s="9"/>
      <c r="F18" s="12"/>
      <c r="G18" s="12"/>
      <c r="H18" s="12"/>
      <c r="J18" s="286"/>
      <c r="K18" s="286"/>
      <c r="L18" s="286"/>
      <c r="M18" s="286"/>
      <c r="U18" s="30"/>
      <c r="V18" s="104"/>
      <c r="AB18" s="127"/>
      <c r="AZ18" s="4"/>
      <c r="BA18" s="4"/>
      <c r="BB18" s="3"/>
      <c r="BC18" s="98"/>
      <c r="BD18" s="98"/>
    </row>
    <row r="19" spans="1:56" ht="11.25">
      <c r="A19" s="31">
        <f>A17+1</f>
        <v>8</v>
      </c>
      <c r="B19" s="32" t="s">
        <v>636</v>
      </c>
      <c r="C19" s="32"/>
      <c r="D19" s="33" t="s">
        <v>1818</v>
      </c>
      <c r="E19" s="382"/>
      <c r="F19" s="382"/>
      <c r="G19" s="528">
        <f>Uitvoerbestand!I13</f>
        <v>144.72</v>
      </c>
      <c r="H19" s="283">
        <f aca="true" t="shared" si="5" ref="H19:H24">F19*G19</f>
        <v>0</v>
      </c>
      <c r="K19" s="287">
        <f aca="true" t="shared" si="6" ref="K19:K24">IF(E19=0,0,E19/$E$25)</f>
        <v>0</v>
      </c>
      <c r="L19" s="287">
        <f aca="true" t="shared" si="7" ref="L19:L24">IF(F19=0,0,F19/$F$25)</f>
        <v>0</v>
      </c>
      <c r="U19" s="35"/>
      <c r="V19" s="111" t="s">
        <v>395</v>
      </c>
      <c r="Y19" s="109">
        <f aca="true" t="shared" si="8" ref="Y19:Y24">A19*H19</f>
        <v>0</v>
      </c>
      <c r="AB19" s="127"/>
      <c r="AZ19" s="4"/>
      <c r="BA19" s="4"/>
      <c r="BB19" s="3"/>
      <c r="BC19" s="98"/>
      <c r="BD19" s="98"/>
    </row>
    <row r="20" spans="1:56" ht="11.25">
      <c r="A20" s="36">
        <f aca="true" t="shared" si="9" ref="A20:A25">A19+1</f>
        <v>9</v>
      </c>
      <c r="B20" s="32" t="s">
        <v>637</v>
      </c>
      <c r="C20" s="32"/>
      <c r="D20" s="33" t="s">
        <v>1819</v>
      </c>
      <c r="E20" s="382"/>
      <c r="F20" s="382"/>
      <c r="G20" s="528">
        <f>Uitvoerbestand!I14</f>
        <v>198.32</v>
      </c>
      <c r="H20" s="283">
        <f t="shared" si="5"/>
        <v>0</v>
      </c>
      <c r="K20" s="287">
        <f t="shared" si="6"/>
        <v>0</v>
      </c>
      <c r="L20" s="287">
        <f t="shared" si="7"/>
        <v>0</v>
      </c>
      <c r="U20" s="37"/>
      <c r="V20" s="111" t="s">
        <v>390</v>
      </c>
      <c r="Y20" s="109">
        <f t="shared" si="8"/>
        <v>0</v>
      </c>
      <c r="AB20" s="127"/>
      <c r="AZ20" s="4"/>
      <c r="BA20" s="4"/>
      <c r="BB20" s="3"/>
      <c r="BC20" s="98"/>
      <c r="BD20" s="98"/>
    </row>
    <row r="21" spans="1:56" ht="11.25">
      <c r="A21" s="36">
        <f t="shared" si="9"/>
        <v>10</v>
      </c>
      <c r="B21" s="32" t="s">
        <v>440</v>
      </c>
      <c r="C21" s="32"/>
      <c r="D21" s="33" t="s">
        <v>1820</v>
      </c>
      <c r="E21" s="382"/>
      <c r="F21" s="382"/>
      <c r="G21" s="528">
        <f>Uitvoerbestand!I15</f>
        <v>178.91</v>
      </c>
      <c r="H21" s="283">
        <f t="shared" si="5"/>
        <v>0</v>
      </c>
      <c r="K21" s="287">
        <f t="shared" si="6"/>
        <v>0</v>
      </c>
      <c r="L21" s="287">
        <f t="shared" si="7"/>
        <v>0</v>
      </c>
      <c r="U21" s="257"/>
      <c r="V21" s="111" t="s">
        <v>391</v>
      </c>
      <c r="Y21" s="109">
        <f t="shared" si="8"/>
        <v>0</v>
      </c>
      <c r="AB21" s="127"/>
      <c r="AZ21" s="4"/>
      <c r="BA21" s="4"/>
      <c r="BB21" s="3"/>
      <c r="BC21" s="98"/>
      <c r="BD21" s="98"/>
    </row>
    <row r="22" spans="1:56" ht="11.25">
      <c r="A22" s="36">
        <f t="shared" si="9"/>
        <v>11</v>
      </c>
      <c r="B22" s="32" t="s">
        <v>441</v>
      </c>
      <c r="C22" s="32"/>
      <c r="D22" s="33" t="s">
        <v>1821</v>
      </c>
      <c r="E22" s="382"/>
      <c r="F22" s="382"/>
      <c r="G22" s="528">
        <f>Uitvoerbestand!I16</f>
        <v>232.47</v>
      </c>
      <c r="H22" s="283">
        <f t="shared" si="5"/>
        <v>0</v>
      </c>
      <c r="K22" s="287">
        <f t="shared" si="6"/>
        <v>0</v>
      </c>
      <c r="L22" s="287">
        <f t="shared" si="7"/>
        <v>0</v>
      </c>
      <c r="U22" s="37"/>
      <c r="V22" s="111" t="s">
        <v>392</v>
      </c>
      <c r="Y22" s="109">
        <f t="shared" si="8"/>
        <v>0</v>
      </c>
      <c r="AB22" s="127"/>
      <c r="AZ22" s="4"/>
      <c r="BA22" s="4"/>
      <c r="BB22" s="3"/>
      <c r="BC22" s="98"/>
      <c r="BD22" s="98"/>
    </row>
    <row r="23" spans="1:56" ht="11.25">
      <c r="A23" s="36">
        <f t="shared" si="9"/>
        <v>12</v>
      </c>
      <c r="B23" s="32" t="s">
        <v>357</v>
      </c>
      <c r="C23" s="32"/>
      <c r="D23" s="33" t="s">
        <v>1822</v>
      </c>
      <c r="E23" s="382"/>
      <c r="F23" s="382"/>
      <c r="G23" s="528">
        <f>Uitvoerbestand!I17</f>
        <v>235.57</v>
      </c>
      <c r="H23" s="283">
        <f t="shared" si="5"/>
        <v>0</v>
      </c>
      <c r="K23" s="287">
        <f t="shared" si="6"/>
        <v>0</v>
      </c>
      <c r="L23" s="287">
        <f t="shared" si="7"/>
        <v>0</v>
      </c>
      <c r="U23" s="257"/>
      <c r="V23" s="111" t="s">
        <v>393</v>
      </c>
      <c r="Y23" s="109">
        <f t="shared" si="8"/>
        <v>0</v>
      </c>
      <c r="AB23" s="127"/>
      <c r="AZ23" s="4"/>
      <c r="BA23" s="4"/>
      <c r="BB23" s="3"/>
      <c r="BC23" s="98"/>
      <c r="BD23" s="98"/>
    </row>
    <row r="24" spans="1:56" ht="11.25">
      <c r="A24" s="36">
        <f t="shared" si="9"/>
        <v>13</v>
      </c>
      <c r="B24" s="38" t="s">
        <v>1786</v>
      </c>
      <c r="C24" s="38"/>
      <c r="D24" s="33" t="s">
        <v>1823</v>
      </c>
      <c r="E24" s="382"/>
      <c r="F24" s="382"/>
      <c r="G24" s="528">
        <f>Uitvoerbestand!I18</f>
        <v>300.17</v>
      </c>
      <c r="H24" s="283">
        <f t="shared" si="5"/>
        <v>0</v>
      </c>
      <c r="K24" s="287">
        <f t="shared" si="6"/>
        <v>0</v>
      </c>
      <c r="L24" s="287">
        <f t="shared" si="7"/>
        <v>0</v>
      </c>
      <c r="U24" s="257"/>
      <c r="V24" s="111" t="s">
        <v>394</v>
      </c>
      <c r="Y24" s="109">
        <f t="shared" si="8"/>
        <v>0</v>
      </c>
      <c r="AB24" s="127"/>
      <c r="AZ24" s="4"/>
      <c r="BA24" s="4"/>
      <c r="BB24" s="3"/>
      <c r="BC24" s="98"/>
      <c r="BD24" s="98"/>
    </row>
    <row r="25" spans="1:56" ht="11.25">
      <c r="A25" s="31">
        <f t="shared" si="9"/>
        <v>14</v>
      </c>
      <c r="B25" s="39" t="s">
        <v>406</v>
      </c>
      <c r="C25" s="39"/>
      <c r="D25" s="39"/>
      <c r="E25" s="40">
        <f>SUM(E19:E24)</f>
        <v>0</v>
      </c>
      <c r="F25" s="41">
        <f>SUM(F19:F24)</f>
        <v>0</v>
      </c>
      <c r="G25" s="54"/>
      <c r="H25" s="41">
        <f>SUM(H19:H24)</f>
        <v>0</v>
      </c>
      <c r="K25" s="290">
        <f>SUM(K19:K24)</f>
        <v>0</v>
      </c>
      <c r="L25" s="290">
        <f>SUM(L19:L24)</f>
        <v>0</v>
      </c>
      <c r="U25" s="257"/>
      <c r="V25" s="123"/>
      <c r="AB25" s="127"/>
      <c r="AZ25" s="4"/>
      <c r="BA25" s="4"/>
      <c r="BB25" s="3"/>
      <c r="BC25" s="98"/>
      <c r="BD25" s="98"/>
    </row>
    <row r="26" spans="1:56" ht="11.25">
      <c r="A26" s="14"/>
      <c r="B26" s="12" t="s">
        <v>516</v>
      </c>
      <c r="C26" s="15"/>
      <c r="D26" s="12"/>
      <c r="E26" s="9"/>
      <c r="F26" s="12"/>
      <c r="G26" s="9"/>
      <c r="H26" s="9"/>
      <c r="K26" s="90"/>
      <c r="U26" s="30"/>
      <c r="V26" s="104"/>
      <c r="AB26" s="127"/>
      <c r="AZ26" s="4"/>
      <c r="BA26" s="4"/>
      <c r="BB26" s="3"/>
      <c r="BC26" s="98"/>
      <c r="BD26" s="98"/>
    </row>
    <row r="27" spans="1:56" ht="11.25">
      <c r="A27" s="31">
        <f>A25+1</f>
        <v>15</v>
      </c>
      <c r="B27" s="32" t="s">
        <v>642</v>
      </c>
      <c r="C27" s="32"/>
      <c r="D27" s="33" t="s">
        <v>1809</v>
      </c>
      <c r="E27" s="382"/>
      <c r="F27" s="382"/>
      <c r="G27" s="528">
        <f>Uitvoerbestand!I21</f>
        <v>88.26</v>
      </c>
      <c r="H27" s="283">
        <f aca="true" t="shared" si="10" ref="H27:H35">F27*G27</f>
        <v>0</v>
      </c>
      <c r="K27" s="287">
        <f>IF(E27=0,0,E27/$E$36)</f>
        <v>0</v>
      </c>
      <c r="L27" s="287">
        <f>IF(F27=0,0,F27/$F$36)</f>
        <v>0</v>
      </c>
      <c r="U27" s="35"/>
      <c r="V27" s="111" t="s">
        <v>396</v>
      </c>
      <c r="Y27" s="109">
        <f aca="true" t="shared" si="11" ref="Y27:Y35">A27*H27</f>
        <v>0</v>
      </c>
      <c r="AB27" s="127"/>
      <c r="AZ27" s="4"/>
      <c r="BA27" s="4"/>
      <c r="BB27" s="3"/>
      <c r="BC27" s="98"/>
      <c r="BD27" s="98"/>
    </row>
    <row r="28" spans="1:56" ht="11.25">
      <c r="A28" s="36">
        <f aca="true" t="shared" si="12" ref="A28:A36">A27+1</f>
        <v>16</v>
      </c>
      <c r="B28" s="32" t="s">
        <v>1785</v>
      </c>
      <c r="C28" s="32"/>
      <c r="D28" s="33" t="s">
        <v>1810</v>
      </c>
      <c r="E28" s="382"/>
      <c r="F28" s="382"/>
      <c r="G28" s="528">
        <f>Uitvoerbestand!I22</f>
        <v>120.88</v>
      </c>
      <c r="H28" s="283">
        <f t="shared" si="10"/>
        <v>0</v>
      </c>
      <c r="K28" s="287">
        <f aca="true" t="shared" si="13" ref="K28:K35">IF(E28=0,0,E28/$E$36)</f>
        <v>0</v>
      </c>
      <c r="L28" s="287">
        <f aca="true" t="shared" si="14" ref="L28:L35">IF(F28=0,0,F28/$F$36)</f>
        <v>0</v>
      </c>
      <c r="U28" s="37"/>
      <c r="V28" s="111" t="s">
        <v>397</v>
      </c>
      <c r="Y28" s="109">
        <f t="shared" si="11"/>
        <v>0</v>
      </c>
      <c r="AB28" s="127"/>
      <c r="AZ28" s="4"/>
      <c r="BA28" s="4"/>
      <c r="BB28" s="3"/>
      <c r="BC28" s="98"/>
      <c r="BD28" s="98"/>
    </row>
    <row r="29" spans="1:56" ht="11.25">
      <c r="A29" s="36">
        <f t="shared" si="12"/>
        <v>17</v>
      </c>
      <c r="B29" s="32" t="s">
        <v>1784</v>
      </c>
      <c r="C29" s="32"/>
      <c r="D29" s="33" t="s">
        <v>1811</v>
      </c>
      <c r="E29" s="382"/>
      <c r="F29" s="382"/>
      <c r="G29" s="528">
        <f>Uitvoerbestand!I23</f>
        <v>186.85</v>
      </c>
      <c r="H29" s="283">
        <f t="shared" si="10"/>
        <v>0</v>
      </c>
      <c r="K29" s="287">
        <f t="shared" si="13"/>
        <v>0</v>
      </c>
      <c r="L29" s="287">
        <f t="shared" si="14"/>
        <v>0</v>
      </c>
      <c r="U29" s="257"/>
      <c r="V29" s="111" t="s">
        <v>398</v>
      </c>
      <c r="Y29" s="109">
        <f t="shared" si="11"/>
        <v>0</v>
      </c>
      <c r="AB29" s="127"/>
      <c r="AZ29" s="4"/>
      <c r="BA29" s="4"/>
      <c r="BB29" s="3"/>
      <c r="BC29" s="98"/>
      <c r="BD29" s="98"/>
    </row>
    <row r="30" spans="1:56" ht="11.25">
      <c r="A30" s="36">
        <f t="shared" si="12"/>
        <v>18</v>
      </c>
      <c r="B30" s="32" t="s">
        <v>358</v>
      </c>
      <c r="C30" s="32"/>
      <c r="D30" s="33" t="s">
        <v>1812</v>
      </c>
      <c r="E30" s="382"/>
      <c r="F30" s="382"/>
      <c r="G30" s="528">
        <f>Uitvoerbestand!I24</f>
        <v>41.22</v>
      </c>
      <c r="H30" s="283">
        <f t="shared" si="10"/>
        <v>0</v>
      </c>
      <c r="K30" s="287">
        <f t="shared" si="13"/>
        <v>0</v>
      </c>
      <c r="L30" s="287">
        <f t="shared" si="14"/>
        <v>0</v>
      </c>
      <c r="U30" s="37"/>
      <c r="V30" s="111" t="s">
        <v>399</v>
      </c>
      <c r="Y30" s="109">
        <f t="shared" si="11"/>
        <v>0</v>
      </c>
      <c r="AB30" s="127"/>
      <c r="AZ30" s="4"/>
      <c r="BA30" s="4"/>
      <c r="BB30" s="3"/>
      <c r="BC30" s="98"/>
      <c r="BD30" s="98"/>
    </row>
    <row r="31" spans="1:56" ht="11.25">
      <c r="A31" s="36">
        <f t="shared" si="12"/>
        <v>19</v>
      </c>
      <c r="B31" s="32" t="s">
        <v>263</v>
      </c>
      <c r="C31" s="32"/>
      <c r="D31" s="33" t="s">
        <v>1824</v>
      </c>
      <c r="E31" s="382"/>
      <c r="F31" s="382"/>
      <c r="G31" s="528">
        <f>Uitvoerbestand!I25</f>
        <v>45.690000000000005</v>
      </c>
      <c r="H31" s="283">
        <f t="shared" si="10"/>
        <v>0</v>
      </c>
      <c r="K31" s="287">
        <f t="shared" si="13"/>
        <v>0</v>
      </c>
      <c r="L31" s="287">
        <f t="shared" si="14"/>
        <v>0</v>
      </c>
      <c r="U31" s="257"/>
      <c r="V31" s="111" t="s">
        <v>400</v>
      </c>
      <c r="Y31" s="109">
        <f t="shared" si="11"/>
        <v>0</v>
      </c>
      <c r="AB31" s="127"/>
      <c r="AZ31" s="4"/>
      <c r="BA31" s="4"/>
      <c r="BB31" s="3"/>
      <c r="BC31" s="98"/>
      <c r="BD31" s="98"/>
    </row>
    <row r="32" spans="1:56" ht="11.25">
      <c r="A32" s="36">
        <f t="shared" si="12"/>
        <v>20</v>
      </c>
      <c r="B32" s="32" t="s">
        <v>1785</v>
      </c>
      <c r="C32" s="32"/>
      <c r="D32" s="33" t="s">
        <v>1825</v>
      </c>
      <c r="E32" s="382"/>
      <c r="F32" s="382"/>
      <c r="G32" s="528">
        <f>Uitvoerbestand!I26</f>
        <v>102.33</v>
      </c>
      <c r="H32" s="283">
        <f t="shared" si="10"/>
        <v>0</v>
      </c>
      <c r="K32" s="287">
        <f t="shared" si="13"/>
        <v>0</v>
      </c>
      <c r="L32" s="287">
        <f t="shared" si="14"/>
        <v>0</v>
      </c>
      <c r="U32" s="257"/>
      <c r="V32" s="111" t="s">
        <v>401</v>
      </c>
      <c r="Y32" s="109">
        <f t="shared" si="11"/>
        <v>0</v>
      </c>
      <c r="AB32" s="127"/>
      <c r="AZ32" s="4"/>
      <c r="BA32" s="4"/>
      <c r="BB32" s="3"/>
      <c r="BC32" s="98"/>
      <c r="BD32" s="98"/>
    </row>
    <row r="33" spans="1:56" ht="11.25">
      <c r="A33" s="36">
        <f t="shared" si="12"/>
        <v>21</v>
      </c>
      <c r="B33" s="32" t="s">
        <v>1787</v>
      </c>
      <c r="C33" s="32"/>
      <c r="D33" s="33" t="s">
        <v>1826</v>
      </c>
      <c r="E33" s="382"/>
      <c r="F33" s="382"/>
      <c r="G33" s="528">
        <f>Uitvoerbestand!I27</f>
        <v>66.28999999999999</v>
      </c>
      <c r="H33" s="283">
        <f t="shared" si="10"/>
        <v>0</v>
      </c>
      <c r="K33" s="287">
        <f t="shared" si="13"/>
        <v>0</v>
      </c>
      <c r="L33" s="287">
        <f t="shared" si="14"/>
        <v>0</v>
      </c>
      <c r="U33" s="37"/>
      <c r="V33" s="111" t="s">
        <v>402</v>
      </c>
      <c r="Y33" s="109">
        <f t="shared" si="11"/>
        <v>0</v>
      </c>
      <c r="AB33" s="127"/>
      <c r="AZ33" s="4"/>
      <c r="BA33" s="4"/>
      <c r="BB33" s="3"/>
      <c r="BC33" s="98"/>
      <c r="BD33" s="98"/>
    </row>
    <row r="34" spans="1:56" ht="11.25">
      <c r="A34" s="36">
        <f t="shared" si="12"/>
        <v>22</v>
      </c>
      <c r="B34" s="32" t="s">
        <v>1785</v>
      </c>
      <c r="C34" s="32"/>
      <c r="D34" s="33" t="s">
        <v>1827</v>
      </c>
      <c r="E34" s="382"/>
      <c r="F34" s="382"/>
      <c r="G34" s="528">
        <f>Uitvoerbestand!I28</f>
        <v>112</v>
      </c>
      <c r="H34" s="283">
        <f t="shared" si="10"/>
        <v>0</v>
      </c>
      <c r="K34" s="287">
        <f t="shared" si="13"/>
        <v>0</v>
      </c>
      <c r="L34" s="287">
        <f t="shared" si="14"/>
        <v>0</v>
      </c>
      <c r="U34" s="257"/>
      <c r="V34" s="111" t="s">
        <v>365</v>
      </c>
      <c r="Y34" s="109">
        <f t="shared" si="11"/>
        <v>0</v>
      </c>
      <c r="AB34" s="127"/>
      <c r="AZ34" s="4"/>
      <c r="BA34" s="4"/>
      <c r="BB34" s="3"/>
      <c r="BC34" s="98"/>
      <c r="BD34" s="98"/>
    </row>
    <row r="35" spans="1:56" ht="11.25">
      <c r="A35" s="36">
        <f t="shared" si="12"/>
        <v>23</v>
      </c>
      <c r="B35" s="38" t="s">
        <v>1788</v>
      </c>
      <c r="C35" s="38"/>
      <c r="D35" s="33" t="s">
        <v>1828</v>
      </c>
      <c r="E35" s="382"/>
      <c r="F35" s="382"/>
      <c r="G35" s="528">
        <f>Uitvoerbestand!I29</f>
        <v>157.19</v>
      </c>
      <c r="H35" s="283">
        <f t="shared" si="10"/>
        <v>0</v>
      </c>
      <c r="K35" s="287">
        <f t="shared" si="13"/>
        <v>0</v>
      </c>
      <c r="L35" s="287">
        <f t="shared" si="14"/>
        <v>0</v>
      </c>
      <c r="U35" s="257"/>
      <c r="V35" s="111" t="s">
        <v>366</v>
      </c>
      <c r="Y35" s="109">
        <f t="shared" si="11"/>
        <v>0</v>
      </c>
      <c r="AB35" s="127"/>
      <c r="AZ35" s="4"/>
      <c r="BA35" s="4"/>
      <c r="BB35" s="3"/>
      <c r="BC35" s="98"/>
      <c r="BD35" s="98"/>
    </row>
    <row r="36" spans="1:56" ht="11.25">
      <c r="A36" s="31">
        <f t="shared" si="12"/>
        <v>24</v>
      </c>
      <c r="B36" s="39" t="s">
        <v>406</v>
      </c>
      <c r="C36" s="39"/>
      <c r="D36" s="39"/>
      <c r="E36" s="40">
        <f>SUM(E27:E35)</f>
        <v>0</v>
      </c>
      <c r="F36" s="41">
        <f>SUM(F27:F35)</f>
        <v>0</v>
      </c>
      <c r="G36" s="2"/>
      <c r="H36" s="41">
        <f>SUM(H27:H35)</f>
        <v>0</v>
      </c>
      <c r="K36" s="290">
        <f>SUM(K27:K35)</f>
        <v>0</v>
      </c>
      <c r="L36" s="290">
        <f>SUM(L27:L35)</f>
        <v>0</v>
      </c>
      <c r="U36" s="257"/>
      <c r="V36" s="123"/>
      <c r="AB36" s="127"/>
      <c r="AZ36" s="4"/>
      <c r="BA36" s="4"/>
      <c r="BB36" s="3"/>
      <c r="BC36" s="98"/>
      <c r="BD36" s="98"/>
    </row>
    <row r="37" spans="1:56" ht="11.25">
      <c r="A37" s="14"/>
      <c r="B37" s="12" t="s">
        <v>318</v>
      </c>
      <c r="C37" s="15"/>
      <c r="D37" s="12"/>
      <c r="E37" s="9"/>
      <c r="F37" s="12"/>
      <c r="G37" s="9"/>
      <c r="H37" s="9"/>
      <c r="K37" s="90"/>
      <c r="U37" s="30"/>
      <c r="V37" s="104"/>
      <c r="AB37" s="127"/>
      <c r="AZ37" s="4"/>
      <c r="BA37" s="4"/>
      <c r="BB37" s="3"/>
      <c r="BC37" s="98"/>
      <c r="BD37" s="98"/>
    </row>
    <row r="38" spans="1:56" ht="11.25">
      <c r="A38" s="31">
        <f>A36+1</f>
        <v>25</v>
      </c>
      <c r="B38" s="32" t="s">
        <v>359</v>
      </c>
      <c r="C38" s="32"/>
      <c r="D38" s="33" t="s">
        <v>1829</v>
      </c>
      <c r="E38" s="382"/>
      <c r="F38" s="382"/>
      <c r="G38" s="528">
        <f>Uitvoerbestand!I32</f>
        <v>200.95</v>
      </c>
      <c r="H38" s="283">
        <f aca="true" t="shared" si="15" ref="H38:H43">F38*G38</f>
        <v>0</v>
      </c>
      <c r="K38" s="287">
        <f aca="true" t="shared" si="16" ref="K38:K43">IF(E38=0,0,E38/$E$44)</f>
        <v>0</v>
      </c>
      <c r="L38" s="287">
        <f aca="true" t="shared" si="17" ref="L38:L43">IF(F38=0,0,F38/$F$44)</f>
        <v>0</v>
      </c>
      <c r="U38" s="35"/>
      <c r="V38" s="111" t="s">
        <v>372</v>
      </c>
      <c r="Y38" s="109">
        <f aca="true" t="shared" si="18" ref="Y38:Y43">A38*H38</f>
        <v>0</v>
      </c>
      <c r="AB38" s="127"/>
      <c r="AZ38" s="4"/>
      <c r="BA38" s="4"/>
      <c r="BB38" s="3"/>
      <c r="BC38" s="98"/>
      <c r="BD38" s="98"/>
    </row>
    <row r="39" spans="1:56" ht="11.25">
      <c r="A39" s="36">
        <f aca="true" t="shared" si="19" ref="A39:A44">A38+1</f>
        <v>26</v>
      </c>
      <c r="B39" s="32" t="s">
        <v>360</v>
      </c>
      <c r="C39" s="32"/>
      <c r="D39" s="33" t="s">
        <v>1830</v>
      </c>
      <c r="E39" s="382"/>
      <c r="F39" s="382"/>
      <c r="G39" s="528">
        <f>Uitvoerbestand!I33</f>
        <v>264.27000000000004</v>
      </c>
      <c r="H39" s="283">
        <f t="shared" si="15"/>
        <v>0</v>
      </c>
      <c r="K39" s="287">
        <f t="shared" si="16"/>
        <v>0</v>
      </c>
      <c r="L39" s="287">
        <f t="shared" si="17"/>
        <v>0</v>
      </c>
      <c r="U39" s="37"/>
      <c r="V39" s="111" t="s">
        <v>367</v>
      </c>
      <c r="Y39" s="109">
        <f t="shared" si="18"/>
        <v>0</v>
      </c>
      <c r="AB39" s="127"/>
      <c r="AZ39" s="4"/>
      <c r="BA39" s="4"/>
      <c r="BB39" s="3"/>
      <c r="BC39" s="98"/>
      <c r="BD39" s="98"/>
    </row>
    <row r="40" spans="1:56" ht="11.25">
      <c r="A40" s="36">
        <f t="shared" si="19"/>
        <v>27</v>
      </c>
      <c r="B40" s="32" t="s">
        <v>361</v>
      </c>
      <c r="C40" s="32"/>
      <c r="D40" s="33" t="s">
        <v>1831</v>
      </c>
      <c r="E40" s="382"/>
      <c r="F40" s="382"/>
      <c r="G40" s="528">
        <f>Uitvoerbestand!I34</f>
        <v>204.41</v>
      </c>
      <c r="H40" s="283">
        <f t="shared" si="15"/>
        <v>0</v>
      </c>
      <c r="K40" s="287">
        <f t="shared" si="16"/>
        <v>0</v>
      </c>
      <c r="L40" s="287">
        <f t="shared" si="17"/>
        <v>0</v>
      </c>
      <c r="U40" s="257"/>
      <c r="V40" s="111" t="s">
        <v>368</v>
      </c>
      <c r="Y40" s="109">
        <f t="shared" si="18"/>
        <v>0</v>
      </c>
      <c r="AB40" s="127"/>
      <c r="AZ40" s="4"/>
      <c r="BA40" s="4"/>
      <c r="BB40" s="3"/>
      <c r="BC40" s="98"/>
      <c r="BD40" s="98"/>
    </row>
    <row r="41" spans="1:56" ht="11.25">
      <c r="A41" s="36">
        <f t="shared" si="19"/>
        <v>28</v>
      </c>
      <c r="B41" s="32" t="s">
        <v>362</v>
      </c>
      <c r="C41" s="32"/>
      <c r="D41" s="33" t="s">
        <v>1832</v>
      </c>
      <c r="E41" s="382"/>
      <c r="F41" s="382"/>
      <c r="G41" s="528">
        <f>Uitvoerbestand!I35</f>
        <v>305.39</v>
      </c>
      <c r="H41" s="283">
        <f t="shared" si="15"/>
        <v>0</v>
      </c>
      <c r="K41" s="287">
        <f t="shared" si="16"/>
        <v>0</v>
      </c>
      <c r="L41" s="287">
        <f t="shared" si="17"/>
        <v>0</v>
      </c>
      <c r="U41" s="37"/>
      <c r="V41" s="111" t="s">
        <v>369</v>
      </c>
      <c r="Y41" s="109">
        <f t="shared" si="18"/>
        <v>0</v>
      </c>
      <c r="AB41" s="127"/>
      <c r="AZ41" s="4"/>
      <c r="BA41" s="4"/>
      <c r="BB41" s="3"/>
      <c r="BC41" s="98"/>
      <c r="BD41" s="98"/>
    </row>
    <row r="42" spans="1:56" ht="11.25">
      <c r="A42" s="36">
        <f t="shared" si="19"/>
        <v>29</v>
      </c>
      <c r="B42" s="32" t="s">
        <v>363</v>
      </c>
      <c r="C42" s="32"/>
      <c r="D42" s="33" t="s">
        <v>1833</v>
      </c>
      <c r="E42" s="382"/>
      <c r="F42" s="382"/>
      <c r="G42" s="528">
        <f>Uitvoerbestand!I36</f>
        <v>261.67</v>
      </c>
      <c r="H42" s="283">
        <f t="shared" si="15"/>
        <v>0</v>
      </c>
      <c r="K42" s="287">
        <f t="shared" si="16"/>
        <v>0</v>
      </c>
      <c r="L42" s="287">
        <f t="shared" si="17"/>
        <v>0</v>
      </c>
      <c r="U42" s="257"/>
      <c r="V42" s="111" t="s">
        <v>370</v>
      </c>
      <c r="Y42" s="109">
        <f t="shared" si="18"/>
        <v>0</v>
      </c>
      <c r="AB42" s="127"/>
      <c r="AZ42" s="4"/>
      <c r="BA42" s="4"/>
      <c r="BB42" s="3"/>
      <c r="BC42" s="98"/>
      <c r="BD42" s="98"/>
    </row>
    <row r="43" spans="1:56" ht="11.25">
      <c r="A43" s="36">
        <f t="shared" si="19"/>
        <v>30</v>
      </c>
      <c r="B43" s="38" t="s">
        <v>364</v>
      </c>
      <c r="C43" s="38"/>
      <c r="D43" s="33" t="s">
        <v>1834</v>
      </c>
      <c r="E43" s="382"/>
      <c r="F43" s="382"/>
      <c r="G43" s="528">
        <f>Uitvoerbestand!I37</f>
        <v>329.76</v>
      </c>
      <c r="H43" s="283">
        <f t="shared" si="15"/>
        <v>0</v>
      </c>
      <c r="K43" s="287">
        <f t="shared" si="16"/>
        <v>0</v>
      </c>
      <c r="L43" s="287">
        <f t="shared" si="17"/>
        <v>0</v>
      </c>
      <c r="U43" s="257"/>
      <c r="V43" s="111" t="s">
        <v>371</v>
      </c>
      <c r="Y43" s="109">
        <f t="shared" si="18"/>
        <v>0</v>
      </c>
      <c r="AB43" s="127"/>
      <c r="AZ43" s="4"/>
      <c r="BA43" s="4"/>
      <c r="BB43" s="3"/>
      <c r="BC43" s="98"/>
      <c r="BD43" s="98"/>
    </row>
    <row r="44" spans="1:56" ht="11.25">
      <c r="A44" s="31">
        <f t="shared" si="19"/>
        <v>31</v>
      </c>
      <c r="B44" s="39" t="s">
        <v>406</v>
      </c>
      <c r="C44" s="39"/>
      <c r="D44" s="39"/>
      <c r="E44" s="40">
        <f>SUM(E38:E43)</f>
        <v>0</v>
      </c>
      <c r="F44" s="41">
        <f>SUM(F38:F43)</f>
        <v>0</v>
      </c>
      <c r="G44" s="2"/>
      <c r="H44" s="40">
        <f>SUM(H38:H43)</f>
        <v>0</v>
      </c>
      <c r="K44" s="290">
        <f>SUM(K38:K43)</f>
        <v>0</v>
      </c>
      <c r="L44" s="290">
        <f>SUM(L38:L43)</f>
        <v>0</v>
      </c>
      <c r="U44" s="257"/>
      <c r="V44" s="123"/>
      <c r="AB44" s="127"/>
      <c r="AZ44" s="4"/>
      <c r="BA44" s="4"/>
      <c r="BB44" s="3"/>
      <c r="BC44" s="98"/>
      <c r="BD44" s="98"/>
    </row>
    <row r="45" spans="1:56" ht="11.25">
      <c r="A45" s="14"/>
      <c r="B45" s="12"/>
      <c r="C45" s="15"/>
      <c r="D45" s="12"/>
      <c r="E45" s="44"/>
      <c r="F45" s="45"/>
      <c r="G45" s="45"/>
      <c r="H45" s="45"/>
      <c r="K45" s="90"/>
      <c r="N45" s="42"/>
      <c r="O45" s="44"/>
      <c r="P45" s="44"/>
      <c r="Q45" s="44"/>
      <c r="R45" s="9"/>
      <c r="S45" s="46"/>
      <c r="T45" s="46"/>
      <c r="U45" s="47"/>
      <c r="V45" s="94"/>
      <c r="AB45" s="127"/>
      <c r="AZ45" s="4"/>
      <c r="BA45" s="4"/>
      <c r="BB45" s="3"/>
      <c r="BC45" s="98"/>
      <c r="BD45" s="98"/>
    </row>
    <row r="46" spans="1:56" ht="11.25">
      <c r="A46" s="14"/>
      <c r="B46" s="12" t="s">
        <v>609</v>
      </c>
      <c r="C46" s="15"/>
      <c r="D46" s="12"/>
      <c r="E46" s="9"/>
      <c r="F46" s="12"/>
      <c r="G46" s="9"/>
      <c r="H46" s="9"/>
      <c r="J46" s="225"/>
      <c r="K46" s="28"/>
      <c r="L46" s="115"/>
      <c r="U46" s="30"/>
      <c r="V46" s="94"/>
      <c r="AB46" s="127"/>
      <c r="AZ46" s="4"/>
      <c r="BA46" s="4"/>
      <c r="BB46" s="3"/>
      <c r="BC46" s="98"/>
      <c r="BD46" s="98"/>
    </row>
    <row r="47" spans="1:56" ht="11.25">
      <c r="A47" s="31">
        <v>32</v>
      </c>
      <c r="B47" s="39" t="str">
        <f>IF(OR(F47=(O47+Q47)/2,F47=0,O47=0,Q47=0),"Klinisch intensieve behandelingen",CONCATENATE("Klinisch intensieve behandelingen (",ROUND(100*(F47/((O47+Q47)/2)),0)," %)"))</f>
        <v>Klinisch intensieve behandelingen</v>
      </c>
      <c r="C47" s="39"/>
      <c r="D47" s="49"/>
      <c r="E47" s="382"/>
      <c r="F47" s="382"/>
      <c r="G47" s="528">
        <f>Uitvoerbestand!I39</f>
        <v>315.4</v>
      </c>
      <c r="H47" s="294">
        <f>F47*G47</f>
        <v>0</v>
      </c>
      <c r="J47" s="225"/>
      <c r="K47" s="287"/>
      <c r="L47" s="287"/>
      <c r="U47" s="35"/>
      <c r="V47" s="111" t="s">
        <v>269</v>
      </c>
      <c r="Y47" s="109">
        <f>A47*H47</f>
        <v>0</v>
      </c>
      <c r="AB47" s="127"/>
      <c r="AZ47" s="4"/>
      <c r="BA47" s="4"/>
      <c r="BB47" s="3"/>
      <c r="BC47" s="98"/>
      <c r="BD47" s="98"/>
    </row>
    <row r="48" spans="1:56" ht="11.25">
      <c r="A48" s="12"/>
      <c r="B48" s="12"/>
      <c r="C48" s="12"/>
      <c r="D48" s="12"/>
      <c r="E48" s="12"/>
      <c r="F48" s="12"/>
      <c r="G48" s="9"/>
      <c r="H48" s="9"/>
      <c r="J48" s="225"/>
      <c r="K48" s="9"/>
      <c r="L48" s="9"/>
      <c r="M48" s="9"/>
      <c r="U48" s="35"/>
      <c r="V48" s="111"/>
      <c r="AB48" s="127"/>
      <c r="AZ48" s="4"/>
      <c r="BA48" s="4"/>
      <c r="BB48" s="3"/>
      <c r="BC48" s="98"/>
      <c r="BD48" s="98"/>
    </row>
    <row r="49" spans="1:56" ht="11.25">
      <c r="A49" s="14"/>
      <c r="B49" s="12"/>
      <c r="C49" s="15"/>
      <c r="D49" s="16"/>
      <c r="E49" s="17" t="str">
        <f>$E$7</f>
        <v>Niet</v>
      </c>
      <c r="F49" s="17" t="str">
        <f>$F$7</f>
        <v>Mutatie</v>
      </c>
      <c r="G49" s="770" t="str">
        <f>$G$7</f>
        <v>Mutatie budget ZVW 2009</v>
      </c>
      <c r="H49" s="771"/>
      <c r="J49" s="286"/>
      <c r="K49" s="760" t="s">
        <v>53</v>
      </c>
      <c r="L49" s="761"/>
      <c r="U49" s="116"/>
      <c r="V49" s="94"/>
      <c r="AB49" s="127"/>
      <c r="AZ49" s="4"/>
      <c r="BA49" s="4"/>
      <c r="BB49" s="3"/>
      <c r="BC49" s="98"/>
      <c r="BD49" s="98"/>
    </row>
    <row r="50" spans="1:56" ht="11.25" customHeight="1">
      <c r="A50" s="20"/>
      <c r="B50" s="48"/>
      <c r="C50" s="21"/>
      <c r="D50" s="21"/>
      <c r="E50" s="487" t="str">
        <f>$E$8</f>
        <v>invullen</v>
      </c>
      <c r="F50" s="22">
        <f>$F$8</f>
        <v>2009</v>
      </c>
      <c r="G50" s="24" t="s">
        <v>521</v>
      </c>
      <c r="H50" s="24" t="s">
        <v>409</v>
      </c>
      <c r="J50" s="286"/>
      <c r="K50" s="24" t="s">
        <v>54</v>
      </c>
      <c r="L50" s="24" t="s">
        <v>55</v>
      </c>
      <c r="U50" s="256"/>
      <c r="V50" s="94"/>
      <c r="AB50" s="127"/>
      <c r="AZ50" s="4"/>
      <c r="BA50" s="4"/>
      <c r="BB50" s="3"/>
      <c r="BC50" s="98"/>
      <c r="BD50" s="98"/>
    </row>
    <row r="51" spans="1:56" ht="11.25">
      <c r="A51" s="20"/>
      <c r="B51" s="48"/>
      <c r="C51" s="21"/>
      <c r="D51" s="21"/>
      <c r="E51" s="25" t="s">
        <v>617</v>
      </c>
      <c r="F51" s="25" t="s">
        <v>618</v>
      </c>
      <c r="G51" s="282" t="s">
        <v>619</v>
      </c>
      <c r="H51" s="282" t="s">
        <v>620</v>
      </c>
      <c r="J51" s="225"/>
      <c r="K51" s="26" t="s">
        <v>620</v>
      </c>
      <c r="L51" s="282" t="s">
        <v>621</v>
      </c>
      <c r="U51" s="256"/>
      <c r="V51" s="94"/>
      <c r="AB51" s="127"/>
      <c r="AZ51" s="4"/>
      <c r="BA51" s="4"/>
      <c r="BB51" s="3"/>
      <c r="BC51" s="98"/>
      <c r="BD51" s="98"/>
    </row>
    <row r="52" spans="1:56" ht="11.25">
      <c r="A52" s="14"/>
      <c r="B52" s="12" t="s">
        <v>56</v>
      </c>
      <c r="C52" s="15"/>
      <c r="D52" s="12"/>
      <c r="E52" s="9"/>
      <c r="F52" s="12"/>
      <c r="G52" s="9"/>
      <c r="H52" s="9"/>
      <c r="J52" s="225"/>
      <c r="K52" s="9"/>
      <c r="L52" s="115"/>
      <c r="M52" s="9"/>
      <c r="U52" s="47"/>
      <c r="V52" s="118"/>
      <c r="AB52" s="127"/>
      <c r="AZ52" s="4"/>
      <c r="BA52" s="4"/>
      <c r="BB52" s="3"/>
      <c r="BC52" s="98"/>
      <c r="BD52" s="98"/>
    </row>
    <row r="53" spans="1:56" ht="11.25">
      <c r="A53" s="31">
        <f>A47+1</f>
        <v>33</v>
      </c>
      <c r="B53" s="32" t="s">
        <v>1907</v>
      </c>
      <c r="C53" s="32"/>
      <c r="D53" s="52" t="s">
        <v>1868</v>
      </c>
      <c r="E53" s="382"/>
      <c r="F53" s="382"/>
      <c r="G53" s="528">
        <f>Uitvoerbestand!I50</f>
        <v>32.36</v>
      </c>
      <c r="H53" s="283">
        <f>F53*G53</f>
        <v>0</v>
      </c>
      <c r="J53" s="284"/>
      <c r="K53" s="287">
        <f>IF(E53=0,0,E53/$E$58)</f>
        <v>0</v>
      </c>
      <c r="L53" s="287">
        <f>IF(F53=0,0,F53/$F$58)</f>
        <v>0</v>
      </c>
      <c r="U53" s="47"/>
      <c r="V53" s="108" t="s">
        <v>1908</v>
      </c>
      <c r="Y53" s="109">
        <f>A53*H53</f>
        <v>0</v>
      </c>
      <c r="AB53" s="127"/>
      <c r="AZ53" s="4"/>
      <c r="BA53" s="4"/>
      <c r="BB53" s="3"/>
      <c r="BC53" s="98"/>
      <c r="BD53" s="98"/>
    </row>
    <row r="54" spans="1:56" ht="11.25">
      <c r="A54" s="31">
        <f>A53+1</f>
        <v>34</v>
      </c>
      <c r="B54" s="32" t="s">
        <v>1909</v>
      </c>
      <c r="C54" s="32"/>
      <c r="D54" s="52" t="s">
        <v>1869</v>
      </c>
      <c r="E54" s="382"/>
      <c r="F54" s="382"/>
      <c r="G54" s="528">
        <f>Uitvoerbestand!I51</f>
        <v>78.36</v>
      </c>
      <c r="H54" s="283">
        <f>F54*G54</f>
        <v>0</v>
      </c>
      <c r="J54" s="284"/>
      <c r="K54" s="287">
        <f>IF(E54=0,0,E54/$E$58)</f>
        <v>0</v>
      </c>
      <c r="L54" s="287">
        <f>IF(F54=0,0,F54/$F$58)</f>
        <v>0</v>
      </c>
      <c r="U54" s="47"/>
      <c r="V54" s="108" t="s">
        <v>1910</v>
      </c>
      <c r="Y54" s="109">
        <f>A54*H54</f>
        <v>0</v>
      </c>
      <c r="AB54" s="127"/>
      <c r="AZ54" s="4"/>
      <c r="BA54" s="4"/>
      <c r="BB54" s="3"/>
      <c r="BC54" s="98"/>
      <c r="BD54" s="98"/>
    </row>
    <row r="55" spans="1:56" ht="11.25">
      <c r="A55" s="31">
        <f>A54+1</f>
        <v>35</v>
      </c>
      <c r="B55" s="32" t="s">
        <v>1911</v>
      </c>
      <c r="C55" s="32"/>
      <c r="D55" s="52" t="s">
        <v>1870</v>
      </c>
      <c r="E55" s="382"/>
      <c r="F55" s="382"/>
      <c r="G55" s="528">
        <f>Uitvoerbestand!I52</f>
        <v>43.7</v>
      </c>
      <c r="H55" s="283">
        <f>F55*G55</f>
        <v>0</v>
      </c>
      <c r="J55" s="284"/>
      <c r="K55" s="287">
        <f>IF(E55=0,0,E55/$E$58)</f>
        <v>0</v>
      </c>
      <c r="L55" s="287">
        <f>IF(F55=0,0,F55/$F$58)</f>
        <v>0</v>
      </c>
      <c r="U55" s="47"/>
      <c r="V55" s="108" t="s">
        <v>1582</v>
      </c>
      <c r="Y55" s="109">
        <f>A55*H55</f>
        <v>0</v>
      </c>
      <c r="AB55" s="127"/>
      <c r="AZ55" s="4"/>
      <c r="BA55" s="4"/>
      <c r="BB55" s="3"/>
      <c r="BC55" s="98"/>
      <c r="BD55" s="98"/>
    </row>
    <row r="56" spans="1:56" ht="11.25">
      <c r="A56" s="31">
        <f>A55+1</f>
        <v>36</v>
      </c>
      <c r="B56" s="38" t="s">
        <v>603</v>
      </c>
      <c r="C56" s="38"/>
      <c r="D56" s="53" t="s">
        <v>1871</v>
      </c>
      <c r="E56" s="382"/>
      <c r="F56" s="382"/>
      <c r="G56" s="528">
        <f>Uitvoerbestand!I53</f>
        <v>87.49</v>
      </c>
      <c r="H56" s="283">
        <f>F56*G56</f>
        <v>0</v>
      </c>
      <c r="J56" s="284"/>
      <c r="K56" s="287">
        <f>IF(E56=0,0,E56/$E$58)</f>
        <v>0</v>
      </c>
      <c r="L56" s="287">
        <f>IF(F56=0,0,F56/$F$58)</f>
        <v>0</v>
      </c>
      <c r="U56" s="47"/>
      <c r="V56" s="108" t="s">
        <v>604</v>
      </c>
      <c r="Y56" s="109">
        <f>A56*H56</f>
        <v>0</v>
      </c>
      <c r="AB56" s="127"/>
      <c r="AZ56" s="4"/>
      <c r="BA56" s="4"/>
      <c r="BB56" s="3"/>
      <c r="BC56" s="98"/>
      <c r="BD56" s="98"/>
    </row>
    <row r="57" spans="1:56" ht="11.25">
      <c r="A57" s="31">
        <f>A56+1</f>
        <v>37</v>
      </c>
      <c r="B57" s="38" t="s">
        <v>1779</v>
      </c>
      <c r="C57" s="38"/>
      <c r="D57" s="53" t="s">
        <v>1778</v>
      </c>
      <c r="E57" s="382"/>
      <c r="F57" s="382"/>
      <c r="G57" s="528">
        <f>Uitvoerbestand!I54</f>
        <v>117.44999999999999</v>
      </c>
      <c r="H57" s="283">
        <f>F57*G57</f>
        <v>0</v>
      </c>
      <c r="J57" s="284"/>
      <c r="K57" s="287">
        <f>IF(E57=0,0,E57/$E$58)</f>
        <v>0</v>
      </c>
      <c r="L57" s="287">
        <f>IF(F57=0,0,F57/$F$58)</f>
        <v>0</v>
      </c>
      <c r="U57" s="47"/>
      <c r="V57" s="108" t="s">
        <v>1777</v>
      </c>
      <c r="Y57" s="109">
        <f>A57*H57</f>
        <v>0</v>
      </c>
      <c r="AB57" s="127"/>
      <c r="AZ57" s="4"/>
      <c r="BA57" s="4"/>
      <c r="BB57" s="3"/>
      <c r="BC57" s="98"/>
      <c r="BD57" s="98"/>
    </row>
    <row r="58" spans="1:56" ht="11.25">
      <c r="A58" s="31">
        <f>A57+1</f>
        <v>38</v>
      </c>
      <c r="B58" s="39" t="s">
        <v>406</v>
      </c>
      <c r="C58" s="39"/>
      <c r="D58" s="39"/>
      <c r="E58" s="54">
        <f>SUM(E53:E57)</f>
        <v>0</v>
      </c>
      <c r="F58" s="55">
        <f>SUM(F53:F57)</f>
        <v>0</v>
      </c>
      <c r="G58" s="2"/>
      <c r="H58" s="40">
        <f>SUM(H53:H57)</f>
        <v>0</v>
      </c>
      <c r="J58" s="284"/>
      <c r="K58" s="290">
        <f>SUM(K52:K57)</f>
        <v>0</v>
      </c>
      <c r="L58" s="290">
        <f>SUM(L52:L57)</f>
        <v>0</v>
      </c>
      <c r="U58" s="47"/>
      <c r="V58" s="285"/>
      <c r="AB58" s="127"/>
      <c r="AZ58" s="4"/>
      <c r="BA58" s="4"/>
      <c r="BB58" s="3"/>
      <c r="BC58" s="98"/>
      <c r="BD58" s="98"/>
    </row>
    <row r="59" spans="1:56" ht="11.25">
      <c r="A59" s="14"/>
      <c r="B59" s="12"/>
      <c r="C59" s="15"/>
      <c r="D59" s="12"/>
      <c r="E59" s="44"/>
      <c r="F59" s="45"/>
      <c r="G59" s="44"/>
      <c r="H59" s="44"/>
      <c r="K59" s="43"/>
      <c r="L59" s="97"/>
      <c r="M59" s="44"/>
      <c r="U59" s="47"/>
      <c r="V59" s="118"/>
      <c r="AB59" s="127"/>
      <c r="AZ59" s="4"/>
      <c r="BA59" s="4"/>
      <c r="BB59" s="3"/>
      <c r="BC59" s="98"/>
      <c r="BD59" s="98"/>
    </row>
    <row r="60" spans="1:56" ht="11.25">
      <c r="A60" s="14"/>
      <c r="B60" s="12" t="s">
        <v>378</v>
      </c>
      <c r="C60" s="15"/>
      <c r="D60" s="12"/>
      <c r="E60" s="9"/>
      <c r="F60" s="12"/>
      <c r="G60" s="9"/>
      <c r="H60" s="9"/>
      <c r="K60" s="43"/>
      <c r="L60" s="115"/>
      <c r="M60" s="9"/>
      <c r="U60" s="30"/>
      <c r="V60" s="118"/>
      <c r="AB60" s="127"/>
      <c r="AZ60" s="4"/>
      <c r="BA60" s="4"/>
      <c r="BB60" s="3"/>
      <c r="BC60" s="98"/>
      <c r="BD60" s="98"/>
    </row>
    <row r="61" spans="1:56" ht="11.25">
      <c r="A61" s="31">
        <f>A58+1</f>
        <v>39</v>
      </c>
      <c r="B61" s="32" t="s">
        <v>381</v>
      </c>
      <c r="C61" s="32"/>
      <c r="D61" s="57"/>
      <c r="E61" s="382"/>
      <c r="F61" s="382"/>
      <c r="G61" s="528">
        <f>Uitvoerbestand!I42</f>
        <v>329.72</v>
      </c>
      <c r="H61" s="283">
        <f>F61*G61</f>
        <v>0</v>
      </c>
      <c r="K61" s="287">
        <f>IF(E61=0,0,E61/$E$66)</f>
        <v>0</v>
      </c>
      <c r="L61" s="287">
        <f>IF(F61=0,0,F61/$F$66)</f>
        <v>0</v>
      </c>
      <c r="M61" s="9"/>
      <c r="U61" s="35"/>
      <c r="V61" s="111" t="s">
        <v>239</v>
      </c>
      <c r="Y61" s="109">
        <f>A61*H61</f>
        <v>0</v>
      </c>
      <c r="AB61" s="127"/>
      <c r="AZ61" s="4"/>
      <c r="BA61" s="4"/>
      <c r="BB61" s="3"/>
      <c r="BC61" s="98"/>
      <c r="BD61" s="98"/>
    </row>
    <row r="62" spans="1:56" ht="11.25">
      <c r="A62" s="36">
        <f aca="true" t="shared" si="20" ref="A62:A67">A61+1</f>
        <v>40</v>
      </c>
      <c r="B62" s="32" t="s">
        <v>1835</v>
      </c>
      <c r="C62" s="32"/>
      <c r="D62" s="57"/>
      <c r="E62" s="382"/>
      <c r="F62" s="382"/>
      <c r="G62" s="528">
        <f>Uitvoerbestand!I43</f>
        <v>329.72</v>
      </c>
      <c r="H62" s="283">
        <f>F62*G62</f>
        <v>0</v>
      </c>
      <c r="K62" s="287">
        <f>IF(E62=0,0,E62/$E$66)</f>
        <v>0</v>
      </c>
      <c r="L62" s="287">
        <f>IF(F62=0,0,F62/$F$66)</f>
        <v>0</v>
      </c>
      <c r="M62" s="9"/>
      <c r="U62" s="37"/>
      <c r="V62" s="111" t="s">
        <v>238</v>
      </c>
      <c r="Y62" s="109">
        <f>A62*H62</f>
        <v>0</v>
      </c>
      <c r="AB62" s="127"/>
      <c r="AZ62" s="4"/>
      <c r="BC62" s="98"/>
      <c r="BD62" s="98"/>
    </row>
    <row r="63" spans="1:56" ht="11.25">
      <c r="A63" s="36">
        <f t="shared" si="20"/>
        <v>41</v>
      </c>
      <c r="B63" s="32" t="s">
        <v>1836</v>
      </c>
      <c r="C63" s="32"/>
      <c r="D63" s="57"/>
      <c r="E63" s="382"/>
      <c r="F63" s="382"/>
      <c r="G63" s="528">
        <f>Uitvoerbestand!I44</f>
        <v>929.41</v>
      </c>
      <c r="H63" s="283">
        <f>F63*G63</f>
        <v>0</v>
      </c>
      <c r="K63" s="287">
        <f>IF(E63=0,0,E63/$E$66)</f>
        <v>0</v>
      </c>
      <c r="L63" s="287">
        <f>IF(F63=0,0,F63/$F$66)</f>
        <v>0</v>
      </c>
      <c r="M63" s="9"/>
      <c r="U63" s="257"/>
      <c r="V63" s="111" t="s">
        <v>240</v>
      </c>
      <c r="Y63" s="109">
        <f>A63*H63</f>
        <v>0</v>
      </c>
      <c r="AB63" s="127"/>
      <c r="AZ63" s="4"/>
      <c r="BC63" s="98"/>
      <c r="BD63" s="98"/>
    </row>
    <row r="64" spans="1:56" ht="11.25">
      <c r="A64" s="36">
        <f t="shared" si="20"/>
        <v>42</v>
      </c>
      <c r="B64" s="32" t="s">
        <v>319</v>
      </c>
      <c r="C64" s="32"/>
      <c r="D64" s="57"/>
      <c r="E64" s="382"/>
      <c r="F64" s="382"/>
      <c r="G64" s="528">
        <f>Uitvoerbestand!I45</f>
        <v>2689.07</v>
      </c>
      <c r="H64" s="283">
        <f>F64*G64</f>
        <v>0</v>
      </c>
      <c r="K64" s="287">
        <f>IF(E64=0,0,E64/$E$66)</f>
        <v>0</v>
      </c>
      <c r="L64" s="287">
        <f>IF(F64=0,0,F64/$F$66)</f>
        <v>0</v>
      </c>
      <c r="M64" s="9"/>
      <c r="U64" s="257"/>
      <c r="V64" s="111" t="s">
        <v>241</v>
      </c>
      <c r="Y64" s="109">
        <f>A64*H64</f>
        <v>0</v>
      </c>
      <c r="AB64" s="127"/>
      <c r="AZ64" s="4"/>
      <c r="BC64" s="98"/>
      <c r="BD64" s="98"/>
    </row>
    <row r="65" spans="1:56" ht="11.25">
      <c r="A65" s="36">
        <f t="shared" si="20"/>
        <v>43</v>
      </c>
      <c r="B65" s="32" t="s">
        <v>320</v>
      </c>
      <c r="C65" s="32"/>
      <c r="D65" s="57"/>
      <c r="E65" s="382"/>
      <c r="F65" s="382"/>
      <c r="G65" s="528">
        <f>Uitvoerbestand!I46</f>
        <v>1299.72</v>
      </c>
      <c r="H65" s="283">
        <f>F65*G65</f>
        <v>0</v>
      </c>
      <c r="K65" s="287">
        <f>IF(E65=0,0,E65/$E$66)</f>
        <v>0</v>
      </c>
      <c r="L65" s="287">
        <f>IF(F65=0,0,F65/$F$66)</f>
        <v>0</v>
      </c>
      <c r="M65" s="9"/>
      <c r="U65" s="37"/>
      <c r="V65" s="111" t="s">
        <v>242</v>
      </c>
      <c r="Y65" s="109">
        <f>A65*H65</f>
        <v>0</v>
      </c>
      <c r="AB65" s="127"/>
      <c r="AZ65" s="4"/>
      <c r="BA65" s="4"/>
      <c r="BB65" s="3"/>
      <c r="BC65" s="98"/>
      <c r="BD65" s="98"/>
    </row>
    <row r="66" spans="1:56" ht="11.25" customHeight="1">
      <c r="A66" s="31">
        <f t="shared" si="20"/>
        <v>44</v>
      </c>
      <c r="B66" s="39" t="s">
        <v>406</v>
      </c>
      <c r="C66" s="39"/>
      <c r="D66" s="19"/>
      <c r="E66" s="40">
        <f>SUM(E61:E65)</f>
        <v>0</v>
      </c>
      <c r="F66" s="41">
        <f>SUM(F61:F65)</f>
        <v>0</v>
      </c>
      <c r="G66" s="2"/>
      <c r="H66" s="40">
        <f>SUM(H61:H65)</f>
        <v>0</v>
      </c>
      <c r="I66" s="127"/>
      <c r="K66" s="290">
        <f>SUM(K60:K65)</f>
        <v>0</v>
      </c>
      <c r="L66" s="290">
        <f>SUM(L60:L65)</f>
        <v>0</v>
      </c>
      <c r="M66" s="9"/>
      <c r="U66" s="257"/>
      <c r="V66" s="292"/>
      <c r="AB66" s="127"/>
      <c r="AZ66" s="4"/>
      <c r="BC66" s="98"/>
      <c r="BD66" s="98"/>
    </row>
    <row r="67" spans="1:56" ht="11.25" customHeight="1">
      <c r="A67" s="31">
        <f t="shared" si="20"/>
        <v>45</v>
      </c>
      <c r="B67" s="39" t="s">
        <v>1796</v>
      </c>
      <c r="C67" s="39"/>
      <c r="D67" s="19"/>
      <c r="E67" s="40">
        <f>E66+E58+E47+E44+E36+E25+E17</f>
        <v>0</v>
      </c>
      <c r="F67" s="40">
        <f>F66+F58+F47+F44+F36+F25+F17</f>
        <v>0</v>
      </c>
      <c r="G67" s="2"/>
      <c r="H67" s="40">
        <f>H66+H58+H47+H44+H36+H25+H17</f>
        <v>0</v>
      </c>
      <c r="I67" s="127"/>
      <c r="K67" s="290">
        <f>SUM(K61:K66)</f>
        <v>0</v>
      </c>
      <c r="L67" s="290">
        <f>SUM(L61:L66)</f>
        <v>0</v>
      </c>
      <c r="M67" s="9"/>
      <c r="U67" s="257"/>
      <c r="V67" s="292"/>
      <c r="AB67" s="127"/>
      <c r="AZ67" s="4"/>
      <c r="BC67" s="98"/>
      <c r="BD67" s="98"/>
    </row>
    <row r="68" spans="1:54" ht="11.25">
      <c r="A68" s="14"/>
      <c r="B68" s="129"/>
      <c r="C68" s="15"/>
      <c r="D68" s="21"/>
      <c r="E68" s="356"/>
      <c r="F68" s="356"/>
      <c r="G68" s="356"/>
      <c r="H68" s="357"/>
      <c r="K68" s="289"/>
      <c r="L68" s="289"/>
      <c r="N68" s="16"/>
      <c r="R68" s="225"/>
      <c r="S68" s="225"/>
      <c r="T68" s="225"/>
      <c r="U68" s="258"/>
      <c r="V68" s="94"/>
      <c r="W68" s="86"/>
      <c r="X68" s="86"/>
      <c r="Y68" s="259"/>
      <c r="AB68" s="86"/>
      <c r="AC68" s="86"/>
      <c r="AZ68" s="98"/>
      <c r="BA68" s="98"/>
      <c r="BB68" s="98"/>
    </row>
    <row r="69" spans="1:54" ht="11.25">
      <c r="A69" s="14" t="s">
        <v>343</v>
      </c>
      <c r="B69" s="129" t="s">
        <v>1438</v>
      </c>
      <c r="C69" s="15"/>
      <c r="D69" s="21"/>
      <c r="E69" s="17" t="str">
        <f>$E$7</f>
        <v>Niet</v>
      </c>
      <c r="F69" s="17" t="str">
        <f>$F$7</f>
        <v>Mutatie</v>
      </c>
      <c r="G69" s="770" t="str">
        <f>$G$7</f>
        <v>Mutatie budget ZVW 2009</v>
      </c>
      <c r="H69" s="771"/>
      <c r="K69" s="299" t="s">
        <v>524</v>
      </c>
      <c r="L69" s="300"/>
      <c r="N69" s="16"/>
      <c r="R69" s="225"/>
      <c r="S69" s="225"/>
      <c r="T69" s="225"/>
      <c r="U69" s="258"/>
      <c r="V69" s="94"/>
      <c r="W69" s="86"/>
      <c r="X69" s="86"/>
      <c r="Y69" s="259"/>
      <c r="AB69" s="86"/>
      <c r="AC69" s="86"/>
      <c r="AZ69" s="98"/>
      <c r="BA69" s="98"/>
      <c r="BB69" s="98"/>
    </row>
    <row r="70" spans="1:54" ht="11.25">
      <c r="A70" s="20"/>
      <c r="B70" s="48"/>
      <c r="C70" s="21"/>
      <c r="D70" s="21"/>
      <c r="E70" s="487" t="str">
        <f>$E$8</f>
        <v>invullen</v>
      </c>
      <c r="F70" s="22">
        <f>$F$8</f>
        <v>2009</v>
      </c>
      <c r="G70" s="24" t="s">
        <v>521</v>
      </c>
      <c r="H70" s="24" t="s">
        <v>409</v>
      </c>
      <c r="K70" s="301" t="s">
        <v>525</v>
      </c>
      <c r="L70" s="302"/>
      <c r="N70" s="16"/>
      <c r="O70" s="82"/>
      <c r="R70" s="225"/>
      <c r="S70" s="225"/>
      <c r="T70" s="128"/>
      <c r="U70" s="258"/>
      <c r="V70" s="94"/>
      <c r="W70" s="86"/>
      <c r="X70" s="86"/>
      <c r="Y70" s="259"/>
      <c r="AB70" s="86"/>
      <c r="AC70" s="86"/>
      <c r="AZ70" s="98"/>
      <c r="BA70" s="98"/>
      <c r="BB70" s="98"/>
    </row>
    <row r="71" spans="1:54" ht="11.25" customHeight="1">
      <c r="A71" s="20"/>
      <c r="B71" s="48"/>
      <c r="C71" s="368" t="s">
        <v>1915</v>
      </c>
      <c r="D71" s="368" t="s">
        <v>1916</v>
      </c>
      <c r="E71" s="25" t="s">
        <v>617</v>
      </c>
      <c r="F71" s="25" t="s">
        <v>618</v>
      </c>
      <c r="G71" s="282" t="s">
        <v>619</v>
      </c>
      <c r="H71" s="282" t="s">
        <v>620</v>
      </c>
      <c r="K71" s="271" t="s">
        <v>1689</v>
      </c>
      <c r="L71" s="271" t="s">
        <v>1687</v>
      </c>
      <c r="N71" s="16"/>
      <c r="O71" s="82"/>
      <c r="R71" s="225"/>
      <c r="S71" s="225"/>
      <c r="T71" s="128"/>
      <c r="U71" s="258"/>
      <c r="V71" s="94"/>
      <c r="W71" s="86"/>
      <c r="X71" s="86"/>
      <c r="Y71" s="259"/>
      <c r="AB71" s="260"/>
      <c r="AC71" s="86"/>
      <c r="AZ71" s="98"/>
      <c r="BA71" s="98"/>
      <c r="BB71" s="98"/>
    </row>
    <row r="72" spans="1:54" ht="11.25" customHeight="1">
      <c r="A72" s="14"/>
      <c r="B72" s="12" t="s">
        <v>459</v>
      </c>
      <c r="C72" s="369" t="s">
        <v>1914</v>
      </c>
      <c r="D72" s="370" t="s">
        <v>1914</v>
      </c>
      <c r="E72" s="9"/>
      <c r="F72" s="12"/>
      <c r="G72" s="9"/>
      <c r="H72" s="9"/>
      <c r="K72" s="272" t="s">
        <v>1690</v>
      </c>
      <c r="L72" s="272" t="s">
        <v>1688</v>
      </c>
      <c r="N72" s="66"/>
      <c r="O72" s="51"/>
      <c r="R72" s="225"/>
      <c r="S72" s="225"/>
      <c r="U72" s="258"/>
      <c r="V72" s="94"/>
      <c r="W72" s="86"/>
      <c r="X72" s="86"/>
      <c r="Y72" s="259"/>
      <c r="AB72" s="86"/>
      <c r="AC72" s="86"/>
      <c r="AZ72" s="98"/>
      <c r="BA72" s="98"/>
      <c r="BB72" s="98"/>
    </row>
    <row r="73" spans="1:54" ht="11.25">
      <c r="A73" s="31">
        <f>A67+1</f>
        <v>46</v>
      </c>
      <c r="B73" s="32" t="s">
        <v>610</v>
      </c>
      <c r="C73" s="32">
        <f>D73*F73</f>
        <v>0</v>
      </c>
      <c r="D73" s="32">
        <v>60</v>
      </c>
      <c r="E73" s="382"/>
      <c r="F73" s="382"/>
      <c r="G73" s="527">
        <f>Uitvoerbestand!I58</f>
        <v>20558.17</v>
      </c>
      <c r="H73" s="283">
        <f aca="true" t="shared" si="21" ref="H73:H82">F73*G73</f>
        <v>0</v>
      </c>
      <c r="K73" s="585">
        <v>98.3</v>
      </c>
      <c r="L73" s="502">
        <f>F17/(365*0.983)</f>
        <v>0</v>
      </c>
      <c r="N73" s="29"/>
      <c r="O73" s="51">
        <f>L73-F73</f>
        <v>0</v>
      </c>
      <c r="P73" s="267">
        <f>IF(O73&lt;0,-O73,O73)</f>
        <v>0</v>
      </c>
      <c r="R73" s="225"/>
      <c r="S73" s="225"/>
      <c r="U73" s="258"/>
      <c r="V73" s="111" t="s">
        <v>382</v>
      </c>
      <c r="W73" s="4"/>
      <c r="X73" s="4"/>
      <c r="Y73" s="109">
        <f aca="true" t="shared" si="22" ref="Y73:Y85">A73*H73</f>
        <v>0</v>
      </c>
      <c r="AB73" s="86"/>
      <c r="AC73" s="86"/>
      <c r="AZ73" s="98"/>
      <c r="BA73" s="98"/>
      <c r="BB73" s="98"/>
    </row>
    <row r="74" spans="1:54" ht="11.25">
      <c r="A74" s="31">
        <f aca="true" t="shared" si="23" ref="A74:A85">A73+1</f>
        <v>47</v>
      </c>
      <c r="B74" s="32" t="s">
        <v>270</v>
      </c>
      <c r="C74" s="32">
        <f aca="true" t="shared" si="24" ref="C74:C85">D74*F74</f>
        <v>0</v>
      </c>
      <c r="D74" s="32">
        <v>90</v>
      </c>
      <c r="E74" s="382"/>
      <c r="F74" s="382"/>
      <c r="G74" s="527">
        <f>Uitvoerbestand!I59</f>
        <v>55076.119999999995</v>
      </c>
      <c r="H74" s="283">
        <f t="shared" si="21"/>
        <v>0</v>
      </c>
      <c r="K74" s="586">
        <v>98.1</v>
      </c>
      <c r="L74" s="503">
        <f>(F25)/(365*0.981)</f>
        <v>0</v>
      </c>
      <c r="N74" s="51"/>
      <c r="O74" s="51">
        <f>L74-F74-F75-F76</f>
        <v>0</v>
      </c>
      <c r="P74" s="267">
        <f>IF(O74&lt;0,-O74,O74)</f>
        <v>0</v>
      </c>
      <c r="R74" s="225"/>
      <c r="S74" s="225"/>
      <c r="U74" s="258"/>
      <c r="V74" s="111" t="s">
        <v>274</v>
      </c>
      <c r="W74" s="4"/>
      <c r="X74" s="4"/>
      <c r="Y74" s="109">
        <f t="shared" si="22"/>
        <v>0</v>
      </c>
      <c r="AB74" s="86"/>
      <c r="AC74" s="86"/>
      <c r="AZ74" s="98"/>
      <c r="BA74" s="98"/>
      <c r="BB74" s="98"/>
    </row>
    <row r="75" spans="1:54" ht="11.25">
      <c r="A75" s="31">
        <f t="shared" si="23"/>
        <v>48</v>
      </c>
      <c r="B75" s="32" t="s">
        <v>1746</v>
      </c>
      <c r="C75" s="32">
        <f t="shared" si="24"/>
        <v>0</v>
      </c>
      <c r="D75" s="32">
        <v>90</v>
      </c>
      <c r="E75" s="382"/>
      <c r="F75" s="382"/>
      <c r="G75" s="527">
        <f>Uitvoerbestand!I60</f>
        <v>29135.28</v>
      </c>
      <c r="H75" s="283">
        <f t="shared" si="21"/>
        <v>0</v>
      </c>
      <c r="K75" s="587"/>
      <c r="L75" s="504"/>
      <c r="N75" s="51"/>
      <c r="O75" s="51"/>
      <c r="P75" s="267"/>
      <c r="R75" s="225"/>
      <c r="S75" s="225"/>
      <c r="U75" s="258"/>
      <c r="V75" s="111" t="s">
        <v>275</v>
      </c>
      <c r="W75" s="4"/>
      <c r="X75" s="4"/>
      <c r="Y75" s="109">
        <f t="shared" si="22"/>
        <v>0</v>
      </c>
      <c r="AB75" s="86"/>
      <c r="AC75" s="86"/>
      <c r="AZ75" s="98"/>
      <c r="BA75" s="98"/>
      <c r="BB75" s="98"/>
    </row>
    <row r="76" spans="1:54" ht="11.25">
      <c r="A76" s="31">
        <f t="shared" si="23"/>
        <v>49</v>
      </c>
      <c r="B76" s="32" t="s">
        <v>616</v>
      </c>
      <c r="C76" s="32">
        <f t="shared" si="24"/>
        <v>0</v>
      </c>
      <c r="D76" s="32">
        <v>90</v>
      </c>
      <c r="E76" s="382"/>
      <c r="F76" s="382"/>
      <c r="G76" s="527">
        <f>Uitvoerbestand!I61</f>
        <v>22139.25</v>
      </c>
      <c r="H76" s="283">
        <f t="shared" si="21"/>
        <v>0</v>
      </c>
      <c r="K76" s="588"/>
      <c r="L76" s="505"/>
      <c r="N76" s="51"/>
      <c r="O76" s="51"/>
      <c r="P76" s="267"/>
      <c r="R76" s="225"/>
      <c r="S76" s="225"/>
      <c r="U76" s="258"/>
      <c r="V76" s="111" t="s">
        <v>276</v>
      </c>
      <c r="W76" s="4"/>
      <c r="X76" s="4"/>
      <c r="Y76" s="109">
        <f t="shared" si="22"/>
        <v>0</v>
      </c>
      <c r="AB76" s="86"/>
      <c r="AC76" s="86"/>
      <c r="AZ76" s="98"/>
      <c r="BA76" s="98"/>
      <c r="BB76" s="98"/>
    </row>
    <row r="77" spans="1:54" ht="11.25">
      <c r="A77" s="31">
        <f t="shared" si="23"/>
        <v>50</v>
      </c>
      <c r="B77" s="32" t="s">
        <v>623</v>
      </c>
      <c r="C77" s="32">
        <f t="shared" si="24"/>
        <v>0</v>
      </c>
      <c r="D77" s="32">
        <v>60</v>
      </c>
      <c r="E77" s="382"/>
      <c r="F77" s="382"/>
      <c r="G77" s="527">
        <f>Uitvoerbestand!I63</f>
        <v>19073.23</v>
      </c>
      <c r="H77" s="283">
        <f t="shared" si="21"/>
        <v>0</v>
      </c>
      <c r="K77" s="585">
        <v>97</v>
      </c>
      <c r="L77" s="502">
        <f>(F36-F30)/(365*0.97)</f>
        <v>0</v>
      </c>
      <c r="N77" s="51"/>
      <c r="O77" s="521">
        <f aca="true" t="shared" si="25" ref="O77:O82">L77-F77</f>
        <v>0</v>
      </c>
      <c r="P77" s="522">
        <f>IF(O77&lt;0,-O77,O77)</f>
        <v>0</v>
      </c>
      <c r="R77" s="225"/>
      <c r="S77" s="225"/>
      <c r="U77" s="258"/>
      <c r="V77" s="111" t="s">
        <v>282</v>
      </c>
      <c r="W77" s="4"/>
      <c r="X77" s="4"/>
      <c r="Y77" s="109">
        <f t="shared" si="22"/>
        <v>0</v>
      </c>
      <c r="AB77" s="86"/>
      <c r="AC77" s="86"/>
      <c r="AZ77" s="98"/>
      <c r="BA77" s="98"/>
      <c r="BB77" s="98"/>
    </row>
    <row r="78" spans="1:54" ht="11.25">
      <c r="A78" s="31">
        <f t="shared" si="23"/>
        <v>51</v>
      </c>
      <c r="B78" s="32" t="s">
        <v>271</v>
      </c>
      <c r="C78" s="32">
        <f t="shared" si="24"/>
        <v>0</v>
      </c>
      <c r="D78" s="32">
        <v>60</v>
      </c>
      <c r="E78" s="382"/>
      <c r="F78" s="382"/>
      <c r="G78" s="527">
        <f>Uitvoerbestand!I64</f>
        <v>18143.71</v>
      </c>
      <c r="H78" s="283">
        <f t="shared" si="21"/>
        <v>0</v>
      </c>
      <c r="K78" s="585">
        <v>97</v>
      </c>
      <c r="L78" s="502">
        <f>F30/(365*0.97)</f>
        <v>0</v>
      </c>
      <c r="N78" s="51"/>
      <c r="O78" s="51">
        <f t="shared" si="25"/>
        <v>0</v>
      </c>
      <c r="P78" s="267">
        <f>IF(O78&lt;0,-O78,O78)</f>
        <v>0</v>
      </c>
      <c r="R78" s="225"/>
      <c r="S78" s="225"/>
      <c r="U78" s="258"/>
      <c r="V78" s="111" t="s">
        <v>281</v>
      </c>
      <c r="W78" s="4"/>
      <c r="X78" s="4"/>
      <c r="Y78" s="109">
        <f t="shared" si="22"/>
        <v>0</v>
      </c>
      <c r="AB78" s="86"/>
      <c r="AC78" s="86"/>
      <c r="AZ78" s="98"/>
      <c r="BA78" s="98"/>
      <c r="BB78" s="98"/>
    </row>
    <row r="79" spans="1:54" ht="11.25">
      <c r="A79" s="31">
        <f t="shared" si="23"/>
        <v>52</v>
      </c>
      <c r="B79" s="32" t="s">
        <v>321</v>
      </c>
      <c r="C79" s="32">
        <f t="shared" si="24"/>
        <v>0</v>
      </c>
      <c r="D79" s="32">
        <v>140</v>
      </c>
      <c r="E79" s="382"/>
      <c r="F79" s="382"/>
      <c r="G79" s="527">
        <f>Uitvoerbestand!I65</f>
        <v>41582.75</v>
      </c>
      <c r="H79" s="283">
        <f t="shared" si="21"/>
        <v>0</v>
      </c>
      <c r="K79" s="589">
        <v>100</v>
      </c>
      <c r="L79" s="503">
        <f>SUM(F40:F43)/365</f>
        <v>0</v>
      </c>
      <c r="N79" s="51"/>
      <c r="O79" s="51">
        <f>L79-F79-F80</f>
        <v>0</v>
      </c>
      <c r="P79" s="267">
        <f>IF(O79&lt;0,-O79,O79)</f>
        <v>0</v>
      </c>
      <c r="R79" s="225"/>
      <c r="S79" s="225"/>
      <c r="U79" s="258"/>
      <c r="V79" s="111" t="s">
        <v>279</v>
      </c>
      <c r="W79" s="86"/>
      <c r="X79" s="86"/>
      <c r="Y79" s="109">
        <f t="shared" si="22"/>
        <v>0</v>
      </c>
      <c r="AB79" s="86"/>
      <c r="AC79" s="86"/>
      <c r="AZ79" s="98"/>
      <c r="BA79" s="98"/>
      <c r="BB79" s="98"/>
    </row>
    <row r="80" spans="1:54" ht="11.25">
      <c r="A80" s="31">
        <f t="shared" si="23"/>
        <v>53</v>
      </c>
      <c r="B80" s="32" t="s">
        <v>322</v>
      </c>
      <c r="C80" s="32">
        <f t="shared" si="24"/>
        <v>0</v>
      </c>
      <c r="D80" s="32">
        <v>140</v>
      </c>
      <c r="E80" s="382"/>
      <c r="F80" s="382"/>
      <c r="G80" s="527">
        <f>Uitvoerbestand!I66</f>
        <v>28925.93</v>
      </c>
      <c r="H80" s="283">
        <f t="shared" si="21"/>
        <v>0</v>
      </c>
      <c r="K80" s="590"/>
      <c r="L80" s="506"/>
      <c r="N80" s="51"/>
      <c r="O80" s="51"/>
      <c r="P80" s="267"/>
      <c r="R80" s="225"/>
      <c r="S80" s="225"/>
      <c r="U80" s="258"/>
      <c r="V80" s="111" t="s">
        <v>280</v>
      </c>
      <c r="W80" s="86"/>
      <c r="X80" s="86"/>
      <c r="Y80" s="109">
        <f t="shared" si="22"/>
        <v>0</v>
      </c>
      <c r="AB80" s="86"/>
      <c r="AC80" s="86"/>
      <c r="AZ80" s="98"/>
      <c r="BA80" s="98"/>
      <c r="BB80" s="98"/>
    </row>
    <row r="81" spans="1:54" ht="11.25">
      <c r="A81" s="31">
        <f t="shared" si="23"/>
        <v>54</v>
      </c>
      <c r="B81" s="32" t="s">
        <v>272</v>
      </c>
      <c r="C81" s="32">
        <f t="shared" si="24"/>
        <v>0</v>
      </c>
      <c r="D81" s="32">
        <v>85</v>
      </c>
      <c r="E81" s="382"/>
      <c r="F81" s="382"/>
      <c r="G81" s="527">
        <f>Uitvoerbestand!I67</f>
        <v>24831.25</v>
      </c>
      <c r="H81" s="283">
        <f t="shared" si="21"/>
        <v>0</v>
      </c>
      <c r="K81" s="591">
        <v>100</v>
      </c>
      <c r="L81" s="502">
        <f>(F39+F38)/365</f>
        <v>0</v>
      </c>
      <c r="N81" s="51"/>
      <c r="O81" s="51">
        <f t="shared" si="25"/>
        <v>0</v>
      </c>
      <c r="P81" s="267">
        <f>IF(O81&lt;0,-O81,O81)</f>
        <v>0</v>
      </c>
      <c r="R81" s="225"/>
      <c r="S81" s="225"/>
      <c r="T81" s="261"/>
      <c r="U81" s="258"/>
      <c r="V81" s="111" t="s">
        <v>278</v>
      </c>
      <c r="W81" s="86"/>
      <c r="X81" s="86"/>
      <c r="Y81" s="109">
        <f t="shared" si="22"/>
        <v>0</v>
      </c>
      <c r="AB81" s="86"/>
      <c r="AC81" s="86"/>
      <c r="AZ81" s="98"/>
      <c r="BA81" s="98"/>
      <c r="BB81" s="98"/>
    </row>
    <row r="82" spans="1:54" ht="11.25">
      <c r="A82" s="31">
        <f t="shared" si="23"/>
        <v>55</v>
      </c>
      <c r="B82" s="32" t="s">
        <v>273</v>
      </c>
      <c r="C82" s="32">
        <f t="shared" si="24"/>
        <v>0</v>
      </c>
      <c r="D82" s="32">
        <v>85</v>
      </c>
      <c r="E82" s="382"/>
      <c r="F82" s="382"/>
      <c r="G82" s="527">
        <f>Uitvoerbestand!I68</f>
        <v>56028.219999999994</v>
      </c>
      <c r="H82" s="283">
        <f t="shared" si="21"/>
        <v>0</v>
      </c>
      <c r="K82" s="591">
        <v>100</v>
      </c>
      <c r="L82" s="502">
        <f>F47/365</f>
        <v>0</v>
      </c>
      <c r="N82" s="51"/>
      <c r="O82" s="51">
        <f t="shared" si="25"/>
        <v>0</v>
      </c>
      <c r="P82" s="267">
        <f>IF(O82&lt;0,-O82,O82)</f>
        <v>0</v>
      </c>
      <c r="R82" s="225"/>
      <c r="S82" s="225"/>
      <c r="T82" s="261"/>
      <c r="U82" s="258"/>
      <c r="V82" s="111" t="s">
        <v>277</v>
      </c>
      <c r="W82" s="86"/>
      <c r="X82" s="86"/>
      <c r="Y82" s="109">
        <f t="shared" si="22"/>
        <v>0</v>
      </c>
      <c r="AB82" s="86"/>
      <c r="AC82" s="86"/>
      <c r="AZ82" s="98"/>
      <c r="BA82" s="98"/>
      <c r="BB82" s="98"/>
    </row>
    <row r="83" spans="1:54" ht="11.25">
      <c r="A83" s="31">
        <f t="shared" si="23"/>
        <v>56</v>
      </c>
      <c r="B83" s="32" t="s">
        <v>307</v>
      </c>
      <c r="C83" s="32">
        <f t="shared" si="24"/>
        <v>0</v>
      </c>
      <c r="D83" s="84">
        <v>60</v>
      </c>
      <c r="E83" s="382"/>
      <c r="F83" s="382"/>
      <c r="G83" s="298"/>
      <c r="H83" s="114"/>
      <c r="K83" s="90"/>
      <c r="N83" s="29"/>
      <c r="O83" s="51"/>
      <c r="P83" s="267"/>
      <c r="R83" s="225"/>
      <c r="S83" s="225"/>
      <c r="T83" s="261"/>
      <c r="U83" s="258"/>
      <c r="V83" s="111" t="s">
        <v>49</v>
      </c>
      <c r="W83" s="86"/>
      <c r="X83" s="86"/>
      <c r="Y83" s="109">
        <f t="shared" si="22"/>
        <v>0</v>
      </c>
      <c r="AB83" s="86"/>
      <c r="AC83" s="86"/>
      <c r="AZ83" s="98"/>
      <c r="BA83" s="98"/>
      <c r="BB83" s="98"/>
    </row>
    <row r="84" spans="1:54" ht="11.25">
      <c r="A84" s="31">
        <f t="shared" si="23"/>
        <v>57</v>
      </c>
      <c r="B84" s="32" t="s">
        <v>308</v>
      </c>
      <c r="C84" s="32">
        <f t="shared" si="24"/>
        <v>0</v>
      </c>
      <c r="D84" s="84">
        <v>90</v>
      </c>
      <c r="E84" s="382"/>
      <c r="F84" s="382"/>
      <c r="G84" s="80"/>
      <c r="H84" s="114"/>
      <c r="K84" s="90"/>
      <c r="N84" s="29"/>
      <c r="O84" s="51"/>
      <c r="P84" s="267"/>
      <c r="R84" s="225"/>
      <c r="S84" s="225"/>
      <c r="U84" s="258"/>
      <c r="V84" s="111" t="s">
        <v>50</v>
      </c>
      <c r="W84" s="86"/>
      <c r="X84" s="86"/>
      <c r="Y84" s="109">
        <f t="shared" si="22"/>
        <v>0</v>
      </c>
      <c r="AB84" s="86"/>
      <c r="AC84" s="86"/>
      <c r="AZ84" s="98"/>
      <c r="BA84" s="98"/>
      <c r="BB84" s="98"/>
    </row>
    <row r="85" spans="1:54" ht="11.25">
      <c r="A85" s="31">
        <f t="shared" si="23"/>
        <v>58</v>
      </c>
      <c r="B85" s="32" t="s">
        <v>650</v>
      </c>
      <c r="C85" s="32">
        <f t="shared" si="24"/>
        <v>0</v>
      </c>
      <c r="D85" s="84">
        <v>60</v>
      </c>
      <c r="E85" s="382"/>
      <c r="F85" s="382"/>
      <c r="G85" s="80"/>
      <c r="H85" s="114"/>
      <c r="K85" s="90"/>
      <c r="N85" s="29"/>
      <c r="O85" s="51"/>
      <c r="P85" s="267"/>
      <c r="R85" s="225"/>
      <c r="S85" s="225"/>
      <c r="U85" s="258"/>
      <c r="V85" s="111" t="s">
        <v>51</v>
      </c>
      <c r="W85" s="86"/>
      <c r="X85" s="86"/>
      <c r="Y85" s="109">
        <f t="shared" si="22"/>
        <v>0</v>
      </c>
      <c r="AB85" s="86"/>
      <c r="AC85" s="86"/>
      <c r="AZ85" s="98"/>
      <c r="BA85" s="98"/>
      <c r="BB85" s="98"/>
    </row>
    <row r="86" spans="1:54" ht="11.25">
      <c r="A86" s="31">
        <f>A85+1</f>
        <v>59</v>
      </c>
      <c r="B86" s="74" t="s">
        <v>30</v>
      </c>
      <c r="C86" s="758">
        <f>SUM(C73:C85)</f>
        <v>0</v>
      </c>
      <c r="D86" s="759"/>
      <c r="E86" s="40">
        <f>SUM(E73:E85)</f>
        <v>0</v>
      </c>
      <c r="F86" s="638">
        <f>SUM(F73:F85)</f>
        <v>0</v>
      </c>
      <c r="G86" s="54"/>
      <c r="H86" s="54">
        <f>SUM(H73:H85)</f>
        <v>0</v>
      </c>
      <c r="K86" s="90"/>
      <c r="N86" s="58"/>
      <c r="O86" s="51"/>
      <c r="P86" s="267"/>
      <c r="R86" s="225"/>
      <c r="S86" s="225"/>
      <c r="U86" s="258"/>
      <c r="V86" s="118"/>
      <c r="W86" s="86"/>
      <c r="X86" s="86"/>
      <c r="Y86" s="259"/>
      <c r="AB86" s="86"/>
      <c r="AC86" s="86"/>
      <c r="AZ86" s="98"/>
      <c r="BA86" s="98"/>
      <c r="BB86" s="98"/>
    </row>
    <row r="87" spans="1:54" ht="12" customHeight="1">
      <c r="A87" s="62"/>
      <c r="B87" s="15"/>
      <c r="C87" s="15"/>
      <c r="D87" s="15"/>
      <c r="E87" s="61"/>
      <c r="F87" s="61"/>
      <c r="G87" s="60"/>
      <c r="H87" s="262"/>
      <c r="K87" s="293"/>
      <c r="L87" s="262"/>
      <c r="M87" s="262"/>
      <c r="N87" s="58"/>
      <c r="O87" s="51"/>
      <c r="P87" s="267"/>
      <c r="R87" s="225"/>
      <c r="S87" s="225"/>
      <c r="U87" s="258"/>
      <c r="V87" s="118"/>
      <c r="W87" s="86"/>
      <c r="X87" s="86"/>
      <c r="Y87" s="259"/>
      <c r="AB87" s="86"/>
      <c r="AC87" s="86"/>
      <c r="AZ87" s="98"/>
      <c r="BA87" s="98"/>
      <c r="BB87" s="98"/>
    </row>
    <row r="88" spans="1:54" ht="11.25">
      <c r="A88" s="62"/>
      <c r="B88" s="12" t="s">
        <v>460</v>
      </c>
      <c r="C88" s="15"/>
      <c r="D88" s="15"/>
      <c r="E88" s="61"/>
      <c r="F88" s="61"/>
      <c r="G88" s="60"/>
      <c r="H88" s="262"/>
      <c r="K88" s="28"/>
      <c r="L88" s="262"/>
      <c r="M88" s="262"/>
      <c r="N88" s="58"/>
      <c r="O88" s="51"/>
      <c r="P88" s="267"/>
      <c r="R88" s="225"/>
      <c r="S88" s="225"/>
      <c r="U88" s="258"/>
      <c r="V88" s="118"/>
      <c r="W88" s="86"/>
      <c r="X88" s="86"/>
      <c r="Y88" s="259"/>
      <c r="AB88" s="86"/>
      <c r="AC88" s="86"/>
      <c r="AZ88" s="98"/>
      <c r="BA88" s="98"/>
      <c r="BB88" s="98"/>
    </row>
    <row r="89" spans="1:54" ht="11.25">
      <c r="A89" s="31">
        <f>A86+1</f>
        <v>60</v>
      </c>
      <c r="B89" s="81" t="s">
        <v>455</v>
      </c>
      <c r="C89" s="87"/>
      <c r="D89" s="68"/>
      <c r="E89" s="382"/>
      <c r="F89" s="382"/>
      <c r="G89" s="527">
        <f>Uitvoerbestand!I69</f>
        <v>9995.61</v>
      </c>
      <c r="H89" s="283">
        <f>F89*G89</f>
        <v>0</v>
      </c>
      <c r="K89" s="303">
        <v>100</v>
      </c>
      <c r="L89" s="507">
        <f>F58/365</f>
        <v>0</v>
      </c>
      <c r="M89" s="262"/>
      <c r="N89" s="58"/>
      <c r="O89" s="51">
        <f>L89-SUM(F89:F92)</f>
        <v>0</v>
      </c>
      <c r="P89" s="267">
        <f>IF(O89&lt;0,-O89,O89)</f>
        <v>0</v>
      </c>
      <c r="R89" s="225"/>
      <c r="S89" s="225"/>
      <c r="U89" s="258"/>
      <c r="V89" s="118" t="s">
        <v>1900</v>
      </c>
      <c r="W89" s="86"/>
      <c r="X89" s="86"/>
      <c r="Y89" s="109">
        <f>A89*H89</f>
        <v>0</v>
      </c>
      <c r="AB89" s="86"/>
      <c r="AC89" s="86"/>
      <c r="AZ89" s="98"/>
      <c r="BA89" s="98"/>
      <c r="BB89" s="98"/>
    </row>
    <row r="90" spans="1:54" ht="11.25">
      <c r="A90" s="31">
        <f>A89+1</f>
        <v>61</v>
      </c>
      <c r="B90" s="88" t="s">
        <v>456</v>
      </c>
      <c r="C90" s="87"/>
      <c r="D90" s="68"/>
      <c r="E90" s="382"/>
      <c r="F90" s="382"/>
      <c r="G90" s="527">
        <f>Uitvoerbestand!I70</f>
        <v>9347.95</v>
      </c>
      <c r="H90" s="283">
        <f>F90*G90</f>
        <v>0</v>
      </c>
      <c r="K90" s="90"/>
      <c r="M90" s="262"/>
      <c r="N90" s="58"/>
      <c r="O90" s="51"/>
      <c r="P90" s="523">
        <f>SUM(P73:P89)</f>
        <v>0</v>
      </c>
      <c r="R90" s="225"/>
      <c r="S90" s="225"/>
      <c r="U90" s="258"/>
      <c r="V90" s="118" t="s">
        <v>1901</v>
      </c>
      <c r="W90" s="86"/>
      <c r="X90" s="86"/>
      <c r="Y90" s="109">
        <f>A90*H90</f>
        <v>0</v>
      </c>
      <c r="AB90" s="86"/>
      <c r="AC90" s="86"/>
      <c r="AZ90" s="98"/>
      <c r="BA90" s="98"/>
      <c r="BB90" s="98"/>
    </row>
    <row r="91" spans="1:54" ht="11.25">
      <c r="A91" s="31">
        <f>A90+1</f>
        <v>62</v>
      </c>
      <c r="B91" s="88" t="s">
        <v>457</v>
      </c>
      <c r="C91" s="87"/>
      <c r="D91" s="68"/>
      <c r="E91" s="382"/>
      <c r="F91" s="382"/>
      <c r="G91" s="527">
        <f>Uitvoerbestand!I71</f>
        <v>9600.77</v>
      </c>
      <c r="H91" s="283">
        <f>F91*G91</f>
        <v>0</v>
      </c>
      <c r="K91" s="268" t="s">
        <v>404</v>
      </c>
      <c r="M91" s="262"/>
      <c r="N91" s="58"/>
      <c r="O91" s="51"/>
      <c r="R91" s="225"/>
      <c r="S91" s="225"/>
      <c r="U91" s="258"/>
      <c r="V91" s="118" t="s">
        <v>1902</v>
      </c>
      <c r="W91" s="86"/>
      <c r="X91" s="86"/>
      <c r="Y91" s="109">
        <f>A91*H91</f>
        <v>0</v>
      </c>
      <c r="AB91" s="86"/>
      <c r="AC91" s="86"/>
      <c r="AZ91" s="98"/>
      <c r="BA91" s="98"/>
      <c r="BB91" s="98"/>
    </row>
    <row r="92" spans="1:54" ht="11.25">
      <c r="A92" s="31">
        <f>A91+1</f>
        <v>63</v>
      </c>
      <c r="B92" s="81" t="s">
        <v>458</v>
      </c>
      <c r="C92" s="87"/>
      <c r="D92" s="68"/>
      <c r="E92" s="382"/>
      <c r="F92" s="382"/>
      <c r="G92" s="297"/>
      <c r="H92" s="79"/>
      <c r="K92" s="268" t="s">
        <v>450</v>
      </c>
      <c r="M92" s="262"/>
      <c r="N92" s="58"/>
      <c r="O92" s="51"/>
      <c r="R92" s="225"/>
      <c r="S92" s="89"/>
      <c r="U92" s="258"/>
      <c r="V92" s="118" t="s">
        <v>1906</v>
      </c>
      <c r="W92" s="86"/>
      <c r="X92" s="86"/>
      <c r="Y92" s="109">
        <f>A92*H92</f>
        <v>0</v>
      </c>
      <c r="AB92" s="86"/>
      <c r="AC92" s="86"/>
      <c r="AZ92" s="98"/>
      <c r="BA92" s="98"/>
      <c r="BB92" s="98"/>
    </row>
    <row r="93" spans="1:54" ht="11.25">
      <c r="A93" s="31">
        <f>A92+1</f>
        <v>64</v>
      </c>
      <c r="B93" s="74" t="s">
        <v>245</v>
      </c>
      <c r="C93" s="39"/>
      <c r="D93" s="59"/>
      <c r="E93" s="640">
        <f>SUM(E89:E92)</f>
        <v>0</v>
      </c>
      <c r="F93" s="640">
        <f>SUM(F89:F92)</f>
        <v>0</v>
      </c>
      <c r="G93" s="2"/>
      <c r="H93" s="54">
        <f>SUM(H89:H92)</f>
        <v>0</v>
      </c>
      <c r="K93" s="90"/>
      <c r="M93" s="262"/>
      <c r="N93" s="58"/>
      <c r="O93" s="51"/>
      <c r="R93" s="225"/>
      <c r="S93" s="89"/>
      <c r="U93" s="258"/>
      <c r="V93" s="118"/>
      <c r="W93" s="86"/>
      <c r="X93" s="86"/>
      <c r="Y93" s="259"/>
      <c r="AB93" s="86"/>
      <c r="AC93" s="86"/>
      <c r="AZ93" s="98"/>
      <c r="BA93" s="98"/>
      <c r="BB93" s="98"/>
    </row>
    <row r="94" spans="1:54" ht="11.25">
      <c r="A94" s="31">
        <f>A93+1</f>
        <v>65</v>
      </c>
      <c r="B94" s="74" t="s">
        <v>32</v>
      </c>
      <c r="C94" s="39"/>
      <c r="D94" s="59"/>
      <c r="E94" s="641">
        <f>E93+E86</f>
        <v>0</v>
      </c>
      <c r="F94" s="641">
        <f>F93+F86</f>
        <v>0</v>
      </c>
      <c r="G94" s="54"/>
      <c r="H94" s="54">
        <f>H93+H86</f>
        <v>0</v>
      </c>
      <c r="K94" s="90"/>
      <c r="M94" s="262"/>
      <c r="N94" s="58"/>
      <c r="O94" s="51"/>
      <c r="R94" s="225"/>
      <c r="S94" s="89"/>
      <c r="U94" s="258"/>
      <c r="V94" s="118"/>
      <c r="W94" s="86"/>
      <c r="X94" s="86"/>
      <c r="Y94" s="259"/>
      <c r="AB94" s="86"/>
      <c r="AC94" s="86"/>
      <c r="AZ94" s="98"/>
      <c r="BA94" s="98"/>
      <c r="BB94" s="98"/>
    </row>
    <row r="95" spans="2:54" ht="12" customHeight="1">
      <c r="B95" s="12"/>
      <c r="C95" s="15"/>
      <c r="D95" s="15"/>
      <c r="E95" s="61"/>
      <c r="F95" s="61"/>
      <c r="G95" s="60"/>
      <c r="H95" s="262"/>
      <c r="K95" s="293"/>
      <c r="L95" s="51"/>
      <c r="M95" s="262"/>
      <c r="N95" s="58"/>
      <c r="O95" s="51"/>
      <c r="R95" s="225"/>
      <c r="S95" s="89"/>
      <c r="U95" s="258"/>
      <c r="V95" s="118"/>
      <c r="W95" s="86"/>
      <c r="X95" s="86"/>
      <c r="Y95" s="259"/>
      <c r="AB95" s="86"/>
      <c r="AC95" s="86"/>
      <c r="AZ95" s="98"/>
      <c r="BA95" s="98"/>
      <c r="BB95" s="98"/>
    </row>
    <row r="96" spans="2:54" ht="12" customHeight="1">
      <c r="B96" s="12"/>
      <c r="C96" s="15"/>
      <c r="D96" s="15"/>
      <c r="E96" s="17" t="str">
        <f>$E$7</f>
        <v>Niet</v>
      </c>
      <c r="F96" s="17" t="str">
        <f>$F$7</f>
        <v>Mutatie</v>
      </c>
      <c r="G96" s="770" t="str">
        <f>$G$7</f>
        <v>Mutatie budget ZVW 2009</v>
      </c>
      <c r="H96" s="771"/>
      <c r="K96" s="293"/>
      <c r="L96" s="51"/>
      <c r="M96" s="262"/>
      <c r="N96" s="58"/>
      <c r="O96" s="51"/>
      <c r="R96" s="225"/>
      <c r="S96" s="89"/>
      <c r="U96" s="258"/>
      <c r="V96" s="118"/>
      <c r="W96" s="86"/>
      <c r="X96" s="86"/>
      <c r="Y96" s="259"/>
      <c r="AB96" s="86"/>
      <c r="AC96" s="86"/>
      <c r="AZ96" s="98"/>
      <c r="BA96" s="98"/>
      <c r="BB96" s="98"/>
    </row>
    <row r="97" spans="2:54" ht="12" customHeight="1">
      <c r="B97" s="12"/>
      <c r="C97" s="15"/>
      <c r="D97" s="15"/>
      <c r="E97" s="487" t="str">
        <f>$E$8</f>
        <v>invullen</v>
      </c>
      <c r="F97" s="22">
        <f>$F$8</f>
        <v>2009</v>
      </c>
      <c r="G97" s="24" t="s">
        <v>521</v>
      </c>
      <c r="H97" s="24" t="s">
        <v>409</v>
      </c>
      <c r="K97" s="293"/>
      <c r="L97" s="51"/>
      <c r="M97" s="262"/>
      <c r="N97" s="58"/>
      <c r="O97" s="51"/>
      <c r="R97" s="225"/>
      <c r="S97" s="89"/>
      <c r="U97" s="258"/>
      <c r="V97" s="118"/>
      <c r="W97" s="86"/>
      <c r="X97" s="86"/>
      <c r="Y97" s="259"/>
      <c r="AB97" s="86"/>
      <c r="AC97" s="86"/>
      <c r="AZ97" s="98"/>
      <c r="BA97" s="98"/>
      <c r="BB97" s="98"/>
    </row>
    <row r="98" spans="2:54" ht="12" customHeight="1">
      <c r="B98" s="12"/>
      <c r="C98" s="15"/>
      <c r="D98" s="15"/>
      <c r="E98" s="25" t="s">
        <v>617</v>
      </c>
      <c r="F98" s="25" t="s">
        <v>618</v>
      </c>
      <c r="G98" s="282" t="s">
        <v>619</v>
      </c>
      <c r="H98" s="282" t="s">
        <v>620</v>
      </c>
      <c r="K98" s="293"/>
      <c r="L98" s="51"/>
      <c r="M98" s="262"/>
      <c r="N98" s="58"/>
      <c r="O98" s="51"/>
      <c r="R98" s="225"/>
      <c r="S98" s="89"/>
      <c r="U98" s="258"/>
      <c r="V98" s="118"/>
      <c r="W98" s="86"/>
      <c r="X98" s="86"/>
      <c r="Y98" s="259"/>
      <c r="AB98" s="86"/>
      <c r="AC98" s="86"/>
      <c r="AZ98" s="98"/>
      <c r="BA98" s="98"/>
      <c r="BB98" s="98"/>
    </row>
    <row r="99" spans="1:54" ht="11.25">
      <c r="A99" s="14" t="s">
        <v>344</v>
      </c>
      <c r="B99" s="12" t="s">
        <v>605</v>
      </c>
      <c r="C99" s="15"/>
      <c r="D99" s="12"/>
      <c r="E99" s="25"/>
      <c r="F99" s="25"/>
      <c r="G99" s="16"/>
      <c r="H99" s="16"/>
      <c r="K99" s="293"/>
      <c r="L99" s="51"/>
      <c r="M99" s="262"/>
      <c r="N99" s="58"/>
      <c r="O99" s="51"/>
      <c r="R99" s="225"/>
      <c r="S99" s="225"/>
      <c r="U99" s="258"/>
      <c r="V99" s="118"/>
      <c r="W99" s="86"/>
      <c r="X99" s="86"/>
      <c r="Y99" s="259"/>
      <c r="AB99" s="86"/>
      <c r="AC99" s="86"/>
      <c r="AZ99" s="98"/>
      <c r="BA99" s="98"/>
      <c r="BB99" s="98"/>
    </row>
    <row r="100" spans="1:54" ht="11.25">
      <c r="A100" s="31">
        <f>A94+1</f>
        <v>66</v>
      </c>
      <c r="B100" s="32" t="s">
        <v>429</v>
      </c>
      <c r="C100" s="32"/>
      <c r="D100" s="32"/>
      <c r="E100" s="382"/>
      <c r="F100" s="382"/>
      <c r="G100" s="527">
        <f>Uitvoerbestand!I75</f>
        <v>4256.94</v>
      </c>
      <c r="H100" s="283">
        <f>F100*G100</f>
        <v>0</v>
      </c>
      <c r="I100" s="127"/>
      <c r="K100" s="127" t="s">
        <v>711</v>
      </c>
      <c r="L100" s="51"/>
      <c r="M100" s="262"/>
      <c r="N100" s="29"/>
      <c r="O100" s="5"/>
      <c r="P100" s="225"/>
      <c r="Q100" s="225"/>
      <c r="R100" s="225"/>
      <c r="S100" s="225"/>
      <c r="U100" s="91"/>
      <c r="V100" s="111" t="s">
        <v>712</v>
      </c>
      <c r="Y100" s="109">
        <f>A100*H100</f>
        <v>0</v>
      </c>
      <c r="AZ100" s="98"/>
      <c r="BA100" s="98"/>
      <c r="BB100" s="98"/>
    </row>
    <row r="101" spans="1:54" ht="11.25">
      <c r="A101" s="62"/>
      <c r="B101" s="4"/>
      <c r="C101" s="4"/>
      <c r="D101" s="4"/>
      <c r="E101" s="304"/>
      <c r="F101" s="304"/>
      <c r="G101" s="304"/>
      <c r="H101" s="305"/>
      <c r="K101" s="293"/>
      <c r="L101" s="51"/>
      <c r="M101" s="262"/>
      <c r="N101" s="29"/>
      <c r="O101" s="5"/>
      <c r="P101" s="225"/>
      <c r="Q101" s="225"/>
      <c r="R101" s="225"/>
      <c r="S101" s="225"/>
      <c r="U101" s="91"/>
      <c r="V101" s="111"/>
      <c r="AZ101" s="98"/>
      <c r="BA101" s="98"/>
      <c r="BB101" s="98"/>
    </row>
    <row r="102" spans="1:54" ht="11.25">
      <c r="A102" s="14" t="s">
        <v>345</v>
      </c>
      <c r="B102" s="12" t="s">
        <v>1780</v>
      </c>
      <c r="C102" s="15"/>
      <c r="D102" s="12"/>
      <c r="E102" s="44"/>
      <c r="F102" s="45"/>
      <c r="G102" s="44"/>
      <c r="H102" s="44"/>
      <c r="K102" s="293"/>
      <c r="L102" s="51"/>
      <c r="M102" s="262"/>
      <c r="N102" s="29"/>
      <c r="O102" s="5"/>
      <c r="P102" s="225"/>
      <c r="Q102" s="225"/>
      <c r="R102" s="225"/>
      <c r="S102" s="225"/>
      <c r="U102" s="91"/>
      <c r="V102" s="118"/>
      <c r="AZ102" s="98"/>
      <c r="BA102" s="98"/>
      <c r="BB102" s="98"/>
    </row>
    <row r="103" spans="1:54" ht="11.25">
      <c r="A103" s="31">
        <f>A100+1</f>
        <v>67</v>
      </c>
      <c r="B103" s="92" t="s">
        <v>1792</v>
      </c>
      <c r="C103" s="32"/>
      <c r="D103" s="32"/>
      <c r="E103" s="382"/>
      <c r="F103" s="639">
        <f>C86</f>
        <v>0</v>
      </c>
      <c r="G103" s="527">
        <f>Uitvoerbestand!I78</f>
        <v>21.14</v>
      </c>
      <c r="H103" s="283">
        <f>F103*G103</f>
        <v>0</v>
      </c>
      <c r="K103" s="293"/>
      <c r="L103" s="51"/>
      <c r="M103" s="262"/>
      <c r="N103" s="29"/>
      <c r="O103" s="5"/>
      <c r="P103" s="225"/>
      <c r="Q103" s="5"/>
      <c r="R103" s="5"/>
      <c r="S103" s="5"/>
      <c r="T103" s="3"/>
      <c r="U103" s="91"/>
      <c r="V103" s="111" t="s">
        <v>651</v>
      </c>
      <c r="Y103" s="109">
        <f>A103*H103</f>
        <v>0</v>
      </c>
      <c r="AZ103" s="98"/>
      <c r="BA103" s="98"/>
      <c r="BB103" s="98"/>
    </row>
    <row r="104" spans="1:54" ht="11.25">
      <c r="A104" s="31">
        <f>A103+1</f>
        <v>68</v>
      </c>
      <c r="B104" s="81" t="s">
        <v>455</v>
      </c>
      <c r="C104" s="32"/>
      <c r="D104" s="32"/>
      <c r="E104" s="382"/>
      <c r="F104" s="639">
        <f>F89</f>
        <v>0</v>
      </c>
      <c r="G104" s="527">
        <f>Uitvoerbestand!I79</f>
        <v>1405.06</v>
      </c>
      <c r="H104" s="283">
        <f>F104*G104</f>
        <v>0</v>
      </c>
      <c r="K104" s="293"/>
      <c r="L104" s="51"/>
      <c r="M104" s="262"/>
      <c r="N104" s="29"/>
      <c r="O104" s="5"/>
      <c r="P104" s="225"/>
      <c r="Q104" s="5"/>
      <c r="R104" s="5"/>
      <c r="S104" s="5"/>
      <c r="T104" s="3"/>
      <c r="U104" s="91"/>
      <c r="V104" s="111"/>
      <c r="Y104" s="109">
        <f>A104*H104</f>
        <v>0</v>
      </c>
      <c r="AZ104" s="98"/>
      <c r="BA104" s="98"/>
      <c r="BB104" s="98"/>
    </row>
    <row r="105" spans="1:54" ht="11.25">
      <c r="A105" s="31">
        <f>A104+1</f>
        <v>69</v>
      </c>
      <c r="B105" s="88" t="s">
        <v>456</v>
      </c>
      <c r="C105" s="32"/>
      <c r="D105" s="32"/>
      <c r="E105" s="382"/>
      <c r="F105" s="639">
        <f>F90</f>
        <v>0</v>
      </c>
      <c r="G105" s="527">
        <f>Uitvoerbestand!I80</f>
        <v>968.27</v>
      </c>
      <c r="H105" s="283">
        <f>F105*G105</f>
        <v>0</v>
      </c>
      <c r="K105" s="293"/>
      <c r="L105" s="51"/>
      <c r="M105" s="262"/>
      <c r="N105" s="29"/>
      <c r="O105" s="5"/>
      <c r="P105" s="225"/>
      <c r="Q105" s="5"/>
      <c r="R105" s="5"/>
      <c r="S105" s="5"/>
      <c r="T105" s="3"/>
      <c r="U105" s="91"/>
      <c r="V105" s="111"/>
      <c r="Y105" s="109">
        <f>A105*H105</f>
        <v>0</v>
      </c>
      <c r="AZ105" s="98"/>
      <c r="BA105" s="98"/>
      <c r="BB105" s="98"/>
    </row>
    <row r="106" spans="1:54" ht="11.25">
      <c r="A106" s="31">
        <f>A105+1</f>
        <v>70</v>
      </c>
      <c r="B106" s="88" t="s">
        <v>457</v>
      </c>
      <c r="C106" s="32"/>
      <c r="D106" s="32"/>
      <c r="E106" s="382"/>
      <c r="F106" s="639">
        <f>F91</f>
        <v>0</v>
      </c>
      <c r="G106" s="527">
        <f>Uitvoerbestand!I81</f>
        <v>1138.25</v>
      </c>
      <c r="H106" s="283">
        <f>F106*G106</f>
        <v>0</v>
      </c>
      <c r="K106" s="293"/>
      <c r="L106" s="51"/>
      <c r="M106" s="262"/>
      <c r="N106" s="29"/>
      <c r="O106" s="5"/>
      <c r="P106" s="225"/>
      <c r="Q106" s="5"/>
      <c r="R106" s="5"/>
      <c r="S106" s="5"/>
      <c r="T106" s="3"/>
      <c r="U106" s="91"/>
      <c r="V106" s="111"/>
      <c r="Y106" s="109">
        <f>A106*H106</f>
        <v>0</v>
      </c>
      <c r="AZ106" s="98"/>
      <c r="BA106" s="98"/>
      <c r="BB106" s="98"/>
    </row>
    <row r="107" spans="1:54" ht="11.25">
      <c r="A107" s="31">
        <f>A106+1</f>
        <v>71</v>
      </c>
      <c r="B107" s="74" t="s">
        <v>98</v>
      </c>
      <c r="C107" s="39"/>
      <c r="D107" s="59"/>
      <c r="E107" s="40"/>
      <c r="F107" s="40"/>
      <c r="G107" s="54"/>
      <c r="H107" s="54">
        <f>SUM(H103:H106)</f>
        <v>0</v>
      </c>
      <c r="K107" s="293"/>
      <c r="L107" s="51"/>
      <c r="M107" s="262"/>
      <c r="N107" s="29"/>
      <c r="O107" s="5"/>
      <c r="P107" s="5"/>
      <c r="Q107" s="5"/>
      <c r="R107" s="5"/>
      <c r="S107" s="5"/>
      <c r="T107" s="3"/>
      <c r="U107" s="91"/>
      <c r="V107" s="118"/>
      <c r="AZ107" s="98"/>
      <c r="BA107" s="98"/>
      <c r="BB107" s="98"/>
    </row>
    <row r="108" spans="1:54" ht="11.25">
      <c r="A108" s="14"/>
      <c r="C108" s="4"/>
      <c r="D108" s="3"/>
      <c r="E108" s="5"/>
      <c r="F108" s="3"/>
      <c r="K108" s="90"/>
      <c r="U108" s="91"/>
      <c r="V108" s="85"/>
      <c r="AZ108" s="98"/>
      <c r="BA108" s="98"/>
      <c r="BB108" s="98"/>
    </row>
    <row r="109" spans="1:54" ht="11.25">
      <c r="A109" s="14" t="s">
        <v>346</v>
      </c>
      <c r="C109" s="4"/>
      <c r="D109" s="3"/>
      <c r="E109" s="5"/>
      <c r="F109" s="3"/>
      <c r="K109" s="90"/>
      <c r="U109" s="91"/>
      <c r="V109" s="85"/>
      <c r="AZ109" s="98"/>
      <c r="BA109" s="98"/>
      <c r="BB109" s="98"/>
    </row>
    <row r="110" spans="1:54" ht="11.25">
      <c r="A110" s="31">
        <f>A107+1</f>
        <v>72</v>
      </c>
      <c r="B110" s="81" t="s">
        <v>464</v>
      </c>
      <c r="C110" s="32"/>
      <c r="D110" s="32"/>
      <c r="E110" s="382"/>
      <c r="F110" s="382"/>
      <c r="G110" s="114"/>
      <c r="H110" s="54">
        <f>F110</f>
        <v>0</v>
      </c>
      <c r="K110" s="90"/>
      <c r="U110" s="91"/>
      <c r="V110" s="118" t="s">
        <v>713</v>
      </c>
      <c r="Y110" s="109">
        <f>A110*H110</f>
        <v>0</v>
      </c>
      <c r="Z110" s="267"/>
      <c r="AZ110" s="98"/>
      <c r="BA110" s="98"/>
      <c r="BB110" s="98"/>
    </row>
    <row r="111" spans="1:56" ht="11.25">
      <c r="A111" s="14"/>
      <c r="B111" s="12"/>
      <c r="C111" s="15"/>
      <c r="D111" s="12"/>
      <c r="E111" s="44"/>
      <c r="F111" s="45"/>
      <c r="G111" s="44"/>
      <c r="H111" s="44"/>
      <c r="K111" s="43"/>
      <c r="L111" s="97"/>
      <c r="M111" s="44"/>
      <c r="U111" s="47"/>
      <c r="V111" s="118"/>
      <c r="AB111" s="127"/>
      <c r="AZ111" s="4"/>
      <c r="BA111" s="4"/>
      <c r="BB111" s="3"/>
      <c r="BC111" s="98"/>
      <c r="BD111" s="98"/>
    </row>
    <row r="112" spans="1:56" ht="11.25">
      <c r="A112" s="14"/>
      <c r="B112" s="12"/>
      <c r="C112" s="15"/>
      <c r="D112" s="12"/>
      <c r="E112" s="44"/>
      <c r="F112" s="45"/>
      <c r="G112" s="44"/>
      <c r="H112" s="44"/>
      <c r="K112" s="43"/>
      <c r="L112" s="97"/>
      <c r="M112" s="44"/>
      <c r="U112" s="47"/>
      <c r="V112" s="118"/>
      <c r="AB112" s="127"/>
      <c r="AZ112" s="4"/>
      <c r="BA112" s="4"/>
      <c r="BB112" s="3"/>
      <c r="BC112" s="98"/>
      <c r="BD112" s="98"/>
    </row>
    <row r="113" spans="1:56" ht="21" customHeight="1" thickBot="1">
      <c r="A113" s="31">
        <f>A110+1</f>
        <v>73</v>
      </c>
      <c r="B113" s="39" t="s">
        <v>607</v>
      </c>
      <c r="C113" s="39"/>
      <c r="D113" s="19"/>
      <c r="E113" s="40"/>
      <c r="F113" s="41"/>
      <c r="G113" s="2"/>
      <c r="H113" s="453">
        <f>H110+H107+H100+H94+H67</f>
        <v>0</v>
      </c>
      <c r="K113" s="43"/>
      <c r="L113" s="97"/>
      <c r="M113" s="44"/>
      <c r="U113" s="47"/>
      <c r="V113" s="118"/>
      <c r="W113" s="126"/>
      <c r="X113" s="126"/>
      <c r="AB113" s="127"/>
      <c r="AZ113" s="4"/>
      <c r="BA113" s="4"/>
      <c r="BB113" s="3"/>
      <c r="BC113" s="98"/>
      <c r="BD113" s="98"/>
    </row>
    <row r="114" spans="1:56" ht="12" thickTop="1">
      <c r="A114" s="62"/>
      <c r="B114" s="129"/>
      <c r="C114" s="15"/>
      <c r="D114" s="15"/>
      <c r="E114" s="61"/>
      <c r="F114" s="61"/>
      <c r="G114" s="60"/>
      <c r="H114" s="122"/>
      <c r="J114" s="63"/>
      <c r="K114" s="63"/>
      <c r="L114" s="60"/>
      <c r="M114" s="29"/>
      <c r="U114" s="257"/>
      <c r="V114" s="123"/>
      <c r="W114" s="126"/>
      <c r="X114" s="126"/>
      <c r="AB114" s="127"/>
      <c r="AZ114" s="4"/>
      <c r="BA114" s="4"/>
      <c r="BB114" s="3"/>
      <c r="BC114" s="98"/>
      <c r="BD114" s="98"/>
    </row>
    <row r="115" spans="1:56" ht="11.25">
      <c r="A115" s="62"/>
      <c r="B115" s="129"/>
      <c r="C115" s="15"/>
      <c r="D115" s="15"/>
      <c r="E115" s="61"/>
      <c r="F115" s="61"/>
      <c r="G115" s="60"/>
      <c r="H115" s="122"/>
      <c r="J115" s="63"/>
      <c r="K115" s="63"/>
      <c r="L115" s="60"/>
      <c r="M115" s="29"/>
      <c r="U115" s="257"/>
      <c r="V115" s="123"/>
      <c r="W115" s="126"/>
      <c r="X115" s="126"/>
      <c r="AB115" s="127"/>
      <c r="AZ115" s="4"/>
      <c r="BA115" s="4"/>
      <c r="BB115" s="3"/>
      <c r="BC115" s="98"/>
      <c r="BD115" s="98"/>
    </row>
    <row r="116" spans="1:56" ht="11.25">
      <c r="A116" s="62"/>
      <c r="B116" s="129"/>
      <c r="C116" s="15"/>
      <c r="D116" s="15"/>
      <c r="E116" s="61"/>
      <c r="F116" s="61"/>
      <c r="G116" s="60"/>
      <c r="H116" s="122"/>
      <c r="J116" s="63"/>
      <c r="K116" s="63"/>
      <c r="L116" s="60"/>
      <c r="M116" s="29"/>
      <c r="U116" s="257"/>
      <c r="V116" s="123"/>
      <c r="W116" s="126"/>
      <c r="X116" s="126"/>
      <c r="AB116" s="127"/>
      <c r="AZ116" s="4"/>
      <c r="BA116" s="4"/>
      <c r="BB116" s="3"/>
      <c r="BC116" s="98"/>
      <c r="BD116" s="98"/>
    </row>
    <row r="117" spans="1:56" ht="11.25">
      <c r="A117" s="62" t="s">
        <v>408</v>
      </c>
      <c r="B117" s="12" t="s">
        <v>1602</v>
      </c>
      <c r="C117" s="15"/>
      <c r="D117" s="15"/>
      <c r="E117" s="61"/>
      <c r="F117" s="61"/>
      <c r="G117" s="60"/>
      <c r="H117" s="262"/>
      <c r="J117" s="63"/>
      <c r="K117" s="63"/>
      <c r="L117" s="60"/>
      <c r="M117" s="29"/>
      <c r="U117" s="257"/>
      <c r="V117" s="123"/>
      <c r="W117" s="126"/>
      <c r="X117" s="126"/>
      <c r="AB117" s="127"/>
      <c r="AZ117" s="4"/>
      <c r="BA117" s="4"/>
      <c r="BB117" s="3"/>
      <c r="BC117" s="98"/>
      <c r="BD117" s="98"/>
    </row>
    <row r="118" spans="1:56" ht="11.25">
      <c r="A118" s="31">
        <f>A113+1</f>
        <v>74</v>
      </c>
      <c r="B118" s="81" t="s">
        <v>455</v>
      </c>
      <c r="C118" s="87"/>
      <c r="D118" s="68"/>
      <c r="E118" s="382"/>
      <c r="F118" s="501">
        <f>F89</f>
        <v>0</v>
      </c>
      <c r="G118" s="527">
        <f>Uitvoerbestand!I84</f>
        <v>9298.58</v>
      </c>
      <c r="H118" s="283">
        <f>F118*G118</f>
        <v>0</v>
      </c>
      <c r="J118" s="63"/>
      <c r="K118" s="63"/>
      <c r="L118" s="60"/>
      <c r="M118" s="29"/>
      <c r="U118" s="257"/>
      <c r="V118" s="123"/>
      <c r="W118" s="126"/>
      <c r="X118" s="126"/>
      <c r="AB118" s="127"/>
      <c r="AZ118" s="4"/>
      <c r="BA118" s="4"/>
      <c r="BB118" s="3"/>
      <c r="BC118" s="98"/>
      <c r="BD118" s="98"/>
    </row>
    <row r="119" spans="1:56" ht="11.25">
      <c r="A119" s="31">
        <f>A118+1</f>
        <v>75</v>
      </c>
      <c r="B119" s="88" t="s">
        <v>456</v>
      </c>
      <c r="C119" s="87"/>
      <c r="D119" s="68"/>
      <c r="E119" s="382"/>
      <c r="F119" s="501">
        <f>F90</f>
        <v>0</v>
      </c>
      <c r="G119" s="527">
        <f>Uitvoerbestand!I85</f>
        <v>6361.84</v>
      </c>
      <c r="H119" s="283">
        <f>F119*G119</f>
        <v>0</v>
      </c>
      <c r="J119" s="63"/>
      <c r="K119" s="63"/>
      <c r="L119" s="60"/>
      <c r="M119" s="29"/>
      <c r="U119" s="257"/>
      <c r="V119" s="123"/>
      <c r="W119" s="126"/>
      <c r="X119" s="126"/>
      <c r="AB119" s="127"/>
      <c r="AZ119" s="4"/>
      <c r="BA119" s="4"/>
      <c r="BB119" s="3"/>
      <c r="BC119" s="98"/>
      <c r="BD119" s="98"/>
    </row>
    <row r="120" spans="1:56" ht="11.25">
      <c r="A120" s="31">
        <f>A119+1</f>
        <v>76</v>
      </c>
      <c r="B120" s="88" t="s">
        <v>457</v>
      </c>
      <c r="C120" s="87"/>
      <c r="D120" s="68"/>
      <c r="E120" s="382"/>
      <c r="F120" s="501">
        <f>F91</f>
        <v>0</v>
      </c>
      <c r="G120" s="527">
        <f>Uitvoerbestand!I86</f>
        <v>9011.04</v>
      </c>
      <c r="H120" s="283">
        <f>F120*G120</f>
        <v>0</v>
      </c>
      <c r="J120" s="63"/>
      <c r="K120" s="63"/>
      <c r="L120" s="60"/>
      <c r="M120" s="29"/>
      <c r="U120" s="257"/>
      <c r="V120" s="123"/>
      <c r="W120" s="126"/>
      <c r="X120" s="126"/>
      <c r="AB120" s="127"/>
      <c r="AZ120" s="4"/>
      <c r="BA120" s="4"/>
      <c r="BB120" s="3"/>
      <c r="BC120" s="98"/>
      <c r="BD120" s="98"/>
    </row>
    <row r="121" spans="1:56" ht="11.25">
      <c r="A121" s="31">
        <f>A120+1</f>
        <v>77</v>
      </c>
      <c r="B121" s="74" t="s">
        <v>245</v>
      </c>
      <c r="C121" s="39"/>
      <c r="D121" s="59"/>
      <c r="E121" s="40">
        <f>SUM(E118:E120)</f>
        <v>0</v>
      </c>
      <c r="F121" s="40">
        <f>SUM(F118:F120)</f>
        <v>0</v>
      </c>
      <c r="G121" s="2"/>
      <c r="H121" s="641">
        <f>SUM(H118:H120)</f>
        <v>0</v>
      </c>
      <c r="J121" s="63"/>
      <c r="K121" s="63"/>
      <c r="L121" s="60"/>
      <c r="M121" s="29"/>
      <c r="U121" s="257"/>
      <c r="V121" s="123"/>
      <c r="W121" s="126"/>
      <c r="X121" s="126"/>
      <c r="AB121" s="127"/>
      <c r="AZ121" s="4"/>
      <c r="BA121" s="4"/>
      <c r="BB121" s="3"/>
      <c r="BC121" s="98"/>
      <c r="BD121" s="98"/>
    </row>
    <row r="122" spans="2:54" ht="12" customHeight="1">
      <c r="B122" s="12" t="s">
        <v>643</v>
      </c>
      <c r="C122" s="15"/>
      <c r="D122" s="15"/>
      <c r="E122" s="61"/>
      <c r="F122" s="61"/>
      <c r="G122" s="60"/>
      <c r="H122" s="262"/>
      <c r="K122" s="293"/>
      <c r="L122" s="51"/>
      <c r="M122" s="262"/>
      <c r="N122" s="58"/>
      <c r="O122" s="51"/>
      <c r="R122" s="225"/>
      <c r="S122" s="89"/>
      <c r="U122" s="258"/>
      <c r="V122" s="118"/>
      <c r="W122" s="86"/>
      <c r="X122" s="86"/>
      <c r="Y122" s="259"/>
      <c r="AB122" s="86"/>
      <c r="AC122" s="86"/>
      <c r="AZ122" s="98"/>
      <c r="BA122" s="98"/>
      <c r="BB122" s="98"/>
    </row>
    <row r="123" spans="1:54" ht="11.25">
      <c r="A123" s="31">
        <f>A121+1</f>
        <v>78</v>
      </c>
      <c r="B123" s="88" t="s">
        <v>461</v>
      </c>
      <c r="C123" s="87"/>
      <c r="D123" s="68"/>
      <c r="E123" s="382"/>
      <c r="F123" s="382"/>
      <c r="G123" s="527">
        <f>Uitvoerbestand!I87</f>
        <v>227.18</v>
      </c>
      <c r="H123" s="283">
        <f>F123*G123</f>
        <v>0</v>
      </c>
      <c r="K123" s="293"/>
      <c r="L123" s="51"/>
      <c r="M123" s="262"/>
      <c r="N123" s="58"/>
      <c r="O123" s="51"/>
      <c r="R123" s="225"/>
      <c r="S123" s="89"/>
      <c r="U123" s="258"/>
      <c r="V123" s="118" t="s">
        <v>1903</v>
      </c>
      <c r="W123" s="86"/>
      <c r="X123" s="86"/>
      <c r="Y123" s="109">
        <f>A123*H123</f>
        <v>0</v>
      </c>
      <c r="AB123" s="86"/>
      <c r="AC123" s="86"/>
      <c r="AZ123" s="98"/>
      <c r="BA123" s="98"/>
      <c r="BB123" s="98"/>
    </row>
    <row r="124" spans="1:54" ht="11.25">
      <c r="A124" s="31">
        <f>A123+1</f>
        <v>79</v>
      </c>
      <c r="B124" s="88" t="s">
        <v>442</v>
      </c>
      <c r="C124" s="87"/>
      <c r="D124" s="68"/>
      <c r="E124" s="382"/>
      <c r="F124" s="382"/>
      <c r="G124" s="527">
        <f>Uitvoerbestand!I88</f>
        <v>567.95</v>
      </c>
      <c r="H124" s="283">
        <f>F124*G124</f>
        <v>0</v>
      </c>
      <c r="K124" s="293"/>
      <c r="L124" s="51"/>
      <c r="M124" s="262"/>
      <c r="N124" s="58"/>
      <c r="O124" s="51"/>
      <c r="R124" s="225"/>
      <c r="S124" s="89"/>
      <c r="U124" s="258"/>
      <c r="V124" s="118" t="s">
        <v>1904</v>
      </c>
      <c r="W124" s="86"/>
      <c r="X124" s="86"/>
      <c r="Y124" s="109">
        <f>A124*H124</f>
        <v>0</v>
      </c>
      <c r="AB124" s="86"/>
      <c r="AC124" s="86"/>
      <c r="AZ124" s="98"/>
      <c r="BA124" s="98"/>
      <c r="BB124" s="98"/>
    </row>
    <row r="125" spans="1:54" ht="11.25">
      <c r="A125" s="31">
        <f>A124+1</f>
        <v>80</v>
      </c>
      <c r="B125" s="88" t="s">
        <v>1899</v>
      </c>
      <c r="C125" s="87"/>
      <c r="D125" s="68"/>
      <c r="E125" s="382"/>
      <c r="F125" s="382"/>
      <c r="G125" s="527">
        <f>Uitvoerbestand!I89</f>
        <v>1135.9</v>
      </c>
      <c r="H125" s="454">
        <f>F125*G125</f>
        <v>0</v>
      </c>
      <c r="K125" s="293"/>
      <c r="L125" s="51"/>
      <c r="M125" s="262"/>
      <c r="N125" s="58"/>
      <c r="O125" s="51"/>
      <c r="R125" s="225"/>
      <c r="S125" s="89"/>
      <c r="U125" s="258"/>
      <c r="V125" s="118" t="s">
        <v>1905</v>
      </c>
      <c r="W125" s="86"/>
      <c r="X125" s="86"/>
      <c r="Y125" s="109">
        <f>A125*H125</f>
        <v>0</v>
      </c>
      <c r="AB125" s="86"/>
      <c r="AC125" s="86"/>
      <c r="AZ125" s="98"/>
      <c r="BA125" s="98"/>
      <c r="BB125" s="98"/>
    </row>
    <row r="126" spans="1:56" ht="21" customHeight="1" thickBot="1">
      <c r="A126" s="31">
        <f>A125+1</f>
        <v>81</v>
      </c>
      <c r="B126" s="74" t="s">
        <v>647</v>
      </c>
      <c r="C126" s="39"/>
      <c r="D126" s="59"/>
      <c r="E126" s="40">
        <f>SUM(E123:E125)</f>
        <v>0</v>
      </c>
      <c r="F126" s="640">
        <f>SUM(F123:F125)</f>
        <v>0</v>
      </c>
      <c r="G126" s="2"/>
      <c r="H126" s="642">
        <f>SUM(H123:H125)+H121</f>
        <v>0</v>
      </c>
      <c r="J126" s="63"/>
      <c r="K126" s="63"/>
      <c r="L126" s="60"/>
      <c r="M126" s="29"/>
      <c r="U126" s="257"/>
      <c r="V126" s="123"/>
      <c r="W126" s="126"/>
      <c r="X126" s="126"/>
      <c r="AB126" s="127"/>
      <c r="AZ126" s="4"/>
      <c r="BA126" s="4"/>
      <c r="BB126" s="3"/>
      <c r="BC126" s="98"/>
      <c r="BD126" s="98"/>
    </row>
    <row r="127" spans="1:56" ht="12" thickTop="1">
      <c r="A127" s="62"/>
      <c r="B127" s="129"/>
      <c r="C127" s="15"/>
      <c r="D127" s="15"/>
      <c r="E127" s="61"/>
      <c r="F127" s="61"/>
      <c r="G127" s="60"/>
      <c r="H127" s="122"/>
      <c r="J127" s="63"/>
      <c r="K127" s="63"/>
      <c r="L127" s="60"/>
      <c r="M127" s="29"/>
      <c r="U127" s="257"/>
      <c r="V127" s="123"/>
      <c r="W127" s="126"/>
      <c r="X127" s="126"/>
      <c r="AB127" s="127"/>
      <c r="AZ127" s="4"/>
      <c r="BA127" s="4"/>
      <c r="BB127" s="3"/>
      <c r="BC127" s="98"/>
      <c r="BD127" s="98"/>
    </row>
    <row r="128" spans="1:56" ht="11.25">
      <c r="A128" s="62"/>
      <c r="B128" s="129"/>
      <c r="C128" s="15"/>
      <c r="D128" s="15"/>
      <c r="E128" s="61"/>
      <c r="F128" s="61"/>
      <c r="G128" s="60"/>
      <c r="H128" s="122"/>
      <c r="J128" s="63"/>
      <c r="K128" s="63"/>
      <c r="L128" s="60"/>
      <c r="M128" s="29"/>
      <c r="U128" s="257"/>
      <c r="V128" s="123"/>
      <c r="W128" s="126"/>
      <c r="X128" s="126"/>
      <c r="AB128" s="127"/>
      <c r="AZ128" s="4"/>
      <c r="BA128" s="4"/>
      <c r="BB128" s="3"/>
      <c r="BC128" s="98"/>
      <c r="BD128" s="98"/>
    </row>
    <row r="129" spans="1:56" ht="11.25">
      <c r="A129" s="62"/>
      <c r="B129" s="129"/>
      <c r="C129" s="15"/>
      <c r="D129" s="15"/>
      <c r="E129" s="17" t="str">
        <f>$E$7</f>
        <v>Niet</v>
      </c>
      <c r="F129" s="17" t="str">
        <f>$F$7</f>
        <v>Mutatie</v>
      </c>
      <c r="G129" s="770" t="str">
        <f>$G$7</f>
        <v>Mutatie budget ZVW 2009</v>
      </c>
      <c r="H129" s="771"/>
      <c r="J129" s="63"/>
      <c r="K129" s="760" t="s">
        <v>53</v>
      </c>
      <c r="L129" s="761"/>
      <c r="M129" s="29"/>
      <c r="O129" s="123" t="s">
        <v>522</v>
      </c>
      <c r="U129" s="257"/>
      <c r="V129" s="123"/>
      <c r="W129" s="126"/>
      <c r="X129" s="126"/>
      <c r="AB129" s="127"/>
      <c r="AZ129" s="4"/>
      <c r="BA129" s="4"/>
      <c r="BB129" s="3"/>
      <c r="BC129" s="98"/>
      <c r="BD129" s="98"/>
    </row>
    <row r="130" spans="1:56" ht="11.25">
      <c r="A130" s="62"/>
      <c r="B130" s="129"/>
      <c r="C130" s="15"/>
      <c r="D130" s="15"/>
      <c r="E130" s="487" t="str">
        <f>$E$8</f>
        <v>invullen</v>
      </c>
      <c r="F130" s="22">
        <f>$F$8</f>
        <v>2009</v>
      </c>
      <c r="G130" s="24" t="s">
        <v>521</v>
      </c>
      <c r="H130" s="24" t="s">
        <v>409</v>
      </c>
      <c r="J130" s="63"/>
      <c r="K130" s="24" t="s">
        <v>54</v>
      </c>
      <c r="L130" s="24" t="s">
        <v>55</v>
      </c>
      <c r="M130" s="29"/>
      <c r="O130" s="123" t="s">
        <v>521</v>
      </c>
      <c r="U130" s="257"/>
      <c r="V130" s="123"/>
      <c r="W130" s="126"/>
      <c r="X130" s="126"/>
      <c r="AB130" s="127"/>
      <c r="AZ130" s="4"/>
      <c r="BA130" s="4"/>
      <c r="BB130" s="3"/>
      <c r="BC130" s="98"/>
      <c r="BD130" s="98"/>
    </row>
    <row r="131" spans="1:56" ht="11.25">
      <c r="A131" s="62" t="s">
        <v>1793</v>
      </c>
      <c r="B131" s="129" t="s">
        <v>1782</v>
      </c>
      <c r="C131" s="15"/>
      <c r="D131" s="15"/>
      <c r="E131" s="25" t="s">
        <v>617</v>
      </c>
      <c r="F131" s="25" t="s">
        <v>618</v>
      </c>
      <c r="G131" s="282" t="s">
        <v>619</v>
      </c>
      <c r="H131" s="282" t="s">
        <v>620</v>
      </c>
      <c r="J131" s="63"/>
      <c r="K131" s="63"/>
      <c r="L131" s="60"/>
      <c r="M131" s="29"/>
      <c r="U131" s="257"/>
      <c r="V131" s="123"/>
      <c r="W131" s="126"/>
      <c r="X131" s="126"/>
      <c r="AB131" s="127"/>
      <c r="AZ131" s="4"/>
      <c r="BA131" s="4"/>
      <c r="BB131" s="3"/>
      <c r="BC131" s="98"/>
      <c r="BD131" s="98"/>
    </row>
    <row r="132" spans="1:56" ht="11.25">
      <c r="A132" s="62"/>
      <c r="B132" s="62" t="s">
        <v>520</v>
      </c>
      <c r="C132" s="15"/>
      <c r="D132" s="15"/>
      <c r="E132" s="61"/>
      <c r="F132" s="61"/>
      <c r="G132" s="60"/>
      <c r="H132" s="122"/>
      <c r="J132" s="63"/>
      <c r="K132" s="63"/>
      <c r="L132" s="60"/>
      <c r="M132" s="29"/>
      <c r="O132" s="51"/>
      <c r="U132" s="257"/>
      <c r="V132" s="123"/>
      <c r="W132" s="126"/>
      <c r="X132" s="126"/>
      <c r="AB132" s="127"/>
      <c r="AZ132" s="4"/>
      <c r="BA132" s="4"/>
      <c r="BB132" s="3"/>
      <c r="BC132" s="98"/>
      <c r="BD132" s="98"/>
    </row>
    <row r="133" spans="1:56" ht="11.25">
      <c r="A133" s="62"/>
      <c r="B133" s="100" t="s">
        <v>34</v>
      </c>
      <c r="C133" s="15"/>
      <c r="D133" s="25"/>
      <c r="E133" s="61"/>
      <c r="F133" s="61"/>
      <c r="G133" s="60"/>
      <c r="H133" s="122"/>
      <c r="J133" s="63"/>
      <c r="K133" s="278"/>
      <c r="L133" s="60"/>
      <c r="M133" s="29"/>
      <c r="U133" s="257"/>
      <c r="V133" s="123"/>
      <c r="W133" s="126"/>
      <c r="X133" s="126"/>
      <c r="AB133" s="127"/>
      <c r="AZ133" s="4"/>
      <c r="BA133" s="4"/>
      <c r="BB133" s="3"/>
      <c r="BC133" s="98"/>
      <c r="BD133" s="98"/>
    </row>
    <row r="134" spans="1:56" ht="11.25">
      <c r="A134" s="31">
        <f>A126+1</f>
        <v>82</v>
      </c>
      <c r="B134" s="70" t="s">
        <v>304</v>
      </c>
      <c r="C134" s="71"/>
      <c r="D134" s="279" t="s">
        <v>1758</v>
      </c>
      <c r="E134" s="382"/>
      <c r="F134" s="382"/>
      <c r="G134" s="412"/>
      <c r="H134" s="283">
        <f>F134*G134</f>
        <v>0</v>
      </c>
      <c r="I134" s="225"/>
      <c r="J134" s="63"/>
      <c r="K134" s="287">
        <f>IF(E134=0,0,E134/$E$145)</f>
        <v>0</v>
      </c>
      <c r="L134" s="287">
        <f>IF(F134=0,0,F134/$F$145)</f>
        <v>0</v>
      </c>
      <c r="M134" s="29"/>
      <c r="N134" s="225"/>
      <c r="O134" s="124">
        <v>22.5</v>
      </c>
      <c r="P134" s="225"/>
      <c r="Q134" s="225"/>
      <c r="U134" s="257"/>
      <c r="V134" s="111" t="str">
        <f aca="true" t="shared" si="26" ref="V134:V144">CONCATENATE("PQ",D134)</f>
        <v>PQF101</v>
      </c>
      <c r="X134" s="125"/>
      <c r="Y134" s="109">
        <f aca="true" t="shared" si="27" ref="Y134:Y144">A134*H134</f>
        <v>0</v>
      </c>
      <c r="AB134" s="127"/>
      <c r="AZ134" s="4"/>
      <c r="BA134" s="4"/>
      <c r="BB134" s="3"/>
      <c r="BC134" s="98"/>
      <c r="BD134" s="98"/>
    </row>
    <row r="135" spans="1:56" ht="11.25">
      <c r="A135" s="31">
        <f aca="true" t="shared" si="28" ref="A135:A145">A134+1</f>
        <v>83</v>
      </c>
      <c r="B135" s="70" t="s">
        <v>305</v>
      </c>
      <c r="C135" s="71"/>
      <c r="D135" s="279" t="s">
        <v>1759</v>
      </c>
      <c r="E135" s="382"/>
      <c r="F135" s="382"/>
      <c r="G135" s="412"/>
      <c r="H135" s="283">
        <f aca="true" t="shared" si="29" ref="H135:H144">F135*G135</f>
        <v>0</v>
      </c>
      <c r="I135" s="225"/>
      <c r="J135" s="63"/>
      <c r="K135" s="287">
        <f aca="true" t="shared" si="30" ref="K135:K144">IF(E135=0,0,E135/$E$145)</f>
        <v>0</v>
      </c>
      <c r="L135" s="287">
        <f aca="true" t="shared" si="31" ref="L135:L144">IF(F135=0,0,F135/$F$145)</f>
        <v>0</v>
      </c>
      <c r="M135" s="29"/>
      <c r="N135" s="225"/>
      <c r="O135" s="124">
        <v>215.9</v>
      </c>
      <c r="P135" s="225"/>
      <c r="Q135" s="225"/>
      <c r="U135" s="257"/>
      <c r="V135" s="111" t="str">
        <f t="shared" si="26"/>
        <v>PQF102</v>
      </c>
      <c r="X135" s="125"/>
      <c r="Y135" s="109">
        <f t="shared" si="27"/>
        <v>0</v>
      </c>
      <c r="AB135" s="127"/>
      <c r="AZ135" s="4"/>
      <c r="BA135" s="4"/>
      <c r="BB135" s="3"/>
      <c r="BC135" s="98"/>
      <c r="BD135" s="98"/>
    </row>
    <row r="136" spans="1:56" ht="11.25">
      <c r="A136" s="31">
        <f t="shared" si="28"/>
        <v>84</v>
      </c>
      <c r="B136" s="70" t="s">
        <v>374</v>
      </c>
      <c r="C136" s="71"/>
      <c r="D136" s="279" t="s">
        <v>1760</v>
      </c>
      <c r="E136" s="382"/>
      <c r="F136" s="382"/>
      <c r="G136" s="412"/>
      <c r="H136" s="283">
        <f t="shared" si="29"/>
        <v>0</v>
      </c>
      <c r="I136" s="225"/>
      <c r="J136" s="63"/>
      <c r="K136" s="287">
        <f t="shared" si="30"/>
        <v>0</v>
      </c>
      <c r="L136" s="287">
        <f t="shared" si="31"/>
        <v>0</v>
      </c>
      <c r="M136" s="29"/>
      <c r="N136" s="225"/>
      <c r="O136" s="124">
        <v>448.8</v>
      </c>
      <c r="P136" s="225"/>
      <c r="Q136" s="225"/>
      <c r="U136" s="257"/>
      <c r="V136" s="111" t="str">
        <f t="shared" si="26"/>
        <v>PQF103</v>
      </c>
      <c r="X136" s="125"/>
      <c r="Y136" s="109">
        <f t="shared" si="27"/>
        <v>0</v>
      </c>
      <c r="AB136" s="127"/>
      <c r="AZ136" s="4"/>
      <c r="BA136" s="4"/>
      <c r="BB136" s="3"/>
      <c r="BC136" s="98"/>
      <c r="BD136" s="98"/>
    </row>
    <row r="137" spans="1:56" ht="11.25">
      <c r="A137" s="31">
        <f t="shared" si="28"/>
        <v>85</v>
      </c>
      <c r="B137" s="70" t="s">
        <v>375</v>
      </c>
      <c r="C137" s="71"/>
      <c r="D137" s="279" t="s">
        <v>1761</v>
      </c>
      <c r="E137" s="382"/>
      <c r="F137" s="382"/>
      <c r="G137" s="412"/>
      <c r="H137" s="283">
        <f t="shared" si="29"/>
        <v>0</v>
      </c>
      <c r="I137" s="225"/>
      <c r="J137" s="63"/>
      <c r="K137" s="287">
        <f t="shared" si="30"/>
        <v>0</v>
      </c>
      <c r="L137" s="287">
        <f t="shared" si="31"/>
        <v>0</v>
      </c>
      <c r="M137" s="29"/>
      <c r="N137" s="225"/>
      <c r="O137" s="124">
        <v>109.3</v>
      </c>
      <c r="P137" s="225"/>
      <c r="Q137" s="225"/>
      <c r="U137" s="257"/>
      <c r="V137" s="111" t="str">
        <f t="shared" si="26"/>
        <v>PQF104</v>
      </c>
      <c r="X137" s="125"/>
      <c r="Y137" s="109">
        <f t="shared" si="27"/>
        <v>0</v>
      </c>
      <c r="AB137" s="127"/>
      <c r="AZ137" s="4"/>
      <c r="BA137" s="4"/>
      <c r="BB137" s="3"/>
      <c r="BC137" s="98"/>
      <c r="BD137" s="98"/>
    </row>
    <row r="138" spans="1:56" ht="11.25">
      <c r="A138" s="31">
        <f t="shared" si="28"/>
        <v>86</v>
      </c>
      <c r="B138" s="70" t="s">
        <v>376</v>
      </c>
      <c r="C138" s="71"/>
      <c r="D138" s="279" t="s">
        <v>1762</v>
      </c>
      <c r="E138" s="382"/>
      <c r="F138" s="382"/>
      <c r="G138" s="412"/>
      <c r="H138" s="283">
        <f t="shared" si="29"/>
        <v>0</v>
      </c>
      <c r="I138" s="225"/>
      <c r="J138" s="63"/>
      <c r="K138" s="287">
        <f t="shared" si="30"/>
        <v>0</v>
      </c>
      <c r="L138" s="287">
        <f t="shared" si="31"/>
        <v>0</v>
      </c>
      <c r="M138" s="29"/>
      <c r="N138" s="225"/>
      <c r="O138" s="124">
        <v>73.4</v>
      </c>
      <c r="P138" s="225"/>
      <c r="Q138" s="225"/>
      <c r="U138" s="257"/>
      <c r="V138" s="111" t="str">
        <f t="shared" si="26"/>
        <v>PQF105</v>
      </c>
      <c r="X138" s="125"/>
      <c r="Y138" s="109">
        <f t="shared" si="27"/>
        <v>0</v>
      </c>
      <c r="AB138" s="127"/>
      <c r="AZ138" s="4"/>
      <c r="BA138" s="4"/>
      <c r="BB138" s="3"/>
      <c r="BC138" s="98"/>
      <c r="BD138" s="98"/>
    </row>
    <row r="139" spans="1:56" ht="11.25">
      <c r="A139" s="31">
        <f t="shared" si="28"/>
        <v>87</v>
      </c>
      <c r="B139" s="70" t="s">
        <v>585</v>
      </c>
      <c r="C139" s="71"/>
      <c r="D139" s="279" t="s">
        <v>1763</v>
      </c>
      <c r="E139" s="382"/>
      <c r="F139" s="382"/>
      <c r="G139" s="412"/>
      <c r="H139" s="283">
        <f t="shared" si="29"/>
        <v>0</v>
      </c>
      <c r="I139" s="225"/>
      <c r="J139" s="63"/>
      <c r="K139" s="287">
        <f t="shared" si="30"/>
        <v>0</v>
      </c>
      <c r="L139" s="287">
        <f t="shared" si="31"/>
        <v>0</v>
      </c>
      <c r="M139" s="29"/>
      <c r="N139" s="225"/>
      <c r="O139" s="124">
        <v>92.6</v>
      </c>
      <c r="P139" s="225"/>
      <c r="Q139" s="225"/>
      <c r="U139" s="257"/>
      <c r="V139" s="111" t="str">
        <f t="shared" si="26"/>
        <v>PQF106</v>
      </c>
      <c r="X139" s="125"/>
      <c r="Y139" s="109">
        <f t="shared" si="27"/>
        <v>0</v>
      </c>
      <c r="AB139" s="127"/>
      <c r="AZ139" s="4"/>
      <c r="BA139" s="4"/>
      <c r="BB139" s="3"/>
      <c r="BC139" s="98"/>
      <c r="BD139" s="98"/>
    </row>
    <row r="140" spans="1:56" ht="11.25">
      <c r="A140" s="31">
        <f t="shared" si="28"/>
        <v>88</v>
      </c>
      <c r="B140" s="70" t="s">
        <v>653</v>
      </c>
      <c r="C140" s="71"/>
      <c r="D140" s="279" t="s">
        <v>655</v>
      </c>
      <c r="E140" s="382"/>
      <c r="F140" s="382"/>
      <c r="G140" s="412"/>
      <c r="H140" s="283">
        <f t="shared" si="29"/>
        <v>0</v>
      </c>
      <c r="I140" s="225"/>
      <c r="J140" s="63"/>
      <c r="K140" s="287">
        <f t="shared" si="30"/>
        <v>0</v>
      </c>
      <c r="L140" s="287">
        <f t="shared" si="31"/>
        <v>0</v>
      </c>
      <c r="M140" s="29"/>
      <c r="N140" s="225"/>
      <c r="O140" s="124">
        <v>51.4</v>
      </c>
      <c r="P140" s="225"/>
      <c r="Q140" s="225"/>
      <c r="U140" s="257"/>
      <c r="V140" s="111" t="str">
        <f t="shared" si="26"/>
        <v>PQF221</v>
      </c>
      <c r="X140" s="125"/>
      <c r="Y140" s="109">
        <f t="shared" si="27"/>
        <v>0</v>
      </c>
      <c r="AB140" s="127"/>
      <c r="AZ140" s="4"/>
      <c r="BA140" s="4"/>
      <c r="BB140" s="3"/>
      <c r="BC140" s="98"/>
      <c r="BD140" s="98"/>
    </row>
    <row r="141" spans="1:56" ht="11.25">
      <c r="A141" s="31">
        <f t="shared" si="28"/>
        <v>89</v>
      </c>
      <c r="B141" s="70" t="s">
        <v>377</v>
      </c>
      <c r="C141" s="71"/>
      <c r="D141" s="279" t="s">
        <v>1764</v>
      </c>
      <c r="E141" s="382"/>
      <c r="F141" s="382"/>
      <c r="G141" s="412"/>
      <c r="H141" s="283">
        <f t="shared" si="29"/>
        <v>0</v>
      </c>
      <c r="I141" s="225"/>
      <c r="J141" s="63"/>
      <c r="K141" s="287">
        <f t="shared" si="30"/>
        <v>0</v>
      </c>
      <c r="L141" s="287">
        <f t="shared" si="31"/>
        <v>0</v>
      </c>
      <c r="M141" s="29"/>
      <c r="N141" s="225"/>
      <c r="O141" s="124">
        <v>63.6</v>
      </c>
      <c r="P141" s="225"/>
      <c r="Q141" s="225"/>
      <c r="U141" s="257"/>
      <c r="V141" s="111" t="str">
        <f t="shared" si="26"/>
        <v>PQF107</v>
      </c>
      <c r="X141" s="125"/>
      <c r="Y141" s="109">
        <f t="shared" si="27"/>
        <v>0</v>
      </c>
      <c r="AB141" s="127"/>
      <c r="AZ141" s="4"/>
      <c r="BA141" s="4"/>
      <c r="BB141" s="3"/>
      <c r="BC141" s="98"/>
      <c r="BD141" s="98"/>
    </row>
    <row r="142" spans="1:56" ht="11.25">
      <c r="A142" s="31">
        <f t="shared" si="28"/>
        <v>90</v>
      </c>
      <c r="B142" s="70" t="s">
        <v>586</v>
      </c>
      <c r="C142" s="71"/>
      <c r="D142" s="279" t="s">
        <v>1773</v>
      </c>
      <c r="E142" s="382"/>
      <c r="F142" s="382"/>
      <c r="G142" s="412"/>
      <c r="H142" s="283">
        <f t="shared" si="29"/>
        <v>0</v>
      </c>
      <c r="I142" s="225"/>
      <c r="J142" s="63"/>
      <c r="K142" s="287">
        <f t="shared" si="30"/>
        <v>0</v>
      </c>
      <c r="L142" s="287">
        <f t="shared" si="31"/>
        <v>0</v>
      </c>
      <c r="M142" s="29"/>
      <c r="N142" s="225"/>
      <c r="O142" s="124">
        <v>223.6</v>
      </c>
      <c r="P142" s="225"/>
      <c r="Q142" s="225"/>
      <c r="U142" s="257"/>
      <c r="V142" s="111" t="str">
        <f t="shared" si="26"/>
        <v>PQF108</v>
      </c>
      <c r="X142" s="125"/>
      <c r="Y142" s="109">
        <f t="shared" si="27"/>
        <v>0</v>
      </c>
      <c r="AB142" s="127"/>
      <c r="AZ142" s="4"/>
      <c r="BA142" s="4"/>
      <c r="BB142" s="3"/>
      <c r="BC142" s="98"/>
      <c r="BD142" s="98"/>
    </row>
    <row r="143" spans="1:56" ht="11.25">
      <c r="A143" s="31">
        <f t="shared" si="28"/>
        <v>91</v>
      </c>
      <c r="B143" s="70" t="s">
        <v>608</v>
      </c>
      <c r="C143" s="71"/>
      <c r="D143" s="279" t="s">
        <v>1774</v>
      </c>
      <c r="E143" s="382"/>
      <c r="F143" s="382"/>
      <c r="G143" s="412"/>
      <c r="H143" s="283">
        <f t="shared" si="29"/>
        <v>0</v>
      </c>
      <c r="I143" s="225"/>
      <c r="J143" s="63"/>
      <c r="K143" s="287">
        <f t="shared" si="30"/>
        <v>0</v>
      </c>
      <c r="L143" s="287">
        <f t="shared" si="31"/>
        <v>0</v>
      </c>
      <c r="M143" s="29"/>
      <c r="N143" s="225"/>
      <c r="O143" s="124">
        <v>837.9</v>
      </c>
      <c r="P143" s="225"/>
      <c r="Q143" s="225"/>
      <c r="U143" s="257"/>
      <c r="V143" s="111" t="str">
        <f t="shared" si="26"/>
        <v>PQF109</v>
      </c>
      <c r="X143" s="125"/>
      <c r="Y143" s="109">
        <f t="shared" si="27"/>
        <v>0</v>
      </c>
      <c r="AB143" s="127"/>
      <c r="AZ143" s="4"/>
      <c r="BA143" s="4"/>
      <c r="BB143" s="3"/>
      <c r="BC143" s="98"/>
      <c r="BD143" s="98"/>
    </row>
    <row r="144" spans="1:56" ht="11.25">
      <c r="A144" s="31">
        <f t="shared" si="28"/>
        <v>92</v>
      </c>
      <c r="B144" s="70" t="s">
        <v>1686</v>
      </c>
      <c r="C144" s="71"/>
      <c r="D144" s="279" t="s">
        <v>1775</v>
      </c>
      <c r="E144" s="382"/>
      <c r="F144" s="382"/>
      <c r="G144" s="412"/>
      <c r="H144" s="283">
        <f t="shared" si="29"/>
        <v>0</v>
      </c>
      <c r="I144" s="628"/>
      <c r="J144" s="63"/>
      <c r="K144" s="287">
        <f t="shared" si="30"/>
        <v>0</v>
      </c>
      <c r="L144" s="287">
        <f t="shared" si="31"/>
        <v>0</v>
      </c>
      <c r="M144" s="29"/>
      <c r="N144" s="225"/>
      <c r="O144" s="124">
        <v>33.7</v>
      </c>
      <c r="P144" s="225"/>
      <c r="Q144" s="225"/>
      <c r="U144" s="257"/>
      <c r="V144" s="111" t="str">
        <f t="shared" si="26"/>
        <v>PQF110</v>
      </c>
      <c r="X144" s="125"/>
      <c r="Y144" s="109">
        <f t="shared" si="27"/>
        <v>0</v>
      </c>
      <c r="AB144" s="127"/>
      <c r="AZ144" s="4"/>
      <c r="BA144" s="4"/>
      <c r="BB144" s="3"/>
      <c r="BC144" s="98"/>
      <c r="BD144" s="98"/>
    </row>
    <row r="145" spans="1:56" ht="11.25">
      <c r="A145" s="31">
        <f t="shared" si="28"/>
        <v>93</v>
      </c>
      <c r="B145" s="39" t="s">
        <v>406</v>
      </c>
      <c r="C145" s="39"/>
      <c r="D145" s="39"/>
      <c r="E145" s="40">
        <f>SUM(E134:E144)</f>
        <v>0</v>
      </c>
      <c r="F145" s="41">
        <f>SUM(F134:F144)</f>
        <v>0</v>
      </c>
      <c r="G145" s="2"/>
      <c r="H145" s="40">
        <f>SUM(H134:H144)</f>
        <v>0</v>
      </c>
      <c r="I145" s="628"/>
      <c r="J145" s="63"/>
      <c r="K145" s="290">
        <f>SUM(K134:K144)</f>
        <v>0</v>
      </c>
      <c r="L145" s="290">
        <f>SUM(L134:L144)</f>
        <v>0</v>
      </c>
      <c r="M145" s="29"/>
      <c r="N145" s="225"/>
      <c r="O145" s="225"/>
      <c r="P145" s="225"/>
      <c r="Q145" s="225"/>
      <c r="U145" s="257"/>
      <c r="V145" s="123"/>
      <c r="W145" s="126"/>
      <c r="X145" s="126"/>
      <c r="AB145" s="127"/>
      <c r="AZ145" s="4"/>
      <c r="BA145" s="4"/>
      <c r="BB145" s="3"/>
      <c r="BC145" s="98"/>
      <c r="BD145" s="98"/>
    </row>
    <row r="146" spans="1:56" ht="11.25">
      <c r="A146" s="62"/>
      <c r="B146" s="12" t="s">
        <v>35</v>
      </c>
      <c r="C146" s="15"/>
      <c r="D146" s="25"/>
      <c r="E146" s="61"/>
      <c r="F146" s="61"/>
      <c r="G146" s="60"/>
      <c r="H146" s="122"/>
      <c r="I146" s="225"/>
      <c r="J146" s="63"/>
      <c r="K146" s="293"/>
      <c r="L146" s="60"/>
      <c r="M146" s="29"/>
      <c r="N146" s="225"/>
      <c r="O146" s="225"/>
      <c r="P146" s="225"/>
      <c r="Q146" s="225"/>
      <c r="U146" s="257"/>
      <c r="V146" s="123"/>
      <c r="W146" s="126"/>
      <c r="X146" s="126"/>
      <c r="AB146" s="127"/>
      <c r="AZ146" s="4"/>
      <c r="BA146" s="4"/>
      <c r="BB146" s="3"/>
      <c r="BC146" s="98"/>
      <c r="BD146" s="98"/>
    </row>
    <row r="147" spans="1:56" ht="11.25">
      <c r="A147" s="31">
        <f>A145+1</f>
        <v>94</v>
      </c>
      <c r="B147" s="70" t="s">
        <v>304</v>
      </c>
      <c r="C147" s="71"/>
      <c r="D147" s="279" t="s">
        <v>1588</v>
      </c>
      <c r="E147" s="382"/>
      <c r="F147" s="382"/>
      <c r="G147" s="412"/>
      <c r="H147" s="283">
        <f>F147*G147</f>
        <v>0</v>
      </c>
      <c r="I147" s="225"/>
      <c r="J147" s="63"/>
      <c r="K147" s="287">
        <f>IF(E147=0,0,E147/$E$158)</f>
        <v>0</v>
      </c>
      <c r="L147" s="287">
        <f>IF(F147=0,0,F147/$F$158)</f>
        <v>0</v>
      </c>
      <c r="M147" s="29"/>
      <c r="N147" s="225"/>
      <c r="O147" s="124">
        <f>O134</f>
        <v>22.5</v>
      </c>
      <c r="P147" s="225"/>
      <c r="Q147" s="225"/>
      <c r="U147" s="257"/>
      <c r="V147" s="111" t="str">
        <f aca="true" t="shared" si="32" ref="V147:V157">CONCATENATE("PQ",D147)</f>
        <v>PQF131</v>
      </c>
      <c r="X147" s="125"/>
      <c r="Y147" s="109">
        <f aca="true" t="shared" si="33" ref="Y147:Y157">A147*H147</f>
        <v>0</v>
      </c>
      <c r="AB147" s="127"/>
      <c r="AZ147" s="4"/>
      <c r="BA147" s="4"/>
      <c r="BB147" s="3"/>
      <c r="BC147" s="98"/>
      <c r="BD147" s="98"/>
    </row>
    <row r="148" spans="1:56" ht="11.25">
      <c r="A148" s="31">
        <f aca="true" t="shared" si="34" ref="A148:A158">A147+1</f>
        <v>95</v>
      </c>
      <c r="B148" s="70" t="s">
        <v>305</v>
      </c>
      <c r="C148" s="71"/>
      <c r="D148" s="279" t="s">
        <v>1589</v>
      </c>
      <c r="E148" s="382"/>
      <c r="F148" s="382"/>
      <c r="G148" s="412"/>
      <c r="H148" s="283">
        <f aca="true" t="shared" si="35" ref="H148:H157">F148*G148</f>
        <v>0</v>
      </c>
      <c r="I148" s="225"/>
      <c r="J148" s="63"/>
      <c r="K148" s="287">
        <f aca="true" t="shared" si="36" ref="K148:K157">IF(E148=0,0,E148/$E$158)</f>
        <v>0</v>
      </c>
      <c r="L148" s="287">
        <f aca="true" t="shared" si="37" ref="L148:L157">IF(F148=0,0,F148/$F$158)</f>
        <v>0</v>
      </c>
      <c r="M148" s="29"/>
      <c r="N148" s="225"/>
      <c r="O148" s="124">
        <f aca="true" t="shared" si="38" ref="O148:O157">O135</f>
        <v>215.9</v>
      </c>
      <c r="P148" s="225"/>
      <c r="Q148" s="225"/>
      <c r="U148" s="257"/>
      <c r="V148" s="111" t="str">
        <f t="shared" si="32"/>
        <v>PQF132</v>
      </c>
      <c r="X148" s="125"/>
      <c r="Y148" s="109">
        <f t="shared" si="33"/>
        <v>0</v>
      </c>
      <c r="AB148" s="127"/>
      <c r="AZ148" s="4"/>
      <c r="BA148" s="4"/>
      <c r="BB148" s="3"/>
      <c r="BC148" s="98"/>
      <c r="BD148" s="98"/>
    </row>
    <row r="149" spans="1:56" ht="11.25">
      <c r="A149" s="31">
        <f t="shared" si="34"/>
        <v>96</v>
      </c>
      <c r="B149" s="70" t="s">
        <v>374</v>
      </c>
      <c r="C149" s="71"/>
      <c r="D149" s="279" t="s">
        <v>1850</v>
      </c>
      <c r="E149" s="382"/>
      <c r="F149" s="382"/>
      <c r="G149" s="412"/>
      <c r="H149" s="283">
        <f t="shared" si="35"/>
        <v>0</v>
      </c>
      <c r="I149" s="225"/>
      <c r="J149" s="63"/>
      <c r="K149" s="287">
        <f t="shared" si="36"/>
        <v>0</v>
      </c>
      <c r="L149" s="287">
        <f t="shared" si="37"/>
        <v>0</v>
      </c>
      <c r="M149" s="29"/>
      <c r="N149" s="225"/>
      <c r="O149" s="124">
        <f t="shared" si="38"/>
        <v>448.8</v>
      </c>
      <c r="P149" s="225"/>
      <c r="Q149" s="225"/>
      <c r="U149" s="257"/>
      <c r="V149" s="111" t="str">
        <f t="shared" si="32"/>
        <v>PQF133</v>
      </c>
      <c r="X149" s="125"/>
      <c r="Y149" s="109">
        <f t="shared" si="33"/>
        <v>0</v>
      </c>
      <c r="AB149" s="127"/>
      <c r="AZ149" s="4"/>
      <c r="BA149" s="4"/>
      <c r="BB149" s="3"/>
      <c r="BC149" s="98"/>
      <c r="BD149" s="98"/>
    </row>
    <row r="150" spans="1:56" ht="11.25">
      <c r="A150" s="31">
        <f t="shared" si="34"/>
        <v>97</v>
      </c>
      <c r="B150" s="70" t="s">
        <v>375</v>
      </c>
      <c r="C150" s="71"/>
      <c r="D150" s="279" t="s">
        <v>1851</v>
      </c>
      <c r="E150" s="382"/>
      <c r="F150" s="382"/>
      <c r="G150" s="412"/>
      <c r="H150" s="283">
        <f t="shared" si="35"/>
        <v>0</v>
      </c>
      <c r="I150" s="225"/>
      <c r="J150" s="63"/>
      <c r="K150" s="287">
        <f t="shared" si="36"/>
        <v>0</v>
      </c>
      <c r="L150" s="287">
        <f t="shared" si="37"/>
        <v>0</v>
      </c>
      <c r="M150" s="29"/>
      <c r="N150" s="225"/>
      <c r="O150" s="124">
        <f t="shared" si="38"/>
        <v>109.3</v>
      </c>
      <c r="P150" s="225"/>
      <c r="Q150" s="225"/>
      <c r="U150" s="257"/>
      <c r="V150" s="111" t="str">
        <f t="shared" si="32"/>
        <v>PQF134</v>
      </c>
      <c r="X150" s="125"/>
      <c r="Y150" s="109">
        <f t="shared" si="33"/>
        <v>0</v>
      </c>
      <c r="AB150" s="127"/>
      <c r="AZ150" s="4"/>
      <c r="BA150" s="4"/>
      <c r="BB150" s="3"/>
      <c r="BC150" s="98"/>
      <c r="BD150" s="98"/>
    </row>
    <row r="151" spans="1:56" ht="11.25">
      <c r="A151" s="31">
        <f t="shared" si="34"/>
        <v>98</v>
      </c>
      <c r="B151" s="70" t="s">
        <v>376</v>
      </c>
      <c r="C151" s="71"/>
      <c r="D151" s="279" t="s">
        <v>1852</v>
      </c>
      <c r="E151" s="382"/>
      <c r="F151" s="382"/>
      <c r="G151" s="412"/>
      <c r="H151" s="283">
        <f t="shared" si="35"/>
        <v>0</v>
      </c>
      <c r="I151" s="225"/>
      <c r="J151" s="63"/>
      <c r="K151" s="287">
        <f t="shared" si="36"/>
        <v>0</v>
      </c>
      <c r="L151" s="287">
        <f t="shared" si="37"/>
        <v>0</v>
      </c>
      <c r="M151" s="29"/>
      <c r="N151" s="225"/>
      <c r="O151" s="124">
        <f t="shared" si="38"/>
        <v>73.4</v>
      </c>
      <c r="P151" s="225"/>
      <c r="Q151" s="225"/>
      <c r="U151" s="257"/>
      <c r="V151" s="111" t="str">
        <f t="shared" si="32"/>
        <v>PQF135</v>
      </c>
      <c r="X151" s="125"/>
      <c r="Y151" s="109">
        <f t="shared" si="33"/>
        <v>0</v>
      </c>
      <c r="AB151" s="127"/>
      <c r="AZ151" s="4"/>
      <c r="BA151" s="4"/>
      <c r="BB151" s="3"/>
      <c r="BC151" s="98"/>
      <c r="BD151" s="98"/>
    </row>
    <row r="152" spans="1:56" ht="11.25">
      <c r="A152" s="31">
        <f t="shared" si="34"/>
        <v>99</v>
      </c>
      <c r="B152" s="70" t="s">
        <v>585</v>
      </c>
      <c r="C152" s="71"/>
      <c r="D152" s="279" t="s">
        <v>1853</v>
      </c>
      <c r="E152" s="382"/>
      <c r="F152" s="382"/>
      <c r="G152" s="412"/>
      <c r="H152" s="283">
        <f t="shared" si="35"/>
        <v>0</v>
      </c>
      <c r="I152" s="225"/>
      <c r="J152" s="63"/>
      <c r="K152" s="287">
        <f t="shared" si="36"/>
        <v>0</v>
      </c>
      <c r="L152" s="287">
        <f t="shared" si="37"/>
        <v>0</v>
      </c>
      <c r="M152" s="29"/>
      <c r="N152" s="225"/>
      <c r="O152" s="124">
        <f t="shared" si="38"/>
        <v>92.6</v>
      </c>
      <c r="P152" s="225"/>
      <c r="Q152" s="225"/>
      <c r="U152" s="257"/>
      <c r="V152" s="111" t="str">
        <f t="shared" si="32"/>
        <v>PQF136</v>
      </c>
      <c r="X152" s="125"/>
      <c r="Y152" s="109">
        <f t="shared" si="33"/>
        <v>0</v>
      </c>
      <c r="AB152" s="127"/>
      <c r="AZ152" s="4"/>
      <c r="BA152" s="4"/>
      <c r="BB152" s="3"/>
      <c r="BC152" s="98"/>
      <c r="BD152" s="98"/>
    </row>
    <row r="153" spans="1:56" ht="11.25">
      <c r="A153" s="31">
        <f t="shared" si="34"/>
        <v>100</v>
      </c>
      <c r="B153" s="70" t="s">
        <v>653</v>
      </c>
      <c r="C153" s="71"/>
      <c r="D153" s="279" t="s">
        <v>656</v>
      </c>
      <c r="E153" s="382"/>
      <c r="F153" s="382"/>
      <c r="G153" s="412"/>
      <c r="H153" s="283">
        <f t="shared" si="35"/>
        <v>0</v>
      </c>
      <c r="I153" s="225"/>
      <c r="J153" s="63"/>
      <c r="K153" s="287">
        <f t="shared" si="36"/>
        <v>0</v>
      </c>
      <c r="L153" s="287">
        <f t="shared" si="37"/>
        <v>0</v>
      </c>
      <c r="M153" s="29"/>
      <c r="N153" s="225"/>
      <c r="O153" s="124">
        <f t="shared" si="38"/>
        <v>51.4</v>
      </c>
      <c r="P153" s="225"/>
      <c r="Q153" s="225"/>
      <c r="U153" s="257"/>
      <c r="V153" s="111" t="str">
        <f t="shared" si="32"/>
        <v>PQF222</v>
      </c>
      <c r="X153" s="125"/>
      <c r="Y153" s="109">
        <f t="shared" si="33"/>
        <v>0</v>
      </c>
      <c r="AB153" s="127"/>
      <c r="AZ153" s="4"/>
      <c r="BA153" s="4"/>
      <c r="BB153" s="3"/>
      <c r="BC153" s="98"/>
      <c r="BD153" s="98"/>
    </row>
    <row r="154" spans="1:56" ht="11.25">
      <c r="A154" s="31">
        <f t="shared" si="34"/>
        <v>101</v>
      </c>
      <c r="B154" s="70" t="s">
        <v>377</v>
      </c>
      <c r="C154" s="71"/>
      <c r="D154" s="279" t="s">
        <v>1854</v>
      </c>
      <c r="E154" s="382"/>
      <c r="F154" s="382"/>
      <c r="G154" s="412"/>
      <c r="H154" s="283">
        <f t="shared" si="35"/>
        <v>0</v>
      </c>
      <c r="I154" s="225"/>
      <c r="J154" s="63"/>
      <c r="K154" s="287">
        <f t="shared" si="36"/>
        <v>0</v>
      </c>
      <c r="L154" s="287">
        <f t="shared" si="37"/>
        <v>0</v>
      </c>
      <c r="M154" s="29"/>
      <c r="N154" s="225"/>
      <c r="O154" s="124">
        <f t="shared" si="38"/>
        <v>63.6</v>
      </c>
      <c r="P154" s="225"/>
      <c r="Q154" s="225"/>
      <c r="U154" s="257"/>
      <c r="V154" s="111" t="str">
        <f t="shared" si="32"/>
        <v>PQF137</v>
      </c>
      <c r="X154" s="125"/>
      <c r="Y154" s="109">
        <f t="shared" si="33"/>
        <v>0</v>
      </c>
      <c r="AB154" s="127"/>
      <c r="AZ154" s="4"/>
      <c r="BA154" s="4"/>
      <c r="BB154" s="3"/>
      <c r="BC154" s="98"/>
      <c r="BD154" s="98"/>
    </row>
    <row r="155" spans="1:56" ht="11.25">
      <c r="A155" s="31">
        <f t="shared" si="34"/>
        <v>102</v>
      </c>
      <c r="B155" s="70" t="s">
        <v>586</v>
      </c>
      <c r="C155" s="71"/>
      <c r="D155" s="279" t="s">
        <v>1855</v>
      </c>
      <c r="E155" s="382"/>
      <c r="F155" s="382"/>
      <c r="G155" s="412"/>
      <c r="H155" s="283">
        <f t="shared" si="35"/>
        <v>0</v>
      </c>
      <c r="I155" s="225"/>
      <c r="J155" s="63"/>
      <c r="K155" s="287">
        <f t="shared" si="36"/>
        <v>0</v>
      </c>
      <c r="L155" s="287">
        <f t="shared" si="37"/>
        <v>0</v>
      </c>
      <c r="M155" s="29"/>
      <c r="N155" s="225"/>
      <c r="O155" s="124">
        <f t="shared" si="38"/>
        <v>223.6</v>
      </c>
      <c r="P155" s="225"/>
      <c r="Q155" s="225"/>
      <c r="U155" s="257"/>
      <c r="V155" s="111" t="str">
        <f t="shared" si="32"/>
        <v>PQF138</v>
      </c>
      <c r="X155" s="125"/>
      <c r="Y155" s="109">
        <f t="shared" si="33"/>
        <v>0</v>
      </c>
      <c r="AB155" s="127"/>
      <c r="AZ155" s="4"/>
      <c r="BA155" s="4"/>
      <c r="BB155" s="3"/>
      <c r="BC155" s="98"/>
      <c r="BD155" s="98"/>
    </row>
    <row r="156" spans="1:56" ht="11.25">
      <c r="A156" s="31">
        <f t="shared" si="34"/>
        <v>103</v>
      </c>
      <c r="B156" s="70" t="s">
        <v>608</v>
      </c>
      <c r="C156" s="71"/>
      <c r="D156" s="279" t="s">
        <v>1856</v>
      </c>
      <c r="E156" s="382"/>
      <c r="F156" s="382"/>
      <c r="G156" s="412"/>
      <c r="H156" s="283">
        <f t="shared" si="35"/>
        <v>0</v>
      </c>
      <c r="I156" s="225"/>
      <c r="J156" s="63"/>
      <c r="K156" s="287">
        <f t="shared" si="36"/>
        <v>0</v>
      </c>
      <c r="L156" s="287">
        <f t="shared" si="37"/>
        <v>0</v>
      </c>
      <c r="M156" s="29"/>
      <c r="N156" s="225"/>
      <c r="O156" s="124">
        <f t="shared" si="38"/>
        <v>837.9</v>
      </c>
      <c r="P156" s="225"/>
      <c r="Q156" s="225"/>
      <c r="U156" s="257"/>
      <c r="V156" s="111" t="str">
        <f t="shared" si="32"/>
        <v>PQF139</v>
      </c>
      <c r="X156" s="125"/>
      <c r="Y156" s="109">
        <f t="shared" si="33"/>
        <v>0</v>
      </c>
      <c r="AB156" s="127"/>
      <c r="AZ156" s="4"/>
      <c r="BA156" s="4"/>
      <c r="BB156" s="3"/>
      <c r="BC156" s="98"/>
      <c r="BD156" s="98"/>
    </row>
    <row r="157" spans="1:56" ht="11.25">
      <c r="A157" s="31">
        <f t="shared" si="34"/>
        <v>104</v>
      </c>
      <c r="B157" s="70" t="s">
        <v>1686</v>
      </c>
      <c r="C157" s="71"/>
      <c r="D157" s="279" t="s">
        <v>1857</v>
      </c>
      <c r="E157" s="382"/>
      <c r="F157" s="382"/>
      <c r="G157" s="412"/>
      <c r="H157" s="283">
        <f t="shared" si="35"/>
        <v>0</v>
      </c>
      <c r="I157" s="225"/>
      <c r="J157" s="63"/>
      <c r="K157" s="287">
        <f t="shared" si="36"/>
        <v>0</v>
      </c>
      <c r="L157" s="287">
        <f t="shared" si="37"/>
        <v>0</v>
      </c>
      <c r="M157" s="29"/>
      <c r="N157" s="225"/>
      <c r="O157" s="124">
        <f t="shared" si="38"/>
        <v>33.7</v>
      </c>
      <c r="P157" s="225"/>
      <c r="Q157" s="225"/>
      <c r="U157" s="257"/>
      <c r="V157" s="111" t="str">
        <f t="shared" si="32"/>
        <v>PQF140</v>
      </c>
      <c r="X157" s="125"/>
      <c r="Y157" s="109">
        <f t="shared" si="33"/>
        <v>0</v>
      </c>
      <c r="AB157" s="127"/>
      <c r="AZ157" s="4"/>
      <c r="BA157" s="4"/>
      <c r="BB157" s="3"/>
      <c r="BC157" s="98"/>
      <c r="BD157" s="98"/>
    </row>
    <row r="158" spans="1:56" ht="11.25">
      <c r="A158" s="31">
        <f t="shared" si="34"/>
        <v>105</v>
      </c>
      <c r="B158" s="39" t="s">
        <v>406</v>
      </c>
      <c r="C158" s="39"/>
      <c r="D158" s="39"/>
      <c r="E158" s="40">
        <f>SUM(E147:E157)</f>
        <v>0</v>
      </c>
      <c r="F158" s="41">
        <f>SUM(F147:F157)</f>
        <v>0</v>
      </c>
      <c r="G158" s="2"/>
      <c r="H158" s="40">
        <f>SUM(H147:H157)</f>
        <v>0</v>
      </c>
      <c r="I158" s="225"/>
      <c r="J158" s="63"/>
      <c r="K158" s="290">
        <f>SUM(K147:K157)</f>
        <v>0</v>
      </c>
      <c r="L158" s="290">
        <f>SUM(L147:L157)</f>
        <v>0</v>
      </c>
      <c r="M158" s="29"/>
      <c r="N158" s="225"/>
      <c r="O158" s="225"/>
      <c r="P158" s="225"/>
      <c r="Q158" s="225"/>
      <c r="U158" s="257"/>
      <c r="V158" s="123"/>
      <c r="W158" s="126"/>
      <c r="X158" s="126"/>
      <c r="AB158" s="127"/>
      <c r="AZ158" s="4"/>
      <c r="BA158" s="4"/>
      <c r="BB158" s="3"/>
      <c r="BC158" s="98"/>
      <c r="BD158" s="98"/>
    </row>
    <row r="159" spans="1:56" ht="11.25">
      <c r="A159" s="62"/>
      <c r="B159" s="9" t="s">
        <v>36</v>
      </c>
      <c r="C159" s="15"/>
      <c r="D159" s="25"/>
      <c r="E159" s="60"/>
      <c r="F159" s="60"/>
      <c r="G159" s="60"/>
      <c r="H159" s="122"/>
      <c r="I159" s="225"/>
      <c r="J159" s="63"/>
      <c r="K159" s="293"/>
      <c r="L159" s="60"/>
      <c r="M159" s="29"/>
      <c r="N159" s="225"/>
      <c r="O159" s="225"/>
      <c r="P159" s="225"/>
      <c r="U159" s="257"/>
      <c r="V159" s="104"/>
      <c r="W159" s="126"/>
      <c r="X159" s="126"/>
      <c r="AB159" s="127"/>
      <c r="AZ159" s="4"/>
      <c r="BA159" s="4"/>
      <c r="BB159" s="3"/>
      <c r="BC159" s="98"/>
      <c r="BD159" s="98"/>
    </row>
    <row r="160" spans="1:56" ht="11.25">
      <c r="A160" s="31">
        <f>A158+1</f>
        <v>106</v>
      </c>
      <c r="B160" s="70" t="s">
        <v>304</v>
      </c>
      <c r="C160" s="71"/>
      <c r="D160" s="279" t="s">
        <v>1858</v>
      </c>
      <c r="E160" s="382"/>
      <c r="F160" s="382"/>
      <c r="G160" s="412"/>
      <c r="H160" s="283">
        <f>F160*G160</f>
        <v>0</v>
      </c>
      <c r="I160" s="225"/>
      <c r="J160" s="63"/>
      <c r="K160" s="287">
        <f>IF(E160=0,0,E160/$E$171)</f>
        <v>0</v>
      </c>
      <c r="L160" s="287">
        <f>IF(F160=0,0,F160/$F$171)</f>
        <v>0</v>
      </c>
      <c r="M160" s="29"/>
      <c r="N160" s="225"/>
      <c r="O160" s="124">
        <f>O147</f>
        <v>22.5</v>
      </c>
      <c r="P160" s="225"/>
      <c r="U160" s="257"/>
      <c r="V160" s="111" t="str">
        <f aca="true" t="shared" si="39" ref="V160:V170">CONCATENATE("PQ",D160)</f>
        <v>PQF141</v>
      </c>
      <c r="X160" s="125"/>
      <c r="Y160" s="109">
        <f aca="true" t="shared" si="40" ref="Y160:Y170">A160*H160</f>
        <v>0</v>
      </c>
      <c r="AB160" s="127"/>
      <c r="AZ160" s="4"/>
      <c r="BA160" s="4"/>
      <c r="BB160" s="3"/>
      <c r="BC160" s="98"/>
      <c r="BD160" s="98"/>
    </row>
    <row r="161" spans="1:56" ht="11.25">
      <c r="A161" s="31">
        <f aca="true" t="shared" si="41" ref="A161:A171">A160+1</f>
        <v>107</v>
      </c>
      <c r="B161" s="70" t="s">
        <v>305</v>
      </c>
      <c r="C161" s="71"/>
      <c r="D161" s="279" t="s">
        <v>1859</v>
      </c>
      <c r="E161" s="382"/>
      <c r="F161" s="382"/>
      <c r="G161" s="412"/>
      <c r="H161" s="283">
        <f aca="true" t="shared" si="42" ref="H161:H170">F161*G161</f>
        <v>0</v>
      </c>
      <c r="I161" s="225"/>
      <c r="J161" s="63"/>
      <c r="K161" s="287">
        <f aca="true" t="shared" si="43" ref="K161:K170">IF(E161=0,0,E161/$E$171)</f>
        <v>0</v>
      </c>
      <c r="L161" s="287">
        <f aca="true" t="shared" si="44" ref="L161:L170">IF(F161=0,0,F161/$F$171)</f>
        <v>0</v>
      </c>
      <c r="M161" s="29"/>
      <c r="N161" s="225"/>
      <c r="O161" s="124">
        <f aca="true" t="shared" si="45" ref="O161:O170">O148</f>
        <v>215.9</v>
      </c>
      <c r="P161" s="225"/>
      <c r="U161" s="257"/>
      <c r="V161" s="111" t="str">
        <f t="shared" si="39"/>
        <v>PQF142</v>
      </c>
      <c r="X161" s="125"/>
      <c r="Y161" s="109">
        <f t="shared" si="40"/>
        <v>0</v>
      </c>
      <c r="AB161" s="127"/>
      <c r="AZ161" s="4"/>
      <c r="BA161" s="4"/>
      <c r="BB161" s="3"/>
      <c r="BC161" s="98"/>
      <c r="BD161" s="98"/>
    </row>
    <row r="162" spans="1:56" ht="11.25">
      <c r="A162" s="31">
        <f t="shared" si="41"/>
        <v>108</v>
      </c>
      <c r="B162" s="70" t="s">
        <v>374</v>
      </c>
      <c r="C162" s="71"/>
      <c r="D162" s="279" t="s">
        <v>1860</v>
      </c>
      <c r="E162" s="382"/>
      <c r="F162" s="382"/>
      <c r="G162" s="412"/>
      <c r="H162" s="283">
        <f t="shared" si="42"/>
        <v>0</v>
      </c>
      <c r="I162" s="225"/>
      <c r="J162" s="63"/>
      <c r="K162" s="287">
        <f t="shared" si="43"/>
        <v>0</v>
      </c>
      <c r="L162" s="287">
        <f t="shared" si="44"/>
        <v>0</v>
      </c>
      <c r="M162" s="29"/>
      <c r="N162" s="225"/>
      <c r="O162" s="124">
        <f t="shared" si="45"/>
        <v>448.8</v>
      </c>
      <c r="P162" s="225"/>
      <c r="U162" s="257"/>
      <c r="V162" s="111" t="str">
        <f t="shared" si="39"/>
        <v>PQF143</v>
      </c>
      <c r="X162" s="125"/>
      <c r="Y162" s="109">
        <f t="shared" si="40"/>
        <v>0</v>
      </c>
      <c r="AB162" s="127"/>
      <c r="AZ162" s="4"/>
      <c r="BA162" s="4"/>
      <c r="BB162" s="3"/>
      <c r="BC162" s="98"/>
      <c r="BD162" s="98"/>
    </row>
    <row r="163" spans="1:56" ht="11.25">
      <c r="A163" s="31">
        <f t="shared" si="41"/>
        <v>109</v>
      </c>
      <c r="B163" s="70" t="s">
        <v>375</v>
      </c>
      <c r="C163" s="71"/>
      <c r="D163" s="279" t="s">
        <v>1861</v>
      </c>
      <c r="E163" s="382"/>
      <c r="F163" s="382"/>
      <c r="G163" s="412"/>
      <c r="H163" s="283">
        <f t="shared" si="42"/>
        <v>0</v>
      </c>
      <c r="I163" s="225"/>
      <c r="J163" s="63"/>
      <c r="K163" s="287">
        <f t="shared" si="43"/>
        <v>0</v>
      </c>
      <c r="L163" s="287">
        <f t="shared" si="44"/>
        <v>0</v>
      </c>
      <c r="M163" s="29"/>
      <c r="N163" s="225"/>
      <c r="O163" s="124">
        <f t="shared" si="45"/>
        <v>109.3</v>
      </c>
      <c r="P163" s="225"/>
      <c r="U163" s="257"/>
      <c r="V163" s="111" t="str">
        <f t="shared" si="39"/>
        <v>PQF144</v>
      </c>
      <c r="X163" s="125"/>
      <c r="Y163" s="109">
        <f t="shared" si="40"/>
        <v>0</v>
      </c>
      <c r="AB163" s="127"/>
      <c r="AZ163" s="4"/>
      <c r="BA163" s="4"/>
      <c r="BB163" s="3"/>
      <c r="BC163" s="98"/>
      <c r="BD163" s="98"/>
    </row>
    <row r="164" spans="1:56" ht="11.25">
      <c r="A164" s="31">
        <f t="shared" si="41"/>
        <v>110</v>
      </c>
      <c r="B164" s="70" t="s">
        <v>376</v>
      </c>
      <c r="C164" s="71"/>
      <c r="D164" s="279" t="s">
        <v>1862</v>
      </c>
      <c r="E164" s="382"/>
      <c r="F164" s="382"/>
      <c r="G164" s="412"/>
      <c r="H164" s="283">
        <f t="shared" si="42"/>
        <v>0</v>
      </c>
      <c r="I164" s="225"/>
      <c r="J164" s="63"/>
      <c r="K164" s="287">
        <f t="shared" si="43"/>
        <v>0</v>
      </c>
      <c r="L164" s="287">
        <f t="shared" si="44"/>
        <v>0</v>
      </c>
      <c r="M164" s="29"/>
      <c r="N164" s="225"/>
      <c r="O164" s="124">
        <f t="shared" si="45"/>
        <v>73.4</v>
      </c>
      <c r="P164" s="225"/>
      <c r="U164" s="257"/>
      <c r="V164" s="111" t="str">
        <f t="shared" si="39"/>
        <v>PQF145</v>
      </c>
      <c r="X164" s="125"/>
      <c r="Y164" s="109">
        <f t="shared" si="40"/>
        <v>0</v>
      </c>
      <c r="AB164" s="127"/>
      <c r="AZ164" s="4"/>
      <c r="BA164" s="4"/>
      <c r="BB164" s="3"/>
      <c r="BC164" s="98"/>
      <c r="BD164" s="98"/>
    </row>
    <row r="165" spans="1:56" ht="11.25">
      <c r="A165" s="31">
        <f t="shared" si="41"/>
        <v>111</v>
      </c>
      <c r="B165" s="70" t="s">
        <v>585</v>
      </c>
      <c r="C165" s="71"/>
      <c r="D165" s="279" t="s">
        <v>1863</v>
      </c>
      <c r="E165" s="382"/>
      <c r="F165" s="382"/>
      <c r="G165" s="412"/>
      <c r="H165" s="283">
        <f t="shared" si="42"/>
        <v>0</v>
      </c>
      <c r="I165" s="225"/>
      <c r="J165" s="63"/>
      <c r="K165" s="287">
        <f t="shared" si="43"/>
        <v>0</v>
      </c>
      <c r="L165" s="287">
        <f t="shared" si="44"/>
        <v>0</v>
      </c>
      <c r="M165" s="29"/>
      <c r="N165" s="225"/>
      <c r="O165" s="124">
        <f t="shared" si="45"/>
        <v>92.6</v>
      </c>
      <c r="P165" s="225"/>
      <c r="U165" s="257"/>
      <c r="V165" s="111" t="str">
        <f t="shared" si="39"/>
        <v>PQF146</v>
      </c>
      <c r="X165" s="125"/>
      <c r="Y165" s="109">
        <f t="shared" si="40"/>
        <v>0</v>
      </c>
      <c r="AB165" s="127"/>
      <c r="AZ165" s="4"/>
      <c r="BA165" s="4"/>
      <c r="BB165" s="3"/>
      <c r="BC165" s="98"/>
      <c r="BD165" s="98"/>
    </row>
    <row r="166" spans="1:56" ht="11.25">
      <c r="A166" s="31">
        <f t="shared" si="41"/>
        <v>112</v>
      </c>
      <c r="B166" s="70" t="s">
        <v>653</v>
      </c>
      <c r="C166" s="71"/>
      <c r="D166" s="279" t="s">
        <v>657</v>
      </c>
      <c r="E166" s="382"/>
      <c r="F166" s="382"/>
      <c r="G166" s="412"/>
      <c r="H166" s="283">
        <f t="shared" si="42"/>
        <v>0</v>
      </c>
      <c r="I166" s="225"/>
      <c r="J166" s="63"/>
      <c r="K166" s="287">
        <f t="shared" si="43"/>
        <v>0</v>
      </c>
      <c r="L166" s="287">
        <f t="shared" si="44"/>
        <v>0</v>
      </c>
      <c r="M166" s="29"/>
      <c r="N166" s="225"/>
      <c r="O166" s="124">
        <f t="shared" si="45"/>
        <v>51.4</v>
      </c>
      <c r="P166" s="225"/>
      <c r="U166" s="257"/>
      <c r="V166" s="111" t="str">
        <f t="shared" si="39"/>
        <v>PQF223</v>
      </c>
      <c r="X166" s="125"/>
      <c r="Y166" s="109">
        <f t="shared" si="40"/>
        <v>0</v>
      </c>
      <c r="AB166" s="127"/>
      <c r="AZ166" s="4"/>
      <c r="BA166" s="4"/>
      <c r="BB166" s="3"/>
      <c r="BC166" s="98"/>
      <c r="BD166" s="98"/>
    </row>
    <row r="167" spans="1:56" ht="11.25">
      <c r="A167" s="31">
        <f t="shared" si="41"/>
        <v>113</v>
      </c>
      <c r="B167" s="70" t="s">
        <v>377</v>
      </c>
      <c r="C167" s="71"/>
      <c r="D167" s="279" t="s">
        <v>1864</v>
      </c>
      <c r="E167" s="382"/>
      <c r="F167" s="382"/>
      <c r="G167" s="412"/>
      <c r="H167" s="283">
        <f t="shared" si="42"/>
        <v>0</v>
      </c>
      <c r="I167" s="225"/>
      <c r="J167" s="63"/>
      <c r="K167" s="287">
        <f t="shared" si="43"/>
        <v>0</v>
      </c>
      <c r="L167" s="287">
        <f t="shared" si="44"/>
        <v>0</v>
      </c>
      <c r="M167" s="29"/>
      <c r="N167" s="225"/>
      <c r="O167" s="124">
        <f t="shared" si="45"/>
        <v>63.6</v>
      </c>
      <c r="P167" s="225"/>
      <c r="U167" s="257"/>
      <c r="V167" s="111" t="str">
        <f t="shared" si="39"/>
        <v>PQF147</v>
      </c>
      <c r="X167" s="125"/>
      <c r="Y167" s="109">
        <f t="shared" si="40"/>
        <v>0</v>
      </c>
      <c r="AB167" s="127"/>
      <c r="AZ167" s="4"/>
      <c r="BA167" s="4"/>
      <c r="BB167" s="3"/>
      <c r="BC167" s="98"/>
      <c r="BD167" s="98"/>
    </row>
    <row r="168" spans="1:56" ht="11.25">
      <c r="A168" s="31">
        <f t="shared" si="41"/>
        <v>114</v>
      </c>
      <c r="B168" s="70" t="s">
        <v>586</v>
      </c>
      <c r="C168" s="71"/>
      <c r="D168" s="279" t="s">
        <v>1865</v>
      </c>
      <c r="E168" s="382"/>
      <c r="F168" s="382"/>
      <c r="G168" s="412"/>
      <c r="H168" s="283">
        <f t="shared" si="42"/>
        <v>0</v>
      </c>
      <c r="I168" s="225"/>
      <c r="J168" s="63"/>
      <c r="K168" s="287">
        <f t="shared" si="43"/>
        <v>0</v>
      </c>
      <c r="L168" s="287">
        <f t="shared" si="44"/>
        <v>0</v>
      </c>
      <c r="M168" s="29"/>
      <c r="N168" s="225"/>
      <c r="O168" s="124">
        <f t="shared" si="45"/>
        <v>223.6</v>
      </c>
      <c r="P168" s="225"/>
      <c r="U168" s="257"/>
      <c r="V168" s="111" t="str">
        <f t="shared" si="39"/>
        <v>PQF148</v>
      </c>
      <c r="X168" s="125"/>
      <c r="Y168" s="109">
        <f t="shared" si="40"/>
        <v>0</v>
      </c>
      <c r="AB168" s="127"/>
      <c r="AZ168" s="4"/>
      <c r="BA168" s="4"/>
      <c r="BB168" s="3"/>
      <c r="BC168" s="98"/>
      <c r="BD168" s="98"/>
    </row>
    <row r="169" spans="1:56" ht="11.25">
      <c r="A169" s="31">
        <f t="shared" si="41"/>
        <v>115</v>
      </c>
      <c r="B169" s="70" t="s">
        <v>608</v>
      </c>
      <c r="C169" s="71"/>
      <c r="D169" s="279" t="s">
        <v>1866</v>
      </c>
      <c r="E169" s="382"/>
      <c r="F169" s="382"/>
      <c r="G169" s="412"/>
      <c r="H169" s="283">
        <f t="shared" si="42"/>
        <v>0</v>
      </c>
      <c r="I169" s="225"/>
      <c r="J169" s="63"/>
      <c r="K169" s="287">
        <f t="shared" si="43"/>
        <v>0</v>
      </c>
      <c r="L169" s="287">
        <f t="shared" si="44"/>
        <v>0</v>
      </c>
      <c r="M169" s="29"/>
      <c r="N169" s="225"/>
      <c r="O169" s="124">
        <f t="shared" si="45"/>
        <v>837.9</v>
      </c>
      <c r="P169" s="225"/>
      <c r="U169" s="257"/>
      <c r="V169" s="111" t="str">
        <f t="shared" si="39"/>
        <v>PQF149</v>
      </c>
      <c r="X169" s="125"/>
      <c r="Y169" s="109">
        <f t="shared" si="40"/>
        <v>0</v>
      </c>
      <c r="AB169" s="127"/>
      <c r="AZ169" s="4"/>
      <c r="BA169" s="4"/>
      <c r="BB169" s="3"/>
      <c r="BC169" s="98"/>
      <c r="BD169" s="98"/>
    </row>
    <row r="170" spans="1:56" ht="11.25">
      <c r="A170" s="31">
        <f t="shared" si="41"/>
        <v>116</v>
      </c>
      <c r="B170" s="70" t="s">
        <v>1686</v>
      </c>
      <c r="C170" s="71"/>
      <c r="D170" s="279" t="s">
        <v>1867</v>
      </c>
      <c r="E170" s="382"/>
      <c r="F170" s="382"/>
      <c r="G170" s="412"/>
      <c r="H170" s="283">
        <f t="shared" si="42"/>
        <v>0</v>
      </c>
      <c r="I170" s="225"/>
      <c r="J170" s="63"/>
      <c r="K170" s="287">
        <f t="shared" si="43"/>
        <v>0</v>
      </c>
      <c r="L170" s="287">
        <f t="shared" si="44"/>
        <v>0</v>
      </c>
      <c r="M170" s="29"/>
      <c r="N170" s="225"/>
      <c r="O170" s="124">
        <f t="shared" si="45"/>
        <v>33.7</v>
      </c>
      <c r="P170" s="225"/>
      <c r="U170" s="257"/>
      <c r="V170" s="111" t="str">
        <f t="shared" si="39"/>
        <v>PQF150</v>
      </c>
      <c r="X170" s="125"/>
      <c r="Y170" s="109">
        <f t="shared" si="40"/>
        <v>0</v>
      </c>
      <c r="AB170" s="127"/>
      <c r="AZ170" s="4"/>
      <c r="BA170" s="4"/>
      <c r="BB170" s="3"/>
      <c r="BC170" s="98"/>
      <c r="BD170" s="98"/>
    </row>
    <row r="171" spans="1:56" ht="11.25">
      <c r="A171" s="31">
        <f t="shared" si="41"/>
        <v>117</v>
      </c>
      <c r="B171" s="39" t="s">
        <v>406</v>
      </c>
      <c r="C171" s="39"/>
      <c r="D171" s="39"/>
      <c r="E171" s="54">
        <f>SUM(E160:E170)</f>
        <v>0</v>
      </c>
      <c r="F171" s="55">
        <f>SUM(F160:F170)</f>
        <v>0</v>
      </c>
      <c r="G171" s="291"/>
      <c r="H171" s="40">
        <f>SUM(H160:H170)</f>
        <v>0</v>
      </c>
      <c r="I171" s="225"/>
      <c r="J171" s="63"/>
      <c r="K171" s="290">
        <f>SUM(K160:K170)</f>
        <v>0</v>
      </c>
      <c r="L171" s="290">
        <f>SUM(L160:L170)</f>
        <v>0</v>
      </c>
      <c r="M171" s="29"/>
      <c r="N171" s="225"/>
      <c r="O171" s="126"/>
      <c r="P171" s="225"/>
      <c r="U171" s="257"/>
      <c r="V171" s="123"/>
      <c r="X171" s="126"/>
      <c r="AB171" s="127"/>
      <c r="AZ171" s="4"/>
      <c r="BA171" s="4"/>
      <c r="BB171" s="3"/>
      <c r="BC171" s="98"/>
      <c r="BD171" s="98"/>
    </row>
    <row r="172" spans="1:56" ht="11.25">
      <c r="A172" s="62"/>
      <c r="B172" s="12"/>
      <c r="C172" s="15"/>
      <c r="D172" s="25"/>
      <c r="E172" s="60"/>
      <c r="F172" s="60"/>
      <c r="G172" s="293"/>
      <c r="H172" s="122"/>
      <c r="I172" s="225"/>
      <c r="J172" s="63"/>
      <c r="L172" s="60"/>
      <c r="M172" s="29"/>
      <c r="N172" s="225"/>
      <c r="O172" s="126"/>
      <c r="P172" s="225"/>
      <c r="U172" s="257"/>
      <c r="V172" s="123"/>
      <c r="X172" s="126"/>
      <c r="AB172" s="127"/>
      <c r="AZ172" s="4"/>
      <c r="BA172" s="4"/>
      <c r="BB172" s="3"/>
      <c r="BC172" s="98"/>
      <c r="BD172" s="98"/>
    </row>
    <row r="173" spans="1:56" ht="11.25">
      <c r="A173" s="62"/>
      <c r="B173" s="12"/>
      <c r="C173" s="15"/>
      <c r="D173" s="25"/>
      <c r="E173" s="17" t="str">
        <f>$E$7</f>
        <v>Niet</v>
      </c>
      <c r="F173" s="17" t="str">
        <f>$F$7</f>
        <v>Mutatie</v>
      </c>
      <c r="G173" s="770" t="str">
        <f>$G$7</f>
        <v>Mutatie budget ZVW 2009</v>
      </c>
      <c r="H173" s="771"/>
      <c r="I173" s="225"/>
      <c r="J173" s="63"/>
      <c r="K173" s="760" t="s">
        <v>53</v>
      </c>
      <c r="L173" s="761"/>
      <c r="M173" s="29"/>
      <c r="N173" s="225"/>
      <c r="O173" s="123" t="s">
        <v>522</v>
      </c>
      <c r="P173" s="225"/>
      <c r="U173" s="257"/>
      <c r="V173" s="123"/>
      <c r="X173" s="126"/>
      <c r="AB173" s="127"/>
      <c r="AZ173" s="4"/>
      <c r="BA173" s="4"/>
      <c r="BB173" s="3"/>
      <c r="BC173" s="98"/>
      <c r="BD173" s="98"/>
    </row>
    <row r="174" spans="1:56" ht="11.25">
      <c r="A174" s="62"/>
      <c r="B174" s="12"/>
      <c r="C174" s="15"/>
      <c r="D174" s="25"/>
      <c r="E174" s="487" t="str">
        <f>$E$8</f>
        <v>invullen</v>
      </c>
      <c r="F174" s="22">
        <f>$F$8</f>
        <v>2009</v>
      </c>
      <c r="G174" s="24" t="s">
        <v>521</v>
      </c>
      <c r="H174" s="24" t="s">
        <v>409</v>
      </c>
      <c r="I174" s="225"/>
      <c r="J174" s="63"/>
      <c r="K174" s="24" t="s">
        <v>54</v>
      </c>
      <c r="L174" s="24" t="s">
        <v>55</v>
      </c>
      <c r="M174" s="29"/>
      <c r="N174" s="225"/>
      <c r="O174" s="123" t="s">
        <v>521</v>
      </c>
      <c r="P174" s="225"/>
      <c r="U174" s="257"/>
      <c r="V174" s="123"/>
      <c r="X174" s="126"/>
      <c r="AB174" s="127"/>
      <c r="AZ174" s="4"/>
      <c r="BA174" s="4"/>
      <c r="BB174" s="3"/>
      <c r="BC174" s="98"/>
      <c r="BD174" s="98"/>
    </row>
    <row r="175" spans="1:56" ht="11.25">
      <c r="A175" s="62"/>
      <c r="B175" s="12"/>
      <c r="C175" s="15"/>
      <c r="D175" s="25"/>
      <c r="E175" s="25" t="s">
        <v>617</v>
      </c>
      <c r="F175" s="25" t="s">
        <v>618</v>
      </c>
      <c r="G175" s="282" t="s">
        <v>619</v>
      </c>
      <c r="H175" s="282" t="s">
        <v>620</v>
      </c>
      <c r="I175" s="225"/>
      <c r="J175" s="63"/>
      <c r="L175" s="60"/>
      <c r="M175" s="29"/>
      <c r="N175" s="225"/>
      <c r="O175" s="126"/>
      <c r="P175" s="225"/>
      <c r="U175" s="257"/>
      <c r="V175" s="123"/>
      <c r="X175" s="126"/>
      <c r="AB175" s="127"/>
      <c r="AZ175" s="4"/>
      <c r="BA175" s="4"/>
      <c r="BB175" s="3"/>
      <c r="BC175" s="98"/>
      <c r="BD175" s="98"/>
    </row>
    <row r="176" spans="1:56" ht="11.25">
      <c r="A176" s="62"/>
      <c r="B176" s="12" t="s">
        <v>37</v>
      </c>
      <c r="C176" s="15"/>
      <c r="D176" s="25"/>
      <c r="E176" s="60"/>
      <c r="F176" s="60"/>
      <c r="G176" s="293"/>
      <c r="H176" s="122"/>
      <c r="I176" s="225"/>
      <c r="J176" s="63"/>
      <c r="L176" s="60"/>
      <c r="M176" s="29"/>
      <c r="N176" s="225"/>
      <c r="O176" s="126"/>
      <c r="P176" s="225"/>
      <c r="U176" s="257"/>
      <c r="V176" s="123"/>
      <c r="X176" s="126"/>
      <c r="AB176" s="127"/>
      <c r="AZ176" s="4"/>
      <c r="BA176" s="4"/>
      <c r="BB176" s="3"/>
      <c r="BC176" s="98"/>
      <c r="BD176" s="98"/>
    </row>
    <row r="177" spans="1:56" ht="11.25">
      <c r="A177" s="31">
        <f>A171+1</f>
        <v>118</v>
      </c>
      <c r="B177" s="70" t="s">
        <v>304</v>
      </c>
      <c r="C177" s="71"/>
      <c r="D177" s="279" t="s">
        <v>1751</v>
      </c>
      <c r="E177" s="382"/>
      <c r="F177" s="382"/>
      <c r="G177" s="412"/>
      <c r="H177" s="283">
        <f aca="true" t="shared" si="46" ref="H177:H187">F177*G177</f>
        <v>0</v>
      </c>
      <c r="I177" s="225"/>
      <c r="J177" s="63"/>
      <c r="K177" s="287">
        <f>IF(E177=0,0,E177/$E$188)</f>
        <v>0</v>
      </c>
      <c r="L177" s="287">
        <f>IF(F177=0,0,F177/$F$188)</f>
        <v>0</v>
      </c>
      <c r="M177" s="29"/>
      <c r="N177" s="225"/>
      <c r="O177" s="124">
        <v>22.8</v>
      </c>
      <c r="P177" s="225"/>
      <c r="U177" s="257"/>
      <c r="V177" s="111" t="str">
        <f aca="true" t="shared" si="47" ref="V177:V187">CONCATENATE("PQ",D177)</f>
        <v>PQF151</v>
      </c>
      <c r="X177" s="125"/>
      <c r="Y177" s="109">
        <f aca="true" t="shared" si="48" ref="Y177:Y187">A177*H177</f>
        <v>0</v>
      </c>
      <c r="AB177" s="127"/>
      <c r="AZ177" s="4"/>
      <c r="BA177" s="4"/>
      <c r="BB177" s="3"/>
      <c r="BC177" s="98"/>
      <c r="BD177" s="98"/>
    </row>
    <row r="178" spans="1:56" ht="11.25">
      <c r="A178" s="31">
        <f aca="true" t="shared" si="49" ref="A178:A188">A177+1</f>
        <v>119</v>
      </c>
      <c r="B178" s="70" t="s">
        <v>305</v>
      </c>
      <c r="C178" s="71"/>
      <c r="D178" s="279" t="s">
        <v>1752</v>
      </c>
      <c r="E178" s="382"/>
      <c r="F178" s="382"/>
      <c r="G178" s="412"/>
      <c r="H178" s="283">
        <f t="shared" si="46"/>
        <v>0</v>
      </c>
      <c r="I178" s="225"/>
      <c r="J178" s="63"/>
      <c r="K178" s="287">
        <f aca="true" t="shared" si="50" ref="K178:K187">IF(E178=0,0,E178/$E$188)</f>
        <v>0</v>
      </c>
      <c r="L178" s="287">
        <f aca="true" t="shared" si="51" ref="L178:L187">IF(F178=0,0,F178/$F$188)</f>
        <v>0</v>
      </c>
      <c r="M178" s="29"/>
      <c r="N178" s="225"/>
      <c r="O178" s="124">
        <v>173.5</v>
      </c>
      <c r="P178" s="225"/>
      <c r="U178" s="257"/>
      <c r="V178" s="111" t="str">
        <f t="shared" si="47"/>
        <v>PQF152</v>
      </c>
      <c r="X178" s="125"/>
      <c r="Y178" s="109">
        <f t="shared" si="48"/>
        <v>0</v>
      </c>
      <c r="AB178" s="127"/>
      <c r="AZ178" s="4"/>
      <c r="BA178" s="4"/>
      <c r="BB178" s="3"/>
      <c r="BC178" s="98"/>
      <c r="BD178" s="98"/>
    </row>
    <row r="179" spans="1:56" ht="11.25">
      <c r="A179" s="31">
        <f t="shared" si="49"/>
        <v>120</v>
      </c>
      <c r="B179" s="70" t="s">
        <v>374</v>
      </c>
      <c r="C179" s="71"/>
      <c r="D179" s="279" t="s">
        <v>1753</v>
      </c>
      <c r="E179" s="382"/>
      <c r="F179" s="382"/>
      <c r="G179" s="412"/>
      <c r="H179" s="283">
        <f t="shared" si="46"/>
        <v>0</v>
      </c>
      <c r="I179" s="225"/>
      <c r="J179" s="63"/>
      <c r="K179" s="287">
        <f t="shared" si="50"/>
        <v>0</v>
      </c>
      <c r="L179" s="287">
        <f t="shared" si="51"/>
        <v>0</v>
      </c>
      <c r="M179" s="29"/>
      <c r="N179" s="225"/>
      <c r="O179" s="124">
        <v>475</v>
      </c>
      <c r="P179" s="225"/>
      <c r="U179" s="257"/>
      <c r="V179" s="111" t="str">
        <f t="shared" si="47"/>
        <v>PQF153</v>
      </c>
      <c r="X179" s="125"/>
      <c r="Y179" s="109">
        <f t="shared" si="48"/>
        <v>0</v>
      </c>
      <c r="AB179" s="127"/>
      <c r="AZ179" s="4"/>
      <c r="BA179" s="4"/>
      <c r="BB179" s="3"/>
      <c r="BC179" s="98"/>
      <c r="BD179" s="98"/>
    </row>
    <row r="180" spans="1:56" ht="11.25">
      <c r="A180" s="31">
        <f t="shared" si="49"/>
        <v>121</v>
      </c>
      <c r="B180" s="70" t="s">
        <v>375</v>
      </c>
      <c r="C180" s="71"/>
      <c r="D180" s="279" t="s">
        <v>1754</v>
      </c>
      <c r="E180" s="382"/>
      <c r="F180" s="382"/>
      <c r="G180" s="412"/>
      <c r="H180" s="283">
        <f t="shared" si="46"/>
        <v>0</v>
      </c>
      <c r="I180" s="225"/>
      <c r="J180" s="63"/>
      <c r="K180" s="287">
        <f t="shared" si="50"/>
        <v>0</v>
      </c>
      <c r="L180" s="287">
        <f t="shared" si="51"/>
        <v>0</v>
      </c>
      <c r="M180" s="29"/>
      <c r="N180" s="225"/>
      <c r="O180" s="124">
        <v>164.2</v>
      </c>
      <c r="P180" s="225"/>
      <c r="U180" s="257"/>
      <c r="V180" s="111" t="str">
        <f t="shared" si="47"/>
        <v>PQF154</v>
      </c>
      <c r="X180" s="125"/>
      <c r="Y180" s="109">
        <f t="shared" si="48"/>
        <v>0</v>
      </c>
      <c r="AB180" s="127"/>
      <c r="AZ180" s="4"/>
      <c r="BA180" s="4"/>
      <c r="BB180" s="3"/>
      <c r="BC180" s="98"/>
      <c r="BD180" s="98"/>
    </row>
    <row r="181" spans="1:56" ht="11.25">
      <c r="A181" s="31">
        <f t="shared" si="49"/>
        <v>122</v>
      </c>
      <c r="B181" s="70" t="s">
        <v>376</v>
      </c>
      <c r="C181" s="71"/>
      <c r="D181" s="279" t="s">
        <v>1755</v>
      </c>
      <c r="E181" s="382"/>
      <c r="F181" s="382"/>
      <c r="G181" s="412"/>
      <c r="H181" s="283">
        <f t="shared" si="46"/>
        <v>0</v>
      </c>
      <c r="I181" s="225"/>
      <c r="J181" s="63"/>
      <c r="K181" s="287">
        <f t="shared" si="50"/>
        <v>0</v>
      </c>
      <c r="L181" s="287">
        <f t="shared" si="51"/>
        <v>0</v>
      </c>
      <c r="M181" s="29"/>
      <c r="N181" s="225"/>
      <c r="O181" s="124">
        <v>105.2</v>
      </c>
      <c r="P181" s="225"/>
      <c r="U181" s="257"/>
      <c r="V181" s="111" t="str">
        <f t="shared" si="47"/>
        <v>PQF155</v>
      </c>
      <c r="X181" s="125"/>
      <c r="Y181" s="109">
        <f t="shared" si="48"/>
        <v>0</v>
      </c>
      <c r="AB181" s="127"/>
      <c r="AZ181" s="4"/>
      <c r="BA181" s="4"/>
      <c r="BB181" s="3"/>
      <c r="BC181" s="98"/>
      <c r="BD181" s="98"/>
    </row>
    <row r="182" spans="1:56" ht="11.25">
      <c r="A182" s="31">
        <f t="shared" si="49"/>
        <v>123</v>
      </c>
      <c r="B182" s="70" t="s">
        <v>585</v>
      </c>
      <c r="C182" s="71"/>
      <c r="D182" s="279" t="s">
        <v>1756</v>
      </c>
      <c r="E182" s="382"/>
      <c r="F182" s="382"/>
      <c r="G182" s="412"/>
      <c r="H182" s="283">
        <f t="shared" si="46"/>
        <v>0</v>
      </c>
      <c r="I182" s="225"/>
      <c r="J182" s="63"/>
      <c r="K182" s="287">
        <f t="shared" si="50"/>
        <v>0</v>
      </c>
      <c r="L182" s="287">
        <f t="shared" si="51"/>
        <v>0</v>
      </c>
      <c r="M182" s="29"/>
      <c r="N182" s="225"/>
      <c r="O182" s="124">
        <v>98.7</v>
      </c>
      <c r="P182" s="225"/>
      <c r="U182" s="257"/>
      <c r="V182" s="111" t="str">
        <f t="shared" si="47"/>
        <v>PQF156</v>
      </c>
      <c r="X182" s="125"/>
      <c r="Y182" s="109">
        <f t="shared" si="48"/>
        <v>0</v>
      </c>
      <c r="AB182" s="127"/>
      <c r="AZ182" s="4"/>
      <c r="BA182" s="4"/>
      <c r="BB182" s="3"/>
      <c r="BC182" s="98"/>
      <c r="BD182" s="98"/>
    </row>
    <row r="183" spans="1:56" ht="11.25">
      <c r="A183" s="31">
        <f t="shared" si="49"/>
        <v>124</v>
      </c>
      <c r="B183" s="70" t="s">
        <v>653</v>
      </c>
      <c r="C183" s="71"/>
      <c r="D183" s="279" t="s">
        <v>654</v>
      </c>
      <c r="E183" s="382"/>
      <c r="F183" s="382"/>
      <c r="G183" s="412"/>
      <c r="H183" s="283">
        <f t="shared" si="46"/>
        <v>0</v>
      </c>
      <c r="I183" s="225"/>
      <c r="J183" s="63"/>
      <c r="K183" s="287">
        <f t="shared" si="50"/>
        <v>0</v>
      </c>
      <c r="L183" s="287">
        <f t="shared" si="51"/>
        <v>0</v>
      </c>
      <c r="M183" s="29"/>
      <c r="N183" s="225"/>
      <c r="O183" s="124">
        <v>54.4</v>
      </c>
      <c r="P183" s="225"/>
      <c r="U183" s="257"/>
      <c r="V183" s="111" t="str">
        <f t="shared" si="47"/>
        <v>PQF224</v>
      </c>
      <c r="X183" s="125"/>
      <c r="Y183" s="109">
        <f t="shared" si="48"/>
        <v>0</v>
      </c>
      <c r="AB183" s="127"/>
      <c r="AZ183" s="4"/>
      <c r="BA183" s="4"/>
      <c r="BB183" s="3"/>
      <c r="BC183" s="98"/>
      <c r="BD183" s="98"/>
    </row>
    <row r="184" spans="1:56" ht="11.25">
      <c r="A184" s="31">
        <f t="shared" si="49"/>
        <v>125</v>
      </c>
      <c r="B184" s="70" t="s">
        <v>377</v>
      </c>
      <c r="C184" s="71"/>
      <c r="D184" s="279" t="s">
        <v>1757</v>
      </c>
      <c r="E184" s="382"/>
      <c r="F184" s="382"/>
      <c r="G184" s="412"/>
      <c r="H184" s="283">
        <f t="shared" si="46"/>
        <v>0</v>
      </c>
      <c r="I184" s="225"/>
      <c r="J184" s="63"/>
      <c r="K184" s="287">
        <f t="shared" si="50"/>
        <v>0</v>
      </c>
      <c r="L184" s="287">
        <f t="shared" si="51"/>
        <v>0</v>
      </c>
      <c r="M184" s="29"/>
      <c r="N184" s="225"/>
      <c r="O184" s="124">
        <v>67.9</v>
      </c>
      <c r="P184" s="225"/>
      <c r="U184" s="257"/>
      <c r="V184" s="111" t="str">
        <f t="shared" si="47"/>
        <v>PQF157</v>
      </c>
      <c r="X184" s="125"/>
      <c r="Y184" s="109">
        <f t="shared" si="48"/>
        <v>0</v>
      </c>
      <c r="AB184" s="127"/>
      <c r="AZ184" s="4"/>
      <c r="BA184" s="4"/>
      <c r="BB184" s="3"/>
      <c r="BC184" s="98"/>
      <c r="BD184" s="98"/>
    </row>
    <row r="185" spans="1:56" ht="11.25">
      <c r="A185" s="31">
        <f t="shared" si="49"/>
        <v>126</v>
      </c>
      <c r="B185" s="70" t="s">
        <v>586</v>
      </c>
      <c r="C185" s="71"/>
      <c r="D185" s="279" t="s">
        <v>1770</v>
      </c>
      <c r="E185" s="382"/>
      <c r="F185" s="382"/>
      <c r="G185" s="412"/>
      <c r="H185" s="283">
        <f t="shared" si="46"/>
        <v>0</v>
      </c>
      <c r="I185" s="225"/>
      <c r="J185" s="63"/>
      <c r="K185" s="287">
        <f t="shared" si="50"/>
        <v>0</v>
      </c>
      <c r="L185" s="287">
        <f t="shared" si="51"/>
        <v>0</v>
      </c>
      <c r="M185" s="29"/>
      <c r="N185" s="225"/>
      <c r="O185" s="124">
        <v>226.3</v>
      </c>
      <c r="P185" s="225"/>
      <c r="U185" s="257"/>
      <c r="V185" s="111" t="str">
        <f t="shared" si="47"/>
        <v>PQF158</v>
      </c>
      <c r="X185" s="125"/>
      <c r="Y185" s="109">
        <f t="shared" si="48"/>
        <v>0</v>
      </c>
      <c r="AB185" s="127"/>
      <c r="AZ185" s="4"/>
      <c r="BA185" s="4"/>
      <c r="BB185" s="3"/>
      <c r="BC185" s="98"/>
      <c r="BD185" s="98"/>
    </row>
    <row r="186" spans="1:56" ht="11.25">
      <c r="A186" s="31">
        <f t="shared" si="49"/>
        <v>127</v>
      </c>
      <c r="B186" s="70" t="s">
        <v>608</v>
      </c>
      <c r="C186" s="71"/>
      <c r="D186" s="279" t="s">
        <v>1771</v>
      </c>
      <c r="E186" s="382"/>
      <c r="F186" s="382"/>
      <c r="G186" s="412"/>
      <c r="H186" s="283">
        <f t="shared" si="46"/>
        <v>0</v>
      </c>
      <c r="I186" s="225"/>
      <c r="J186" s="63"/>
      <c r="K186" s="287">
        <f t="shared" si="50"/>
        <v>0</v>
      </c>
      <c r="L186" s="287">
        <f t="shared" si="51"/>
        <v>0</v>
      </c>
      <c r="M186" s="29"/>
      <c r="N186" s="225"/>
      <c r="O186" s="124">
        <v>848.2</v>
      </c>
      <c r="P186" s="225"/>
      <c r="U186" s="257"/>
      <c r="V186" s="111" t="str">
        <f t="shared" si="47"/>
        <v>PQF159</v>
      </c>
      <c r="X186" s="125"/>
      <c r="Y186" s="109">
        <f t="shared" si="48"/>
        <v>0</v>
      </c>
      <c r="AB186" s="127"/>
      <c r="AZ186" s="4"/>
      <c r="BA186" s="4"/>
      <c r="BB186" s="3"/>
      <c r="BC186" s="98"/>
      <c r="BD186" s="98"/>
    </row>
    <row r="187" spans="1:56" ht="11.25">
      <c r="A187" s="31">
        <f t="shared" si="49"/>
        <v>128</v>
      </c>
      <c r="B187" s="70" t="s">
        <v>1686</v>
      </c>
      <c r="C187" s="71"/>
      <c r="D187" s="279" t="s">
        <v>1772</v>
      </c>
      <c r="E187" s="382"/>
      <c r="F187" s="382"/>
      <c r="G187" s="412"/>
      <c r="H187" s="283">
        <f t="shared" si="46"/>
        <v>0</v>
      </c>
      <c r="I187" s="225"/>
      <c r="J187" s="63"/>
      <c r="K187" s="287">
        <f t="shared" si="50"/>
        <v>0</v>
      </c>
      <c r="L187" s="287">
        <f t="shared" si="51"/>
        <v>0</v>
      </c>
      <c r="M187" s="29"/>
      <c r="N187" s="225"/>
      <c r="O187" s="124">
        <v>32.3</v>
      </c>
      <c r="P187" s="225"/>
      <c r="U187" s="257"/>
      <c r="V187" s="111" t="str">
        <f t="shared" si="47"/>
        <v>PQF160</v>
      </c>
      <c r="X187" s="125"/>
      <c r="Y187" s="109">
        <f t="shared" si="48"/>
        <v>0</v>
      </c>
      <c r="AB187" s="127"/>
      <c r="AZ187" s="4"/>
      <c r="BA187" s="4"/>
      <c r="BB187" s="3"/>
      <c r="BC187" s="98"/>
      <c r="BD187" s="98"/>
    </row>
    <row r="188" spans="1:56" ht="11.25">
      <c r="A188" s="31">
        <f t="shared" si="49"/>
        <v>129</v>
      </c>
      <c r="B188" s="39" t="s">
        <v>406</v>
      </c>
      <c r="C188" s="39"/>
      <c r="D188" s="39"/>
      <c r="E188" s="54">
        <f>SUM(E177:E187)</f>
        <v>0</v>
      </c>
      <c r="F188" s="55">
        <f>SUM(F177:F187)</f>
        <v>0</v>
      </c>
      <c r="G188" s="291"/>
      <c r="H188" s="40">
        <f>SUM(H177:H187)</f>
        <v>0</v>
      </c>
      <c r="I188" s="225"/>
      <c r="J188" s="63"/>
      <c r="K188" s="290">
        <f>SUM(K177:K187)</f>
        <v>0</v>
      </c>
      <c r="L188" s="290">
        <f>SUM(L177:L187)</f>
        <v>0</v>
      </c>
      <c r="M188" s="29"/>
      <c r="N188" s="225"/>
      <c r="O188" s="126"/>
      <c r="P188" s="225"/>
      <c r="U188" s="257"/>
      <c r="V188" s="123"/>
      <c r="X188" s="126"/>
      <c r="AB188" s="127"/>
      <c r="AZ188" s="4"/>
      <c r="BA188" s="4"/>
      <c r="BB188" s="3"/>
      <c r="BC188" s="98"/>
      <c r="BD188" s="98"/>
    </row>
    <row r="189" spans="1:56" ht="11.25">
      <c r="A189" s="62"/>
      <c r="B189" s="12" t="s">
        <v>323</v>
      </c>
      <c r="C189" s="15"/>
      <c r="D189" s="25"/>
      <c r="E189" s="60"/>
      <c r="F189" s="60"/>
      <c r="G189" s="293"/>
      <c r="H189" s="122"/>
      <c r="I189" s="225"/>
      <c r="J189" s="63"/>
      <c r="L189" s="60"/>
      <c r="M189" s="29"/>
      <c r="N189" s="225"/>
      <c r="O189" s="126"/>
      <c r="P189" s="225"/>
      <c r="U189" s="257"/>
      <c r="V189" s="123"/>
      <c r="X189" s="126"/>
      <c r="AB189" s="127"/>
      <c r="AZ189" s="4"/>
      <c r="BA189" s="4"/>
      <c r="BB189" s="3"/>
      <c r="BC189" s="98"/>
      <c r="BD189" s="98"/>
    </row>
    <row r="190" spans="1:56" ht="11.25">
      <c r="A190" s="31">
        <f>A188+1</f>
        <v>130</v>
      </c>
      <c r="B190" s="70" t="s">
        <v>304</v>
      </c>
      <c r="C190" s="71"/>
      <c r="D190" s="279" t="s">
        <v>1765</v>
      </c>
      <c r="E190" s="382"/>
      <c r="F190" s="382"/>
      <c r="G190" s="412"/>
      <c r="H190" s="283">
        <f aca="true" t="shared" si="52" ref="H190:H197">F190*G190</f>
        <v>0</v>
      </c>
      <c r="I190" s="225"/>
      <c r="J190" s="63"/>
      <c r="K190" s="287">
        <f>IF(E190=0,0,E190/$E$198)</f>
        <v>0</v>
      </c>
      <c r="L190" s="287">
        <f>IF(F190=0,0,F190/$F$198)</f>
        <v>0</v>
      </c>
      <c r="M190" s="29"/>
      <c r="N190" s="225"/>
      <c r="O190" s="124">
        <v>22.5</v>
      </c>
      <c r="P190" s="225"/>
      <c r="U190" s="257"/>
      <c r="V190" s="111" t="str">
        <f aca="true" t="shared" si="53" ref="V190:V197">CONCATENATE("PQ",D190)</f>
        <v>PQF201</v>
      </c>
      <c r="X190" s="125"/>
      <c r="Y190" s="109">
        <f aca="true" t="shared" si="54" ref="Y190:Y197">A190*H190</f>
        <v>0</v>
      </c>
      <c r="AB190" s="127"/>
      <c r="AZ190" s="4"/>
      <c r="BA190" s="4"/>
      <c r="BB190" s="3"/>
      <c r="BC190" s="98"/>
      <c r="BD190" s="98"/>
    </row>
    <row r="191" spans="1:56" ht="11.25">
      <c r="A191" s="31">
        <f aca="true" t="shared" si="55" ref="A191:A198">A190+1</f>
        <v>131</v>
      </c>
      <c r="B191" s="70" t="s">
        <v>305</v>
      </c>
      <c r="C191" s="71"/>
      <c r="D191" s="279" t="s">
        <v>1766</v>
      </c>
      <c r="E191" s="382"/>
      <c r="F191" s="382"/>
      <c r="G191" s="412"/>
      <c r="H191" s="283">
        <f t="shared" si="52"/>
        <v>0</v>
      </c>
      <c r="I191" s="225"/>
      <c r="J191" s="63"/>
      <c r="K191" s="287">
        <f aca="true" t="shared" si="56" ref="K191:K197">IF(E191=0,0,E191/$E$198)</f>
        <v>0</v>
      </c>
      <c r="L191" s="287">
        <f aca="true" t="shared" si="57" ref="L191:L197">IF(F191=0,0,F191/$F$198)</f>
        <v>0</v>
      </c>
      <c r="M191" s="29"/>
      <c r="N191" s="225"/>
      <c r="O191" s="124">
        <v>413.4</v>
      </c>
      <c r="P191" s="225"/>
      <c r="U191" s="257"/>
      <c r="V191" s="111" t="str">
        <f t="shared" si="53"/>
        <v>PQF202</v>
      </c>
      <c r="X191" s="125"/>
      <c r="Y191" s="109">
        <f t="shared" si="54"/>
        <v>0</v>
      </c>
      <c r="AB191" s="127"/>
      <c r="AZ191" s="4"/>
      <c r="BA191" s="4"/>
      <c r="BB191" s="3"/>
      <c r="BC191" s="98"/>
      <c r="BD191" s="98"/>
    </row>
    <row r="192" spans="1:56" ht="11.25">
      <c r="A192" s="31">
        <f t="shared" si="55"/>
        <v>132</v>
      </c>
      <c r="B192" s="70" t="s">
        <v>375</v>
      </c>
      <c r="C192" s="71"/>
      <c r="D192" s="279" t="s">
        <v>1767</v>
      </c>
      <c r="E192" s="382"/>
      <c r="F192" s="382"/>
      <c r="G192" s="412"/>
      <c r="H192" s="283">
        <f t="shared" si="52"/>
        <v>0</v>
      </c>
      <c r="I192" s="225"/>
      <c r="J192" s="63"/>
      <c r="K192" s="287">
        <f t="shared" si="56"/>
        <v>0</v>
      </c>
      <c r="L192" s="287">
        <f t="shared" si="57"/>
        <v>0</v>
      </c>
      <c r="M192" s="29"/>
      <c r="N192" s="225"/>
      <c r="O192" s="124">
        <v>217.4</v>
      </c>
      <c r="P192" s="225"/>
      <c r="U192" s="257"/>
      <c r="V192" s="111" t="str">
        <f t="shared" si="53"/>
        <v>PQF204</v>
      </c>
      <c r="X192" s="125"/>
      <c r="Y192" s="109">
        <f t="shared" si="54"/>
        <v>0</v>
      </c>
      <c r="AB192" s="127"/>
      <c r="AZ192" s="4"/>
      <c r="BA192" s="4"/>
      <c r="BB192" s="3"/>
      <c r="BC192" s="98"/>
      <c r="BD192" s="98"/>
    </row>
    <row r="193" spans="1:56" ht="11.25">
      <c r="A193" s="31">
        <f t="shared" si="55"/>
        <v>133</v>
      </c>
      <c r="B193" s="70" t="s">
        <v>376</v>
      </c>
      <c r="C193" s="71"/>
      <c r="D193" s="279" t="s">
        <v>1768</v>
      </c>
      <c r="E193" s="382"/>
      <c r="F193" s="382"/>
      <c r="G193" s="412"/>
      <c r="H193" s="283">
        <f t="shared" si="52"/>
        <v>0</v>
      </c>
      <c r="I193" s="225"/>
      <c r="J193" s="63"/>
      <c r="K193" s="287">
        <f t="shared" si="56"/>
        <v>0</v>
      </c>
      <c r="L193" s="287">
        <f t="shared" si="57"/>
        <v>0</v>
      </c>
      <c r="M193" s="29"/>
      <c r="N193" s="225"/>
      <c r="O193" s="124">
        <v>128</v>
      </c>
      <c r="P193" s="225"/>
      <c r="U193" s="257"/>
      <c r="V193" s="111" t="str">
        <f t="shared" si="53"/>
        <v>PQF205</v>
      </c>
      <c r="X193" s="125"/>
      <c r="Y193" s="109">
        <f t="shared" si="54"/>
        <v>0</v>
      </c>
      <c r="AB193" s="127"/>
      <c r="AZ193" s="4"/>
      <c r="BA193" s="4"/>
      <c r="BB193" s="3"/>
      <c r="BC193" s="98"/>
      <c r="BD193" s="98"/>
    </row>
    <row r="194" spans="1:56" ht="11.25">
      <c r="A194" s="31">
        <f t="shared" si="55"/>
        <v>134</v>
      </c>
      <c r="B194" s="70" t="s">
        <v>585</v>
      </c>
      <c r="C194" s="71"/>
      <c r="D194" s="279" t="s">
        <v>1769</v>
      </c>
      <c r="E194" s="382"/>
      <c r="F194" s="382"/>
      <c r="G194" s="412"/>
      <c r="H194" s="283">
        <f t="shared" si="52"/>
        <v>0</v>
      </c>
      <c r="I194" s="225"/>
      <c r="J194" s="63"/>
      <c r="K194" s="287">
        <f t="shared" si="56"/>
        <v>0</v>
      </c>
      <c r="L194" s="287">
        <f t="shared" si="57"/>
        <v>0</v>
      </c>
      <c r="M194" s="29"/>
      <c r="N194" s="225"/>
      <c r="O194" s="124">
        <v>118.3</v>
      </c>
      <c r="P194" s="225"/>
      <c r="U194" s="257"/>
      <c r="V194" s="111" t="str">
        <f t="shared" si="53"/>
        <v>PQF206</v>
      </c>
      <c r="X194" s="125"/>
      <c r="Y194" s="109">
        <f t="shared" si="54"/>
        <v>0</v>
      </c>
      <c r="AB194" s="127"/>
      <c r="AZ194" s="4"/>
      <c r="BA194" s="4"/>
      <c r="BB194" s="3"/>
      <c r="BC194" s="98"/>
      <c r="BD194" s="98"/>
    </row>
    <row r="195" spans="1:56" ht="11.25">
      <c r="A195" s="31">
        <f t="shared" si="55"/>
        <v>135</v>
      </c>
      <c r="B195" s="70" t="s">
        <v>653</v>
      </c>
      <c r="C195" s="71"/>
      <c r="D195" s="279" t="s">
        <v>658</v>
      </c>
      <c r="E195" s="382"/>
      <c r="F195" s="382"/>
      <c r="G195" s="412"/>
      <c r="H195" s="283">
        <f t="shared" si="52"/>
        <v>0</v>
      </c>
      <c r="I195" s="225"/>
      <c r="J195" s="63"/>
      <c r="K195" s="287">
        <f t="shared" si="56"/>
        <v>0</v>
      </c>
      <c r="L195" s="287">
        <f t="shared" si="57"/>
        <v>0</v>
      </c>
      <c r="M195" s="29"/>
      <c r="N195" s="225"/>
      <c r="O195" s="124">
        <v>64.2</v>
      </c>
      <c r="P195" s="225"/>
      <c r="U195" s="257"/>
      <c r="V195" s="111" t="str">
        <f t="shared" si="53"/>
        <v>PQF225</v>
      </c>
      <c r="X195" s="125"/>
      <c r="Y195" s="109">
        <f t="shared" si="54"/>
        <v>0</v>
      </c>
      <c r="AB195" s="127"/>
      <c r="AZ195" s="4"/>
      <c r="BA195" s="4"/>
      <c r="BB195" s="3"/>
      <c r="BC195" s="98"/>
      <c r="BD195" s="98"/>
    </row>
    <row r="196" spans="1:56" ht="11.25">
      <c r="A196" s="31">
        <f t="shared" si="55"/>
        <v>136</v>
      </c>
      <c r="B196" s="70" t="s">
        <v>377</v>
      </c>
      <c r="C196" s="71"/>
      <c r="D196" s="279" t="s">
        <v>246</v>
      </c>
      <c r="E196" s="382"/>
      <c r="F196" s="382"/>
      <c r="G196" s="412"/>
      <c r="H196" s="283">
        <f t="shared" si="52"/>
        <v>0</v>
      </c>
      <c r="I196" s="225"/>
      <c r="J196" s="63"/>
      <c r="K196" s="287">
        <f t="shared" si="56"/>
        <v>0</v>
      </c>
      <c r="L196" s="287">
        <f t="shared" si="57"/>
        <v>0</v>
      </c>
      <c r="M196" s="29"/>
      <c r="N196" s="225"/>
      <c r="O196" s="124">
        <v>82.9</v>
      </c>
      <c r="P196" s="225"/>
      <c r="U196" s="257"/>
      <c r="V196" s="111" t="str">
        <f t="shared" si="53"/>
        <v>PQF207</v>
      </c>
      <c r="X196" s="125"/>
      <c r="Y196" s="109">
        <f t="shared" si="54"/>
        <v>0</v>
      </c>
      <c r="AB196" s="127"/>
      <c r="AZ196" s="4"/>
      <c r="BA196" s="4"/>
      <c r="BB196" s="3"/>
      <c r="BC196" s="98"/>
      <c r="BD196" s="98"/>
    </row>
    <row r="197" spans="1:56" ht="11.25">
      <c r="A197" s="31">
        <f t="shared" si="55"/>
        <v>137</v>
      </c>
      <c r="B197" s="70" t="s">
        <v>1686</v>
      </c>
      <c r="C197" s="71"/>
      <c r="D197" s="279" t="s">
        <v>492</v>
      </c>
      <c r="E197" s="382"/>
      <c r="F197" s="382"/>
      <c r="G197" s="412"/>
      <c r="H197" s="283">
        <f t="shared" si="52"/>
        <v>0</v>
      </c>
      <c r="I197" s="225"/>
      <c r="J197" s="63"/>
      <c r="K197" s="287">
        <f t="shared" si="56"/>
        <v>0</v>
      </c>
      <c r="L197" s="287">
        <f t="shared" si="57"/>
        <v>0</v>
      </c>
      <c r="M197" s="29"/>
      <c r="N197" s="225"/>
      <c r="O197" s="124">
        <v>92.6</v>
      </c>
      <c r="P197" s="225"/>
      <c r="U197" s="257"/>
      <c r="V197" s="111" t="str">
        <f t="shared" si="53"/>
        <v>PQF208</v>
      </c>
      <c r="X197" s="125"/>
      <c r="Y197" s="109">
        <f t="shared" si="54"/>
        <v>0</v>
      </c>
      <c r="AB197" s="127"/>
      <c r="AZ197" s="4"/>
      <c r="BA197" s="4"/>
      <c r="BB197" s="3"/>
      <c r="BC197" s="98"/>
      <c r="BD197" s="98"/>
    </row>
    <row r="198" spans="1:56" ht="11.25">
      <c r="A198" s="31">
        <f t="shared" si="55"/>
        <v>138</v>
      </c>
      <c r="B198" s="39" t="s">
        <v>406</v>
      </c>
      <c r="C198" s="39"/>
      <c r="D198" s="39"/>
      <c r="E198" s="54">
        <f>SUM(E190:E197)</f>
        <v>0</v>
      </c>
      <c r="F198" s="55">
        <f>SUM(F190:F197)</f>
        <v>0</v>
      </c>
      <c r="G198" s="291"/>
      <c r="H198" s="40">
        <f>SUM(H190:H197)</f>
        <v>0</v>
      </c>
      <c r="I198" s="225"/>
      <c r="J198" s="63"/>
      <c r="K198" s="290">
        <f>SUM(K190:K197)</f>
        <v>0</v>
      </c>
      <c r="L198" s="290">
        <f>SUM(L190:L197)</f>
        <v>0</v>
      </c>
      <c r="M198" s="29"/>
      <c r="N198" s="225"/>
      <c r="O198" s="225"/>
      <c r="P198" s="225"/>
      <c r="U198" s="257"/>
      <c r="V198" s="123"/>
      <c r="W198" s="126"/>
      <c r="X198" s="126"/>
      <c r="AB198" s="127"/>
      <c r="AZ198" s="4"/>
      <c r="BA198" s="4"/>
      <c r="BB198" s="3"/>
      <c r="BC198" s="98"/>
      <c r="BD198" s="98"/>
    </row>
    <row r="199" spans="1:56" ht="11.25">
      <c r="A199" s="62"/>
      <c r="B199" s="12" t="s">
        <v>268</v>
      </c>
      <c r="C199" s="15"/>
      <c r="D199" s="15"/>
      <c r="K199" s="90"/>
      <c r="U199" s="257"/>
      <c r="V199" s="94"/>
      <c r="W199" s="126"/>
      <c r="X199" s="126"/>
      <c r="AB199" s="127"/>
      <c r="AZ199" s="4"/>
      <c r="BA199" s="4"/>
      <c r="BB199" s="3"/>
      <c r="BC199" s="98"/>
      <c r="BD199" s="98"/>
    </row>
    <row r="200" spans="1:56" ht="11.25">
      <c r="A200" s="31">
        <f>A198+1</f>
        <v>139</v>
      </c>
      <c r="B200" s="32" t="s">
        <v>483</v>
      </c>
      <c r="C200" s="32"/>
      <c r="D200" s="280" t="s">
        <v>481</v>
      </c>
      <c r="E200" s="382"/>
      <c r="F200" s="382"/>
      <c r="G200" s="412"/>
      <c r="H200" s="283">
        <f>F200*G200</f>
        <v>0</v>
      </c>
      <c r="K200" s="287">
        <f>IF(E200=0,0,E200/$E$204)</f>
        <v>0</v>
      </c>
      <c r="L200" s="287">
        <f>IF(F200=0,0,F200/$F$204)</f>
        <v>0</v>
      </c>
      <c r="M200" s="29"/>
      <c r="N200" s="225"/>
      <c r="O200" s="124">
        <v>68.7</v>
      </c>
      <c r="P200" s="225"/>
      <c r="U200" s="257"/>
      <c r="V200" s="111" t="str">
        <f>CONCATENATE("PQ",D200)</f>
        <v>PQF451</v>
      </c>
      <c r="X200" s="125"/>
      <c r="Y200" s="109">
        <f>A200*H200</f>
        <v>0</v>
      </c>
      <c r="AB200" s="127"/>
      <c r="AZ200" s="4"/>
      <c r="BA200" s="4"/>
      <c r="BB200" s="3"/>
      <c r="BC200" s="98"/>
      <c r="BD200" s="98"/>
    </row>
    <row r="201" spans="1:56" ht="11.25">
      <c r="A201" s="31">
        <f>A200+1</f>
        <v>140</v>
      </c>
      <c r="B201" s="32" t="s">
        <v>484</v>
      </c>
      <c r="C201" s="32"/>
      <c r="D201" s="280" t="s">
        <v>1872</v>
      </c>
      <c r="E201" s="382"/>
      <c r="F201" s="382"/>
      <c r="G201" s="412"/>
      <c r="H201" s="283">
        <f>F201*G201</f>
        <v>0</v>
      </c>
      <c r="K201" s="287">
        <f>IF(E201=0,0,E201/$E$204)</f>
        <v>0</v>
      </c>
      <c r="L201" s="287">
        <f>IF(F201=0,0,F201/$F$204)</f>
        <v>0</v>
      </c>
      <c r="M201" s="29"/>
      <c r="N201" s="225"/>
      <c r="O201" s="124">
        <v>137.4</v>
      </c>
      <c r="P201" s="225"/>
      <c r="U201" s="257"/>
      <c r="V201" s="111" t="str">
        <f>CONCATENATE("PQ",D201)</f>
        <v>PQF452</v>
      </c>
      <c r="X201" s="125"/>
      <c r="Y201" s="109">
        <f>A201*H201</f>
        <v>0</v>
      </c>
      <c r="AB201" s="127"/>
      <c r="AZ201" s="4"/>
      <c r="BA201" s="4"/>
      <c r="BB201" s="3"/>
      <c r="BC201" s="98"/>
      <c r="BD201" s="98"/>
    </row>
    <row r="202" spans="1:56" ht="11.25">
      <c r="A202" s="31">
        <f>A201+1</f>
        <v>141</v>
      </c>
      <c r="B202" s="32" t="s">
        <v>474</v>
      </c>
      <c r="C202" s="32"/>
      <c r="D202" s="280" t="s">
        <v>482</v>
      </c>
      <c r="E202" s="382"/>
      <c r="F202" s="382"/>
      <c r="G202" s="412"/>
      <c r="H202" s="283">
        <f>F202*G202</f>
        <v>0</v>
      </c>
      <c r="K202" s="287">
        <f>IF(E202=0,0,E202/$E$204)</f>
        <v>0</v>
      </c>
      <c r="L202" s="287">
        <f>IF(F202=0,0,F202/$F$204)</f>
        <v>0</v>
      </c>
      <c r="M202" s="29"/>
      <c r="N202" s="225"/>
      <c r="O202" s="124">
        <v>82</v>
      </c>
      <c r="P202" s="225"/>
      <c r="U202" s="257"/>
      <c r="V202" s="111" t="str">
        <f>CONCATENATE("PQ",D202)</f>
        <v>PQF453</v>
      </c>
      <c r="X202" s="125"/>
      <c r="Y202" s="109">
        <f>A202*H202</f>
        <v>0</v>
      </c>
      <c r="AB202" s="127"/>
      <c r="AZ202" s="4"/>
      <c r="BA202" s="4"/>
      <c r="BB202" s="3"/>
      <c r="BC202" s="98"/>
      <c r="BD202" s="98"/>
    </row>
    <row r="203" spans="1:56" ht="11.25">
      <c r="A203" s="31">
        <f>A202+1</f>
        <v>142</v>
      </c>
      <c r="B203" s="32" t="s">
        <v>475</v>
      </c>
      <c r="C203" s="32"/>
      <c r="D203" s="280" t="s">
        <v>1873</v>
      </c>
      <c r="E203" s="382"/>
      <c r="F203" s="382"/>
      <c r="G203" s="412"/>
      <c r="H203" s="283">
        <f>F203*G203</f>
        <v>0</v>
      </c>
      <c r="K203" s="287">
        <f>IF(E203=0,0,E203/$E$204)</f>
        <v>0</v>
      </c>
      <c r="L203" s="287">
        <f>IF(F203=0,0,F203/$F$204)</f>
        <v>0</v>
      </c>
      <c r="M203" s="29"/>
      <c r="N203" s="225"/>
      <c r="O203" s="124">
        <v>163.9</v>
      </c>
      <c r="P203" s="225"/>
      <c r="U203" s="257"/>
      <c r="V203" s="111" t="str">
        <f>CONCATENATE("PQ",D203)</f>
        <v>PQF454</v>
      </c>
      <c r="X203" s="125"/>
      <c r="Y203" s="109">
        <f>A203*H203</f>
        <v>0</v>
      </c>
      <c r="AB203" s="127"/>
      <c r="AZ203" s="4"/>
      <c r="BA203" s="4"/>
      <c r="BB203" s="3"/>
      <c r="BC203" s="98"/>
      <c r="BD203" s="98"/>
    </row>
    <row r="204" spans="1:56" ht="11.25">
      <c r="A204" s="31">
        <f>A203+1</f>
        <v>143</v>
      </c>
      <c r="B204" s="39" t="s">
        <v>406</v>
      </c>
      <c r="C204" s="39"/>
      <c r="D204" s="39"/>
      <c r="E204" s="40">
        <f>SUM(E200:E203)</f>
        <v>0</v>
      </c>
      <c r="F204" s="40">
        <f>SUM(F200:F203)</f>
        <v>0</v>
      </c>
      <c r="G204" s="291"/>
      <c r="H204" s="40">
        <f>SUM(H200:H203)</f>
        <v>0</v>
      </c>
      <c r="K204" s="290">
        <f>SUM(K200:K203)</f>
        <v>0</v>
      </c>
      <c r="L204" s="290">
        <f>SUM(L200:L203)</f>
        <v>0</v>
      </c>
      <c r="M204" s="29"/>
      <c r="N204" s="225"/>
      <c r="O204" s="126"/>
      <c r="P204" s="225"/>
      <c r="U204" s="257"/>
      <c r="V204" s="292"/>
      <c r="X204" s="126"/>
      <c r="AB204" s="127"/>
      <c r="AZ204" s="4"/>
      <c r="BA204" s="4"/>
      <c r="BB204" s="3"/>
      <c r="BC204" s="98"/>
      <c r="BD204" s="98"/>
    </row>
    <row r="205" spans="1:56" ht="11.25">
      <c r="A205" s="62"/>
      <c r="B205" s="12" t="s">
        <v>264</v>
      </c>
      <c r="C205" s="15"/>
      <c r="D205" s="12"/>
      <c r="E205" s="61"/>
      <c r="F205" s="61"/>
      <c r="G205" s="293"/>
      <c r="H205" s="122"/>
      <c r="L205" s="60"/>
      <c r="M205" s="29"/>
      <c r="N205" s="225"/>
      <c r="O205" s="126"/>
      <c r="P205" s="225"/>
      <c r="U205" s="257"/>
      <c r="V205" s="292"/>
      <c r="X205" s="126"/>
      <c r="AB205" s="127"/>
      <c r="AZ205" s="4"/>
      <c r="BA205" s="4"/>
      <c r="BB205" s="3"/>
      <c r="BC205" s="98"/>
      <c r="BD205" s="98"/>
    </row>
    <row r="206" spans="1:56" ht="11.25">
      <c r="A206" s="31">
        <f>A204+1</f>
        <v>144</v>
      </c>
      <c r="B206" s="32" t="s">
        <v>485</v>
      </c>
      <c r="C206" s="32"/>
      <c r="D206" s="280" t="s">
        <v>487</v>
      </c>
      <c r="E206" s="382"/>
      <c r="F206" s="382"/>
      <c r="G206" s="412"/>
      <c r="H206" s="283">
        <f aca="true" t="shared" si="58" ref="H206:H229">F206*G206</f>
        <v>0</v>
      </c>
      <c r="K206" s="287">
        <f aca="true" t="shared" si="59" ref="K206:K211">IF(E206=0,0,E206/$E$212)</f>
        <v>0</v>
      </c>
      <c r="L206" s="287">
        <f aca="true" t="shared" si="60" ref="L206:L211">IF(F206=0,0,F206/$F$212)</f>
        <v>0</v>
      </c>
      <c r="M206" s="29"/>
      <c r="N206" s="225"/>
      <c r="O206" s="124">
        <v>128.4</v>
      </c>
      <c r="P206" s="225"/>
      <c r="U206" s="257"/>
      <c r="V206" s="111" t="str">
        <f aca="true" t="shared" si="61" ref="V206:V211">CONCATENATE("PQ",D206)</f>
        <v>PQF461</v>
      </c>
      <c r="X206" s="125"/>
      <c r="Y206" s="109">
        <f aca="true" t="shared" si="62" ref="Y206:Y211">A206*H206</f>
        <v>0</v>
      </c>
      <c r="AB206" s="127"/>
      <c r="AZ206" s="4"/>
      <c r="BA206" s="4"/>
      <c r="BB206" s="3"/>
      <c r="BC206" s="98"/>
      <c r="BD206" s="98"/>
    </row>
    <row r="207" spans="1:56" ht="11.25">
      <c r="A207" s="31">
        <f aca="true" t="shared" si="63" ref="A207:A212">A206+1</f>
        <v>145</v>
      </c>
      <c r="B207" s="32" t="s">
        <v>486</v>
      </c>
      <c r="C207" s="32"/>
      <c r="D207" s="280" t="s">
        <v>1874</v>
      </c>
      <c r="E207" s="382"/>
      <c r="F207" s="382"/>
      <c r="G207" s="412"/>
      <c r="H207" s="283">
        <f t="shared" si="58"/>
        <v>0</v>
      </c>
      <c r="K207" s="287">
        <f t="shared" si="59"/>
        <v>0</v>
      </c>
      <c r="L207" s="287">
        <f t="shared" si="60"/>
        <v>0</v>
      </c>
      <c r="M207" s="29"/>
      <c r="N207" s="225"/>
      <c r="O207" s="124">
        <v>256.8</v>
      </c>
      <c r="P207" s="225"/>
      <c r="U207" s="257"/>
      <c r="V207" s="111" t="str">
        <f t="shared" si="61"/>
        <v>PQF462</v>
      </c>
      <c r="X207" s="125"/>
      <c r="Y207" s="109">
        <f t="shared" si="62"/>
        <v>0</v>
      </c>
      <c r="AB207" s="127"/>
      <c r="AZ207" s="4"/>
      <c r="BA207" s="4"/>
      <c r="BB207" s="3"/>
      <c r="BC207" s="98"/>
      <c r="BD207" s="98"/>
    </row>
    <row r="208" spans="1:56" ht="11.25">
      <c r="A208" s="31">
        <f t="shared" si="63"/>
        <v>146</v>
      </c>
      <c r="B208" s="32" t="s">
        <v>490</v>
      </c>
      <c r="C208" s="32"/>
      <c r="D208" s="280" t="s">
        <v>488</v>
      </c>
      <c r="E208" s="382"/>
      <c r="F208" s="382"/>
      <c r="G208" s="412"/>
      <c r="H208" s="283">
        <f t="shared" si="58"/>
        <v>0</v>
      </c>
      <c r="K208" s="287">
        <f t="shared" si="59"/>
        <v>0</v>
      </c>
      <c r="L208" s="287">
        <f t="shared" si="60"/>
        <v>0</v>
      </c>
      <c r="M208" s="29"/>
      <c r="N208" s="225"/>
      <c r="O208" s="124">
        <v>95.8</v>
      </c>
      <c r="P208" s="225"/>
      <c r="U208" s="257"/>
      <c r="V208" s="111" t="str">
        <f t="shared" si="61"/>
        <v>PQF463</v>
      </c>
      <c r="X208" s="125"/>
      <c r="Y208" s="109">
        <f t="shared" si="62"/>
        <v>0</v>
      </c>
      <c r="AB208" s="127"/>
      <c r="AZ208" s="4"/>
      <c r="BA208" s="4"/>
      <c r="BB208" s="3"/>
      <c r="BC208" s="98"/>
      <c r="BD208" s="98"/>
    </row>
    <row r="209" spans="1:56" ht="11.25">
      <c r="A209" s="31">
        <f t="shared" si="63"/>
        <v>147</v>
      </c>
      <c r="B209" s="32" t="s">
        <v>471</v>
      </c>
      <c r="C209" s="32"/>
      <c r="D209" s="280" t="s">
        <v>1875</v>
      </c>
      <c r="E209" s="382"/>
      <c r="F209" s="382"/>
      <c r="G209" s="412"/>
      <c r="H209" s="283">
        <f t="shared" si="58"/>
        <v>0</v>
      </c>
      <c r="K209" s="287">
        <f t="shared" si="59"/>
        <v>0</v>
      </c>
      <c r="L209" s="287">
        <f t="shared" si="60"/>
        <v>0</v>
      </c>
      <c r="M209" s="29"/>
      <c r="N209" s="225"/>
      <c r="O209" s="124">
        <v>191.5</v>
      </c>
      <c r="P209" s="225"/>
      <c r="U209" s="257"/>
      <c r="V209" s="111" t="str">
        <f t="shared" si="61"/>
        <v>PQF464</v>
      </c>
      <c r="X209" s="125"/>
      <c r="Y209" s="109">
        <f t="shared" si="62"/>
        <v>0</v>
      </c>
      <c r="AB209" s="127"/>
      <c r="AZ209" s="4"/>
      <c r="BA209" s="4"/>
      <c r="BB209" s="3"/>
      <c r="BC209" s="98"/>
      <c r="BD209" s="98"/>
    </row>
    <row r="210" spans="1:56" ht="11.25">
      <c r="A210" s="31">
        <f t="shared" si="63"/>
        <v>148</v>
      </c>
      <c r="B210" s="32" t="s">
        <v>472</v>
      </c>
      <c r="C210" s="32"/>
      <c r="D210" s="280" t="s">
        <v>489</v>
      </c>
      <c r="E210" s="382"/>
      <c r="F210" s="382"/>
      <c r="G210" s="412"/>
      <c r="H210" s="283">
        <f t="shared" si="58"/>
        <v>0</v>
      </c>
      <c r="K210" s="287">
        <f t="shared" si="59"/>
        <v>0</v>
      </c>
      <c r="L210" s="287">
        <f t="shared" si="60"/>
        <v>0</v>
      </c>
      <c r="M210" s="29"/>
      <c r="N210" s="225"/>
      <c r="O210" s="124">
        <v>107.7</v>
      </c>
      <c r="P210" s="225"/>
      <c r="U210" s="257"/>
      <c r="V210" s="111" t="str">
        <f t="shared" si="61"/>
        <v>PQF465</v>
      </c>
      <c r="X210" s="125"/>
      <c r="Y210" s="109">
        <f t="shared" si="62"/>
        <v>0</v>
      </c>
      <c r="AB210" s="127"/>
      <c r="AZ210" s="4"/>
      <c r="BA210" s="4"/>
      <c r="BB210" s="3"/>
      <c r="BC210" s="98"/>
      <c r="BD210" s="98"/>
    </row>
    <row r="211" spans="1:56" ht="11.25">
      <c r="A211" s="31">
        <f t="shared" si="63"/>
        <v>149</v>
      </c>
      <c r="B211" s="32" t="s">
        <v>473</v>
      </c>
      <c r="C211" s="32"/>
      <c r="D211" s="280" t="s">
        <v>1876</v>
      </c>
      <c r="E211" s="382"/>
      <c r="F211" s="382"/>
      <c r="G211" s="412"/>
      <c r="H211" s="283">
        <f t="shared" si="58"/>
        <v>0</v>
      </c>
      <c r="K211" s="287">
        <f t="shared" si="59"/>
        <v>0</v>
      </c>
      <c r="L211" s="287">
        <f t="shared" si="60"/>
        <v>0</v>
      </c>
      <c r="M211" s="29"/>
      <c r="N211" s="225"/>
      <c r="O211" s="124">
        <v>215.5</v>
      </c>
      <c r="P211" s="225"/>
      <c r="U211" s="257"/>
      <c r="V211" s="111" t="str">
        <f t="shared" si="61"/>
        <v>PQF466</v>
      </c>
      <c r="X211" s="125"/>
      <c r="Y211" s="109">
        <f t="shared" si="62"/>
        <v>0</v>
      </c>
      <c r="AB211" s="127"/>
      <c r="AZ211" s="4"/>
      <c r="BA211" s="4"/>
      <c r="BB211" s="3"/>
      <c r="BC211" s="98"/>
      <c r="BD211" s="98"/>
    </row>
    <row r="212" spans="1:56" ht="11.25">
      <c r="A212" s="31">
        <f t="shared" si="63"/>
        <v>150</v>
      </c>
      <c r="B212" s="39" t="s">
        <v>406</v>
      </c>
      <c r="C212" s="39"/>
      <c r="D212" s="39"/>
      <c r="E212" s="40">
        <f>SUM(E206:E211)</f>
        <v>0</v>
      </c>
      <c r="F212" s="41">
        <f>SUM(F206:F211)</f>
        <v>0</v>
      </c>
      <c r="G212" s="291"/>
      <c r="H212" s="40">
        <f>SUM(H206:H211)</f>
        <v>0</v>
      </c>
      <c r="K212" s="290">
        <f>SUM(K206:K211)</f>
        <v>0</v>
      </c>
      <c r="L212" s="290">
        <f>SUM(L206:L211)</f>
        <v>0</v>
      </c>
      <c r="M212" s="29"/>
      <c r="N212" s="225"/>
      <c r="O212" s="126"/>
      <c r="P212" s="225"/>
      <c r="U212" s="257"/>
      <c r="V212" s="292"/>
      <c r="X212" s="126"/>
      <c r="AB212" s="127"/>
      <c r="AZ212" s="4"/>
      <c r="BA212" s="4"/>
      <c r="BB212" s="3"/>
      <c r="BC212" s="98"/>
      <c r="BD212" s="98"/>
    </row>
    <row r="213" spans="1:56" ht="11.25">
      <c r="A213" s="62"/>
      <c r="B213" s="12"/>
      <c r="C213" s="15"/>
      <c r="D213" s="12"/>
      <c r="E213" s="61"/>
      <c r="F213" s="61"/>
      <c r="G213" s="293"/>
      <c r="H213" s="439"/>
      <c r="L213" s="60"/>
      <c r="M213" s="29"/>
      <c r="N213" s="225"/>
      <c r="O213" s="126"/>
      <c r="P213" s="225"/>
      <c r="U213" s="257"/>
      <c r="V213" s="292"/>
      <c r="X213" s="126"/>
      <c r="AB213" s="127"/>
      <c r="AZ213" s="4"/>
      <c r="BA213" s="4"/>
      <c r="BB213" s="3"/>
      <c r="BC213" s="98"/>
      <c r="BD213" s="98"/>
    </row>
    <row r="214" spans="1:56" ht="11.25">
      <c r="A214" s="62"/>
      <c r="B214" s="12"/>
      <c r="C214" s="15"/>
      <c r="D214" s="12"/>
      <c r="E214" s="17" t="str">
        <f>$E$7</f>
        <v>Niet</v>
      </c>
      <c r="F214" s="17" t="str">
        <f>$F$7</f>
        <v>Mutatie</v>
      </c>
      <c r="G214" s="770" t="str">
        <f>$G$7</f>
        <v>Mutatie budget ZVW 2009</v>
      </c>
      <c r="H214" s="771"/>
      <c r="K214" s="760" t="s">
        <v>53</v>
      </c>
      <c r="L214" s="761"/>
      <c r="M214" s="29"/>
      <c r="N214" s="225"/>
      <c r="O214" s="123" t="s">
        <v>522</v>
      </c>
      <c r="P214" s="225"/>
      <c r="U214" s="257"/>
      <c r="V214" s="292"/>
      <c r="X214" s="126"/>
      <c r="AB214" s="127"/>
      <c r="AZ214" s="4"/>
      <c r="BA214" s="4"/>
      <c r="BB214" s="3"/>
      <c r="BC214" s="98"/>
      <c r="BD214" s="98"/>
    </row>
    <row r="215" spans="1:56" ht="11.25">
      <c r="A215" s="62"/>
      <c r="B215" s="12"/>
      <c r="C215" s="15"/>
      <c r="D215" s="12"/>
      <c r="E215" s="487" t="str">
        <f>$E$8</f>
        <v>invullen</v>
      </c>
      <c r="F215" s="22">
        <f>$F$8</f>
        <v>2009</v>
      </c>
      <c r="G215" s="24" t="s">
        <v>521</v>
      </c>
      <c r="H215" s="24" t="s">
        <v>409</v>
      </c>
      <c r="K215" s="24" t="s">
        <v>54</v>
      </c>
      <c r="L215" s="24" t="s">
        <v>55</v>
      </c>
      <c r="M215" s="29"/>
      <c r="N215" s="225"/>
      <c r="O215" s="123" t="s">
        <v>521</v>
      </c>
      <c r="P215" s="225"/>
      <c r="U215" s="257"/>
      <c r="V215" s="292"/>
      <c r="X215" s="126"/>
      <c r="AB215" s="127"/>
      <c r="AZ215" s="4"/>
      <c r="BA215" s="4"/>
      <c r="BB215" s="3"/>
      <c r="BC215" s="98"/>
      <c r="BD215" s="98"/>
    </row>
    <row r="216" spans="1:56" ht="11.25">
      <c r="A216" s="62"/>
      <c r="B216" s="12"/>
      <c r="C216" s="15"/>
      <c r="D216" s="12"/>
      <c r="E216" s="25" t="s">
        <v>617</v>
      </c>
      <c r="F216" s="25" t="s">
        <v>618</v>
      </c>
      <c r="G216" s="282" t="s">
        <v>619</v>
      </c>
      <c r="H216" s="282" t="s">
        <v>620</v>
      </c>
      <c r="L216" s="60"/>
      <c r="M216" s="29"/>
      <c r="N216" s="225"/>
      <c r="O216" s="126"/>
      <c r="P216" s="225"/>
      <c r="U216" s="257"/>
      <c r="V216" s="292"/>
      <c r="X216" s="126"/>
      <c r="AB216" s="127"/>
      <c r="AZ216" s="4"/>
      <c r="BA216" s="4"/>
      <c r="BB216" s="3"/>
      <c r="BC216" s="98"/>
      <c r="BD216" s="98"/>
    </row>
    <row r="217" spans="1:56" ht="11.25">
      <c r="A217" s="62"/>
      <c r="B217" s="12" t="s">
        <v>265</v>
      </c>
      <c r="C217" s="15"/>
      <c r="D217" s="12"/>
      <c r="E217" s="61"/>
      <c r="F217" s="61"/>
      <c r="G217" s="293"/>
      <c r="H217" s="406">
        <f t="shared" si="58"/>
        <v>0</v>
      </c>
      <c r="L217" s="60"/>
      <c r="M217" s="29"/>
      <c r="N217" s="225"/>
      <c r="O217" s="126"/>
      <c r="P217" s="225"/>
      <c r="U217" s="257"/>
      <c r="V217" s="292"/>
      <c r="X217" s="126"/>
      <c r="AB217" s="127"/>
      <c r="AZ217" s="4"/>
      <c r="BA217" s="4"/>
      <c r="BB217" s="3"/>
      <c r="BC217" s="98"/>
      <c r="BD217" s="98"/>
    </row>
    <row r="218" spans="1:56" ht="11.25">
      <c r="A218" s="31">
        <f>A212+1</f>
        <v>151</v>
      </c>
      <c r="B218" s="32" t="s">
        <v>1705</v>
      </c>
      <c r="C218" s="32"/>
      <c r="D218" s="280" t="s">
        <v>1699</v>
      </c>
      <c r="E218" s="382"/>
      <c r="F218" s="382"/>
      <c r="G218" s="412"/>
      <c r="H218" s="283">
        <f t="shared" si="58"/>
        <v>0</v>
      </c>
      <c r="K218" s="287">
        <f>IF(E218=0,0,E218/$E$230)</f>
        <v>0</v>
      </c>
      <c r="L218" s="287">
        <f>IF(F218=0,0,F218/$F$230)</f>
        <v>0</v>
      </c>
      <c r="M218" s="29"/>
      <c r="N218" s="225"/>
      <c r="O218" s="124">
        <v>69.2</v>
      </c>
      <c r="P218" s="225"/>
      <c r="U218" s="257"/>
      <c r="V218" s="111" t="str">
        <f aca="true" t="shared" si="64" ref="V218:V229">CONCATENATE("PQ",D218)</f>
        <v>PQF471</v>
      </c>
      <c r="X218" s="125"/>
      <c r="Y218" s="109">
        <f aca="true" t="shared" si="65" ref="Y218:Y229">A218*H218</f>
        <v>0</v>
      </c>
      <c r="AB218" s="127"/>
      <c r="AZ218" s="4"/>
      <c r="BA218" s="4"/>
      <c r="BB218" s="3"/>
      <c r="BC218" s="98"/>
      <c r="BD218" s="98"/>
    </row>
    <row r="219" spans="1:56" ht="11.25">
      <c r="A219" s="31">
        <f aca="true" t="shared" si="66" ref="A219:A230">A218+1</f>
        <v>152</v>
      </c>
      <c r="B219" s="32" t="s">
        <v>1706</v>
      </c>
      <c r="C219" s="32"/>
      <c r="D219" s="280" t="s">
        <v>1877</v>
      </c>
      <c r="E219" s="382"/>
      <c r="F219" s="382"/>
      <c r="G219" s="412"/>
      <c r="H219" s="283">
        <f t="shared" si="58"/>
        <v>0</v>
      </c>
      <c r="K219" s="287">
        <f aca="true" t="shared" si="67" ref="K219:K229">IF(E219=0,0,E219/$E$230)</f>
        <v>0</v>
      </c>
      <c r="L219" s="287">
        <f aca="true" t="shared" si="68" ref="L219:L229">IF(F219=0,0,F219/$F$230)</f>
        <v>0</v>
      </c>
      <c r="M219" s="29"/>
      <c r="N219" s="225"/>
      <c r="O219" s="124">
        <v>138.3</v>
      </c>
      <c r="P219" s="225"/>
      <c r="U219" s="257"/>
      <c r="V219" s="111" t="str">
        <f t="shared" si="64"/>
        <v>PQF472</v>
      </c>
      <c r="X219" s="125"/>
      <c r="Y219" s="109">
        <f t="shared" si="65"/>
        <v>0</v>
      </c>
      <c r="AB219" s="127"/>
      <c r="AZ219" s="4"/>
      <c r="BA219" s="4"/>
      <c r="BB219" s="3"/>
      <c r="BC219" s="98"/>
      <c r="BD219" s="98"/>
    </row>
    <row r="220" spans="1:56" ht="11.25">
      <c r="A220" s="31">
        <f t="shared" si="66"/>
        <v>153</v>
      </c>
      <c r="B220" s="32" t="s">
        <v>1707</v>
      </c>
      <c r="C220" s="32"/>
      <c r="D220" s="280" t="s">
        <v>1700</v>
      </c>
      <c r="E220" s="382"/>
      <c r="F220" s="382"/>
      <c r="G220" s="412"/>
      <c r="H220" s="283">
        <f t="shared" si="58"/>
        <v>0</v>
      </c>
      <c r="K220" s="287">
        <f t="shared" si="67"/>
        <v>0</v>
      </c>
      <c r="L220" s="287">
        <f t="shared" si="68"/>
        <v>0</v>
      </c>
      <c r="M220" s="29"/>
      <c r="N220" s="225"/>
      <c r="O220" s="124">
        <v>84.1</v>
      </c>
      <c r="P220" s="225"/>
      <c r="U220" s="257"/>
      <c r="V220" s="111" t="str">
        <f t="shared" si="64"/>
        <v>PQF473</v>
      </c>
      <c r="X220" s="125"/>
      <c r="Y220" s="109">
        <f t="shared" si="65"/>
        <v>0</v>
      </c>
      <c r="AB220" s="127"/>
      <c r="AZ220" s="4"/>
      <c r="BA220" s="4"/>
      <c r="BB220" s="3"/>
      <c r="BC220" s="98"/>
      <c r="BD220" s="98"/>
    </row>
    <row r="221" spans="1:56" ht="11.25">
      <c r="A221" s="31">
        <f t="shared" si="66"/>
        <v>154</v>
      </c>
      <c r="B221" s="32" t="s">
        <v>1708</v>
      </c>
      <c r="C221" s="32"/>
      <c r="D221" s="280" t="s">
        <v>1878</v>
      </c>
      <c r="E221" s="382"/>
      <c r="F221" s="382"/>
      <c r="G221" s="412"/>
      <c r="H221" s="283">
        <f t="shared" si="58"/>
        <v>0</v>
      </c>
      <c r="K221" s="287">
        <f t="shared" si="67"/>
        <v>0</v>
      </c>
      <c r="L221" s="287">
        <f t="shared" si="68"/>
        <v>0</v>
      </c>
      <c r="M221" s="29"/>
      <c r="N221" s="225"/>
      <c r="O221" s="124">
        <v>168.2</v>
      </c>
      <c r="P221" s="225"/>
      <c r="U221" s="257"/>
      <c r="V221" s="111" t="str">
        <f t="shared" si="64"/>
        <v>PQF474</v>
      </c>
      <c r="X221" s="125"/>
      <c r="Y221" s="109">
        <f t="shared" si="65"/>
        <v>0</v>
      </c>
      <c r="AB221" s="127"/>
      <c r="AZ221" s="4"/>
      <c r="BA221" s="4"/>
      <c r="BB221" s="3"/>
      <c r="BC221" s="98"/>
      <c r="BD221" s="98"/>
    </row>
    <row r="222" spans="1:56" ht="11.25">
      <c r="A222" s="31">
        <f t="shared" si="66"/>
        <v>155</v>
      </c>
      <c r="B222" s="32" t="s">
        <v>1709</v>
      </c>
      <c r="C222" s="32"/>
      <c r="D222" s="280" t="s">
        <v>1701</v>
      </c>
      <c r="E222" s="382"/>
      <c r="F222" s="382"/>
      <c r="G222" s="412"/>
      <c r="H222" s="283">
        <f t="shared" si="58"/>
        <v>0</v>
      </c>
      <c r="K222" s="287">
        <f t="shared" si="67"/>
        <v>0</v>
      </c>
      <c r="L222" s="287">
        <f t="shared" si="68"/>
        <v>0</v>
      </c>
      <c r="M222" s="29"/>
      <c r="N222" s="225"/>
      <c r="O222" s="124">
        <v>76.7</v>
      </c>
      <c r="P222" s="225"/>
      <c r="U222" s="257"/>
      <c r="V222" s="111" t="str">
        <f t="shared" si="64"/>
        <v>PQF475</v>
      </c>
      <c r="X222" s="125"/>
      <c r="Y222" s="109">
        <f t="shared" si="65"/>
        <v>0</v>
      </c>
      <c r="AB222" s="127"/>
      <c r="AZ222" s="4"/>
      <c r="BA222" s="4"/>
      <c r="BB222" s="3"/>
      <c r="BC222" s="98"/>
      <c r="BD222" s="98"/>
    </row>
    <row r="223" spans="1:56" ht="11.25">
      <c r="A223" s="31">
        <f t="shared" si="66"/>
        <v>156</v>
      </c>
      <c r="B223" s="32" t="s">
        <v>1710</v>
      </c>
      <c r="C223" s="32"/>
      <c r="D223" s="280" t="s">
        <v>1879</v>
      </c>
      <c r="E223" s="382"/>
      <c r="F223" s="382"/>
      <c r="G223" s="412"/>
      <c r="H223" s="283">
        <f t="shared" si="58"/>
        <v>0</v>
      </c>
      <c r="K223" s="287">
        <f t="shared" si="67"/>
        <v>0</v>
      </c>
      <c r="L223" s="287">
        <f t="shared" si="68"/>
        <v>0</v>
      </c>
      <c r="M223" s="29"/>
      <c r="N223" s="225"/>
      <c r="O223" s="124">
        <v>153.4</v>
      </c>
      <c r="P223" s="225"/>
      <c r="U223" s="257"/>
      <c r="V223" s="111" t="str">
        <f t="shared" si="64"/>
        <v>PQF476</v>
      </c>
      <c r="X223" s="125"/>
      <c r="Y223" s="109">
        <f t="shared" si="65"/>
        <v>0</v>
      </c>
      <c r="AB223" s="127"/>
      <c r="AZ223" s="4"/>
      <c r="BA223" s="4"/>
      <c r="BB223" s="3"/>
      <c r="BC223" s="98"/>
      <c r="BD223" s="98"/>
    </row>
    <row r="224" spans="1:56" ht="11.25">
      <c r="A224" s="31">
        <f t="shared" si="66"/>
        <v>157</v>
      </c>
      <c r="B224" s="32" t="s">
        <v>1707</v>
      </c>
      <c r="C224" s="32"/>
      <c r="D224" s="280" t="s">
        <v>1702</v>
      </c>
      <c r="E224" s="382"/>
      <c r="F224" s="382"/>
      <c r="G224" s="412"/>
      <c r="H224" s="283">
        <f t="shared" si="58"/>
        <v>0</v>
      </c>
      <c r="K224" s="287">
        <f t="shared" si="67"/>
        <v>0</v>
      </c>
      <c r="L224" s="287">
        <f t="shared" si="68"/>
        <v>0</v>
      </c>
      <c r="M224" s="29"/>
      <c r="N224" s="225"/>
      <c r="O224" s="124">
        <v>93.3</v>
      </c>
      <c r="P224" s="225"/>
      <c r="U224" s="257"/>
      <c r="V224" s="111" t="str">
        <f t="shared" si="64"/>
        <v>PQF477</v>
      </c>
      <c r="X224" s="125"/>
      <c r="Y224" s="109">
        <f t="shared" si="65"/>
        <v>0</v>
      </c>
      <c r="AB224" s="127"/>
      <c r="AZ224" s="4"/>
      <c r="BA224" s="4"/>
      <c r="BB224" s="3"/>
      <c r="BC224" s="98"/>
      <c r="BD224" s="98"/>
    </row>
    <row r="225" spans="1:56" ht="11.25">
      <c r="A225" s="31">
        <f t="shared" si="66"/>
        <v>158</v>
      </c>
      <c r="B225" s="32" t="s">
        <v>1708</v>
      </c>
      <c r="C225" s="32"/>
      <c r="D225" s="280" t="s">
        <v>1880</v>
      </c>
      <c r="E225" s="382"/>
      <c r="F225" s="382"/>
      <c r="G225" s="412"/>
      <c r="H225" s="283">
        <f t="shared" si="58"/>
        <v>0</v>
      </c>
      <c r="K225" s="287">
        <f t="shared" si="67"/>
        <v>0</v>
      </c>
      <c r="L225" s="287">
        <f t="shared" si="68"/>
        <v>0</v>
      </c>
      <c r="M225" s="29"/>
      <c r="N225" s="225"/>
      <c r="O225" s="124">
        <v>186.7</v>
      </c>
      <c r="P225" s="225"/>
      <c r="U225" s="257"/>
      <c r="V225" s="111" t="str">
        <f t="shared" si="64"/>
        <v>PQF478</v>
      </c>
      <c r="X225" s="125"/>
      <c r="Y225" s="109">
        <f t="shared" si="65"/>
        <v>0</v>
      </c>
      <c r="AB225" s="127"/>
      <c r="AZ225" s="4"/>
      <c r="BA225" s="4"/>
      <c r="BB225" s="3"/>
      <c r="BC225" s="98"/>
      <c r="BD225" s="98"/>
    </row>
    <row r="226" spans="1:56" ht="11.25">
      <c r="A226" s="31">
        <f t="shared" si="66"/>
        <v>159</v>
      </c>
      <c r="B226" s="32" t="s">
        <v>1711</v>
      </c>
      <c r="C226" s="32"/>
      <c r="D226" s="280" t="s">
        <v>1703</v>
      </c>
      <c r="E226" s="382"/>
      <c r="F226" s="382"/>
      <c r="G226" s="412"/>
      <c r="H226" s="283">
        <f t="shared" si="58"/>
        <v>0</v>
      </c>
      <c r="K226" s="287">
        <f t="shared" si="67"/>
        <v>0</v>
      </c>
      <c r="L226" s="287">
        <f t="shared" si="68"/>
        <v>0</v>
      </c>
      <c r="M226" s="29"/>
      <c r="N226" s="225"/>
      <c r="O226" s="124">
        <v>44.2</v>
      </c>
      <c r="P226" s="225"/>
      <c r="U226" s="257"/>
      <c r="V226" s="111" t="str">
        <f t="shared" si="64"/>
        <v>PQF481</v>
      </c>
      <c r="X226" s="125"/>
      <c r="Y226" s="109">
        <f t="shared" si="65"/>
        <v>0</v>
      </c>
      <c r="AB226" s="127"/>
      <c r="AZ226" s="4"/>
      <c r="BA226" s="4"/>
      <c r="BB226" s="3"/>
      <c r="BC226" s="98"/>
      <c r="BD226" s="98"/>
    </row>
    <row r="227" spans="1:56" ht="11.25">
      <c r="A227" s="31">
        <f t="shared" si="66"/>
        <v>160</v>
      </c>
      <c r="B227" s="32" t="s">
        <v>1712</v>
      </c>
      <c r="C227" s="32"/>
      <c r="D227" s="280" t="s">
        <v>1881</v>
      </c>
      <c r="E227" s="382"/>
      <c r="F227" s="382"/>
      <c r="G227" s="412"/>
      <c r="H227" s="283">
        <f t="shared" si="58"/>
        <v>0</v>
      </c>
      <c r="K227" s="287">
        <f t="shared" si="67"/>
        <v>0</v>
      </c>
      <c r="L227" s="287">
        <f t="shared" si="68"/>
        <v>0</v>
      </c>
      <c r="M227" s="29"/>
      <c r="N227" s="225"/>
      <c r="O227" s="124">
        <v>88.3</v>
      </c>
      <c r="P227" s="225"/>
      <c r="U227" s="257"/>
      <c r="V227" s="111" t="str">
        <f t="shared" si="64"/>
        <v>PQF482</v>
      </c>
      <c r="X227" s="125"/>
      <c r="Y227" s="109">
        <f t="shared" si="65"/>
        <v>0</v>
      </c>
      <c r="AB227" s="127"/>
      <c r="AZ227" s="4"/>
      <c r="BA227" s="4"/>
      <c r="BB227" s="3"/>
      <c r="BC227" s="98"/>
      <c r="BD227" s="98"/>
    </row>
    <row r="228" spans="1:56" ht="11.25">
      <c r="A228" s="31">
        <f t="shared" si="66"/>
        <v>161</v>
      </c>
      <c r="B228" s="32" t="s">
        <v>1713</v>
      </c>
      <c r="C228" s="32"/>
      <c r="D228" s="280" t="s">
        <v>1704</v>
      </c>
      <c r="E228" s="382"/>
      <c r="F228" s="382"/>
      <c r="G228" s="412"/>
      <c r="H228" s="283">
        <f t="shared" si="58"/>
        <v>0</v>
      </c>
      <c r="K228" s="287">
        <f t="shared" si="67"/>
        <v>0</v>
      </c>
      <c r="L228" s="287">
        <f t="shared" si="68"/>
        <v>0</v>
      </c>
      <c r="M228" s="29"/>
      <c r="N228" s="225"/>
      <c r="O228" s="124">
        <v>57.1</v>
      </c>
      <c r="P228" s="225"/>
      <c r="U228" s="257"/>
      <c r="V228" s="111" t="str">
        <f t="shared" si="64"/>
        <v>PQF483</v>
      </c>
      <c r="X228" s="125"/>
      <c r="Y228" s="109">
        <f t="shared" si="65"/>
        <v>0</v>
      </c>
      <c r="AB228" s="127"/>
      <c r="AZ228" s="4"/>
      <c r="BA228" s="4"/>
      <c r="BB228" s="3"/>
      <c r="BC228" s="98"/>
      <c r="BD228" s="98"/>
    </row>
    <row r="229" spans="1:56" ht="11.25">
      <c r="A229" s="31">
        <f t="shared" si="66"/>
        <v>162</v>
      </c>
      <c r="B229" s="32" t="s">
        <v>1714</v>
      </c>
      <c r="C229" s="32"/>
      <c r="D229" s="280" t="s">
        <v>1882</v>
      </c>
      <c r="E229" s="382"/>
      <c r="F229" s="382"/>
      <c r="G229" s="412"/>
      <c r="H229" s="283">
        <f t="shared" si="58"/>
        <v>0</v>
      </c>
      <c r="K229" s="287">
        <f t="shared" si="67"/>
        <v>0</v>
      </c>
      <c r="L229" s="287">
        <f t="shared" si="68"/>
        <v>0</v>
      </c>
      <c r="M229" s="29"/>
      <c r="N229" s="225"/>
      <c r="O229" s="124">
        <v>114.2</v>
      </c>
      <c r="P229" s="225"/>
      <c r="U229" s="257"/>
      <c r="V229" s="111" t="str">
        <f t="shared" si="64"/>
        <v>PQF484</v>
      </c>
      <c r="X229" s="125"/>
      <c r="Y229" s="109">
        <f t="shared" si="65"/>
        <v>0</v>
      </c>
      <c r="AB229" s="127"/>
      <c r="AZ229" s="4"/>
      <c r="BA229" s="4"/>
      <c r="BB229" s="3"/>
      <c r="BC229" s="98"/>
      <c r="BD229" s="98"/>
    </row>
    <row r="230" spans="1:56" ht="11.25">
      <c r="A230" s="31">
        <f t="shared" si="66"/>
        <v>163</v>
      </c>
      <c r="B230" s="39" t="s">
        <v>406</v>
      </c>
      <c r="C230" s="39"/>
      <c r="D230" s="39"/>
      <c r="E230" s="40">
        <f>SUM(E218:E229)</f>
        <v>0</v>
      </c>
      <c r="F230" s="40">
        <f>SUM(F218:F229)</f>
        <v>0</v>
      </c>
      <c r="G230" s="291"/>
      <c r="H230" s="40">
        <f>SUM(H218:H229)</f>
        <v>0</v>
      </c>
      <c r="K230" s="290">
        <f>SUM(K218:K229)</f>
        <v>0</v>
      </c>
      <c r="L230" s="290">
        <f>SUM(L218:L229)</f>
        <v>0</v>
      </c>
      <c r="M230" s="29"/>
      <c r="N230" s="225"/>
      <c r="O230" s="126"/>
      <c r="P230" s="225"/>
      <c r="U230" s="257"/>
      <c r="V230" s="292"/>
      <c r="X230" s="126"/>
      <c r="AB230" s="127"/>
      <c r="AZ230" s="4"/>
      <c r="BA230" s="4"/>
      <c r="BB230" s="3"/>
      <c r="BC230" s="98"/>
      <c r="BD230" s="98"/>
    </row>
    <row r="231" spans="1:56" ht="11.25">
      <c r="A231" s="62"/>
      <c r="B231" s="12" t="s">
        <v>324</v>
      </c>
      <c r="C231" s="15"/>
      <c r="D231" s="12"/>
      <c r="E231" s="61"/>
      <c r="F231" s="61"/>
      <c r="G231" s="293"/>
      <c r="H231" s="661"/>
      <c r="L231" s="60"/>
      <c r="M231" s="29"/>
      <c r="N231" s="225"/>
      <c r="O231" s="126"/>
      <c r="P231" s="225"/>
      <c r="U231" s="257"/>
      <c r="V231" s="292"/>
      <c r="X231" s="126"/>
      <c r="AB231" s="127"/>
      <c r="AZ231" s="4"/>
      <c r="BA231" s="4"/>
      <c r="BB231" s="3"/>
      <c r="BC231" s="98"/>
      <c r="BD231" s="98"/>
    </row>
    <row r="232" spans="1:56" ht="11.25">
      <c r="A232" s="31">
        <f>A230+1</f>
        <v>164</v>
      </c>
      <c r="B232" s="39" t="s">
        <v>1715</v>
      </c>
      <c r="C232" s="39"/>
      <c r="D232" s="281" t="s">
        <v>1883</v>
      </c>
      <c r="E232" s="382"/>
      <c r="F232" s="382"/>
      <c r="G232" s="455"/>
      <c r="H232" s="40">
        <f>F232*G232</f>
        <v>0</v>
      </c>
      <c r="L232" s="110"/>
      <c r="M232" s="110"/>
      <c r="N232" s="225"/>
      <c r="O232" s="124">
        <v>202.9</v>
      </c>
      <c r="P232" s="225"/>
      <c r="U232" s="257"/>
      <c r="V232" s="111" t="str">
        <f>CONCATENATE("PQ",D232)</f>
        <v>PQF491</v>
      </c>
      <c r="X232" s="125"/>
      <c r="Y232" s="109">
        <f>A232*H232</f>
        <v>0</v>
      </c>
      <c r="AB232" s="127"/>
      <c r="AZ232" s="4"/>
      <c r="BA232" s="4"/>
      <c r="BB232" s="3"/>
      <c r="BC232" s="98"/>
      <c r="BD232" s="98"/>
    </row>
    <row r="233" spans="1:56" ht="9" customHeight="1">
      <c r="A233" s="62"/>
      <c r="E233" s="61"/>
      <c r="F233" s="61"/>
      <c r="G233" s="293"/>
      <c r="H233" s="122"/>
      <c r="L233" s="60"/>
      <c r="M233" s="29"/>
      <c r="N233" s="225"/>
      <c r="O233" s="126"/>
      <c r="P233" s="225"/>
      <c r="U233" s="257"/>
      <c r="V233" s="292"/>
      <c r="X233" s="126"/>
      <c r="AB233" s="127"/>
      <c r="AZ233" s="4"/>
      <c r="BA233" s="4"/>
      <c r="BB233" s="3"/>
      <c r="BC233" s="98"/>
      <c r="BD233" s="98"/>
    </row>
    <row r="234" spans="1:56" ht="11.25">
      <c r="A234" s="62"/>
      <c r="B234" s="9" t="s">
        <v>589</v>
      </c>
      <c r="C234" s="66"/>
      <c r="D234" s="15"/>
      <c r="E234" s="61"/>
      <c r="F234" s="61"/>
      <c r="G234" s="293"/>
      <c r="H234" s="122"/>
      <c r="L234" s="60"/>
      <c r="M234" s="29"/>
      <c r="N234" s="225"/>
      <c r="O234" s="126"/>
      <c r="P234" s="225"/>
      <c r="U234" s="257"/>
      <c r="V234" s="292"/>
      <c r="X234" s="125"/>
      <c r="AB234" s="127"/>
      <c r="AZ234" s="4"/>
      <c r="BA234" s="4"/>
      <c r="BB234" s="3"/>
      <c r="BC234" s="98"/>
      <c r="BD234" s="98"/>
    </row>
    <row r="235" spans="1:56" ht="11.25">
      <c r="A235" s="31">
        <f>A232+1</f>
        <v>165</v>
      </c>
      <c r="B235" s="64" t="s">
        <v>61</v>
      </c>
      <c r="C235" s="67"/>
      <c r="D235" s="65" t="s">
        <v>62</v>
      </c>
      <c r="E235" s="382"/>
      <c r="F235" s="382"/>
      <c r="G235" s="412"/>
      <c r="H235" s="283">
        <f aca="true" t="shared" si="69" ref="H235:H241">F235*G235</f>
        <v>0</v>
      </c>
      <c r="L235" s="60"/>
      <c r="M235" s="29"/>
      <c r="N235" s="225"/>
      <c r="O235" s="124">
        <v>138.4</v>
      </c>
      <c r="P235" s="225"/>
      <c r="U235" s="257"/>
      <c r="V235" s="111" t="str">
        <f aca="true" t="shared" si="70" ref="V235:V241">CONCATENATE("PQ",D235)</f>
        <v>PQF120</v>
      </c>
      <c r="X235" s="125"/>
      <c r="Y235" s="109">
        <f aca="true" t="shared" si="71" ref="Y235:Y241">A235*H235</f>
        <v>0</v>
      </c>
      <c r="AB235" s="127"/>
      <c r="AZ235" s="4"/>
      <c r="BA235" s="4"/>
      <c r="BB235" s="3"/>
      <c r="BC235" s="98"/>
      <c r="BD235" s="98"/>
    </row>
    <row r="236" spans="1:56" ht="11.25">
      <c r="A236" s="31">
        <f aca="true" t="shared" si="72" ref="A236:A242">A235+1</f>
        <v>166</v>
      </c>
      <c r="B236" s="64" t="s">
        <v>63</v>
      </c>
      <c r="C236" s="67"/>
      <c r="D236" s="65" t="s">
        <v>1838</v>
      </c>
      <c r="E236" s="382"/>
      <c r="F236" s="382"/>
      <c r="G236" s="412"/>
      <c r="H236" s="283">
        <f t="shared" si="69"/>
        <v>0</v>
      </c>
      <c r="L236" s="60"/>
      <c r="M236" s="29"/>
      <c r="N236" s="225"/>
      <c r="O236" s="124">
        <v>138.4</v>
      </c>
      <c r="P236" s="225"/>
      <c r="U236" s="257"/>
      <c r="V236" s="111" t="str">
        <f t="shared" si="70"/>
        <v>PQF121</v>
      </c>
      <c r="X236" s="125"/>
      <c r="Y236" s="109">
        <f t="shared" si="71"/>
        <v>0</v>
      </c>
      <c r="AB236" s="127"/>
      <c r="AZ236" s="4"/>
      <c r="BA236" s="4"/>
      <c r="BB236" s="3"/>
      <c r="BC236" s="98"/>
      <c r="BD236" s="98"/>
    </row>
    <row r="237" spans="1:56" ht="11.25">
      <c r="A237" s="31">
        <f t="shared" si="72"/>
        <v>167</v>
      </c>
      <c r="B237" s="64" t="s">
        <v>454</v>
      </c>
      <c r="C237" s="67"/>
      <c r="D237" s="65" t="s">
        <v>1839</v>
      </c>
      <c r="E237" s="382"/>
      <c r="F237" s="382"/>
      <c r="G237" s="412"/>
      <c r="H237" s="283">
        <f t="shared" si="69"/>
        <v>0</v>
      </c>
      <c r="L237" s="60"/>
      <c r="M237" s="29"/>
      <c r="N237" s="225"/>
      <c r="O237" s="124">
        <v>157.1</v>
      </c>
      <c r="P237" s="225"/>
      <c r="U237" s="257"/>
      <c r="V237" s="111" t="str">
        <f t="shared" si="70"/>
        <v>PQF122</v>
      </c>
      <c r="X237" s="125"/>
      <c r="Y237" s="109">
        <f t="shared" si="71"/>
        <v>0</v>
      </c>
      <c r="AB237" s="127"/>
      <c r="AZ237" s="4"/>
      <c r="BA237" s="4"/>
      <c r="BB237" s="3"/>
      <c r="BC237" s="98"/>
      <c r="BD237" s="98"/>
    </row>
    <row r="238" spans="1:56" ht="11.25">
      <c r="A238" s="31">
        <f t="shared" si="72"/>
        <v>168</v>
      </c>
      <c r="B238" s="64" t="s">
        <v>353</v>
      </c>
      <c r="C238" s="67"/>
      <c r="D238" s="65" t="s">
        <v>1840</v>
      </c>
      <c r="E238" s="382"/>
      <c r="F238" s="382"/>
      <c r="G238" s="412"/>
      <c r="H238" s="283">
        <f t="shared" si="69"/>
        <v>0</v>
      </c>
      <c r="L238" s="60"/>
      <c r="M238" s="29"/>
      <c r="N238" s="225"/>
      <c r="O238" s="124">
        <v>82.9</v>
      </c>
      <c r="P238" s="225"/>
      <c r="U238" s="257"/>
      <c r="V238" s="111" t="str">
        <f t="shared" si="70"/>
        <v>PQF123</v>
      </c>
      <c r="X238" s="125"/>
      <c r="Y238" s="109">
        <f t="shared" si="71"/>
        <v>0</v>
      </c>
      <c r="AB238" s="127"/>
      <c r="AZ238" s="4"/>
      <c r="BA238" s="4"/>
      <c r="BB238" s="3"/>
      <c r="BC238" s="98"/>
      <c r="BD238" s="98"/>
    </row>
    <row r="239" spans="1:56" ht="11.25">
      <c r="A239" s="31">
        <f t="shared" si="72"/>
        <v>169</v>
      </c>
      <c r="B239" s="64" t="s">
        <v>354</v>
      </c>
      <c r="C239" s="67"/>
      <c r="D239" s="65" t="s">
        <v>1841</v>
      </c>
      <c r="E239" s="382"/>
      <c r="F239" s="382"/>
      <c r="G239" s="412"/>
      <c r="H239" s="283">
        <f t="shared" si="69"/>
        <v>0</v>
      </c>
      <c r="L239" s="60"/>
      <c r="M239" s="29"/>
      <c r="N239" s="225"/>
      <c r="O239" s="124">
        <v>9.5</v>
      </c>
      <c r="P239" s="225"/>
      <c r="U239" s="257"/>
      <c r="V239" s="111" t="str">
        <f t="shared" si="70"/>
        <v>PQF125</v>
      </c>
      <c r="X239" s="125"/>
      <c r="Y239" s="109">
        <f t="shared" si="71"/>
        <v>0</v>
      </c>
      <c r="AB239" s="127"/>
      <c r="AZ239" s="4"/>
      <c r="BA239" s="4"/>
      <c r="BB239" s="3"/>
      <c r="BC239" s="98"/>
      <c r="BD239" s="98"/>
    </row>
    <row r="240" spans="1:25" ht="12.75" customHeight="1">
      <c r="A240" s="31">
        <f t="shared" si="72"/>
        <v>170</v>
      </c>
      <c r="B240" s="32" t="s">
        <v>523</v>
      </c>
      <c r="C240" s="32"/>
      <c r="D240" s="277" t="s">
        <v>64</v>
      </c>
      <c r="E240" s="382"/>
      <c r="F240" s="382"/>
      <c r="G240" s="412"/>
      <c r="H240" s="283">
        <f t="shared" si="69"/>
        <v>0</v>
      </c>
      <c r="L240" s="60"/>
      <c r="M240" s="29"/>
      <c r="N240" s="225"/>
      <c r="O240" s="652">
        <v>2480.4</v>
      </c>
      <c r="U240" s="35"/>
      <c r="V240" s="111" t="str">
        <f t="shared" si="70"/>
        <v>PQF127</v>
      </c>
      <c r="Y240" s="109">
        <f t="shared" si="71"/>
        <v>0</v>
      </c>
    </row>
    <row r="241" spans="1:25" ht="11.25">
      <c r="A241" s="31">
        <f>A240+1</f>
        <v>171</v>
      </c>
      <c r="B241" s="32" t="s">
        <v>247</v>
      </c>
      <c r="C241" s="32"/>
      <c r="D241" s="277" t="s">
        <v>66</v>
      </c>
      <c r="E241" s="382"/>
      <c r="F241" s="382"/>
      <c r="G241" s="412"/>
      <c r="H241" s="283">
        <f t="shared" si="69"/>
        <v>0</v>
      </c>
      <c r="L241" s="60"/>
      <c r="M241" s="29"/>
      <c r="N241" s="225"/>
      <c r="O241" s="124">
        <v>1718.1</v>
      </c>
      <c r="U241" s="257"/>
      <c r="V241" s="111" t="str">
        <f t="shared" si="70"/>
        <v>PQF130</v>
      </c>
      <c r="Y241" s="109">
        <f t="shared" si="71"/>
        <v>0</v>
      </c>
    </row>
    <row r="242" spans="1:56" ht="11.25">
      <c r="A242" s="31">
        <f t="shared" si="72"/>
        <v>172</v>
      </c>
      <c r="B242" s="39" t="str">
        <f>CONCATENATE("Totaal regels ",A235," t/m ",A241)</f>
        <v>Totaal regels 165 t/m 171</v>
      </c>
      <c r="C242" s="39"/>
      <c r="D242" s="39"/>
      <c r="E242" s="40">
        <f>SUM(E235:E241)</f>
        <v>0</v>
      </c>
      <c r="F242" s="40">
        <f>SUM(F235:F241)</f>
        <v>0</v>
      </c>
      <c r="G242" s="291"/>
      <c r="H242" s="40">
        <f>SUM(H235:H241)</f>
        <v>0</v>
      </c>
      <c r="I242" s="225"/>
      <c r="J242" s="225"/>
      <c r="L242" s="60"/>
      <c r="M242" s="29"/>
      <c r="N242" s="225"/>
      <c r="O242" s="225"/>
      <c r="P242" s="225"/>
      <c r="U242" s="257"/>
      <c r="V242" s="292"/>
      <c r="W242" s="125"/>
      <c r="X242" s="125"/>
      <c r="AB242" s="127"/>
      <c r="AZ242" s="4"/>
      <c r="BA242" s="4"/>
      <c r="BB242" s="3"/>
      <c r="BC242" s="98"/>
      <c r="BD242" s="98"/>
    </row>
    <row r="243" spans="1:56" ht="11.25">
      <c r="A243" s="62"/>
      <c r="B243" s="69"/>
      <c r="C243" s="66"/>
      <c r="D243" s="15"/>
      <c r="E243" s="61"/>
      <c r="F243" s="61"/>
      <c r="G243" s="60"/>
      <c r="H243" s="122"/>
      <c r="K243" s="63"/>
      <c r="L243" s="60"/>
      <c r="M243" s="29"/>
      <c r="U243" s="257"/>
      <c r="V243" s="123"/>
      <c r="W243" s="126"/>
      <c r="X243" s="126"/>
      <c r="AB243" s="127"/>
      <c r="AZ243" s="4"/>
      <c r="BA243" s="4"/>
      <c r="BB243" s="3"/>
      <c r="BC243" s="98"/>
      <c r="BD243" s="98"/>
    </row>
    <row r="244" spans="1:56" ht="11.25">
      <c r="A244" s="14" t="s">
        <v>347</v>
      </c>
      <c r="B244" s="12" t="s">
        <v>1439</v>
      </c>
      <c r="C244" s="15"/>
      <c r="D244" s="12"/>
      <c r="E244" s="44"/>
      <c r="F244" s="45"/>
      <c r="G244" s="45"/>
      <c r="H244" s="45"/>
      <c r="L244" s="60"/>
      <c r="M244" s="29"/>
      <c r="U244" s="30"/>
      <c r="V244" s="94"/>
      <c r="AB244" s="127"/>
      <c r="AZ244" s="4"/>
      <c r="BA244" s="4"/>
      <c r="BB244" s="3"/>
      <c r="BC244" s="98"/>
      <c r="BD244" s="98"/>
    </row>
    <row r="245" spans="1:56" ht="11.25">
      <c r="A245" s="31">
        <f>A242+1</f>
        <v>173</v>
      </c>
      <c r="B245" s="32" t="s">
        <v>660</v>
      </c>
      <c r="C245" s="32"/>
      <c r="D245" s="277" t="s">
        <v>65</v>
      </c>
      <c r="E245" s="382"/>
      <c r="F245" s="382"/>
      <c r="G245" s="412"/>
      <c r="H245" s="283">
        <f>F245*G245</f>
        <v>0</v>
      </c>
      <c r="L245" s="60"/>
      <c r="M245" s="29"/>
      <c r="N245" s="225"/>
      <c r="O245" s="124">
        <v>74.6</v>
      </c>
      <c r="U245" s="73"/>
      <c r="V245" s="111" t="str">
        <f>CONCATENATE("PQ",D245)</f>
        <v>PQF128</v>
      </c>
      <c r="Y245" s="109">
        <f>A245*H245</f>
        <v>0</v>
      </c>
      <c r="AZ245" s="4"/>
      <c r="BA245" s="4"/>
      <c r="BB245" s="3"/>
      <c r="BC245" s="98"/>
      <c r="BD245" s="98"/>
    </row>
    <row r="246" spans="1:25" ht="11.25">
      <c r="A246" s="31">
        <f>A245+1</f>
        <v>174</v>
      </c>
      <c r="B246" s="32" t="s">
        <v>659</v>
      </c>
      <c r="C246" s="32"/>
      <c r="D246" s="78"/>
      <c r="E246" s="382"/>
      <c r="F246" s="382"/>
      <c r="G246" s="455"/>
      <c r="H246" s="283">
        <f>F246*G246</f>
        <v>0</v>
      </c>
      <c r="J246" s="90" t="s">
        <v>711</v>
      </c>
      <c r="L246" s="60"/>
      <c r="M246" s="29"/>
      <c r="N246" s="225"/>
      <c r="O246" s="652">
        <v>74.54</v>
      </c>
      <c r="U246" s="73"/>
      <c r="V246" s="111" t="s">
        <v>233</v>
      </c>
      <c r="Y246" s="109">
        <f>A246*H246</f>
        <v>0</v>
      </c>
    </row>
    <row r="247" spans="1:28" ht="11.25">
      <c r="A247" s="12"/>
      <c r="B247" s="269"/>
      <c r="C247" s="15"/>
      <c r="D247" s="15"/>
      <c r="E247" s="61"/>
      <c r="F247" s="61"/>
      <c r="G247" s="60"/>
      <c r="H247" s="122"/>
      <c r="L247" s="60"/>
      <c r="M247" s="29"/>
      <c r="U247" s="257"/>
      <c r="V247" s="123"/>
      <c r="AB247" s="127"/>
    </row>
    <row r="248" spans="1:56" ht="11.25">
      <c r="A248" s="137"/>
      <c r="B248" s="137"/>
      <c r="C248" s="137"/>
      <c r="D248" s="137"/>
      <c r="E248" s="137"/>
      <c r="F248" s="137"/>
      <c r="G248" s="137"/>
      <c r="H248" s="137"/>
      <c r="L248" s="60"/>
      <c r="M248" s="29"/>
      <c r="U248" s="257"/>
      <c r="V248" s="94"/>
      <c r="AZ248" s="4"/>
      <c r="BA248" s="4"/>
      <c r="BB248" s="3"/>
      <c r="BC248" s="98"/>
      <c r="BD248" s="98"/>
    </row>
    <row r="249" spans="1:54" ht="12" thickBot="1">
      <c r="A249" s="31">
        <f>A246+1</f>
        <v>175</v>
      </c>
      <c r="B249" s="39" t="s">
        <v>1795</v>
      </c>
      <c r="C249" s="39"/>
      <c r="D249" s="39"/>
      <c r="E249" s="40"/>
      <c r="F249" s="40"/>
      <c r="G249" s="296"/>
      <c r="H249" s="453">
        <f>H242+H232+H230+H212+H204+H198+H188+H171+H158+H145+H245+H246</f>
        <v>0</v>
      </c>
      <c r="L249" s="60"/>
      <c r="M249" s="29"/>
      <c r="U249" s="257"/>
      <c r="V249" s="94"/>
      <c r="AZ249" s="98"/>
      <c r="BA249" s="98"/>
      <c r="BB249" s="98"/>
    </row>
    <row r="250" spans="1:54" ht="12" thickTop="1">
      <c r="A250" s="62"/>
      <c r="B250" s="15"/>
      <c r="C250" s="15"/>
      <c r="D250" s="15"/>
      <c r="E250" s="15"/>
      <c r="F250" s="15"/>
      <c r="G250" s="15"/>
      <c r="H250" s="15"/>
      <c r="L250" s="60"/>
      <c r="M250" s="29"/>
      <c r="N250" s="42"/>
      <c r="O250" s="15"/>
      <c r="P250" s="15"/>
      <c r="Q250" s="15"/>
      <c r="R250" s="15"/>
      <c r="S250" s="60"/>
      <c r="T250" s="122"/>
      <c r="U250" s="257"/>
      <c r="V250" s="94"/>
      <c r="AZ250" s="98"/>
      <c r="BA250" s="98"/>
      <c r="BB250" s="98"/>
    </row>
    <row r="251" spans="1:54" ht="11.25">
      <c r="A251" s="62"/>
      <c r="B251" s="15"/>
      <c r="C251" s="15"/>
      <c r="D251" s="15"/>
      <c r="E251" s="15"/>
      <c r="F251" s="15"/>
      <c r="G251" s="15"/>
      <c r="H251" s="15"/>
      <c r="L251" s="60"/>
      <c r="M251" s="29"/>
      <c r="N251" s="42"/>
      <c r="O251" s="15"/>
      <c r="P251" s="15"/>
      <c r="Q251" s="15"/>
      <c r="R251" s="15"/>
      <c r="S251" s="60"/>
      <c r="T251" s="122"/>
      <c r="U251" s="257"/>
      <c r="V251" s="94"/>
      <c r="AZ251" s="98"/>
      <c r="BA251" s="98"/>
      <c r="BB251" s="98"/>
    </row>
    <row r="252" spans="1:54" ht="21" customHeight="1">
      <c r="A252" s="14" t="s">
        <v>306</v>
      </c>
      <c r="B252" s="100" t="s">
        <v>1776</v>
      </c>
      <c r="C252" s="75"/>
      <c r="D252" s="76"/>
      <c r="E252" s="77"/>
      <c r="F252" s="77"/>
      <c r="G252" s="288">
        <f>F252-E252</f>
        <v>0</v>
      </c>
      <c r="H252" s="113"/>
      <c r="L252" s="60"/>
      <c r="M252" s="29"/>
      <c r="U252" s="30"/>
      <c r="V252" s="111"/>
      <c r="AZ252" s="98"/>
      <c r="BA252" s="98"/>
      <c r="BB252" s="98"/>
    </row>
    <row r="253" spans="1:54" ht="11.25">
      <c r="A253" s="31">
        <f>A249+1</f>
        <v>176</v>
      </c>
      <c r="B253" s="499"/>
      <c r="C253" s="499"/>
      <c r="D253" s="500"/>
      <c r="E253" s="382"/>
      <c r="F253" s="663"/>
      <c r="G253" s="295"/>
      <c r="H253" s="283">
        <f>F253</f>
        <v>0</v>
      </c>
      <c r="L253" s="60"/>
      <c r="M253" s="29"/>
      <c r="U253" s="257"/>
      <c r="V253" s="111">
        <f>D253</f>
        <v>0</v>
      </c>
      <c r="Y253" s="109">
        <f>A253*H253</f>
        <v>0</v>
      </c>
      <c r="AZ253" s="98"/>
      <c r="BA253" s="98"/>
      <c r="BB253" s="98"/>
    </row>
    <row r="254" spans="1:54" ht="11.25">
      <c r="A254" s="31">
        <f>A253+1</f>
        <v>177</v>
      </c>
      <c r="B254" s="499"/>
      <c r="C254" s="499"/>
      <c r="D254" s="500"/>
      <c r="E254" s="382"/>
      <c r="F254" s="663"/>
      <c r="G254" s="295"/>
      <c r="H254" s="283">
        <f>F254</f>
        <v>0</v>
      </c>
      <c r="L254" s="60"/>
      <c r="M254" s="29"/>
      <c r="U254" s="257"/>
      <c r="V254" s="111">
        <f>D254</f>
        <v>0</v>
      </c>
      <c r="Y254" s="109">
        <f>A254*H254</f>
        <v>0</v>
      </c>
      <c r="AZ254" s="98"/>
      <c r="BA254" s="98"/>
      <c r="BB254" s="98"/>
    </row>
    <row r="255" spans="1:25" ht="11.25">
      <c r="A255" s="31">
        <f>A254+1</f>
        <v>178</v>
      </c>
      <c r="B255" s="499"/>
      <c r="C255" s="499"/>
      <c r="D255" s="500"/>
      <c r="E255" s="382"/>
      <c r="F255" s="663"/>
      <c r="G255" s="295"/>
      <c r="H255" s="283">
        <f>F255</f>
        <v>0</v>
      </c>
      <c r="L255" s="60"/>
      <c r="M255" s="29"/>
      <c r="U255" s="257"/>
      <c r="V255" s="111">
        <f>D255</f>
        <v>0</v>
      </c>
      <c r="Y255" s="109">
        <f>A255*H255</f>
        <v>0</v>
      </c>
    </row>
    <row r="256" spans="1:54" ht="11.25" customHeight="1">
      <c r="A256" s="31">
        <f>A255+1</f>
        <v>179</v>
      </c>
      <c r="B256" s="499"/>
      <c r="C256" s="499"/>
      <c r="D256" s="500"/>
      <c r="E256" s="382"/>
      <c r="F256" s="663"/>
      <c r="G256" s="295"/>
      <c r="H256" s="454">
        <f>F256</f>
        <v>0</v>
      </c>
      <c r="L256" s="60"/>
      <c r="M256" s="29"/>
      <c r="U256" s="257"/>
      <c r="V256" s="111">
        <f>D256</f>
        <v>0</v>
      </c>
      <c r="Y256" s="109">
        <f>A256*H256</f>
        <v>0</v>
      </c>
      <c r="AZ256" s="98"/>
      <c r="BA256" s="98"/>
      <c r="BB256" s="98"/>
    </row>
    <row r="257" spans="1:54" ht="11.25" customHeight="1" thickBot="1">
      <c r="A257" s="31">
        <f>A256+1</f>
        <v>180</v>
      </c>
      <c r="B257" s="39" t="s">
        <v>406</v>
      </c>
      <c r="C257" s="39"/>
      <c r="D257" s="39"/>
      <c r="E257" s="446">
        <f>SUM(E253:E256)</f>
        <v>0</v>
      </c>
      <c r="F257" s="446">
        <f>SUM(F253:F256)</f>
        <v>0</v>
      </c>
      <c r="G257" s="296"/>
      <c r="H257" s="662">
        <f>SUM(H253:H256)</f>
        <v>0</v>
      </c>
      <c r="L257" s="60"/>
      <c r="M257" s="29"/>
      <c r="U257" s="257"/>
      <c r="V257" s="94"/>
      <c r="AZ257" s="98"/>
      <c r="BA257" s="98"/>
      <c r="BB257" s="98"/>
    </row>
    <row r="258" spans="1:54" ht="11.25" customHeight="1" thickTop="1">
      <c r="A258" s="62"/>
      <c r="B258" s="15"/>
      <c r="C258" s="15"/>
      <c r="D258" s="15"/>
      <c r="E258" s="15"/>
      <c r="F258" s="15"/>
      <c r="G258" s="15"/>
      <c r="H258" s="15"/>
      <c r="L258" s="60"/>
      <c r="M258" s="29"/>
      <c r="N258" s="42"/>
      <c r="O258" s="15"/>
      <c r="P258" s="15"/>
      <c r="Q258" s="15"/>
      <c r="R258" s="15"/>
      <c r="S258" s="60"/>
      <c r="T258" s="122"/>
      <c r="U258" s="257"/>
      <c r="V258" s="94"/>
      <c r="AZ258" s="98"/>
      <c r="BA258" s="98"/>
      <c r="BB258" s="98"/>
    </row>
    <row r="259" spans="1:54" ht="11.25" customHeight="1">
      <c r="A259" s="62"/>
      <c r="B259" s="15"/>
      <c r="C259" s="15"/>
      <c r="D259" s="15"/>
      <c r="E259" s="15"/>
      <c r="F259" s="15"/>
      <c r="G259" s="15"/>
      <c r="H259" s="15"/>
      <c r="L259" s="60"/>
      <c r="M259" s="29"/>
      <c r="N259" s="42"/>
      <c r="O259" s="15"/>
      <c r="P259" s="15"/>
      <c r="Q259" s="15"/>
      <c r="R259" s="15"/>
      <c r="S259" s="60"/>
      <c r="T259" s="122"/>
      <c r="U259" s="257"/>
      <c r="V259" s="94"/>
      <c r="AZ259" s="98"/>
      <c r="BA259" s="98"/>
      <c r="BB259" s="98"/>
    </row>
    <row r="260" spans="1:54" ht="21" customHeight="1">
      <c r="A260" s="62"/>
      <c r="B260" s="15"/>
      <c r="C260" s="15"/>
      <c r="D260" s="15"/>
      <c r="E260" s="15"/>
      <c r="F260" s="15"/>
      <c r="G260" s="15"/>
      <c r="H260" s="15"/>
      <c r="L260" s="60"/>
      <c r="M260" s="29"/>
      <c r="N260" s="42"/>
      <c r="O260" s="15"/>
      <c r="P260" s="15"/>
      <c r="Q260" s="15"/>
      <c r="R260" s="15"/>
      <c r="S260" s="60"/>
      <c r="T260" s="122"/>
      <c r="U260" s="257"/>
      <c r="V260" s="94"/>
      <c r="AZ260" s="98"/>
      <c r="BA260" s="98"/>
      <c r="BB260" s="98"/>
    </row>
    <row r="261" spans="11:54" ht="11.25">
      <c r="K261" s="263"/>
      <c r="U261" s="257"/>
      <c r="AZ261" s="98"/>
      <c r="BA261" s="98"/>
      <c r="BB261" s="98"/>
    </row>
    <row r="262" spans="1:54" ht="11.25">
      <c r="A262" s="14"/>
      <c r="B262" s="3"/>
      <c r="C262" s="4"/>
      <c r="D262" s="3"/>
      <c r="E262" s="5"/>
      <c r="F262" s="3"/>
      <c r="G262" s="3"/>
      <c r="H262" s="3"/>
      <c r="K262" s="7"/>
      <c r="L262" s="3"/>
      <c r="M262" s="98"/>
      <c r="N262" s="4"/>
      <c r="O262" s="3"/>
      <c r="P262" s="3"/>
      <c r="Q262" s="3"/>
      <c r="R262" s="3"/>
      <c r="S262" s="3"/>
      <c r="T262" s="3"/>
      <c r="U262" s="91"/>
      <c r="V262" s="94"/>
      <c r="AZ262" s="98"/>
      <c r="BA262" s="98"/>
      <c r="BB262" s="98"/>
    </row>
    <row r="263" spans="1:54" ht="11.25">
      <c r="A263" s="14"/>
      <c r="B263" s="3"/>
      <c r="C263" s="4"/>
      <c r="D263" s="3"/>
      <c r="E263" s="5"/>
      <c r="F263" s="3"/>
      <c r="G263" s="3"/>
      <c r="H263" s="3"/>
      <c r="K263" s="7"/>
      <c r="L263" s="3"/>
      <c r="M263" s="98"/>
      <c r="N263" s="4"/>
      <c r="O263" s="3"/>
      <c r="P263" s="3"/>
      <c r="Q263" s="3"/>
      <c r="R263" s="3"/>
      <c r="S263" s="3"/>
      <c r="T263" s="3"/>
      <c r="U263" s="91"/>
      <c r="V263" s="94"/>
      <c r="AZ263" s="98"/>
      <c r="BA263" s="98"/>
      <c r="BB263" s="98"/>
    </row>
    <row r="264" spans="1:54" ht="12.75">
      <c r="A264" s="14" t="s">
        <v>452</v>
      </c>
      <c r="B264" s="270" t="str">
        <f>CONCATENATE("Budgetvergelijking, budgetberekening en berekening indicatief verrekenpercentage ",$E$8)</f>
        <v>Budgetvergelijking, budgetberekening en berekening indicatief verrekenpercentage invullen</v>
      </c>
      <c r="C264" s="15"/>
      <c r="D264" s="15"/>
      <c r="G264" s="99"/>
      <c r="K264" s="99"/>
      <c r="U264" s="258"/>
      <c r="V264" s="48"/>
      <c r="Z264" s="410"/>
      <c r="AZ264" s="98"/>
      <c r="BA264" s="98"/>
      <c r="BB264" s="98"/>
    </row>
    <row r="265" spans="2:53" ht="10.5" customHeight="1">
      <c r="B265" s="15"/>
      <c r="G265" s="86"/>
      <c r="K265" s="99"/>
      <c r="U265" s="72"/>
      <c r="V265" s="48"/>
      <c r="AZ265" s="98"/>
      <c r="BA265" s="98"/>
    </row>
    <row r="266" spans="1:53" ht="10.5" customHeight="1">
      <c r="A266" s="129" t="s">
        <v>348</v>
      </c>
      <c r="B266" s="378" t="str">
        <f>IF(P3=2,"Huidig ZVW budget 2009 vóór productieafspraken maart 2009 (laatste rekenstaat 2009 kolom 5 )","Huidig ZVW budget volgens laatste rekenstaat 2009 kolom 5")</f>
        <v>Huidig ZVW budget volgens laatste rekenstaat 2009 kolom 5</v>
      </c>
      <c r="G266" s="86"/>
      <c r="K266" s="99"/>
      <c r="U266" s="72"/>
      <c r="V266" s="48"/>
      <c r="AZ266" s="98"/>
      <c r="BA266" s="98"/>
    </row>
    <row r="267" spans="1:53" ht="11.25">
      <c r="A267" s="348"/>
      <c r="B267" s="174"/>
      <c r="C267" s="349"/>
      <c r="D267" s="349"/>
      <c r="E267" s="349"/>
      <c r="F267" s="377" t="s">
        <v>315</v>
      </c>
      <c r="G267" s="375" t="s">
        <v>313</v>
      </c>
      <c r="H267" s="376" t="s">
        <v>314</v>
      </c>
      <c r="K267" s="7"/>
      <c r="U267" s="265"/>
      <c r="V267" s="94"/>
      <c r="AZ267" s="98"/>
      <c r="BA267" s="98"/>
    </row>
    <row r="268" spans="1:53" ht="11.25">
      <c r="A268" s="324">
        <f>A257+1</f>
        <v>181</v>
      </c>
      <c r="B268" s="346" t="s">
        <v>1848</v>
      </c>
      <c r="C268" s="75"/>
      <c r="D268" s="75"/>
      <c r="E268" s="347"/>
      <c r="F268" s="50"/>
      <c r="G268" s="604">
        <v>1.02</v>
      </c>
      <c r="H268" s="596">
        <f aca="true" t="shared" si="73" ref="H268:H273">F268/G268</f>
        <v>0</v>
      </c>
      <c r="K268" s="7"/>
      <c r="U268" s="257"/>
      <c r="V268" s="111"/>
      <c r="Y268" s="109">
        <f aca="true" t="shared" si="74" ref="Y268:Y273">A268+F268</f>
        <v>181</v>
      </c>
      <c r="AZ268" s="98"/>
      <c r="BA268" s="98"/>
    </row>
    <row r="269" spans="1:53" ht="11.25">
      <c r="A269" s="31">
        <f aca="true" t="shared" si="75" ref="A269:A274">A268+1</f>
        <v>182</v>
      </c>
      <c r="B269" s="346" t="s">
        <v>1849</v>
      </c>
      <c r="C269" s="32"/>
      <c r="D269" s="32"/>
      <c r="E269" s="112"/>
      <c r="F269" s="50"/>
      <c r="G269" s="604">
        <v>1.015</v>
      </c>
      <c r="H269" s="596">
        <f t="shared" si="73"/>
        <v>0</v>
      </c>
      <c r="K269" s="7"/>
      <c r="U269" s="257"/>
      <c r="V269" s="111"/>
      <c r="Y269" s="109">
        <f t="shared" si="74"/>
        <v>182</v>
      </c>
      <c r="AZ269" s="98"/>
      <c r="BA269" s="98"/>
    </row>
    <row r="270" spans="1:53" ht="11.25">
      <c r="A270" s="31">
        <f t="shared" si="75"/>
        <v>183</v>
      </c>
      <c r="B270" s="81" t="s">
        <v>470</v>
      </c>
      <c r="C270" s="32"/>
      <c r="D270" s="32"/>
      <c r="E270" s="112"/>
      <c r="F270" s="50"/>
      <c r="G270" s="604">
        <v>1</v>
      </c>
      <c r="H270" s="596">
        <f t="shared" si="73"/>
        <v>0</v>
      </c>
      <c r="K270" s="7"/>
      <c r="U270" s="257"/>
      <c r="V270" s="111"/>
      <c r="Y270" s="109">
        <f t="shared" si="74"/>
        <v>183</v>
      </c>
      <c r="AZ270" s="98"/>
      <c r="BA270" s="98"/>
    </row>
    <row r="271" spans="1:53" ht="11.25">
      <c r="A271" s="31">
        <f t="shared" si="75"/>
        <v>184</v>
      </c>
      <c r="B271" s="81" t="s">
        <v>31</v>
      </c>
      <c r="C271" s="32"/>
      <c r="D271" s="32"/>
      <c r="E271" s="112"/>
      <c r="F271" s="50"/>
      <c r="G271" s="604">
        <v>1.0073</v>
      </c>
      <c r="H271" s="596">
        <f t="shared" si="73"/>
        <v>0</v>
      </c>
      <c r="K271" s="7"/>
      <c r="U271" s="257"/>
      <c r="V271" s="111"/>
      <c r="Y271" s="109">
        <f t="shared" si="74"/>
        <v>184</v>
      </c>
      <c r="AZ271" s="98"/>
      <c r="BA271" s="98"/>
    </row>
    <row r="272" spans="1:53" ht="11.25">
      <c r="A272" s="31">
        <f t="shared" si="75"/>
        <v>185</v>
      </c>
      <c r="B272" s="81" t="s">
        <v>38</v>
      </c>
      <c r="C272" s="32"/>
      <c r="D272" s="32"/>
      <c r="E272" s="112"/>
      <c r="F272" s="50"/>
      <c r="G272" s="604">
        <v>1.019</v>
      </c>
      <c r="H272" s="596">
        <f t="shared" si="73"/>
        <v>0</v>
      </c>
      <c r="K272" s="7"/>
      <c r="U272" s="257"/>
      <c r="V272" s="111"/>
      <c r="Y272" s="109">
        <f t="shared" si="74"/>
        <v>185</v>
      </c>
      <c r="AZ272" s="98"/>
      <c r="BA272" s="98"/>
    </row>
    <row r="273" spans="1:53" ht="11.25">
      <c r="A273" s="31">
        <f t="shared" si="75"/>
        <v>186</v>
      </c>
      <c r="B273" s="75" t="s">
        <v>1776</v>
      </c>
      <c r="F273" s="50"/>
      <c r="G273" s="604">
        <v>1.019</v>
      </c>
      <c r="H273" s="596">
        <f t="shared" si="73"/>
        <v>0</v>
      </c>
      <c r="K273" s="7"/>
      <c r="U273" s="257"/>
      <c r="V273" s="111"/>
      <c r="Y273" s="109">
        <f t="shared" si="74"/>
        <v>186</v>
      </c>
      <c r="AZ273" s="98"/>
      <c r="BA273" s="98"/>
    </row>
    <row r="274" spans="1:53" ht="11.25">
      <c r="A274" s="31">
        <f t="shared" si="75"/>
        <v>187</v>
      </c>
      <c r="B274" s="74" t="s">
        <v>1440</v>
      </c>
      <c r="C274" s="39"/>
      <c r="D274" s="56"/>
      <c r="E274" s="264"/>
      <c r="F274" s="383">
        <f>SUM(F268:F273)</f>
        <v>0</v>
      </c>
      <c r="G274" s="494">
        <f>IF(F274=0,0,F274/H274)</f>
        <v>0</v>
      </c>
      <c r="H274" s="383">
        <f>SUM(H268:H273)</f>
        <v>0</v>
      </c>
      <c r="I274" s="129" t="s">
        <v>302</v>
      </c>
      <c r="K274" s="7"/>
      <c r="U274" s="257"/>
      <c r="V274" s="94"/>
      <c r="Z274" s="410"/>
      <c r="AZ274" s="98"/>
      <c r="BA274" s="98"/>
    </row>
    <row r="275" spans="2:53" ht="11.25">
      <c r="B275" s="86"/>
      <c r="K275" s="7"/>
      <c r="U275" s="257"/>
      <c r="V275" s="94"/>
      <c r="AZ275" s="98"/>
      <c r="BA275" s="98"/>
    </row>
    <row r="276" spans="1:53" ht="11.25">
      <c r="A276" s="129" t="s">
        <v>349</v>
      </c>
      <c r="B276" s="378" t="str">
        <f>G7</f>
        <v>Mutatie budget ZVW 2009</v>
      </c>
      <c r="K276" s="7"/>
      <c r="U276" s="257"/>
      <c r="V276" s="94"/>
      <c r="AZ276" s="98"/>
      <c r="BA276" s="98"/>
    </row>
    <row r="277" spans="1:22" ht="11.25">
      <c r="A277" s="350"/>
      <c r="B277" s="349"/>
      <c r="C277" s="351"/>
      <c r="D277" s="351"/>
      <c r="E277" s="352"/>
      <c r="F277" s="353"/>
      <c r="G277" s="353" t="s">
        <v>606</v>
      </c>
      <c r="H277" s="374"/>
      <c r="K277" s="7"/>
      <c r="U277" s="257"/>
      <c r="V277" s="94"/>
    </row>
    <row r="278" spans="1:21" ht="11.25">
      <c r="A278" s="324">
        <f>A274+1</f>
        <v>188</v>
      </c>
      <c r="B278" s="346" t="s">
        <v>1913</v>
      </c>
      <c r="C278" s="75"/>
      <c r="D278" s="100"/>
      <c r="E278" s="75"/>
      <c r="F278" s="327"/>
      <c r="G278" s="327">
        <f>A113</f>
        <v>73</v>
      </c>
      <c r="H278" s="379">
        <f>H113</f>
        <v>0</v>
      </c>
      <c r="K278" s="7"/>
      <c r="U278" s="257"/>
    </row>
    <row r="279" spans="1:22" ht="11.25">
      <c r="A279" s="31">
        <f aca="true" t="shared" si="76" ref="A279:A284">A278+1</f>
        <v>189</v>
      </c>
      <c r="B279" s="81" t="s">
        <v>31</v>
      </c>
      <c r="F279" s="344"/>
      <c r="G279" s="344">
        <f>A126</f>
        <v>81</v>
      </c>
      <c r="H279" s="295">
        <f>H126</f>
        <v>0</v>
      </c>
      <c r="K279" s="99"/>
      <c r="U279" s="93"/>
      <c r="V279" s="94"/>
    </row>
    <row r="280" spans="1:22" ht="11.25">
      <c r="A280" s="31">
        <f t="shared" si="76"/>
        <v>190</v>
      </c>
      <c r="B280" s="81" t="s">
        <v>470</v>
      </c>
      <c r="C280" s="32"/>
      <c r="D280" s="87"/>
      <c r="E280" s="103"/>
      <c r="F280" s="119"/>
      <c r="G280" s="119">
        <f>A270</f>
        <v>183</v>
      </c>
      <c r="H280" s="380">
        <f>IF(P3=2,H270,0)</f>
        <v>0</v>
      </c>
      <c r="K280" s="105"/>
      <c r="U280" s="257"/>
      <c r="V280" s="94"/>
    </row>
    <row r="281" spans="1:22" ht="11.25">
      <c r="A281" s="31">
        <f t="shared" si="76"/>
        <v>191</v>
      </c>
      <c r="B281" s="81" t="s">
        <v>1837</v>
      </c>
      <c r="C281" s="32"/>
      <c r="D281" s="87"/>
      <c r="E281" s="103"/>
      <c r="F281" s="119"/>
      <c r="G281" s="317"/>
      <c r="H281" s="295">
        <f>SUM(H278:H280)</f>
        <v>0</v>
      </c>
      <c r="K281" s="106"/>
      <c r="U281" s="257"/>
      <c r="V281" s="94"/>
    </row>
    <row r="282" spans="1:22" ht="12" customHeight="1">
      <c r="A282" s="31">
        <f t="shared" si="76"/>
        <v>192</v>
      </c>
      <c r="B282" s="81" t="s">
        <v>38</v>
      </c>
      <c r="C282" s="32"/>
      <c r="D282" s="87"/>
      <c r="E282" s="103"/>
      <c r="F282" s="119"/>
      <c r="G282" s="119">
        <f>A249</f>
        <v>175</v>
      </c>
      <c r="H282" s="372">
        <f>H249</f>
        <v>0</v>
      </c>
      <c r="K282" s="106"/>
      <c r="U282" s="257"/>
      <c r="V282" s="94"/>
    </row>
    <row r="283" spans="1:21" ht="12.75" customHeight="1">
      <c r="A283" s="31">
        <f t="shared" si="76"/>
        <v>193</v>
      </c>
      <c r="B283" s="90" t="s">
        <v>1776</v>
      </c>
      <c r="C283" s="32"/>
      <c r="D283" s="87"/>
      <c r="E283" s="103"/>
      <c r="F283" s="119"/>
      <c r="G283" s="90">
        <f>A257</f>
        <v>180</v>
      </c>
      <c r="H283" s="380">
        <f>H257</f>
        <v>0</v>
      </c>
      <c r="K283" s="106"/>
      <c r="U283" s="257"/>
    </row>
    <row r="284" spans="1:25" ht="11.25">
      <c r="A284" s="31">
        <f t="shared" si="76"/>
        <v>194</v>
      </c>
      <c r="B284" s="74" t="str">
        <f>IF(P3=2,"Totaal ZVW budget ná afspraken 2009","Totaal mutatie ZVW budget 2009")</f>
        <v>Totaal mutatie ZVW budget 2009</v>
      </c>
      <c r="C284" s="39"/>
      <c r="D284" s="56"/>
      <c r="E284" s="264"/>
      <c r="F284" s="381"/>
      <c r="G284" s="101"/>
      <c r="H284" s="411">
        <f>SUM(H281:H283)</f>
        <v>0</v>
      </c>
      <c r="I284" s="129" t="s">
        <v>549</v>
      </c>
      <c r="K284" s="106"/>
      <c r="U284" s="257"/>
      <c r="V284" s="94"/>
      <c r="Y284" s="109">
        <f>H284</f>
        <v>0</v>
      </c>
    </row>
    <row r="285" spans="11:21" ht="11.25">
      <c r="K285" s="106"/>
      <c r="U285" s="257"/>
    </row>
    <row r="286" spans="1:21" ht="11.25">
      <c r="A286" s="31">
        <f>A284+1</f>
        <v>195</v>
      </c>
      <c r="B286" s="74" t="str">
        <f>IF(P3=2,"Mutatie ZVW-budget 2009 t.o.v. ZVW-budget 2008","Totaal ZVW budget 2009 inclusief mutatie")</f>
        <v>Totaal ZVW budget 2009 inclusief mutatie</v>
      </c>
      <c r="C286" s="39"/>
      <c r="D286" s="56"/>
      <c r="E286" s="384"/>
      <c r="F286" s="384" t="str">
        <f>IF(P3=2,"B-A","A+B")</f>
        <v>A+B</v>
      </c>
      <c r="G286" s="385" t="str">
        <f>IF(P3&lt;&gt;2," ",IF(H286&lt;0,"afname","toename"))</f>
        <v> </v>
      </c>
      <c r="H286" s="411">
        <f>IF(P3=2,H284-H274,H274+H284)</f>
        <v>0</v>
      </c>
      <c r="I286" s="129" t="s">
        <v>316</v>
      </c>
      <c r="K286" s="106">
        <f>IF(P3=2,"toe- of afname aub toelichten op regel 214","")</f>
      </c>
      <c r="U286" s="257"/>
    </row>
    <row r="287" spans="11:21" ht="11.25">
      <c r="K287" s="106"/>
      <c r="U287" s="257"/>
    </row>
    <row r="288" spans="1:21" ht="11.25">
      <c r="A288" s="129" t="s">
        <v>350</v>
      </c>
      <c r="B288" s="386" t="str">
        <f>IF(P3=2,"Afspraken DBC's GGZ 2009","Mutatie afspraken DBC's GGZ 2009")</f>
        <v>Mutatie afspraken DBC's GGZ 2009</v>
      </c>
      <c r="K288" s="106"/>
      <c r="U288" s="257"/>
    </row>
    <row r="289" spans="1:21" ht="11.25">
      <c r="A289" s="173"/>
      <c r="B289" s="355"/>
      <c r="C289" s="174"/>
      <c r="D289" s="174"/>
      <c r="E289" s="174"/>
      <c r="F289" s="174"/>
      <c r="G289" s="174"/>
      <c r="H289" s="189"/>
      <c r="K289" s="106"/>
      <c r="U289" s="257"/>
    </row>
    <row r="290" spans="1:22" ht="11.25">
      <c r="A290" s="324">
        <f>A286+1</f>
        <v>196</v>
      </c>
      <c r="B290" s="346" t="s">
        <v>289</v>
      </c>
      <c r="C290" s="75"/>
      <c r="D290" s="100"/>
      <c r="E290" s="354"/>
      <c r="F290" s="347"/>
      <c r="G290" s="387"/>
      <c r="H290" s="379">
        <f>'dbc''s'!H233</f>
        <v>0</v>
      </c>
      <c r="K290" s="106"/>
      <c r="U290" s="95"/>
      <c r="V290" s="3"/>
    </row>
    <row r="291" spans="1:22" ht="11.25">
      <c r="A291" s="31">
        <f>A290+1</f>
        <v>197</v>
      </c>
      <c r="B291" s="81" t="s">
        <v>290</v>
      </c>
      <c r="C291" s="32"/>
      <c r="D291" s="87"/>
      <c r="E291" s="103"/>
      <c r="F291" s="112"/>
      <c r="G291" s="266"/>
      <c r="H291" s="295">
        <f>'dbc''s'!G154</f>
        <v>0</v>
      </c>
      <c r="K291" s="106"/>
      <c r="U291" s="257"/>
      <c r="V291" s="3"/>
    </row>
    <row r="292" spans="1:25" ht="11.25">
      <c r="A292" s="31">
        <f>A291+1</f>
        <v>198</v>
      </c>
      <c r="B292" s="74" t="str">
        <f>IF(P3=2,"Totaal afspraken DBC's 2009","Totaal mutatie afspraken DBC's 2009")</f>
        <v>Totaal mutatie afspraken DBC's 2009</v>
      </c>
      <c r="C292" s="39"/>
      <c r="D292" s="39" t="s">
        <v>583</v>
      </c>
      <c r="E292" s="493">
        <f>IF(H284=0,0,1/H284*H292)</f>
        <v>0</v>
      </c>
      <c r="F292" s="492" t="s">
        <v>584</v>
      </c>
      <c r="G292" s="101"/>
      <c r="H292" s="411">
        <f>H291+H290</f>
        <v>0</v>
      </c>
      <c r="I292" s="129" t="s">
        <v>284</v>
      </c>
      <c r="K292" s="106">
        <f>IF(K293&gt;5%,"verschil (B-D&gt;5%) aub toelichten op regel 215","")</f>
      </c>
      <c r="U292" s="257"/>
      <c r="Y292" s="109">
        <f>H292</f>
        <v>0</v>
      </c>
    </row>
    <row r="293" spans="1:21" ht="11.25">
      <c r="A293" s="345"/>
      <c r="B293" s="38"/>
      <c r="C293" s="38"/>
      <c r="D293" s="322"/>
      <c r="E293" s="323"/>
      <c r="F293" s="345"/>
      <c r="G293" s="774"/>
      <c r="H293" s="775"/>
      <c r="K293" s="650">
        <f>IF(E292=0,0,IF(E292&lt;100%,100%-E292,E292-100%))</f>
        <v>0</v>
      </c>
      <c r="L293" s="644">
        <f>IF(H284=0,0,1)</f>
        <v>0</v>
      </c>
      <c r="U293" s="257"/>
    </row>
    <row r="294" spans="1:21" ht="12.75">
      <c r="A294" s="96" t="s">
        <v>351</v>
      </c>
      <c r="B294" s="776" t="s">
        <v>1441</v>
      </c>
      <c r="C294" s="777"/>
      <c r="D294" s="777"/>
      <c r="E294" s="777"/>
      <c r="F294" s="777"/>
      <c r="G294" s="777"/>
      <c r="H294" s="777"/>
      <c r="K294" s="106"/>
      <c r="U294" s="257"/>
    </row>
    <row r="295" spans="1:21" ht="12.75">
      <c r="A295" s="173"/>
      <c r="B295" s="349"/>
      <c r="C295" s="351"/>
      <c r="D295" s="349"/>
      <c r="E295" s="349"/>
      <c r="F295" s="174"/>
      <c r="G295" s="772"/>
      <c r="H295" s="773"/>
      <c r="K295" s="106"/>
      <c r="U295" s="257"/>
    </row>
    <row r="296" spans="1:21" ht="12" thickBot="1">
      <c r="A296" s="402">
        <f>A292+1</f>
        <v>199</v>
      </c>
      <c r="B296" s="403" t="str">
        <f>IF(P3=2,"Totaal ZVW budget ná afspraken 2009","Totaal ZVW budget 2009 inclusief mutatie")</f>
        <v>Totaal ZVW budget 2009 inclusief mutatie</v>
      </c>
      <c r="C296" s="388"/>
      <c r="D296" s="389"/>
      <c r="E296" s="389"/>
      <c r="F296" s="392" t="str">
        <f>IF(P3=2,"B","C")</f>
        <v>C</v>
      </c>
      <c r="G296" s="390"/>
      <c r="H296" s="451">
        <f>IF(P3=2,H284,H286)</f>
        <v>0</v>
      </c>
      <c r="K296" s="106"/>
      <c r="U296" s="257"/>
    </row>
    <row r="297" spans="1:21" ht="12" thickTop="1">
      <c r="A297" s="402">
        <f aca="true" t="shared" si="77" ref="A297:A310">A296+1</f>
        <v>200</v>
      </c>
      <c r="B297" s="404" t="s">
        <v>1442</v>
      </c>
      <c r="C297" s="4"/>
      <c r="D297" s="15"/>
      <c r="E297" s="15"/>
      <c r="F297" s="393"/>
      <c r="G297" s="495">
        <f>G274</f>
        <v>0</v>
      </c>
      <c r="H297" s="452">
        <f>H296*G297</f>
        <v>0</v>
      </c>
      <c r="K297" s="106"/>
      <c r="U297" s="257"/>
    </row>
    <row r="298" spans="1:21" ht="12.75" customHeight="1">
      <c r="A298" s="402">
        <f t="shared" si="77"/>
        <v>201</v>
      </c>
      <c r="B298" s="81" t="s">
        <v>601</v>
      </c>
      <c r="C298" s="32"/>
      <c r="D298" s="87"/>
      <c r="E298" s="87"/>
      <c r="F298" s="394"/>
      <c r="G298" s="391"/>
      <c r="H298" s="34"/>
      <c r="I298" s="129"/>
      <c r="K298" s="106"/>
      <c r="U298" s="257"/>
    </row>
    <row r="299" spans="1:21" ht="12" thickBot="1">
      <c r="A299" s="402">
        <f t="shared" si="77"/>
        <v>202</v>
      </c>
      <c r="B299" s="81" t="s">
        <v>602</v>
      </c>
      <c r="C299" s="32"/>
      <c r="D299" s="87"/>
      <c r="E299" s="87"/>
      <c r="F299" s="394"/>
      <c r="G299" s="391"/>
      <c r="H299" s="451">
        <f>H298+H297</f>
        <v>0</v>
      </c>
      <c r="I299" s="129" t="s">
        <v>551</v>
      </c>
      <c r="K299" s="106"/>
      <c r="U299" s="257"/>
    </row>
    <row r="300" spans="1:21" ht="12" thickTop="1">
      <c r="A300" s="402">
        <f t="shared" si="77"/>
        <v>203</v>
      </c>
      <c r="B300" s="81" t="str">
        <f>B288</f>
        <v>Mutatie afspraken DBC's GGZ 2009</v>
      </c>
      <c r="C300" s="32"/>
      <c r="D300" s="87"/>
      <c r="E300" s="87"/>
      <c r="F300" s="394" t="s">
        <v>284</v>
      </c>
      <c r="G300" s="391"/>
      <c r="H300" s="283">
        <f>H292</f>
        <v>0</v>
      </c>
      <c r="I300" s="129"/>
      <c r="K300" s="106"/>
      <c r="U300" s="257"/>
    </row>
    <row r="301" spans="1:21" ht="11.25">
      <c r="A301" s="402">
        <f t="shared" si="77"/>
        <v>204</v>
      </c>
      <c r="B301" s="346" t="str">
        <f>IF(P3=3,"Totaal eerder afgesproken opbrengsten DBC's verblijf (zie laatste rekenstaat)","")</f>
        <v>Totaal eerder afgesproken opbrengsten DBC's verblijf (zie laatste rekenstaat)</v>
      </c>
      <c r="C301" s="75"/>
      <c r="D301" s="100"/>
      <c r="E301" s="100"/>
      <c r="F301" s="395"/>
      <c r="G301" s="391"/>
      <c r="H301" s="50"/>
      <c r="I301" s="129"/>
      <c r="K301" s="106"/>
      <c r="U301" s="257"/>
    </row>
    <row r="302" spans="1:21" ht="11.25">
      <c r="A302" s="402">
        <f t="shared" si="77"/>
        <v>205</v>
      </c>
      <c r="B302" s="346" t="str">
        <f>IF(P3=3,"Totaal eerder afgesproken opbrengsten DBC's ambulant (zie laatste rekenstaat)","")</f>
        <v>Totaal eerder afgesproken opbrengsten DBC's ambulant (zie laatste rekenstaat)</v>
      </c>
      <c r="C302" s="75"/>
      <c r="D302" s="100"/>
      <c r="E302" s="100"/>
      <c r="F302" s="395"/>
      <c r="G302" s="391"/>
      <c r="H302" s="50"/>
      <c r="I302" s="129"/>
      <c r="K302" s="106"/>
      <c r="U302" s="257"/>
    </row>
    <row r="303" spans="1:21" ht="12" thickBot="1">
      <c r="A303" s="402">
        <f t="shared" si="77"/>
        <v>206</v>
      </c>
      <c r="B303" s="346" t="str">
        <f>IF(P3=3,"Totaal opbrengsten DBC's inclusief mutatie","Totaal opbrengsten DBC's")</f>
        <v>Totaal opbrengsten DBC's inclusief mutatie</v>
      </c>
      <c r="C303" s="75"/>
      <c r="D303" s="100"/>
      <c r="E303" s="100"/>
      <c r="F303" s="395"/>
      <c r="G303" s="391"/>
      <c r="H303" s="490">
        <f>H302+H300+H301</f>
        <v>0</v>
      </c>
      <c r="I303" s="129" t="s">
        <v>325</v>
      </c>
      <c r="K303" s="106"/>
      <c r="U303" s="257"/>
    </row>
    <row r="304" spans="1:21" ht="12.75" thickBot="1" thickTop="1">
      <c r="A304" s="402">
        <f t="shared" si="77"/>
        <v>207</v>
      </c>
      <c r="B304" s="346" t="s">
        <v>495</v>
      </c>
      <c r="C304" s="75"/>
      <c r="D304" s="100"/>
      <c r="E304" s="100"/>
      <c r="F304" s="395" t="s">
        <v>326</v>
      </c>
      <c r="G304" s="266"/>
      <c r="H304" s="489">
        <f>H303-H299</f>
        <v>0</v>
      </c>
      <c r="K304" s="106"/>
      <c r="U304" s="257"/>
    </row>
    <row r="305" spans="1:21" ht="13.5" thickTop="1">
      <c r="A305" s="402">
        <f t="shared" si="77"/>
        <v>208</v>
      </c>
      <c r="B305" s="81"/>
      <c r="C305" s="32"/>
      <c r="D305" s="87"/>
      <c r="E305" s="87"/>
      <c r="F305" s="112"/>
      <c r="G305" s="396"/>
      <c r="H305" s="524"/>
      <c r="K305" s="106"/>
      <c r="U305" s="257"/>
    </row>
    <row r="306" spans="1:22" ht="12.75">
      <c r="A306" s="402">
        <f t="shared" si="77"/>
        <v>209</v>
      </c>
      <c r="B306" s="764" t="str">
        <f>IF(H304&gt;0,"De DBC-afspraken zijn hoger dan het ZVW budget, dit leidt tot een aftrek dmv het verreken percentage","De DBC-afspraken zijn lager dan het ZVW budget, dit leidt tot een opslag dmv het verrekenpercentage")</f>
        <v>De DBC-afspraken zijn lager dan het ZVW budget, dit leidt tot een opslag dmv het verrekenpercentage</v>
      </c>
      <c r="C306" s="765"/>
      <c r="D306" s="765"/>
      <c r="E306" s="765"/>
      <c r="F306" s="765"/>
      <c r="G306" s="765"/>
      <c r="H306" s="766"/>
      <c r="K306" s="106"/>
      <c r="U306" s="95"/>
      <c r="V306" s="12"/>
    </row>
    <row r="307" spans="1:25" ht="12.75">
      <c r="A307" s="402">
        <f t="shared" si="77"/>
        <v>210</v>
      </c>
      <c r="B307" s="81"/>
      <c r="C307" s="32"/>
      <c r="D307" s="87"/>
      <c r="E307" s="87"/>
      <c r="F307" s="112"/>
      <c r="G307" s="373">
        <f>L242</f>
        <v>0</v>
      </c>
      <c r="H307" s="525"/>
      <c r="K307" s="106"/>
      <c r="U307" s="257"/>
      <c r="V307" s="3"/>
      <c r="W307" s="90" t="s">
        <v>661</v>
      </c>
      <c r="Y307" s="109">
        <f>'dbc''s'!R230</f>
        <v>0</v>
      </c>
    </row>
    <row r="308" spans="1:22" ht="12.75">
      <c r="A308" s="402">
        <f t="shared" si="77"/>
        <v>211</v>
      </c>
      <c r="B308" s="81" t="s">
        <v>291</v>
      </c>
      <c r="C308" s="767">
        <f>IF(F308=0,0,-H304/F308)</f>
        <v>0</v>
      </c>
      <c r="D308" s="763"/>
      <c r="E308" s="112" t="s">
        <v>293</v>
      </c>
      <c r="F308" s="398">
        <f>H290+H301</f>
        <v>0</v>
      </c>
      <c r="G308" s="266"/>
      <c r="H308" s="397">
        <f>F308*C308+F308</f>
        <v>0</v>
      </c>
      <c r="K308" s="106"/>
      <c r="U308" s="257"/>
      <c r="V308" s="12"/>
    </row>
    <row r="309" spans="1:22" ht="12.75" customHeight="1">
      <c r="A309" s="402">
        <f t="shared" si="77"/>
        <v>212</v>
      </c>
      <c r="B309" s="81" t="s">
        <v>292</v>
      </c>
      <c r="C309" s="768" t="e">
        <f>IF(F308=0,-H304/F309,0)</f>
        <v>#DIV/0!</v>
      </c>
      <c r="D309" s="769"/>
      <c r="E309" s="347" t="s">
        <v>293</v>
      </c>
      <c r="F309" s="399">
        <f>H291+H302</f>
        <v>0</v>
      </c>
      <c r="G309" s="400"/>
      <c r="H309" s="397" t="e">
        <f>F309*C309+F309</f>
        <v>#DIV/0!</v>
      </c>
      <c r="J309" s="644"/>
      <c r="K309" s="645"/>
      <c r="L309" s="644"/>
      <c r="M309" s="644"/>
      <c r="N309" s="644"/>
      <c r="O309" s="644"/>
      <c r="P309" s="644"/>
      <c r="Q309" s="644"/>
      <c r="U309" s="257"/>
      <c r="V309" s="12"/>
    </row>
    <row r="310" spans="1:25" ht="12.75" customHeight="1" thickBot="1">
      <c r="A310" s="402">
        <f t="shared" si="77"/>
        <v>213</v>
      </c>
      <c r="B310" s="762" t="s">
        <v>406</v>
      </c>
      <c r="C310" s="763"/>
      <c r="D310" s="763"/>
      <c r="E310" s="763"/>
      <c r="F310" s="763"/>
      <c r="G310" s="401"/>
      <c r="H310" s="371" t="e">
        <f>H309+H308</f>
        <v>#DIV/0!</v>
      </c>
      <c r="I310" s="313" t="s">
        <v>494</v>
      </c>
      <c r="K310" s="7"/>
      <c r="Q310" s="644"/>
      <c r="U310" s="257"/>
      <c r="V310" s="12"/>
      <c r="Y310" s="415">
        <f>ROUND(SUM(Y11:Y307),0)</f>
        <v>1101</v>
      </c>
    </row>
    <row r="311" spans="17:25" ht="11.25" customHeight="1" thickTop="1">
      <c r="Q311" s="644"/>
      <c r="W311" s="90" t="s">
        <v>424</v>
      </c>
      <c r="Y311" s="414" t="str">
        <f>RIGHT(Y310,8)</f>
        <v>1101</v>
      </c>
    </row>
    <row r="312" spans="2:17" ht="11.25" customHeight="1">
      <c r="B312" s="223" t="str">
        <f>IF(P3=2,"Korte toelichting mutatie budget op regel 195"," ")</f>
        <v> </v>
      </c>
      <c r="Q312" s="644"/>
    </row>
    <row r="313" spans="1:17" ht="11.25">
      <c r="A313" s="402">
        <f>A310+1</f>
        <v>214</v>
      </c>
      <c r="B313" s="755"/>
      <c r="C313" s="756"/>
      <c r="D313" s="756"/>
      <c r="E313" s="756"/>
      <c r="F313" s="756"/>
      <c r="G313" s="756"/>
      <c r="H313" s="757"/>
      <c r="J313" s="647">
        <f>IF(B313="",1,0)</f>
        <v>1</v>
      </c>
      <c r="K313" s="648">
        <f>IF(P3=2,1,0)</f>
        <v>0</v>
      </c>
      <c r="L313" s="648"/>
      <c r="M313" s="648">
        <f>K313+J313</f>
        <v>1</v>
      </c>
      <c r="N313" s="644"/>
      <c r="O313" s="644"/>
      <c r="P313" s="644"/>
      <c r="Q313" s="644"/>
    </row>
    <row r="314" spans="2:17" ht="11.25">
      <c r="B314" s="223" t="str">
        <f>IF(P3=2,"Korte toelichting verschil afgesproken DBC's t.o.v. budget 2009 (als verschil B-D&gt;5%)"," ")</f>
        <v> </v>
      </c>
      <c r="J314" s="647"/>
      <c r="K314" s="649"/>
      <c r="L314" s="647"/>
      <c r="M314" s="647"/>
      <c r="N314" s="644"/>
      <c r="O314" s="644"/>
      <c r="P314" s="644"/>
      <c r="Q314" s="644"/>
    </row>
    <row r="315" spans="1:17" ht="11.25">
      <c r="A315" s="402">
        <f>A313+1</f>
        <v>215</v>
      </c>
      <c r="B315" s="755"/>
      <c r="C315" s="756"/>
      <c r="D315" s="756"/>
      <c r="E315" s="756"/>
      <c r="F315" s="756"/>
      <c r="G315" s="756"/>
      <c r="H315" s="757"/>
      <c r="J315" s="647">
        <f>IF(B315="",1,0)</f>
        <v>1</v>
      </c>
      <c r="K315" s="648">
        <f>IF(P3=2,1,0)</f>
        <v>0</v>
      </c>
      <c r="L315" s="647">
        <f>IF(K293&gt;5%,1,0)</f>
        <v>0</v>
      </c>
      <c r="M315" s="648">
        <f>L315+K315+J315</f>
        <v>1</v>
      </c>
      <c r="N315" s="644"/>
      <c r="O315" s="647">
        <f>IF(AND(L293&gt;0,K293&gt;5%),TRUE,0)</f>
        <v>0</v>
      </c>
      <c r="P315" s="644"/>
      <c r="Q315" s="644"/>
    </row>
    <row r="316" spans="10:17" ht="11.25">
      <c r="J316" s="644"/>
      <c r="K316" s="646"/>
      <c r="L316" s="644"/>
      <c r="M316" s="644"/>
      <c r="N316" s="644"/>
      <c r="O316" s="644"/>
      <c r="P316" s="644"/>
      <c r="Q316" s="644"/>
    </row>
    <row r="317" spans="10:17" ht="11.25">
      <c r="J317" s="644"/>
      <c r="K317" s="646"/>
      <c r="L317" s="644"/>
      <c r="M317" s="644"/>
      <c r="N317" s="644"/>
      <c r="O317" s="644"/>
      <c r="P317" s="644"/>
      <c r="Q317" s="644"/>
    </row>
    <row r="318" spans="10:17" ht="11.25">
      <c r="J318" s="644"/>
      <c r="K318" s="646"/>
      <c r="L318" s="644"/>
      <c r="M318" s="644"/>
      <c r="N318" s="644"/>
      <c r="O318" s="644"/>
      <c r="P318" s="644"/>
      <c r="Q318" s="644"/>
    </row>
    <row r="537" ht="11.25">
      <c r="D537" s="109"/>
    </row>
    <row r="538" ht="11.25">
      <c r="D538" s="109"/>
    </row>
    <row r="539" ht="11.25">
      <c r="D539" s="109"/>
    </row>
    <row r="540" ht="11.25">
      <c r="D540" s="109"/>
    </row>
    <row r="541" ht="11.25">
      <c r="D541" s="109"/>
    </row>
    <row r="542" ht="11.25">
      <c r="D542" s="109"/>
    </row>
    <row r="543" ht="11.25">
      <c r="D543" s="109"/>
    </row>
    <row r="544" ht="11.25">
      <c r="D544" s="109"/>
    </row>
    <row r="545" ht="11.25">
      <c r="D545" s="109"/>
    </row>
    <row r="546" ht="11.25">
      <c r="D546" s="109"/>
    </row>
    <row r="547" ht="11.25">
      <c r="D547" s="109"/>
    </row>
    <row r="548" ht="11.25">
      <c r="D548" s="109"/>
    </row>
    <row r="549" ht="11.25">
      <c r="D549" s="109"/>
    </row>
    <row r="550" ht="11.25">
      <c r="D550" s="109"/>
    </row>
    <row r="551" ht="11.25">
      <c r="D551" s="109"/>
    </row>
    <row r="552" ht="11.25">
      <c r="D552" s="109"/>
    </row>
    <row r="553" ht="11.25">
      <c r="D553" s="109"/>
    </row>
    <row r="554" ht="11.25">
      <c r="D554" s="109"/>
    </row>
    <row r="555" ht="11.25">
      <c r="D555" s="109"/>
    </row>
    <row r="556" ht="11.25">
      <c r="D556" s="109"/>
    </row>
    <row r="557" ht="11.25">
      <c r="D557" s="109"/>
    </row>
    <row r="558" ht="11.25">
      <c r="D558" s="109"/>
    </row>
    <row r="559" ht="11.25">
      <c r="D559" s="109"/>
    </row>
    <row r="560" ht="11.25">
      <c r="D560" s="109"/>
    </row>
    <row r="561" ht="11.25">
      <c r="D561" s="109"/>
    </row>
    <row r="562" ht="11.25">
      <c r="D562" s="109"/>
    </row>
    <row r="563" ht="11.25">
      <c r="D563" s="109"/>
    </row>
    <row r="564" ht="11.25">
      <c r="D564" s="109"/>
    </row>
    <row r="565" ht="11.25">
      <c r="D565" s="109"/>
    </row>
    <row r="566" ht="11.25">
      <c r="D566" s="109"/>
    </row>
    <row r="567" ht="11.25">
      <c r="D567" s="109"/>
    </row>
    <row r="568" ht="11.25">
      <c r="D568" s="109"/>
    </row>
    <row r="569" ht="11.25">
      <c r="D569" s="109"/>
    </row>
    <row r="570" ht="11.25">
      <c r="D570" s="109"/>
    </row>
    <row r="571" ht="11.25">
      <c r="D571" s="109"/>
    </row>
    <row r="572" ht="11.25">
      <c r="D572" s="109"/>
    </row>
    <row r="573" ht="11.25">
      <c r="D573" s="109"/>
    </row>
    <row r="574" ht="11.25">
      <c r="D574" s="109"/>
    </row>
    <row r="575" ht="11.25">
      <c r="D575" s="109"/>
    </row>
    <row r="576" ht="11.25">
      <c r="D576" s="109"/>
    </row>
    <row r="577" ht="11.25">
      <c r="D577" s="109"/>
    </row>
    <row r="578" ht="11.25">
      <c r="D578" s="109"/>
    </row>
    <row r="579" ht="11.25">
      <c r="D579" s="109"/>
    </row>
    <row r="580" ht="11.25">
      <c r="D580" s="109"/>
    </row>
    <row r="581" ht="11.25">
      <c r="D581" s="109"/>
    </row>
    <row r="582" ht="11.25">
      <c r="D582" s="109"/>
    </row>
    <row r="583" ht="11.25">
      <c r="D583" s="109"/>
    </row>
    <row r="584" ht="11.25">
      <c r="D584" s="109"/>
    </row>
    <row r="585" ht="11.25">
      <c r="D585" s="109"/>
    </row>
    <row r="586" ht="11.25">
      <c r="D586" s="109"/>
    </row>
    <row r="587" ht="11.25">
      <c r="D587" s="109"/>
    </row>
    <row r="588" ht="11.25">
      <c r="D588" s="109"/>
    </row>
    <row r="589" ht="11.25">
      <c r="D589" s="109"/>
    </row>
    <row r="590" ht="11.25">
      <c r="D590" s="109"/>
    </row>
    <row r="591" ht="11.25">
      <c r="D591" s="109"/>
    </row>
    <row r="592" ht="11.25">
      <c r="D592" s="109"/>
    </row>
    <row r="593" ht="11.25">
      <c r="D593" s="109"/>
    </row>
    <row r="594" ht="11.25">
      <c r="D594" s="109"/>
    </row>
    <row r="595" ht="11.25">
      <c r="D595" s="109"/>
    </row>
    <row r="596" ht="11.25">
      <c r="D596" s="109"/>
    </row>
    <row r="597" ht="11.25">
      <c r="D597" s="109"/>
    </row>
    <row r="598" ht="11.25">
      <c r="D598" s="109"/>
    </row>
    <row r="599" ht="11.25">
      <c r="D599" s="109"/>
    </row>
    <row r="600" ht="11.25">
      <c r="D600" s="109"/>
    </row>
    <row r="601" ht="11.25">
      <c r="D601" s="109"/>
    </row>
    <row r="602" ht="11.25">
      <c r="D602" s="109"/>
    </row>
    <row r="603" ht="11.25">
      <c r="D603" s="109"/>
    </row>
    <row r="604" ht="11.25">
      <c r="D604" s="109"/>
    </row>
    <row r="605" ht="11.25">
      <c r="D605" s="109"/>
    </row>
    <row r="606" ht="11.25">
      <c r="D606" s="109"/>
    </row>
    <row r="607" ht="11.25">
      <c r="D607" s="109"/>
    </row>
    <row r="608" ht="11.25">
      <c r="D608" s="109"/>
    </row>
    <row r="609" ht="11.25">
      <c r="D609" s="109"/>
    </row>
    <row r="610" ht="11.25">
      <c r="D610" s="109"/>
    </row>
    <row r="611" ht="11.25">
      <c r="D611" s="109"/>
    </row>
    <row r="612" ht="11.25">
      <c r="D612" s="109"/>
    </row>
    <row r="613" ht="11.25">
      <c r="D613" s="109"/>
    </row>
    <row r="614" ht="11.25">
      <c r="D614" s="109"/>
    </row>
    <row r="615" ht="11.25">
      <c r="D615" s="109"/>
    </row>
    <row r="616" ht="11.25">
      <c r="D616" s="109"/>
    </row>
    <row r="617" ht="11.25">
      <c r="D617" s="109"/>
    </row>
    <row r="618" ht="11.25">
      <c r="D618" s="109"/>
    </row>
    <row r="619" ht="11.25">
      <c r="D619" s="109"/>
    </row>
    <row r="620" ht="11.25">
      <c r="D620" s="109"/>
    </row>
    <row r="621" ht="11.25">
      <c r="D621" s="109"/>
    </row>
    <row r="622" ht="11.25">
      <c r="D622" s="109"/>
    </row>
    <row r="623" ht="11.25">
      <c r="D623" s="109"/>
    </row>
    <row r="624" ht="11.25">
      <c r="D624" s="109"/>
    </row>
    <row r="625" ht="11.25">
      <c r="D625" s="109"/>
    </row>
    <row r="626" ht="11.25">
      <c r="D626" s="109"/>
    </row>
    <row r="627" ht="11.25">
      <c r="D627" s="109"/>
    </row>
    <row r="628" ht="11.25">
      <c r="D628" s="109"/>
    </row>
    <row r="629" ht="11.25">
      <c r="D629" s="109"/>
    </row>
    <row r="630" ht="11.25">
      <c r="D630" s="109"/>
    </row>
    <row r="631" ht="11.25">
      <c r="D631" s="109"/>
    </row>
    <row r="632" ht="11.25">
      <c r="D632" s="109"/>
    </row>
    <row r="633" ht="11.25">
      <c r="D633" s="109"/>
    </row>
    <row r="634" ht="11.25">
      <c r="D634" s="109"/>
    </row>
    <row r="635" ht="11.25">
      <c r="D635" s="109"/>
    </row>
    <row r="636" ht="11.25">
      <c r="D636" s="109"/>
    </row>
    <row r="637" ht="11.25">
      <c r="D637" s="109"/>
    </row>
    <row r="638" ht="11.25">
      <c r="D638" s="109"/>
    </row>
    <row r="639" ht="11.25">
      <c r="D639" s="109"/>
    </row>
    <row r="640" ht="11.25">
      <c r="D640" s="109"/>
    </row>
    <row r="641" ht="11.25">
      <c r="D641" s="109"/>
    </row>
    <row r="642" ht="11.25">
      <c r="D642" s="109"/>
    </row>
    <row r="643" ht="11.25">
      <c r="D643" s="109"/>
    </row>
    <row r="644" ht="11.25">
      <c r="D644" s="109"/>
    </row>
    <row r="645" ht="11.25">
      <c r="D645" s="109"/>
    </row>
    <row r="646" ht="11.25">
      <c r="D646" s="109"/>
    </row>
    <row r="647" ht="11.25">
      <c r="D647" s="109"/>
    </row>
    <row r="648" ht="11.25">
      <c r="D648" s="109"/>
    </row>
    <row r="649" ht="11.25">
      <c r="D649" s="109"/>
    </row>
    <row r="650" ht="11.25">
      <c r="D650" s="109"/>
    </row>
    <row r="651" ht="11.25">
      <c r="D651" s="109"/>
    </row>
    <row r="652" ht="11.25">
      <c r="D652" s="109"/>
    </row>
    <row r="653" ht="11.25">
      <c r="D653" s="109"/>
    </row>
    <row r="654" ht="11.25">
      <c r="D654" s="109"/>
    </row>
    <row r="655" ht="11.25">
      <c r="D655" s="109"/>
    </row>
    <row r="656" ht="11.25">
      <c r="D656" s="109"/>
    </row>
    <row r="657" ht="11.25">
      <c r="D657" s="109"/>
    </row>
    <row r="658" ht="11.25">
      <c r="D658" s="109"/>
    </row>
    <row r="659" ht="11.25">
      <c r="D659" s="109"/>
    </row>
    <row r="660" ht="11.25">
      <c r="D660" s="109"/>
    </row>
    <row r="661" ht="11.25">
      <c r="D661" s="109"/>
    </row>
    <row r="662" ht="11.25">
      <c r="D662" s="109"/>
    </row>
    <row r="663" ht="11.25">
      <c r="D663" s="109"/>
    </row>
    <row r="664" ht="11.25">
      <c r="D664" s="109"/>
    </row>
    <row r="665" ht="11.25">
      <c r="D665" s="109"/>
    </row>
    <row r="666" ht="11.25">
      <c r="D666" s="109"/>
    </row>
    <row r="667" ht="11.25">
      <c r="D667" s="109"/>
    </row>
    <row r="668" ht="11.25">
      <c r="D668" s="109"/>
    </row>
    <row r="669" ht="11.25">
      <c r="D669" s="109"/>
    </row>
    <row r="670" ht="11.25">
      <c r="D670" s="109"/>
    </row>
    <row r="671" ht="11.25">
      <c r="D671" s="109"/>
    </row>
    <row r="672" ht="11.25">
      <c r="D672" s="109"/>
    </row>
    <row r="673" ht="11.25">
      <c r="D673" s="109"/>
    </row>
    <row r="674" ht="11.25">
      <c r="D674" s="109"/>
    </row>
    <row r="675" ht="11.25">
      <c r="D675" s="109"/>
    </row>
    <row r="676" ht="11.25">
      <c r="D676" s="109"/>
    </row>
    <row r="677" ht="11.25">
      <c r="D677" s="109"/>
    </row>
    <row r="678" ht="11.25">
      <c r="D678" s="109"/>
    </row>
    <row r="679" ht="11.25">
      <c r="D679" s="109"/>
    </row>
    <row r="680" ht="11.25">
      <c r="D680" s="109"/>
    </row>
    <row r="681" ht="11.25">
      <c r="D681" s="109"/>
    </row>
    <row r="682" ht="11.25">
      <c r="D682" s="109"/>
    </row>
    <row r="683" ht="11.25">
      <c r="D683" s="109"/>
    </row>
    <row r="684" ht="11.25">
      <c r="D684" s="109"/>
    </row>
    <row r="685" ht="11.25">
      <c r="D685" s="109"/>
    </row>
    <row r="686" ht="11.25">
      <c r="D686" s="109"/>
    </row>
    <row r="687" ht="11.25">
      <c r="D687" s="109"/>
    </row>
    <row r="688" ht="11.25">
      <c r="D688" s="109"/>
    </row>
    <row r="689" ht="11.25">
      <c r="D689" s="109"/>
    </row>
    <row r="690" ht="11.25">
      <c r="D690" s="109"/>
    </row>
    <row r="691" ht="11.25">
      <c r="D691" s="109"/>
    </row>
    <row r="692" ht="11.25">
      <c r="D692" s="109"/>
    </row>
    <row r="693" ht="11.25">
      <c r="D693" s="109"/>
    </row>
    <row r="694" ht="11.25">
      <c r="D694" s="109"/>
    </row>
    <row r="695" ht="11.25">
      <c r="D695" s="109"/>
    </row>
    <row r="696" ht="11.25">
      <c r="D696" s="109"/>
    </row>
    <row r="697" ht="11.25">
      <c r="D697" s="109"/>
    </row>
    <row r="698" ht="11.25">
      <c r="D698" s="109"/>
    </row>
    <row r="699" ht="11.25">
      <c r="D699" s="109"/>
    </row>
    <row r="700" ht="11.25">
      <c r="D700" s="109"/>
    </row>
    <row r="701" ht="11.25">
      <c r="D701" s="109"/>
    </row>
    <row r="702" ht="11.25">
      <c r="D702" s="109"/>
    </row>
    <row r="703" ht="11.25">
      <c r="D703" s="109"/>
    </row>
    <row r="704" ht="11.25">
      <c r="D704" s="109"/>
    </row>
    <row r="705" ht="11.25">
      <c r="D705" s="109"/>
    </row>
    <row r="706" ht="11.25">
      <c r="D706" s="109"/>
    </row>
    <row r="707" ht="11.25">
      <c r="D707" s="109"/>
    </row>
    <row r="708" ht="11.25">
      <c r="D708" s="109"/>
    </row>
    <row r="709" ht="11.25">
      <c r="D709" s="109"/>
    </row>
    <row r="710" ht="11.25">
      <c r="D710" s="109"/>
    </row>
    <row r="711" ht="11.25">
      <c r="D711" s="109"/>
    </row>
    <row r="712" ht="11.25">
      <c r="D712" s="109"/>
    </row>
    <row r="713" ht="11.25">
      <c r="D713" s="109"/>
    </row>
    <row r="714" ht="11.25">
      <c r="D714" s="109"/>
    </row>
    <row r="715" ht="11.25">
      <c r="D715" s="109"/>
    </row>
    <row r="716" ht="11.25">
      <c r="D716" s="109"/>
    </row>
    <row r="717" ht="11.25">
      <c r="D717" s="109"/>
    </row>
    <row r="777" ht="11.25">
      <c r="I777" s="267"/>
    </row>
    <row r="788" ht="12.75">
      <c r="J788" s="526"/>
    </row>
    <row r="789" ht="12.75">
      <c r="J789" s="526"/>
    </row>
    <row r="790" ht="12.75">
      <c r="J790" s="526"/>
    </row>
    <row r="791" ht="12.75">
      <c r="J791" s="526"/>
    </row>
    <row r="792" ht="12.75">
      <c r="J792" s="526"/>
    </row>
    <row r="793" ht="12.75">
      <c r="J793" s="526"/>
    </row>
    <row r="794" ht="12.75">
      <c r="J794" s="526"/>
    </row>
    <row r="795" ht="12.75">
      <c r="J795" s="526"/>
    </row>
    <row r="796" ht="12.75">
      <c r="J796" s="526"/>
    </row>
    <row r="797" ht="12.75">
      <c r="J797" s="526"/>
    </row>
    <row r="798" ht="12.75">
      <c r="J798" s="526"/>
    </row>
    <row r="829" ht="12.75">
      <c r="I829" s="526"/>
    </row>
    <row r="830" ht="12.75">
      <c r="I830" s="526"/>
    </row>
    <row r="831" ht="12.75">
      <c r="I831" s="526"/>
    </row>
    <row r="832" ht="12.75">
      <c r="I832" s="526"/>
    </row>
    <row r="833" ht="12.75">
      <c r="I833" s="526"/>
    </row>
  </sheetData>
  <sheetProtection password="9487" sheet="1" objects="1" scenarios="1"/>
  <mergeCells count="22">
    <mergeCell ref="G7:H7"/>
    <mergeCell ref="K7:L7"/>
    <mergeCell ref="G49:H49"/>
    <mergeCell ref="G69:H69"/>
    <mergeCell ref="G295:H295"/>
    <mergeCell ref="G293:H293"/>
    <mergeCell ref="B294:H294"/>
    <mergeCell ref="K129:L129"/>
    <mergeCell ref="K173:L173"/>
    <mergeCell ref="K214:L214"/>
    <mergeCell ref="G173:H173"/>
    <mergeCell ref="G214:H214"/>
    <mergeCell ref="B313:H313"/>
    <mergeCell ref="B315:H315"/>
    <mergeCell ref="C86:D86"/>
    <mergeCell ref="K49:L49"/>
    <mergeCell ref="B310:F310"/>
    <mergeCell ref="B306:H306"/>
    <mergeCell ref="C308:D308"/>
    <mergeCell ref="C309:D309"/>
    <mergeCell ref="G96:H96"/>
    <mergeCell ref="G129:H129"/>
  </mergeCells>
  <conditionalFormatting sqref="V17 V44 V25">
    <cfRule type="expression" priority="1" dxfId="9" stopIfTrue="1">
      <formula>AND($W$5=TRUE,V17&lt;&gt;SUM(V11:V16))</formula>
    </cfRule>
  </conditionalFormatting>
  <conditionalFormatting sqref="V36">
    <cfRule type="expression" priority="2" dxfId="9" stopIfTrue="1">
      <formula>AND($W$5=TRUE,V36&lt;&gt;SUM(V27:V35))</formula>
    </cfRule>
  </conditionalFormatting>
  <conditionalFormatting sqref="V66:V67">
    <cfRule type="expression" priority="3" dxfId="9" stopIfTrue="1">
      <formula>AND($W$5=TRUE,V66&lt;&gt;SUM(V61:V65))</formula>
    </cfRule>
  </conditionalFormatting>
  <conditionalFormatting sqref="V145 V188 V171 V198 V212 V230 V158">
    <cfRule type="expression" priority="4" dxfId="9" stopIfTrue="1">
      <formula>AND($W$5=TRUE,V145&lt;&gt;SUM(V134:V144))</formula>
    </cfRule>
  </conditionalFormatting>
  <conditionalFormatting sqref="V58">
    <cfRule type="expression" priority="5" dxfId="9" stopIfTrue="1">
      <formula>AND($W$5=TRUE,V58&lt;&gt;SUM(V53:V56))</formula>
    </cfRule>
  </conditionalFormatting>
  <conditionalFormatting sqref="V204">
    <cfRule type="expression" priority="6" dxfId="9" stopIfTrue="1">
      <formula>AND($W$5=TRUE,V204&lt;&gt;SUM(I194:I203))</formula>
    </cfRule>
  </conditionalFormatting>
  <conditionalFormatting sqref="V242">
    <cfRule type="expression" priority="7" dxfId="9" stopIfTrue="1">
      <formula>AND($W$5=TRUE,V242&lt;&gt;SUM(V233:V238))</formula>
    </cfRule>
  </conditionalFormatting>
  <conditionalFormatting sqref="G252:G256">
    <cfRule type="expression" priority="8" dxfId="9" stopIfTrue="1">
      <formula>AND($G$5=TRUE,G252&lt;&gt;F252-E252)</formula>
    </cfRule>
    <cfRule type="expression" priority="9" dxfId="10" stopIfTrue="1">
      <formula>$F$5=TRUE</formula>
    </cfRule>
  </conditionalFormatting>
  <conditionalFormatting sqref="E66:F66">
    <cfRule type="expression" priority="10" dxfId="9" stopIfTrue="1">
      <formula>AND($G$5=TRUE,E66&lt;&gt;SUM(E61:E65))</formula>
    </cfRule>
  </conditionalFormatting>
  <conditionalFormatting sqref="E25 E44:F44 E17:H17 K17:L17 K25:L25">
    <cfRule type="expression" priority="11" dxfId="9" stopIfTrue="1">
      <formula>AND($G$5=TRUE,E17&lt;&gt;SUM(E11:E16))</formula>
    </cfRule>
  </conditionalFormatting>
  <conditionalFormatting sqref="E36:F36">
    <cfRule type="expression" priority="12" dxfId="9" stopIfTrue="1">
      <formula>AND($G$5=TRUE,E36&lt;&gt;SUM(E27:E35))</formula>
    </cfRule>
  </conditionalFormatting>
  <conditionalFormatting sqref="H36 H44 H145 H158 H171 H188 H198 H212 H66:H67 H242 E67:F67 H230:H232">
    <cfRule type="expression" priority="13" dxfId="9" stopIfTrue="1">
      <formula>AND($G$5=TRUE,E36&lt;&gt;SUM(E29:E35))</formula>
    </cfRule>
  </conditionalFormatting>
  <conditionalFormatting sqref="E58:F58 E249:F249 H249">
    <cfRule type="expression" priority="14" dxfId="9" stopIfTrue="1">
      <formula>AND($G$5=TRUE,E58&lt;&gt;SUM(E53:E56))</formula>
    </cfRule>
  </conditionalFormatting>
  <conditionalFormatting sqref="E198:F198 E188:F188 E212:F212 E145:F145 E171:F171 E230:F230 L159 E158:F159 E242:F242">
    <cfRule type="expression" priority="15" dxfId="9" stopIfTrue="1">
      <formula>AND($G$5=TRUE,E145&lt;&gt;SUM(E134:E144))</formula>
    </cfRule>
  </conditionalFormatting>
  <conditionalFormatting sqref="G93:H94 M91:M92 G107:H107 E94:F94">
    <cfRule type="expression" priority="16" dxfId="9" stopIfTrue="1">
      <formula>AND($G$5=TRUE,E91&lt;&gt;SUM(E77:F89))</formula>
    </cfRule>
  </conditionalFormatting>
  <conditionalFormatting sqref="E107:F107 E93:F93">
    <cfRule type="expression" priority="17" dxfId="9" stopIfTrue="1">
      <formula>AND($G$5=TRUE,E93&lt;&gt;SUM(E79:E91))</formula>
    </cfRule>
  </conditionalFormatting>
  <conditionalFormatting sqref="H11:H16 M12:M16 H38:H43 H27:H35 H47 H53:H57 H61:H65 H134:H144 H147:H157 H177:H187 H160:H170 H190:H197 H200:H203 H206:H211 H89:H91 H300 H213 H73:H82 H118:H120 H123:H125 H253:H257 H103:H106 H235:H241 H303 H19:H24 M73:M82 H217:H229 H245">
    <cfRule type="expression" priority="18" dxfId="9" stopIfTrue="1">
      <formula>AND($G$5=TRUE,H11&lt;&gt;B11*C11)</formula>
    </cfRule>
  </conditionalFormatting>
  <conditionalFormatting sqref="K36:L36 K44:L44 K145:L145 K158:L158 K171:L171 K188:L188 K198:L198 K212:L212 K230:L230 K66:L67">
    <cfRule type="expression" priority="19" dxfId="9" stopIfTrue="1">
      <formula>AND($G$5=TRUE,K36&lt;&gt;SUM(K27:K32))</formula>
    </cfRule>
  </conditionalFormatting>
  <conditionalFormatting sqref="G159">
    <cfRule type="expression" priority="20" dxfId="9" stopIfTrue="1">
      <formula>AND($G$5=TRUE,G159&lt;&gt;SUM(G158:G158))</formula>
    </cfRule>
  </conditionalFormatting>
  <conditionalFormatting sqref="G83:G85">
    <cfRule type="expression" priority="21" dxfId="9" stopIfTrue="1">
      <formula>AND($G$5=TRUE,G83&lt;&gt;AK83+AN83)</formula>
    </cfRule>
  </conditionalFormatting>
  <conditionalFormatting sqref="E113:F113">
    <cfRule type="expression" priority="22" dxfId="9" stopIfTrue="1">
      <formula>AND($G$5=TRUE,E113&lt;&gt;SUM(E63:E67))</formula>
    </cfRule>
  </conditionalFormatting>
  <conditionalFormatting sqref="H113">
    <cfRule type="expression" priority="23" dxfId="9" stopIfTrue="1">
      <formula>AND($G$5=TRUE,H113&lt;&gt;SUM(H61:H67))</formula>
    </cfRule>
  </conditionalFormatting>
  <conditionalFormatting sqref="H58">
    <cfRule type="expression" priority="24" dxfId="9" stopIfTrue="1">
      <formula>AND($G$5=TRUE,H58&lt;&gt;SUM(H48:H57))</formula>
    </cfRule>
  </conditionalFormatting>
  <conditionalFormatting sqref="K58:L58">
    <cfRule type="expression" priority="25" dxfId="9" stopIfTrue="1">
      <formula>AND($G$5=TRUE,K58&lt;&gt;SUM(K46:K54))</formula>
    </cfRule>
  </conditionalFormatting>
  <conditionalFormatting sqref="H204">
    <cfRule type="expression" priority="26" dxfId="9" stopIfTrue="1">
      <formula>AND($G$5=TRUE,H204&lt;&gt;SUM(H199:H203))</formula>
    </cfRule>
  </conditionalFormatting>
  <conditionalFormatting sqref="L94 L93:M93 G86:H86 L86:M86 L90">
    <cfRule type="expression" priority="27" dxfId="9" stopIfTrue="1">
      <formula>AND($G$5=TRUE,G86&lt;&gt;SUM(G73:H85))</formula>
    </cfRule>
  </conditionalFormatting>
  <conditionalFormatting sqref="M94 G87:G88 L87:L88 M87:M90">
    <cfRule type="expression" priority="28" dxfId="9" stopIfTrue="1">
      <formula>AND($G$5=TRUE,G87&lt;&gt;SUM(G74:H85))</formula>
    </cfRule>
  </conditionalFormatting>
  <conditionalFormatting sqref="M102">
    <cfRule type="expression" priority="29" dxfId="9" stopIfTrue="1">
      <formula>AND($G$5=TRUE,M102&lt;&gt;SUM(M80:N92))</formula>
    </cfRule>
  </conditionalFormatting>
  <conditionalFormatting sqref="M103:M104">
    <cfRule type="expression" priority="30" dxfId="9" stopIfTrue="1">
      <formula>AND($G$5=TRUE,M103&lt;&gt;SUM(M81:N92))</formula>
    </cfRule>
  </conditionalFormatting>
  <conditionalFormatting sqref="M99:M101">
    <cfRule type="expression" priority="31" dxfId="9" stopIfTrue="1">
      <formula>AND($G$5=TRUE,M99&lt;&gt;SUM(M78:N90))</formula>
    </cfRule>
  </conditionalFormatting>
  <conditionalFormatting sqref="E126:F126">
    <cfRule type="expression" priority="32" dxfId="9" stopIfTrue="1">
      <formula>AND($G$5=TRUE,E126&lt;&gt;SUM(E114:E124))</formula>
    </cfRule>
  </conditionalFormatting>
  <conditionalFormatting sqref="G126:H126">
    <cfRule type="expression" priority="33" dxfId="9" stopIfTrue="1">
      <formula>AND($G$5=TRUE,G126&lt;&gt;SUM(G114:H124))</formula>
    </cfRule>
  </conditionalFormatting>
  <conditionalFormatting sqref="H25 F25">
    <cfRule type="expression" priority="34" dxfId="9" stopIfTrue="1">
      <formula>AND($G$5=TRUE,F25&lt;&gt;SUM(F19:F24))</formula>
    </cfRule>
  </conditionalFormatting>
  <conditionalFormatting sqref="F292:G292">
    <cfRule type="expression" priority="35" dxfId="9" stopIfTrue="1">
      <formula>AND($G$5=TRUE,F292&lt;&gt;SUM(E284:G290))</formula>
    </cfRule>
  </conditionalFormatting>
  <conditionalFormatting sqref="H292">
    <cfRule type="expression" priority="36" dxfId="9" stopIfTrue="1">
      <formula>AND($G$5=TRUE,H292&lt;&gt;SUM(F284:H290))</formula>
    </cfRule>
  </conditionalFormatting>
  <conditionalFormatting sqref="A248:H248">
    <cfRule type="expression" priority="37" dxfId="9" stopIfTrue="1">
      <formula>AND($G$5=TRUE,A248&lt;&gt;SUM(A256:A256))</formula>
    </cfRule>
  </conditionalFormatting>
  <conditionalFormatting sqref="S258">
    <cfRule type="expression" priority="38" dxfId="9" stopIfTrue="1">
      <formula>AND($G$5=TRUE,S258&lt;&gt;SUM(S249:S251))</formula>
    </cfRule>
  </conditionalFormatting>
  <conditionalFormatting sqref="S250">
    <cfRule type="expression" priority="39" dxfId="9" stopIfTrue="1">
      <formula>AND($G$5=TRUE,S250&lt;&gt;SUM(S253:S257))</formula>
    </cfRule>
  </conditionalFormatting>
  <conditionalFormatting sqref="S259">
    <cfRule type="expression" priority="40" dxfId="9" stopIfTrue="1">
      <formula>AND($G$5=TRUE,S259&lt;&gt;SUM(S250:S251))</formula>
    </cfRule>
  </conditionalFormatting>
  <conditionalFormatting sqref="S260">
    <cfRule type="expression" priority="41" dxfId="9" stopIfTrue="1">
      <formula>AND($G$5=TRUE,S260&lt;&gt;SUM(S251:S251))</formula>
    </cfRule>
  </conditionalFormatting>
  <conditionalFormatting sqref="G121:H121">
    <cfRule type="expression" priority="42" dxfId="9" stopIfTrue="1">
      <formula>AND($G$5=TRUE,G121&lt;&gt;SUM(G109:H120))</formula>
    </cfRule>
  </conditionalFormatting>
  <conditionalFormatting sqref="E121:F121">
    <cfRule type="expression" priority="43" dxfId="9" stopIfTrue="1">
      <formula>AND($G$5=TRUE,E121&lt;&gt;SUM(E109:E120))</formula>
    </cfRule>
  </conditionalFormatting>
  <conditionalFormatting sqref="G117">
    <cfRule type="expression" priority="44" dxfId="9" stopIfTrue="1">
      <formula>AND($G$5=TRUE,G117&lt;&gt;SUM(G109:H114))</formula>
    </cfRule>
  </conditionalFormatting>
  <conditionalFormatting sqref="E117:F117">
    <cfRule type="expression" priority="45" dxfId="9" stopIfTrue="1">
      <formula>AND($G$5=TRUE,E117&lt;&gt;SUM(E109:E114))</formula>
    </cfRule>
  </conditionalFormatting>
  <conditionalFormatting sqref="H117">
    <cfRule type="expression" priority="46" dxfId="9" stopIfTrue="1">
      <formula>AND($G$5=TRUE,H117&lt;&gt;SUM(H109:V114))</formula>
    </cfRule>
  </conditionalFormatting>
  <conditionalFormatting sqref="K73:K74">
    <cfRule type="expression" priority="47" dxfId="9" stopIfTrue="1">
      <formula>AND($G$5=TRUE,K73&lt;&gt;(ROUND((1+(J$73/100))*(O17+#REF!)/(2*365),0)+#REF!))</formula>
    </cfRule>
  </conditionalFormatting>
  <conditionalFormatting sqref="K81">
    <cfRule type="expression" priority="48" dxfId="9" stopIfTrue="1">
      <formula>AND($G$5=TRUE,K81&lt;&gt;(ROUND((1+(J$73/100))*(O27+#REF!)/(2*365),0)+#REF!))</formula>
    </cfRule>
  </conditionalFormatting>
  <conditionalFormatting sqref="K77">
    <cfRule type="expression" priority="49" dxfId="9" stopIfTrue="1">
      <formula>AND($G$5=TRUE,K77&lt;&gt;(ROUND((1+(J$73/100))*(O20+#REF!)/(2*365),0)+#REF!))</formula>
    </cfRule>
  </conditionalFormatting>
  <conditionalFormatting sqref="K78">
    <cfRule type="expression" priority="50" dxfId="9" stopIfTrue="1">
      <formula>AND($G$5=TRUE,K78&lt;&gt;(ROUND((1+(J$73/100))*(O25+#REF!)/(2*365),0)+#REF!))</formula>
    </cfRule>
  </conditionalFormatting>
  <conditionalFormatting sqref="K79">
    <cfRule type="expression" priority="51" dxfId="9" stopIfTrue="1">
      <formula>AND($G$5=TRUE,K79&lt;&gt;(ROUND((1+(J$73/100))*(#REF!+#REF!)/(2*365),0)+#REF!))</formula>
    </cfRule>
  </conditionalFormatting>
  <conditionalFormatting sqref="L73:L74">
    <cfRule type="expression" priority="52" dxfId="9" stopIfTrue="1">
      <formula>AND($G$5=TRUE,L73&lt;&gt;(ROUND((1+(G$73/100))*(P17+R17)/(2*365),0)+H73))</formula>
    </cfRule>
  </conditionalFormatting>
  <conditionalFormatting sqref="K89">
    <cfRule type="expression" priority="53" dxfId="9" stopIfTrue="1">
      <formula>AND($G$5=TRUE,K89&lt;&gt;(ROUND((1+(J$73/100))*(O29+#REF!)/(2*365),0)+#REF!))</formula>
    </cfRule>
  </conditionalFormatting>
  <conditionalFormatting sqref="L89">
    <cfRule type="expression" priority="54" dxfId="9" stopIfTrue="1">
      <formula>AND($G$5=TRUE,L89&lt;&gt;(ROUND((1+(G$73/100))*(P29+R29)/(2*365),0)+#REF!))</formula>
    </cfRule>
  </conditionalFormatting>
  <conditionalFormatting sqref="L91:L92">
    <cfRule type="expression" priority="55" dxfId="9" stopIfTrue="1">
      <formula>AND($G$5=TRUE,L91&lt;&gt;SUM(L77:M90))</formula>
    </cfRule>
  </conditionalFormatting>
  <conditionalFormatting sqref="E86:F86">
    <cfRule type="expression" priority="56" dxfId="9" stopIfTrue="1">
      <formula>AND($G$5=TRUE,E86&lt;&gt;SUM(E73:E85))</formula>
    </cfRule>
  </conditionalFormatting>
  <conditionalFormatting sqref="E87:F88">
    <cfRule type="expression" priority="57" dxfId="9" stopIfTrue="1">
      <formula>AND($G$5=TRUE,E87&lt;&gt;SUM(E74:E85))</formula>
    </cfRule>
  </conditionalFormatting>
  <conditionalFormatting sqref="G95 M95:M98">
    <cfRule type="expression" priority="58" dxfId="9" stopIfTrue="1">
      <formula>AND($G$5=TRUE,G95&lt;&gt;SUM(G70:H81))</formula>
    </cfRule>
  </conditionalFormatting>
  <conditionalFormatting sqref="E95:F95">
    <cfRule type="expression" priority="59" dxfId="9" stopIfTrue="1">
      <formula>AND($G$5=TRUE,E95&lt;&gt;SUM(E70:E81))</formula>
    </cfRule>
  </conditionalFormatting>
  <conditionalFormatting sqref="H87:H88">
    <cfRule type="expression" priority="60" dxfId="9" stopIfTrue="1">
      <formula>AND($G$5=TRUE,H87&lt;&gt;SUM(H74:V85))</formula>
    </cfRule>
  </conditionalFormatting>
  <conditionalFormatting sqref="H95">
    <cfRule type="expression" priority="61" dxfId="9" stopIfTrue="1">
      <formula>AND($G$5=TRUE,H95&lt;&gt;SUM(H70:V81))</formula>
    </cfRule>
  </conditionalFormatting>
  <conditionalFormatting sqref="M123">
    <cfRule type="expression" priority="62" dxfId="9" stopIfTrue="1">
      <formula>AND($G$5=TRUE,M123&lt;&gt;SUM(M75:N86))</formula>
    </cfRule>
  </conditionalFormatting>
  <conditionalFormatting sqref="M124:M125">
    <cfRule type="expression" priority="63" dxfId="9" stopIfTrue="1">
      <formula>AND($G$5=TRUE,M124&lt;&gt;SUM(M75:N86))</formula>
    </cfRule>
  </conditionalFormatting>
  <conditionalFormatting sqref="M122 G122">
    <cfRule type="expression" priority="64" dxfId="9" stopIfTrue="1">
      <formula>AND($G$5=TRUE,G122&lt;&gt;SUM(G75:H86))</formula>
    </cfRule>
  </conditionalFormatting>
  <conditionalFormatting sqref="E122:F122">
    <cfRule type="expression" priority="65" dxfId="9" stopIfTrue="1">
      <formula>AND($G$5=TRUE,E122&lt;&gt;SUM(E75:E86))</formula>
    </cfRule>
  </conditionalFormatting>
  <conditionalFormatting sqref="H122">
    <cfRule type="expression" priority="66" dxfId="9" stopIfTrue="1">
      <formula>AND($G$5=TRUE,H122&lt;&gt;SUM(H75:V86))</formula>
    </cfRule>
  </conditionalFormatting>
  <conditionalFormatting sqref="L95:L98">
    <cfRule type="expression" priority="67" dxfId="9" stopIfTrue="1">
      <formula>AND($G$5=TRUE,L95&lt;&gt;(ROUND((1+(#REF!/100))*(L25+N25)/(2*365),0)+D95))</formula>
    </cfRule>
  </conditionalFormatting>
  <conditionalFormatting sqref="L77">
    <cfRule type="expression" priority="68" dxfId="9" stopIfTrue="1">
      <formula>AND($G$5=TRUE,L77&lt;&gt;(ROUND((1+(G$73/100))*(P20+R20)/(2*365),0)+H77))</formula>
    </cfRule>
  </conditionalFormatting>
  <conditionalFormatting sqref="L78">
    <cfRule type="expression" priority="69" dxfId="9" stopIfTrue="1">
      <formula>AND($G$5=TRUE,L78&lt;&gt;(ROUND((1+(G$73/100))*(P25+R25)/(2*365),0)+H78))</formula>
    </cfRule>
  </conditionalFormatting>
  <conditionalFormatting sqref="L81">
    <cfRule type="expression" priority="70" dxfId="9" stopIfTrue="1">
      <formula>AND($G$5=TRUE,L81&lt;&gt;(ROUND((1+(G$73/100))*(P27+R27)/(2*365),0)+H81))</formula>
    </cfRule>
  </conditionalFormatting>
  <conditionalFormatting sqref="L79">
    <cfRule type="expression" priority="71" dxfId="9" stopIfTrue="1">
      <formula>AND($G$5=TRUE,L79&lt;&gt;(ROUND((1+(G$73/100))*(#REF!+#REF!)/(2*365),0)+H83))</formula>
    </cfRule>
  </conditionalFormatting>
  <conditionalFormatting sqref="K82">
    <cfRule type="expression" priority="72" dxfId="9" stopIfTrue="1">
      <formula>AND($G$5=TRUE,K82&lt;&gt;(ROUND((1+(J$73/100))*(O28+#REF!)/(2*365),0)+G99))</formula>
    </cfRule>
  </conditionalFormatting>
  <conditionalFormatting sqref="L82">
    <cfRule type="expression" priority="73" dxfId="9" stopIfTrue="1">
      <formula>AND($G$5=TRUE,L82&lt;&gt;(ROUND((1+(G$73/100))*(P28+R28)/(2*365),0)+H99))</formula>
    </cfRule>
  </conditionalFormatting>
  <conditionalFormatting sqref="L102:L107">
    <cfRule type="expression" priority="74" dxfId="9" stopIfTrue="1">
      <formula>AND($G$5=TRUE,L102&lt;&gt;(ROUND((1+(#REF!/100))*(L38+N38)/(2*365),0)+D102))</formula>
    </cfRule>
  </conditionalFormatting>
  <conditionalFormatting sqref="L99:L101">
    <cfRule type="expression" priority="75" dxfId="9" stopIfTrue="1">
      <formula>AND($G$5=TRUE,L99&lt;&gt;(ROUND((1+(#REF!/100))*(L36+N36)/(2*365),0)+D99))</formula>
    </cfRule>
  </conditionalFormatting>
  <conditionalFormatting sqref="E204:F204">
    <cfRule type="expression" priority="76" dxfId="9" stopIfTrue="1">
      <formula>AND($G$5=TRUE,E204&lt;&gt;SUM(E194:E203))</formula>
    </cfRule>
  </conditionalFormatting>
  <conditionalFormatting sqref="K204:L204">
    <cfRule type="expression" priority="77" dxfId="9" stopIfTrue="1">
      <formula>AND($G$5=TRUE,K204&lt;&gt;SUM(K199:K200))</formula>
    </cfRule>
  </conditionalFormatting>
  <conditionalFormatting sqref="M105:M107">
    <cfRule type="expression" priority="78" dxfId="9" stopIfTrue="1">
      <formula>AND($G$5=TRUE,M105&lt;&gt;SUM(M83:N122))</formula>
    </cfRule>
  </conditionalFormatting>
  <conditionalFormatting sqref="L122:L125">
    <cfRule type="expression" priority="79" dxfId="9" stopIfTrue="1">
      <formula>AND($G$5=TRUE,L122&lt;&gt;(ROUND((1+(#REF!/100))*(L30+N30)/(2*365),0)+D122))</formula>
    </cfRule>
  </conditionalFormatting>
  <conditionalFormatting sqref="H284 H286">
    <cfRule type="expression" priority="80" dxfId="9" stopIfTrue="1">
      <formula>AND($G$5=TRUE,H284&lt;&gt;SUM(G278:H282))</formula>
    </cfRule>
  </conditionalFormatting>
  <conditionalFormatting sqref="G286">
    <cfRule type="expression" priority="81" dxfId="9" stopIfTrue="1">
      <formula>AND($G$5=TRUE,G286&lt;&gt;SUM(E280:H284))</formula>
    </cfRule>
  </conditionalFormatting>
  <conditionalFormatting sqref="H301">
    <cfRule type="expression" priority="82" dxfId="2" stopIfTrue="1">
      <formula>AND(O3=TRUE,P3=3)</formula>
    </cfRule>
  </conditionalFormatting>
  <conditionalFormatting sqref="H302">
    <cfRule type="expression" priority="83" dxfId="2" stopIfTrue="1">
      <formula>AND(O3=TRUE,P3=3)</formula>
    </cfRule>
  </conditionalFormatting>
  <conditionalFormatting sqref="F274:H274">
    <cfRule type="expression" priority="84" dxfId="9" stopIfTrue="1">
      <formula>AND($G$5=TRUE,F274&lt;&gt;SUM(E268:G272))</formula>
    </cfRule>
  </conditionalFormatting>
  <conditionalFormatting sqref="F284:G284">
    <cfRule type="expression" priority="85" dxfId="9" stopIfTrue="1">
      <formula>AND($G$5=TRUE,F284&lt;&gt;SUM(E278:H282))</formula>
    </cfRule>
  </conditionalFormatting>
  <conditionalFormatting sqref="E257:F257">
    <cfRule type="expression" priority="86" dxfId="9" stopIfTrue="1">
      <formula>AND($G$5=TRUE,E257&lt;&gt;SUM(E244:E256))</formula>
    </cfRule>
  </conditionalFormatting>
  <conditionalFormatting sqref="V272 K53:L57 V244:V246 V235:V241 K200:L203 K206:L211 V200:V203 V206:V211 V218:V229 V232 K218:L229 H216 V177:V187 V160:V170 V190:V197 K160:L170 K177:L187 K190:L197 H175 V134:V144 V147:V157 K134:L144 K147:L157 H131 V103:V106 V100:V101 V108:V109 V45:V51 V68:V85 K61:L65 V61:V65 V53:V57 K47:L47 K27:L35 V27:V35 V38:V43 K38:L43 K19:L24 U18 H18 V3:V6 V19:V24 V11:V16 K9:L16 H5:H6 H9 H51 H71 H98:H99 V248:V260">
    <cfRule type="expression" priority="87" dxfId="11" stopIfTrue="1">
      <formula>$F$5=TRUE</formula>
    </cfRule>
  </conditionalFormatting>
  <conditionalFormatting sqref="V284 J3 J5:J6">
    <cfRule type="expression" priority="88" dxfId="12" stopIfTrue="1">
      <formula>$G$5=FALSE</formula>
    </cfRule>
  </conditionalFormatting>
  <conditionalFormatting sqref="S251">
    <cfRule type="expression" priority="89" dxfId="9" stopIfTrue="1">
      <formula>AND($G$5=TRUE,S251&lt;&gt;SUM(#REF!))</formula>
    </cfRule>
  </conditionalFormatting>
  <conditionalFormatting sqref="E190:E197 E27:E35 E232 E11:E16 E19:E24 E38:E43 E47 E61:E65 E110 E53:E57 E73:E85 E103:E106 E100 E118:E120 E89:E92 E123:E125 E147:E157 E177:E187 E160:E170 E134:E144 E200:E203 E245:E246 E218:E229 E206:E211 E235:E241 E254:E256">
    <cfRule type="expression" priority="90" dxfId="13" stopIfTrue="1">
      <formula>$P$3=3</formula>
    </cfRule>
    <cfRule type="expression" priority="91" dxfId="13" stopIfTrue="1">
      <formula>$P$3=4</formula>
    </cfRule>
    <cfRule type="expression" priority="92" dxfId="2" stopIfTrue="1">
      <formula>$O$3=TRUE</formula>
    </cfRule>
  </conditionalFormatting>
  <conditionalFormatting sqref="F253:F256 F268:F273 G235:G241 G177:G187 G4:J4 G245:G246 G206:G211 G200:G203 G190:G197 G160:G170 G232 G134:G144 G147:G157 G218:G229">
    <cfRule type="expression" priority="93" dxfId="2" stopIfTrue="1">
      <formula>$O$3=TRUE</formula>
    </cfRule>
  </conditionalFormatting>
  <conditionalFormatting sqref="V247">
    <cfRule type="expression" priority="94" dxfId="9" stopIfTrue="1">
      <formula>AND($W$5=TRUE,V247&lt;&gt;SUM(#REF!))</formula>
    </cfRule>
  </conditionalFormatting>
  <conditionalFormatting sqref="E247:G247">
    <cfRule type="expression" priority="95" dxfId="9" stopIfTrue="1">
      <formula>AND($G$5=TRUE,E247&lt;&gt;SUM(#REF!))</formula>
    </cfRule>
  </conditionalFormatting>
  <conditionalFormatting sqref="F216 F175 F131 F18 F9 F5:F6 F51 F71 F98:F99">
    <cfRule type="expression" priority="96" dxfId="9" stopIfTrue="1">
      <formula>AND($G$5=TRUE,F5&lt;&gt;#REF!-#REF!)</formula>
    </cfRule>
    <cfRule type="expression" priority="97" dxfId="10" stopIfTrue="1">
      <formula>$F$5=TRUE</formula>
    </cfRule>
  </conditionalFormatting>
  <conditionalFormatting sqref="H110">
    <cfRule type="expression" priority="98" dxfId="9" stopIfTrue="1">
      <formula>AND($G$5=TRUE,H110&lt;&gt;SUM(#REF!))</formula>
    </cfRule>
  </conditionalFormatting>
  <conditionalFormatting sqref="G158 G145">
    <cfRule type="expression" priority="99" dxfId="9" stopIfTrue="1">
      <formula>AND($G$5=TRUE,G145&lt;&gt;SUM(#REF!))</formula>
    </cfRule>
  </conditionalFormatting>
  <conditionalFormatting sqref="G113 G66:G67">
    <cfRule type="expression" priority="100" dxfId="9" stopIfTrue="1">
      <formula>AND($G$5=TRUE,G66&lt;&gt;SUM(#REF!))</formula>
    </cfRule>
  </conditionalFormatting>
  <conditionalFormatting sqref="G58">
    <cfRule type="expression" priority="101" dxfId="9" stopIfTrue="1">
      <formula>AND($G$5=TRUE,G58&lt;&gt;SUM(#REF!))</formula>
    </cfRule>
  </conditionalFormatting>
  <conditionalFormatting sqref="G44">
    <cfRule type="expression" priority="102" dxfId="9" stopIfTrue="1">
      <formula>AND($G$5=TRUE,G44&lt;&gt;SUM(#REF!))</formula>
    </cfRule>
  </conditionalFormatting>
  <conditionalFormatting sqref="G36">
    <cfRule type="expression" priority="103" dxfId="9" stopIfTrue="1">
      <formula>AND($G$5=TRUE,G36&lt;&gt;SUM(#REF!))</formula>
    </cfRule>
  </conditionalFormatting>
  <conditionalFormatting sqref="G25">
    <cfRule type="expression" priority="104" dxfId="9" stopIfTrue="1">
      <formula>AND($G$5=TRUE,G25&lt;&gt;SUM(#REF!))</formula>
    </cfRule>
  </conditionalFormatting>
  <conditionalFormatting sqref="K18:L18 K5:L6">
    <cfRule type="expression" priority="105" dxfId="9" stopIfTrue="1">
      <formula>AND($G$5=TRUE,K5&lt;&gt;#REF!*#REF!)</formula>
    </cfRule>
  </conditionalFormatting>
  <conditionalFormatting sqref="L4">
    <cfRule type="expression" priority="106" dxfId="14" stopIfTrue="1">
      <formula>$B$5=TRUE</formula>
    </cfRule>
  </conditionalFormatting>
  <conditionalFormatting sqref="H100">
    <cfRule type="expression" priority="107" dxfId="3" stopIfTrue="1">
      <formula>$F$100&gt;$E$100</formula>
    </cfRule>
  </conditionalFormatting>
  <conditionalFormatting sqref="H246">
    <cfRule type="expression" priority="108" dxfId="3" stopIfTrue="1">
      <formula>$F$246&gt;$E$246</formula>
    </cfRule>
  </conditionalFormatting>
  <conditionalFormatting sqref="F11:F16 F19:F24 F27:F35 F38:F43 F47 F53:F57 F61:F65 F73:F85 F100 F110 F89:F92 F123:F125 F134:F144 F147:F157 F160:F170 F177:F187 F232 F206:F211 F190:F197 F200:F203 F218:F229 F235:F241 F245:F246">
    <cfRule type="expression" priority="109" dxfId="2" stopIfTrue="1">
      <formula>$O$3=TRUE</formula>
    </cfRule>
  </conditionalFormatting>
  <conditionalFormatting sqref="E253">
    <cfRule type="expression" priority="110" dxfId="13" stopIfTrue="1">
      <formula>$P$3=3</formula>
    </cfRule>
    <cfRule type="expression" priority="111" dxfId="13" stopIfTrue="1">
      <formula>$P$3=4</formula>
    </cfRule>
    <cfRule type="expression" priority="112" dxfId="2" stopIfTrue="1">
      <formula>$O$3=TRUE</formula>
    </cfRule>
  </conditionalFormatting>
  <conditionalFormatting sqref="B313:H313">
    <cfRule type="expression" priority="113" dxfId="15" stopIfTrue="1">
      <formula>AND($O$3=TRUE,$P$3=2)</formula>
    </cfRule>
  </conditionalFormatting>
  <conditionalFormatting sqref="B315:H315">
    <cfRule type="expression" priority="114" dxfId="2" stopIfTrue="1">
      <formula>AND($O$3=TRUE,$K$293&gt;5%)</formula>
    </cfRule>
  </conditionalFormatting>
  <dataValidations count="16">
    <dataValidation errorStyle="information" type="whole" operator="notBetween" allowBlank="1" showErrorMessage="1" promptTitle=";-)" prompt="U denkt dat u er in slaagt om meer dan 25% extra productie te scoren? " errorTitle="Attentie !" error="U denkt dat u erin slaagt om 20% extra productie te scoren? " sqref="F17">
      <formula1>0.8*(O17+#REF!/2)</formula1>
      <formula2>1.2*(O17+#REF!/2)</formula2>
    </dataValidation>
    <dataValidation type="custom" allowBlank="1" showInputMessage="1" showErrorMessage="1" errorTitle="Let op prijs!" error="Een prijs boven het maximum of een negatieve prijs of een prijs met twee decimalen is niet mogelijk!" sqref="G235:G241 G134:G144 G147:G157 G160:G170 G177:G187 G200:G203 G218:G229 G206:G211 G190:G197 G232 G245:G246">
      <formula1>AND(G235&gt;=0,G235&lt;=O235,G235=ROUND(G235,1))</formula1>
    </dataValidation>
    <dataValidation type="custom" operator="notEqual" allowBlank="1" showInputMessage="1" showErrorMessage="1" error="Dit veld alleen invullen bij een mutatieformulier Dus niet bij de budget/DBC jaarafspraak" sqref="H301">
      <formula1>P3=3</formula1>
    </dataValidation>
    <dataValidation type="custom" operator="notEqual" allowBlank="1" showInputMessage="1" showErrorMessage="1" error="Dit veld alleen invullen bij een mutatieformulier Dus niet bij de budget/DBC jaarafspraak" sqref="H302">
      <formula1>P3=3</formula1>
    </dataValidation>
    <dataValidation type="whole" operator="greaterThan" allowBlank="1" showInputMessage="1" showErrorMessage="1" errorTitle="Alleen positieve aantallen!" error="U kunt hier alleen een positief aantal invoeren!" sqref="F257 E230:F231 E233:F234 E216:E217 E204:F205 E158:E159 E71 E98:E99 E66 E189:F189 M19:M47 E17 O11:O17 O19:O25 D18:E18 D9:E9 D5:E6 F243 J19:J44 E171 E172:F172 M53:M58 E58:E59 K37:L37 E25:F25 E36:F36 P45:Q45 O27:O36 O38:O45 H25 J45:L45 K26:L26 M49:M51 E44:F45 E51 E132:F133 E175 E111:E113 E114:F116 E188 E145 E146:F146 E176:F176 E127:F128 E131 F217 E198 F213 E212:E213 E242:E243 E252:F252 E249:F249 H249 H257 E257">
      <formula1>-1</formula1>
    </dataValidation>
    <dataValidation type="whole" operator="lessThan" allowBlank="1" showInputMessage="1" showErrorMessage="1" error="alleen een negatief getal invoeren" sqref="H298">
      <formula1>0</formula1>
    </dataValidation>
    <dataValidation type="whole" operator="greaterThan" allowBlank="1" showInputMessage="1" showErrorMessage="1" errorTitle="Let op!" error="U kunt hier alleen een geheel en positief aantal invoeren!" sqref="E38:E43 E235:E241 E177:E187 E218:E229 E134:E144 E206:E211 E200:E203 E232 E190:E197 E160:E170 E147:E157 E123:E125 E100 E47 E118:E120 E89:E92 E103:E106 E27:E35 E19:E24 E61:E65 E73:E85 E53:E57 E11:E16 E245:E246">
      <formula1>-1</formula1>
    </dataValidation>
    <dataValidation type="whole" operator="lessThan" allowBlank="1" showInputMessage="1" showErrorMessage="1" errorTitle="Let op!" error="U kunt hier alleen een geheel en negatief bedrag invoeren!" sqref="E110">
      <formula1>1</formula1>
    </dataValidation>
    <dataValidation type="whole" allowBlank="1" showInputMessage="1" showErrorMessage="1" errorTitle="Let op!" error="U kunt hier alleen een geheel bedrag invullen." sqref="E253:E256">
      <formula1>-999999999999</formula1>
      <formula2>999999999999</formula2>
    </dataValidation>
    <dataValidation type="whole" allowBlank="1" showInputMessage="1" showErrorMessage="1" sqref="F11:F16">
      <formula1>-99999999999999900000</formula1>
      <formula2>999999999999999000000</formula2>
    </dataValidation>
    <dataValidation type="whole" allowBlank="1" showInputMessage="1" showErrorMessage="1" sqref="F19:F24 F27:F35 F38:F43">
      <formula1>-99999999999</formula1>
      <formula2>99999999999999900</formula2>
    </dataValidation>
    <dataValidation type="whole" allowBlank="1" showInputMessage="1" showErrorMessage="1" sqref="F47 F53:F57 F61:F65 F73:F85">
      <formula1>-9999999999999990000000</formula1>
      <formula2>9.99999999999999E+22</formula2>
    </dataValidation>
    <dataValidation type="whole" allowBlank="1" showInputMessage="1" showErrorMessage="1" sqref="F89:F92 F100 F110 F123:F125">
      <formula1>-99999999999999900000000000</formula1>
      <formula2>9.99999999999999E+26</formula2>
    </dataValidation>
    <dataValidation type="whole" allowBlank="1" showInputMessage="1" showErrorMessage="1" sqref="F134:F144 F147:F157 F160:F170">
      <formula1>-999999999999999000000000000</formula1>
      <formula2>9.99999999999999E+24</formula2>
    </dataValidation>
    <dataValidation type="whole" allowBlank="1" showInputMessage="1" showErrorMessage="1" sqref="F177:F187 F190:F197 F200:F203 F206:F211">
      <formula1>-99999999999999900000000</formula1>
      <formula2>9.99999999999999E+22</formula2>
    </dataValidation>
    <dataValidation type="whole" allowBlank="1" showInputMessage="1" showErrorMessage="1" sqref="F218:F229 F232 F235:F241 F245:F246 F253:F256">
      <formula1>-999999999999999000000</formula1>
      <formula2>9.99999999999999E+22</formula2>
    </dataValidation>
  </dataValidations>
  <printOptions horizontalCentered="1"/>
  <pageMargins left="0" right="0" top="0.4330708661417323" bottom="0.2362204724409449" header="0.1968503937007874" footer="0.11811023622047245"/>
  <pageSetup errors="blank" firstPageNumber="7" useFirstPageNumber="1" horizontalDpi="300" verticalDpi="300" orientation="landscape" pageOrder="overThenDown" paperSize="9" scale="85" r:id="rId3"/>
  <headerFooter alignWithMargins="0">
    <oddHeader>&amp;R&amp;G</oddHeader>
    <oddFooter>&amp;RPagina &amp;P</oddFooter>
  </headerFooter>
  <rowBreaks count="6" manualBreakCount="6">
    <brk id="48" max="14" man="1"/>
    <brk id="95" max="14" man="1"/>
    <brk id="128" max="14" man="1"/>
    <brk id="172" max="14" man="1"/>
    <brk id="213" max="14" man="1"/>
    <brk id="261" max="14" man="1"/>
  </rowBreaks>
  <legacyDrawing r:id="rId1"/>
  <legacyDrawingHF r:id="rId2"/>
</worksheet>
</file>

<file path=xl/worksheets/sheet6.xml><?xml version="1.0" encoding="utf-8"?>
<worksheet xmlns="http://schemas.openxmlformats.org/spreadsheetml/2006/main" xmlns:r="http://schemas.openxmlformats.org/officeDocument/2006/relationships">
  <dimension ref="A1:S234"/>
  <sheetViews>
    <sheetView showGridLines="0" workbookViewId="0" topLeftCell="A1">
      <pane xSplit="1" topLeftCell="B1" activePane="topRight" state="frozen"/>
      <selection pane="topLeft" activeCell="A10" sqref="A10"/>
      <selection pane="topRight" activeCell="C30" sqref="C30"/>
    </sheetView>
  </sheetViews>
  <sheetFormatPr defaultColWidth="9.140625" defaultRowHeight="12.75"/>
  <cols>
    <col min="1" max="1" width="7.8515625" style="308" customWidth="1"/>
    <col min="2" max="2" width="70.28125" style="90" bestFit="1" customWidth="1"/>
    <col min="3" max="3" width="37.57421875" style="90" bestFit="1" customWidth="1"/>
    <col min="4" max="4" width="9.28125" style="90" customWidth="1"/>
    <col min="5" max="5" width="10.8515625" style="90" customWidth="1"/>
    <col min="6" max="6" width="11.7109375" style="90" bestFit="1" customWidth="1"/>
    <col min="7" max="7" width="11.421875" style="90" customWidth="1"/>
    <col min="8" max="8" width="11.8515625" style="90" bestFit="1" customWidth="1"/>
    <col min="9" max="9" width="4.7109375" style="90" bestFit="1" customWidth="1"/>
    <col min="10" max="12" width="9.140625" style="90" hidden="1" customWidth="1"/>
    <col min="13" max="14" width="10.8515625" style="90" hidden="1" customWidth="1"/>
    <col min="15" max="17" width="9.140625" style="90" hidden="1" customWidth="1"/>
    <col min="18" max="18" width="10.8515625" style="90" hidden="1" customWidth="1"/>
    <col min="19" max="20" width="9.140625" style="90" hidden="1" customWidth="1"/>
    <col min="21" max="16384" width="9.140625" style="90" customWidth="1"/>
  </cols>
  <sheetData>
    <row r="1" spans="4:19" ht="15.75" customHeight="1">
      <c r="D1" s="782" t="str">
        <f>IF(P4=TRUE,"      Invulvelden gearceerd","      Invulvelden niet gearceerd")</f>
        <v>      Invulvelden gearceerd</v>
      </c>
      <c r="E1" s="783"/>
      <c r="F1" s="783"/>
      <c r="S1" s="90">
        <v>1</v>
      </c>
    </row>
    <row r="2" spans="1:19" ht="12.75">
      <c r="A2" s="312" t="e">
        <f>VLOOKUP(E2,NAW!B2:E238,4,FALSE)</f>
        <v>#N/A</v>
      </c>
      <c r="D2" s="314" t="s">
        <v>511</v>
      </c>
      <c r="E2" s="227">
        <f>'0000'!A3</f>
        <v>0</v>
      </c>
      <c r="P2" s="90">
        <f>'0000'!A3</f>
        <v>0</v>
      </c>
      <c r="S2" s="90">
        <v>2</v>
      </c>
    </row>
    <row r="3" spans="1:19" ht="11.25">
      <c r="A3" s="313" t="s">
        <v>681</v>
      </c>
      <c r="S3" s="90">
        <v>3</v>
      </c>
    </row>
    <row r="4" spans="1:19" ht="12">
      <c r="A4" s="306"/>
      <c r="B4" s="307"/>
      <c r="C4" s="307"/>
      <c r="D4" s="307"/>
      <c r="E4" s="307"/>
      <c r="P4" s="441" t="b">
        <v>1</v>
      </c>
      <c r="S4" s="90">
        <v>4</v>
      </c>
    </row>
    <row r="5" spans="1:19" ht="12">
      <c r="A5" s="780" t="s">
        <v>599</v>
      </c>
      <c r="B5" s="781"/>
      <c r="C5" s="781"/>
      <c r="D5" s="781"/>
      <c r="E5" s="781"/>
      <c r="J5" s="90" t="s">
        <v>1697</v>
      </c>
      <c r="N5" s="90" t="s">
        <v>881</v>
      </c>
      <c r="S5" s="90">
        <v>5</v>
      </c>
    </row>
    <row r="6" spans="1:19" s="129" customFormat="1" ht="22.5">
      <c r="A6" s="330" t="s">
        <v>1716</v>
      </c>
      <c r="B6" s="330" t="s">
        <v>287</v>
      </c>
      <c r="C6" s="331" t="s">
        <v>1717</v>
      </c>
      <c r="D6" s="331" t="s">
        <v>852</v>
      </c>
      <c r="E6" s="332" t="s">
        <v>507</v>
      </c>
      <c r="F6" s="332" t="s">
        <v>508</v>
      </c>
      <c r="G6" s="332" t="s">
        <v>509</v>
      </c>
      <c r="H6" s="332" t="s">
        <v>1695</v>
      </c>
      <c r="J6" s="129" t="s">
        <v>878</v>
      </c>
      <c r="L6" s="129" t="s">
        <v>878</v>
      </c>
      <c r="N6" s="129" t="s">
        <v>878</v>
      </c>
      <c r="O6" s="129" t="s">
        <v>878</v>
      </c>
      <c r="R6" s="90" t="s">
        <v>424</v>
      </c>
      <c r="S6" s="90">
        <v>6</v>
      </c>
    </row>
    <row r="7" spans="1:19" ht="11.25">
      <c r="A7" s="326">
        <v>1</v>
      </c>
      <c r="B7" s="327" t="s">
        <v>1718</v>
      </c>
      <c r="C7" s="327"/>
      <c r="D7" s="328">
        <v>0</v>
      </c>
      <c r="E7" s="329"/>
      <c r="F7" s="329"/>
      <c r="G7" s="443">
        <f aca="true" t="shared" si="0" ref="G7:G13">D7*E7</f>
        <v>0</v>
      </c>
      <c r="H7" s="443">
        <f aca="true" t="shared" si="1" ref="H7:H13">D7*F7</f>
        <v>0</v>
      </c>
      <c r="J7" s="109" t="s">
        <v>1950</v>
      </c>
      <c r="K7" s="409">
        <f>E7</f>
        <v>0</v>
      </c>
      <c r="L7" s="308" t="s">
        <v>222</v>
      </c>
      <c r="M7" s="409">
        <f>F7</f>
        <v>0</v>
      </c>
      <c r="N7" s="409" t="s">
        <v>879</v>
      </c>
      <c r="O7" s="90" t="s">
        <v>880</v>
      </c>
      <c r="P7" s="408">
        <f>D7</f>
        <v>0</v>
      </c>
      <c r="R7" s="90">
        <f>S7*(E7+F7)+$E$154</f>
        <v>0</v>
      </c>
      <c r="S7" s="90">
        <v>7</v>
      </c>
    </row>
    <row r="8" spans="1:19" ht="11.25">
      <c r="A8" s="309">
        <v>2</v>
      </c>
      <c r="B8" s="119" t="s">
        <v>1719</v>
      </c>
      <c r="C8" s="119"/>
      <c r="D8" s="121">
        <v>46</v>
      </c>
      <c r="E8" s="34"/>
      <c r="F8" s="329"/>
      <c r="G8" s="444">
        <f t="shared" si="0"/>
        <v>0</v>
      </c>
      <c r="H8" s="444">
        <f t="shared" si="1"/>
        <v>0</v>
      </c>
      <c r="J8" s="109" t="s">
        <v>1951</v>
      </c>
      <c r="K8" s="409">
        <f aca="true" t="shared" si="2" ref="K8:K77">E8</f>
        <v>0</v>
      </c>
      <c r="L8" s="308" t="s">
        <v>223</v>
      </c>
      <c r="M8" s="409">
        <f aca="true" t="shared" si="3" ref="M8:M77">F8</f>
        <v>0</v>
      </c>
      <c r="N8" s="409" t="s">
        <v>882</v>
      </c>
      <c r="O8" s="90" t="s">
        <v>918</v>
      </c>
      <c r="P8" s="408">
        <f aca="true" t="shared" si="4" ref="P8:P77">D8</f>
        <v>46</v>
      </c>
      <c r="R8" s="90">
        <f aca="true" t="shared" si="5" ref="R8:R77">S8*(E8+F8)+$E$154</f>
        <v>0</v>
      </c>
      <c r="S8" s="90">
        <v>8</v>
      </c>
    </row>
    <row r="9" spans="1:19" ht="11.25">
      <c r="A9" s="309">
        <v>3</v>
      </c>
      <c r="B9" s="119" t="s">
        <v>1720</v>
      </c>
      <c r="C9" s="119"/>
      <c r="D9" s="121">
        <v>115</v>
      </c>
      <c r="E9" s="34"/>
      <c r="F9" s="329"/>
      <c r="G9" s="444">
        <f t="shared" si="0"/>
        <v>0</v>
      </c>
      <c r="H9" s="444">
        <f t="shared" si="1"/>
        <v>0</v>
      </c>
      <c r="J9" s="109" t="s">
        <v>1952</v>
      </c>
      <c r="K9" s="409">
        <f t="shared" si="2"/>
        <v>0</v>
      </c>
      <c r="L9" s="308" t="s">
        <v>224</v>
      </c>
      <c r="M9" s="409">
        <f t="shared" si="3"/>
        <v>0</v>
      </c>
      <c r="N9" s="409" t="s">
        <v>883</v>
      </c>
      <c r="O9" s="90" t="s">
        <v>919</v>
      </c>
      <c r="P9" s="408">
        <f t="shared" si="4"/>
        <v>115</v>
      </c>
      <c r="R9" s="90">
        <f t="shared" si="5"/>
        <v>0</v>
      </c>
      <c r="S9" s="90">
        <v>9</v>
      </c>
    </row>
    <row r="10" spans="1:19" ht="11.25">
      <c r="A10" s="309">
        <v>4</v>
      </c>
      <c r="B10" s="119" t="s">
        <v>1721</v>
      </c>
      <c r="C10" s="119"/>
      <c r="D10" s="121">
        <v>238</v>
      </c>
      <c r="E10" s="34"/>
      <c r="F10" s="329"/>
      <c r="G10" s="444">
        <f t="shared" si="0"/>
        <v>0</v>
      </c>
      <c r="H10" s="444">
        <f t="shared" si="1"/>
        <v>0</v>
      </c>
      <c r="J10" s="109" t="s">
        <v>1953</v>
      </c>
      <c r="K10" s="409">
        <f t="shared" si="2"/>
        <v>0</v>
      </c>
      <c r="L10" s="308" t="s">
        <v>225</v>
      </c>
      <c r="M10" s="409">
        <f t="shared" si="3"/>
        <v>0</v>
      </c>
      <c r="N10" s="409" t="s">
        <v>884</v>
      </c>
      <c r="O10" s="90" t="s">
        <v>920</v>
      </c>
      <c r="P10" s="408">
        <f t="shared" si="4"/>
        <v>238</v>
      </c>
      <c r="R10" s="90">
        <f t="shared" si="5"/>
        <v>0</v>
      </c>
      <c r="S10" s="90">
        <v>10</v>
      </c>
    </row>
    <row r="11" spans="1:19" ht="11.25">
      <c r="A11" s="309">
        <v>5</v>
      </c>
      <c r="B11" s="119" t="s">
        <v>1722</v>
      </c>
      <c r="C11" s="119"/>
      <c r="D11" s="121">
        <v>512</v>
      </c>
      <c r="E11" s="34"/>
      <c r="F11" s="329"/>
      <c r="G11" s="444">
        <f t="shared" si="0"/>
        <v>0</v>
      </c>
      <c r="H11" s="444">
        <f t="shared" si="1"/>
        <v>0</v>
      </c>
      <c r="J11" s="109" t="s">
        <v>1954</v>
      </c>
      <c r="K11" s="409">
        <f t="shared" si="2"/>
        <v>0</v>
      </c>
      <c r="L11" s="308" t="s">
        <v>226</v>
      </c>
      <c r="M11" s="409">
        <f t="shared" si="3"/>
        <v>0</v>
      </c>
      <c r="N11" s="409" t="s">
        <v>885</v>
      </c>
      <c r="O11" s="90" t="s">
        <v>921</v>
      </c>
      <c r="P11" s="408">
        <f t="shared" si="4"/>
        <v>512</v>
      </c>
      <c r="R11" s="90">
        <f t="shared" si="5"/>
        <v>0</v>
      </c>
      <c r="S11" s="90">
        <v>11</v>
      </c>
    </row>
    <row r="12" spans="1:19" ht="11.25">
      <c r="A12" s="309">
        <v>6</v>
      </c>
      <c r="B12" s="119" t="s">
        <v>1723</v>
      </c>
      <c r="C12" s="119"/>
      <c r="D12" s="121">
        <v>1315</v>
      </c>
      <c r="E12" s="34"/>
      <c r="F12" s="329"/>
      <c r="G12" s="444">
        <f t="shared" si="0"/>
        <v>0</v>
      </c>
      <c r="H12" s="444">
        <f t="shared" si="1"/>
        <v>0</v>
      </c>
      <c r="J12" s="109" t="s">
        <v>1955</v>
      </c>
      <c r="K12" s="409">
        <f t="shared" si="2"/>
        <v>0</v>
      </c>
      <c r="L12" s="308" t="s">
        <v>1257</v>
      </c>
      <c r="M12" s="409">
        <f t="shared" si="3"/>
        <v>0</v>
      </c>
      <c r="N12" s="409" t="s">
        <v>886</v>
      </c>
      <c r="O12" s="90" t="s">
        <v>922</v>
      </c>
      <c r="P12" s="408">
        <f t="shared" si="4"/>
        <v>1315</v>
      </c>
      <c r="R12" s="90">
        <f t="shared" si="5"/>
        <v>0</v>
      </c>
      <c r="S12" s="90">
        <v>12</v>
      </c>
    </row>
    <row r="13" spans="1:19" ht="11.25">
      <c r="A13" s="309">
        <v>7</v>
      </c>
      <c r="B13" s="119" t="s">
        <v>1724</v>
      </c>
      <c r="C13" s="119" t="s">
        <v>1685</v>
      </c>
      <c r="D13" s="121">
        <v>133</v>
      </c>
      <c r="E13" s="34"/>
      <c r="F13" s="329"/>
      <c r="G13" s="444">
        <f t="shared" si="0"/>
        <v>0</v>
      </c>
      <c r="H13" s="444">
        <f t="shared" si="1"/>
        <v>0</v>
      </c>
      <c r="J13" s="109" t="s">
        <v>1956</v>
      </c>
      <c r="K13" s="409">
        <f t="shared" si="2"/>
        <v>0</v>
      </c>
      <c r="L13" s="308" t="s">
        <v>1258</v>
      </c>
      <c r="M13" s="409">
        <f t="shared" si="3"/>
        <v>0</v>
      </c>
      <c r="N13" s="409" t="s">
        <v>887</v>
      </c>
      <c r="O13" s="90" t="s">
        <v>923</v>
      </c>
      <c r="P13" s="408">
        <f t="shared" si="4"/>
        <v>133</v>
      </c>
      <c r="R13" s="90">
        <f t="shared" si="5"/>
        <v>0</v>
      </c>
      <c r="S13" s="90">
        <v>13</v>
      </c>
    </row>
    <row r="14" spans="1:19" ht="11.25">
      <c r="A14" s="309">
        <v>8</v>
      </c>
      <c r="B14" s="119" t="s">
        <v>1725</v>
      </c>
      <c r="C14" s="119" t="s">
        <v>1685</v>
      </c>
      <c r="D14" s="121">
        <v>278</v>
      </c>
      <c r="E14" s="34"/>
      <c r="F14" s="329"/>
      <c r="G14" s="444">
        <f aca="true" t="shared" si="6" ref="G14:G86">D14*E14</f>
        <v>0</v>
      </c>
      <c r="H14" s="444">
        <f aca="true" t="shared" si="7" ref="H14:H86">D14*F14</f>
        <v>0</v>
      </c>
      <c r="J14" s="109" t="s">
        <v>1957</v>
      </c>
      <c r="K14" s="409">
        <f t="shared" si="2"/>
        <v>0</v>
      </c>
      <c r="L14" s="308" t="s">
        <v>1259</v>
      </c>
      <c r="M14" s="409">
        <f t="shared" si="3"/>
        <v>0</v>
      </c>
      <c r="N14" s="409" t="s">
        <v>888</v>
      </c>
      <c r="O14" s="90" t="s">
        <v>924</v>
      </c>
      <c r="P14" s="408">
        <f t="shared" si="4"/>
        <v>278</v>
      </c>
      <c r="R14" s="90">
        <f t="shared" si="5"/>
        <v>0</v>
      </c>
      <c r="S14" s="90">
        <v>14</v>
      </c>
    </row>
    <row r="15" spans="1:19" ht="11.25">
      <c r="A15" s="309">
        <v>9</v>
      </c>
      <c r="B15" s="119" t="s">
        <v>1726</v>
      </c>
      <c r="C15" s="119" t="s">
        <v>1685</v>
      </c>
      <c r="D15" s="121">
        <v>513</v>
      </c>
      <c r="E15" s="34"/>
      <c r="F15" s="329"/>
      <c r="G15" s="444">
        <f t="shared" si="6"/>
        <v>0</v>
      </c>
      <c r="H15" s="444">
        <f t="shared" si="7"/>
        <v>0</v>
      </c>
      <c r="J15" s="109" t="s">
        <v>1958</v>
      </c>
      <c r="K15" s="409">
        <f t="shared" si="2"/>
        <v>0</v>
      </c>
      <c r="L15" s="308" t="s">
        <v>1260</v>
      </c>
      <c r="M15" s="409">
        <f t="shared" si="3"/>
        <v>0</v>
      </c>
      <c r="N15" s="409" t="s">
        <v>889</v>
      </c>
      <c r="O15" s="90" t="s">
        <v>925</v>
      </c>
      <c r="P15" s="408">
        <f t="shared" si="4"/>
        <v>513</v>
      </c>
      <c r="R15" s="90">
        <f t="shared" si="5"/>
        <v>0</v>
      </c>
      <c r="S15" s="90">
        <v>15</v>
      </c>
    </row>
    <row r="16" spans="1:19" ht="11.25">
      <c r="A16" s="309">
        <v>10</v>
      </c>
      <c r="B16" s="119" t="s">
        <v>1727</v>
      </c>
      <c r="C16" s="119" t="s">
        <v>1728</v>
      </c>
      <c r="D16" s="121">
        <v>939</v>
      </c>
      <c r="E16" s="34"/>
      <c r="F16" s="329"/>
      <c r="G16" s="444">
        <f t="shared" si="6"/>
        <v>0</v>
      </c>
      <c r="H16" s="444">
        <f t="shared" si="7"/>
        <v>0</v>
      </c>
      <c r="J16" s="109" t="s">
        <v>7</v>
      </c>
      <c r="K16" s="409">
        <f t="shared" si="2"/>
        <v>0</v>
      </c>
      <c r="L16" s="308" t="s">
        <v>1261</v>
      </c>
      <c r="M16" s="409">
        <f t="shared" si="3"/>
        <v>0</v>
      </c>
      <c r="N16" s="409" t="s">
        <v>890</v>
      </c>
      <c r="O16" s="90" t="s">
        <v>926</v>
      </c>
      <c r="P16" s="408">
        <f t="shared" si="4"/>
        <v>939</v>
      </c>
      <c r="R16" s="90">
        <f t="shared" si="5"/>
        <v>0</v>
      </c>
      <c r="S16" s="90">
        <v>16</v>
      </c>
    </row>
    <row r="17" spans="1:19" ht="11.25">
      <c r="A17" s="309">
        <v>11</v>
      </c>
      <c r="B17" s="119" t="s">
        <v>1729</v>
      </c>
      <c r="C17" s="119" t="s">
        <v>1730</v>
      </c>
      <c r="D17" s="121">
        <v>1143</v>
      </c>
      <c r="E17" s="34"/>
      <c r="F17" s="329"/>
      <c r="G17" s="444">
        <f t="shared" si="6"/>
        <v>0</v>
      </c>
      <c r="H17" s="444">
        <f t="shared" si="7"/>
        <v>0</v>
      </c>
      <c r="J17" s="109" t="s">
        <v>8</v>
      </c>
      <c r="K17" s="409">
        <f t="shared" si="2"/>
        <v>0</v>
      </c>
      <c r="L17" s="308" t="s">
        <v>1262</v>
      </c>
      <c r="M17" s="409">
        <f t="shared" si="3"/>
        <v>0</v>
      </c>
      <c r="N17" s="409" t="s">
        <v>891</v>
      </c>
      <c r="O17" s="90" t="s">
        <v>927</v>
      </c>
      <c r="P17" s="408">
        <f t="shared" si="4"/>
        <v>1143</v>
      </c>
      <c r="R17" s="90">
        <f t="shared" si="5"/>
        <v>0</v>
      </c>
      <c r="S17" s="90">
        <v>17</v>
      </c>
    </row>
    <row r="18" spans="1:19" ht="11.25">
      <c r="A18" s="309">
        <v>12</v>
      </c>
      <c r="B18" s="119" t="s">
        <v>1731</v>
      </c>
      <c r="C18" s="119"/>
      <c r="D18" s="121">
        <v>2124</v>
      </c>
      <c r="E18" s="34"/>
      <c r="F18" s="329"/>
      <c r="G18" s="444">
        <f t="shared" si="6"/>
        <v>0</v>
      </c>
      <c r="H18" s="444">
        <f t="shared" si="7"/>
        <v>0</v>
      </c>
      <c r="J18" s="109" t="s">
        <v>9</v>
      </c>
      <c r="K18" s="409">
        <f t="shared" si="2"/>
        <v>0</v>
      </c>
      <c r="L18" s="308" t="s">
        <v>1263</v>
      </c>
      <c r="M18" s="409">
        <f t="shared" si="3"/>
        <v>0</v>
      </c>
      <c r="N18" s="409" t="s">
        <v>892</v>
      </c>
      <c r="O18" s="90" t="s">
        <v>928</v>
      </c>
      <c r="P18" s="408">
        <f t="shared" si="4"/>
        <v>2124</v>
      </c>
      <c r="R18" s="90">
        <f t="shared" si="5"/>
        <v>0</v>
      </c>
      <c r="S18" s="90">
        <v>18</v>
      </c>
    </row>
    <row r="19" spans="1:19" ht="11.25">
      <c r="A19" s="309">
        <v>13</v>
      </c>
      <c r="B19" s="119" t="s">
        <v>1732</v>
      </c>
      <c r="C19" s="119"/>
      <c r="D19" s="121">
        <v>105</v>
      </c>
      <c r="E19" s="34"/>
      <c r="F19" s="329"/>
      <c r="G19" s="444">
        <f t="shared" si="6"/>
        <v>0</v>
      </c>
      <c r="H19" s="444">
        <f t="shared" si="7"/>
        <v>0</v>
      </c>
      <c r="J19" s="109" t="s">
        <v>10</v>
      </c>
      <c r="K19" s="409">
        <f t="shared" si="2"/>
        <v>0</v>
      </c>
      <c r="L19" s="308" t="s">
        <v>1264</v>
      </c>
      <c r="M19" s="409">
        <f t="shared" si="3"/>
        <v>0</v>
      </c>
      <c r="N19" s="409" t="s">
        <v>893</v>
      </c>
      <c r="O19" s="90" t="s">
        <v>929</v>
      </c>
      <c r="P19" s="408">
        <f t="shared" si="4"/>
        <v>105</v>
      </c>
      <c r="R19" s="90">
        <f t="shared" si="5"/>
        <v>0</v>
      </c>
      <c r="S19" s="90">
        <v>19</v>
      </c>
    </row>
    <row r="20" spans="1:19" ht="11.25">
      <c r="A20" s="309">
        <v>14</v>
      </c>
      <c r="B20" s="119" t="s">
        <v>1733</v>
      </c>
      <c r="C20" s="119"/>
      <c r="D20" s="121">
        <v>248</v>
      </c>
      <c r="E20" s="34"/>
      <c r="F20" s="329"/>
      <c r="G20" s="444">
        <f t="shared" si="6"/>
        <v>0</v>
      </c>
      <c r="H20" s="444">
        <f t="shared" si="7"/>
        <v>0</v>
      </c>
      <c r="J20" s="109" t="s">
        <v>11</v>
      </c>
      <c r="K20" s="409">
        <f t="shared" si="2"/>
        <v>0</v>
      </c>
      <c r="L20" s="308" t="s">
        <v>1265</v>
      </c>
      <c r="M20" s="409">
        <f t="shared" si="3"/>
        <v>0</v>
      </c>
      <c r="N20" s="409" t="s">
        <v>894</v>
      </c>
      <c r="O20" s="90" t="s">
        <v>930</v>
      </c>
      <c r="P20" s="408">
        <f t="shared" si="4"/>
        <v>248</v>
      </c>
      <c r="R20" s="90">
        <f t="shared" si="5"/>
        <v>0</v>
      </c>
      <c r="S20" s="90">
        <v>20</v>
      </c>
    </row>
    <row r="21" spans="1:19" ht="11.25">
      <c r="A21" s="309">
        <v>15</v>
      </c>
      <c r="B21" s="119" t="s">
        <v>1734</v>
      </c>
      <c r="C21" s="119"/>
      <c r="D21" s="121">
        <v>485</v>
      </c>
      <c r="E21" s="34"/>
      <c r="F21" s="329"/>
      <c r="G21" s="444">
        <f t="shared" si="6"/>
        <v>0</v>
      </c>
      <c r="H21" s="444">
        <f t="shared" si="7"/>
        <v>0</v>
      </c>
      <c r="J21" s="109" t="s">
        <v>12</v>
      </c>
      <c r="K21" s="409">
        <f t="shared" si="2"/>
        <v>0</v>
      </c>
      <c r="L21" s="308" t="s">
        <v>1266</v>
      </c>
      <c r="M21" s="409">
        <f t="shared" si="3"/>
        <v>0</v>
      </c>
      <c r="N21" s="409" t="s">
        <v>895</v>
      </c>
      <c r="O21" s="90" t="s">
        <v>931</v>
      </c>
      <c r="P21" s="408">
        <f t="shared" si="4"/>
        <v>485</v>
      </c>
      <c r="R21" s="90">
        <f t="shared" si="5"/>
        <v>0</v>
      </c>
      <c r="S21" s="90">
        <v>21</v>
      </c>
    </row>
    <row r="22" spans="1:19" ht="11.25">
      <c r="A22" s="309">
        <v>16</v>
      </c>
      <c r="B22" s="119" t="s">
        <v>1735</v>
      </c>
      <c r="C22" s="119"/>
      <c r="D22" s="121">
        <v>921</v>
      </c>
      <c r="E22" s="34"/>
      <c r="F22" s="329"/>
      <c r="G22" s="444">
        <f t="shared" si="6"/>
        <v>0</v>
      </c>
      <c r="H22" s="444">
        <f t="shared" si="7"/>
        <v>0</v>
      </c>
      <c r="J22" s="109" t="s">
        <v>13</v>
      </c>
      <c r="K22" s="409">
        <f t="shared" si="2"/>
        <v>0</v>
      </c>
      <c r="L22" s="308" t="s">
        <v>1267</v>
      </c>
      <c r="M22" s="409">
        <f t="shared" si="3"/>
        <v>0</v>
      </c>
      <c r="N22" s="409" t="s">
        <v>896</v>
      </c>
      <c r="O22" s="90" t="s">
        <v>932</v>
      </c>
      <c r="P22" s="408">
        <f t="shared" si="4"/>
        <v>921</v>
      </c>
      <c r="R22" s="90">
        <f t="shared" si="5"/>
        <v>0</v>
      </c>
      <c r="S22" s="90">
        <v>22</v>
      </c>
    </row>
    <row r="23" spans="1:19" ht="11.25">
      <c r="A23" s="309">
        <v>17</v>
      </c>
      <c r="B23" s="119" t="s">
        <v>1736</v>
      </c>
      <c r="C23" s="119"/>
      <c r="D23" s="121">
        <v>1997</v>
      </c>
      <c r="E23" s="34"/>
      <c r="F23" s="329"/>
      <c r="G23" s="444">
        <f t="shared" si="6"/>
        <v>0</v>
      </c>
      <c r="H23" s="444">
        <f t="shared" si="7"/>
        <v>0</v>
      </c>
      <c r="J23" s="109" t="s">
        <v>14</v>
      </c>
      <c r="K23" s="409">
        <f t="shared" si="2"/>
        <v>0</v>
      </c>
      <c r="L23" s="308" t="s">
        <v>1268</v>
      </c>
      <c r="M23" s="409">
        <f t="shared" si="3"/>
        <v>0</v>
      </c>
      <c r="N23" s="409" t="s">
        <v>897</v>
      </c>
      <c r="O23" s="90" t="s">
        <v>933</v>
      </c>
      <c r="P23" s="408">
        <f t="shared" si="4"/>
        <v>1997</v>
      </c>
      <c r="R23" s="90">
        <f t="shared" si="5"/>
        <v>0</v>
      </c>
      <c r="S23" s="90">
        <v>23</v>
      </c>
    </row>
    <row r="24" spans="1:19" ht="11.25">
      <c r="A24" s="309">
        <v>18</v>
      </c>
      <c r="B24" s="119" t="s">
        <v>1737</v>
      </c>
      <c r="C24" s="119" t="s">
        <v>1738</v>
      </c>
      <c r="D24" s="121">
        <v>104</v>
      </c>
      <c r="E24" s="34"/>
      <c r="F24" s="329"/>
      <c r="G24" s="444">
        <f t="shared" si="6"/>
        <v>0</v>
      </c>
      <c r="H24" s="444">
        <f t="shared" si="7"/>
        <v>0</v>
      </c>
      <c r="J24" s="109" t="s">
        <v>15</v>
      </c>
      <c r="K24" s="409">
        <f t="shared" si="2"/>
        <v>0</v>
      </c>
      <c r="L24" s="308" t="s">
        <v>1269</v>
      </c>
      <c r="M24" s="409">
        <f t="shared" si="3"/>
        <v>0</v>
      </c>
      <c r="N24" s="409" t="s">
        <v>898</v>
      </c>
      <c r="O24" s="90" t="s">
        <v>934</v>
      </c>
      <c r="P24" s="408">
        <f t="shared" si="4"/>
        <v>104</v>
      </c>
      <c r="R24" s="90">
        <f t="shared" si="5"/>
        <v>0</v>
      </c>
      <c r="S24" s="90">
        <v>24</v>
      </c>
    </row>
    <row r="25" spans="1:19" ht="11.25">
      <c r="A25" s="309">
        <v>19</v>
      </c>
      <c r="B25" s="119" t="s">
        <v>1739</v>
      </c>
      <c r="C25" s="119" t="s">
        <v>1740</v>
      </c>
      <c r="D25" s="121">
        <v>139</v>
      </c>
      <c r="E25" s="34"/>
      <c r="F25" s="329"/>
      <c r="G25" s="444">
        <f t="shared" si="6"/>
        <v>0</v>
      </c>
      <c r="H25" s="444">
        <f t="shared" si="7"/>
        <v>0</v>
      </c>
      <c r="J25" s="109" t="s">
        <v>16</v>
      </c>
      <c r="K25" s="409">
        <f t="shared" si="2"/>
        <v>0</v>
      </c>
      <c r="L25" s="308" t="s">
        <v>1270</v>
      </c>
      <c r="M25" s="409">
        <f t="shared" si="3"/>
        <v>0</v>
      </c>
      <c r="N25" s="409" t="s">
        <v>899</v>
      </c>
      <c r="O25" s="90" t="s">
        <v>935</v>
      </c>
      <c r="P25" s="408">
        <f t="shared" si="4"/>
        <v>139</v>
      </c>
      <c r="R25" s="90">
        <f t="shared" si="5"/>
        <v>0</v>
      </c>
      <c r="S25" s="90">
        <v>25</v>
      </c>
    </row>
    <row r="26" spans="1:19" ht="11.25">
      <c r="A26" s="309">
        <v>20</v>
      </c>
      <c r="B26" s="119" t="s">
        <v>1741</v>
      </c>
      <c r="C26" s="119" t="s">
        <v>1738</v>
      </c>
      <c r="D26" s="121">
        <v>271</v>
      </c>
      <c r="E26" s="34"/>
      <c r="F26" s="329"/>
      <c r="G26" s="444">
        <f t="shared" si="6"/>
        <v>0</v>
      </c>
      <c r="H26" s="444">
        <f t="shared" si="7"/>
        <v>0</v>
      </c>
      <c r="J26" s="109" t="s">
        <v>17</v>
      </c>
      <c r="K26" s="409">
        <f t="shared" si="2"/>
        <v>0</v>
      </c>
      <c r="L26" s="308" t="s">
        <v>1271</v>
      </c>
      <c r="M26" s="409">
        <f t="shared" si="3"/>
        <v>0</v>
      </c>
      <c r="N26" s="409" t="s">
        <v>900</v>
      </c>
      <c r="O26" s="90" t="s">
        <v>936</v>
      </c>
      <c r="P26" s="408">
        <f t="shared" si="4"/>
        <v>271</v>
      </c>
      <c r="R26" s="90">
        <f t="shared" si="5"/>
        <v>0</v>
      </c>
      <c r="S26" s="90">
        <v>26</v>
      </c>
    </row>
    <row r="27" spans="1:19" ht="11.25">
      <c r="A27" s="309">
        <v>21</v>
      </c>
      <c r="B27" s="119" t="s">
        <v>1742</v>
      </c>
      <c r="C27" s="119" t="s">
        <v>1740</v>
      </c>
      <c r="D27" s="121">
        <v>338</v>
      </c>
      <c r="E27" s="34"/>
      <c r="F27" s="329"/>
      <c r="G27" s="444">
        <f t="shared" si="6"/>
        <v>0</v>
      </c>
      <c r="H27" s="444">
        <f t="shared" si="7"/>
        <v>0</v>
      </c>
      <c r="J27" s="109" t="s">
        <v>18</v>
      </c>
      <c r="K27" s="409">
        <f t="shared" si="2"/>
        <v>0</v>
      </c>
      <c r="L27" s="308" t="s">
        <v>1272</v>
      </c>
      <c r="M27" s="409">
        <f t="shared" si="3"/>
        <v>0</v>
      </c>
      <c r="N27" s="409" t="s">
        <v>901</v>
      </c>
      <c r="O27" s="90" t="s">
        <v>937</v>
      </c>
      <c r="P27" s="408">
        <f t="shared" si="4"/>
        <v>338</v>
      </c>
      <c r="R27" s="90">
        <f t="shared" si="5"/>
        <v>0</v>
      </c>
      <c r="S27" s="90">
        <v>27</v>
      </c>
    </row>
    <row r="28" spans="1:19" ht="11.25">
      <c r="A28" s="309">
        <v>22</v>
      </c>
      <c r="B28" s="119" t="s">
        <v>1743</v>
      </c>
      <c r="C28" s="119" t="s">
        <v>1738</v>
      </c>
      <c r="D28" s="121">
        <v>496</v>
      </c>
      <c r="E28" s="34"/>
      <c r="F28" s="329"/>
      <c r="G28" s="444">
        <f t="shared" si="6"/>
        <v>0</v>
      </c>
      <c r="H28" s="444">
        <f t="shared" si="7"/>
        <v>0</v>
      </c>
      <c r="J28" s="109" t="s">
        <v>19</v>
      </c>
      <c r="K28" s="409">
        <f t="shared" si="2"/>
        <v>0</v>
      </c>
      <c r="L28" s="308" t="s">
        <v>1273</v>
      </c>
      <c r="M28" s="409">
        <f t="shared" si="3"/>
        <v>0</v>
      </c>
      <c r="N28" s="409" t="s">
        <v>902</v>
      </c>
      <c r="O28" s="90" t="s">
        <v>938</v>
      </c>
      <c r="P28" s="408">
        <f t="shared" si="4"/>
        <v>496</v>
      </c>
      <c r="R28" s="90">
        <f t="shared" si="5"/>
        <v>0</v>
      </c>
      <c r="S28" s="90">
        <v>28</v>
      </c>
    </row>
    <row r="29" spans="1:19" ht="11.25">
      <c r="A29" s="309">
        <v>23</v>
      </c>
      <c r="B29" s="119" t="s">
        <v>1744</v>
      </c>
      <c r="C29" s="119" t="s">
        <v>1740</v>
      </c>
      <c r="D29" s="121">
        <v>603</v>
      </c>
      <c r="E29" s="34"/>
      <c r="F29" s="329"/>
      <c r="G29" s="444">
        <f t="shared" si="6"/>
        <v>0</v>
      </c>
      <c r="H29" s="444">
        <f t="shared" si="7"/>
        <v>0</v>
      </c>
      <c r="J29" s="109" t="s">
        <v>20</v>
      </c>
      <c r="K29" s="409">
        <f t="shared" si="2"/>
        <v>0</v>
      </c>
      <c r="L29" s="308" t="s">
        <v>1274</v>
      </c>
      <c r="M29" s="409">
        <f t="shared" si="3"/>
        <v>0</v>
      </c>
      <c r="N29" s="409" t="s">
        <v>903</v>
      </c>
      <c r="O29" s="90" t="s">
        <v>939</v>
      </c>
      <c r="P29" s="408">
        <f t="shared" si="4"/>
        <v>603</v>
      </c>
      <c r="R29" s="90">
        <f t="shared" si="5"/>
        <v>0</v>
      </c>
      <c r="S29" s="90">
        <v>29</v>
      </c>
    </row>
    <row r="30" spans="1:19" ht="11.25">
      <c r="A30" s="309">
        <v>24</v>
      </c>
      <c r="B30" s="119" t="s">
        <v>296</v>
      </c>
      <c r="C30" s="119" t="s">
        <v>1738</v>
      </c>
      <c r="D30" s="121">
        <v>841</v>
      </c>
      <c r="E30" s="34"/>
      <c r="F30" s="329"/>
      <c r="G30" s="444">
        <f t="shared" si="6"/>
        <v>0</v>
      </c>
      <c r="H30" s="444">
        <f t="shared" si="7"/>
        <v>0</v>
      </c>
      <c r="J30" s="109" t="s">
        <v>21</v>
      </c>
      <c r="K30" s="409">
        <f t="shared" si="2"/>
        <v>0</v>
      </c>
      <c r="L30" s="308" t="s">
        <v>1275</v>
      </c>
      <c r="M30" s="409">
        <f t="shared" si="3"/>
        <v>0</v>
      </c>
      <c r="N30" s="409" t="s">
        <v>904</v>
      </c>
      <c r="O30" s="90" t="s">
        <v>940</v>
      </c>
      <c r="P30" s="408">
        <f t="shared" si="4"/>
        <v>841</v>
      </c>
      <c r="R30" s="90">
        <f t="shared" si="5"/>
        <v>0</v>
      </c>
      <c r="S30" s="90">
        <v>30</v>
      </c>
    </row>
    <row r="31" spans="1:19" ht="11.25">
      <c r="A31" s="309">
        <v>25</v>
      </c>
      <c r="B31" s="119" t="s">
        <v>297</v>
      </c>
      <c r="C31" s="119" t="s">
        <v>1740</v>
      </c>
      <c r="D31" s="121">
        <v>939</v>
      </c>
      <c r="E31" s="34"/>
      <c r="F31" s="329"/>
      <c r="G31" s="444">
        <f t="shared" si="6"/>
        <v>0</v>
      </c>
      <c r="H31" s="444">
        <f t="shared" si="7"/>
        <v>0</v>
      </c>
      <c r="J31" s="109" t="s">
        <v>22</v>
      </c>
      <c r="K31" s="409">
        <f t="shared" si="2"/>
        <v>0</v>
      </c>
      <c r="L31" s="308" t="s">
        <v>1276</v>
      </c>
      <c r="M31" s="409">
        <f t="shared" si="3"/>
        <v>0</v>
      </c>
      <c r="N31" s="409" t="s">
        <v>905</v>
      </c>
      <c r="O31" s="90" t="s">
        <v>941</v>
      </c>
      <c r="P31" s="408">
        <f t="shared" si="4"/>
        <v>939</v>
      </c>
      <c r="R31" s="90">
        <f t="shared" si="5"/>
        <v>0</v>
      </c>
      <c r="S31" s="90">
        <v>31</v>
      </c>
    </row>
    <row r="32" spans="1:19" ht="11.25">
      <c r="A32" s="309">
        <v>26</v>
      </c>
      <c r="B32" s="119" t="s">
        <v>298</v>
      </c>
      <c r="C32" s="119" t="s">
        <v>299</v>
      </c>
      <c r="D32" s="121">
        <v>1644</v>
      </c>
      <c r="E32" s="34"/>
      <c r="F32" s="329"/>
      <c r="G32" s="444">
        <f t="shared" si="6"/>
        <v>0</v>
      </c>
      <c r="H32" s="444">
        <f t="shared" si="7"/>
        <v>0</v>
      </c>
      <c r="J32" s="109" t="s">
        <v>23</v>
      </c>
      <c r="K32" s="409">
        <f t="shared" si="2"/>
        <v>0</v>
      </c>
      <c r="L32" s="308" t="s">
        <v>1277</v>
      </c>
      <c r="M32" s="409">
        <f t="shared" si="3"/>
        <v>0</v>
      </c>
      <c r="N32" s="409" t="s">
        <v>906</v>
      </c>
      <c r="O32" s="90" t="s">
        <v>942</v>
      </c>
      <c r="P32" s="408">
        <f t="shared" si="4"/>
        <v>1644</v>
      </c>
      <c r="R32" s="90">
        <f t="shared" si="5"/>
        <v>0</v>
      </c>
      <c r="S32" s="90">
        <v>32</v>
      </c>
    </row>
    <row r="33" spans="1:19" ht="11.25">
      <c r="A33" s="309">
        <v>27</v>
      </c>
      <c r="B33" s="119" t="s">
        <v>300</v>
      </c>
      <c r="C33" s="119"/>
      <c r="D33" s="121">
        <v>1036</v>
      </c>
      <c r="E33" s="34"/>
      <c r="F33" s="329"/>
      <c r="G33" s="444">
        <f t="shared" si="6"/>
        <v>0</v>
      </c>
      <c r="H33" s="444">
        <f t="shared" si="7"/>
        <v>0</v>
      </c>
      <c r="J33" s="109" t="s">
        <v>24</v>
      </c>
      <c r="K33" s="409">
        <f t="shared" si="2"/>
        <v>0</v>
      </c>
      <c r="L33" s="308" t="s">
        <v>1278</v>
      </c>
      <c r="M33" s="409">
        <f t="shared" si="3"/>
        <v>0</v>
      </c>
      <c r="N33" s="409" t="s">
        <v>907</v>
      </c>
      <c r="O33" s="90" t="s">
        <v>943</v>
      </c>
      <c r="P33" s="408">
        <f t="shared" si="4"/>
        <v>1036</v>
      </c>
      <c r="R33" s="90">
        <f t="shared" si="5"/>
        <v>0</v>
      </c>
      <c r="S33" s="90">
        <v>33</v>
      </c>
    </row>
    <row r="34" spans="1:19" ht="11.25">
      <c r="A34" s="309">
        <v>28</v>
      </c>
      <c r="B34" s="119" t="s">
        <v>1229</v>
      </c>
      <c r="C34" s="119" t="s">
        <v>1728</v>
      </c>
      <c r="D34" s="121">
        <v>1987</v>
      </c>
      <c r="E34" s="34"/>
      <c r="F34" s="329"/>
      <c r="G34" s="444">
        <f t="shared" si="6"/>
        <v>0</v>
      </c>
      <c r="H34" s="444">
        <f t="shared" si="7"/>
        <v>0</v>
      </c>
      <c r="J34" s="109" t="s">
        <v>25</v>
      </c>
      <c r="K34" s="409">
        <f t="shared" si="2"/>
        <v>0</v>
      </c>
      <c r="L34" s="308" t="s">
        <v>1279</v>
      </c>
      <c r="M34" s="409">
        <f t="shared" si="3"/>
        <v>0</v>
      </c>
      <c r="N34" s="409" t="s">
        <v>908</v>
      </c>
      <c r="O34" s="90" t="s">
        <v>944</v>
      </c>
      <c r="P34" s="408">
        <f t="shared" si="4"/>
        <v>1987</v>
      </c>
      <c r="R34" s="90">
        <f t="shared" si="5"/>
        <v>0</v>
      </c>
      <c r="S34" s="90">
        <v>34</v>
      </c>
    </row>
    <row r="35" spans="1:19" ht="11.25">
      <c r="A35" s="309">
        <v>29</v>
      </c>
      <c r="B35" s="119" t="s">
        <v>1230</v>
      </c>
      <c r="C35" s="119" t="s">
        <v>1231</v>
      </c>
      <c r="D35" s="121">
        <v>2277</v>
      </c>
      <c r="E35" s="34"/>
      <c r="F35" s="329"/>
      <c r="G35" s="444">
        <f t="shared" si="6"/>
        <v>0</v>
      </c>
      <c r="H35" s="444">
        <f t="shared" si="7"/>
        <v>0</v>
      </c>
      <c r="J35" s="109" t="s">
        <v>26</v>
      </c>
      <c r="K35" s="409">
        <f t="shared" si="2"/>
        <v>0</v>
      </c>
      <c r="L35" s="308" t="s">
        <v>1280</v>
      </c>
      <c r="M35" s="409">
        <f t="shared" si="3"/>
        <v>0</v>
      </c>
      <c r="N35" s="409" t="s">
        <v>909</v>
      </c>
      <c r="O35" s="90" t="s">
        <v>945</v>
      </c>
      <c r="P35" s="408">
        <f t="shared" si="4"/>
        <v>2277</v>
      </c>
      <c r="R35" s="90">
        <f t="shared" si="5"/>
        <v>0</v>
      </c>
      <c r="S35" s="90">
        <v>35</v>
      </c>
    </row>
    <row r="36" spans="1:19" ht="11.25">
      <c r="A36" s="309">
        <v>30</v>
      </c>
      <c r="B36" s="119" t="s">
        <v>1232</v>
      </c>
      <c r="C36" s="119" t="s">
        <v>299</v>
      </c>
      <c r="D36" s="121">
        <v>3954</v>
      </c>
      <c r="E36" s="34"/>
      <c r="F36" s="329"/>
      <c r="G36" s="444">
        <f t="shared" si="6"/>
        <v>0</v>
      </c>
      <c r="H36" s="444">
        <f t="shared" si="7"/>
        <v>0</v>
      </c>
      <c r="J36" s="109" t="s">
        <v>99</v>
      </c>
      <c r="K36" s="409">
        <f t="shared" si="2"/>
        <v>0</v>
      </c>
      <c r="L36" s="308" t="s">
        <v>1455</v>
      </c>
      <c r="M36" s="409">
        <f t="shared" si="3"/>
        <v>0</v>
      </c>
      <c r="N36" s="409" t="s">
        <v>910</v>
      </c>
      <c r="O36" s="90" t="s">
        <v>946</v>
      </c>
      <c r="P36" s="408">
        <f t="shared" si="4"/>
        <v>3954</v>
      </c>
      <c r="R36" s="90">
        <f t="shared" si="5"/>
        <v>0</v>
      </c>
      <c r="S36" s="90">
        <v>36</v>
      </c>
    </row>
    <row r="37" spans="1:19" ht="11.25">
      <c r="A37" s="309">
        <v>31</v>
      </c>
      <c r="B37" s="119" t="s">
        <v>1233</v>
      </c>
      <c r="C37" s="119" t="s">
        <v>299</v>
      </c>
      <c r="D37" s="121">
        <v>7344</v>
      </c>
      <c r="E37" s="34"/>
      <c r="F37" s="329"/>
      <c r="G37" s="444">
        <f t="shared" si="6"/>
        <v>0</v>
      </c>
      <c r="H37" s="444">
        <f t="shared" si="7"/>
        <v>0</v>
      </c>
      <c r="J37" s="109" t="s">
        <v>100</v>
      </c>
      <c r="K37" s="409">
        <f t="shared" si="2"/>
        <v>0</v>
      </c>
      <c r="L37" s="308" t="s">
        <v>1456</v>
      </c>
      <c r="M37" s="409">
        <f t="shared" si="3"/>
        <v>0</v>
      </c>
      <c r="N37" s="409" t="s">
        <v>911</v>
      </c>
      <c r="O37" s="90" t="s">
        <v>947</v>
      </c>
      <c r="P37" s="408">
        <f t="shared" si="4"/>
        <v>7344</v>
      </c>
      <c r="R37" s="90">
        <f t="shared" si="5"/>
        <v>0</v>
      </c>
      <c r="S37" s="90">
        <v>37</v>
      </c>
    </row>
    <row r="38" spans="1:19" ht="11.25">
      <c r="A38" s="309">
        <v>131</v>
      </c>
      <c r="B38" s="119" t="s">
        <v>842</v>
      </c>
      <c r="C38" s="119" t="s">
        <v>299</v>
      </c>
      <c r="D38" s="121">
        <v>12388</v>
      </c>
      <c r="E38" s="34"/>
      <c r="F38" s="329"/>
      <c r="G38" s="444">
        <f t="shared" si="6"/>
        <v>0</v>
      </c>
      <c r="H38" s="444">
        <f t="shared" si="7"/>
        <v>0</v>
      </c>
      <c r="J38" s="109" t="s">
        <v>784</v>
      </c>
      <c r="K38" s="409">
        <f t="shared" si="2"/>
        <v>0</v>
      </c>
      <c r="L38" s="308" t="s">
        <v>786</v>
      </c>
      <c r="M38" s="409">
        <f t="shared" si="3"/>
        <v>0</v>
      </c>
      <c r="N38" s="409" t="s">
        <v>1033</v>
      </c>
      <c r="O38" s="90" t="s">
        <v>1034</v>
      </c>
      <c r="P38" s="408">
        <f t="shared" si="4"/>
        <v>12388</v>
      </c>
      <c r="R38" s="90">
        <f t="shared" si="5"/>
        <v>0</v>
      </c>
      <c r="S38" s="90">
        <v>38</v>
      </c>
    </row>
    <row r="39" spans="1:19" ht="11.25">
      <c r="A39" s="309">
        <v>132</v>
      </c>
      <c r="B39" s="119" t="s">
        <v>843</v>
      </c>
      <c r="C39" s="119"/>
      <c r="D39" s="121">
        <v>31072</v>
      </c>
      <c r="E39" s="34"/>
      <c r="F39" s="329"/>
      <c r="G39" s="444">
        <f t="shared" si="6"/>
        <v>0</v>
      </c>
      <c r="H39" s="444">
        <f t="shared" si="7"/>
        <v>0</v>
      </c>
      <c r="J39" s="109" t="s">
        <v>785</v>
      </c>
      <c r="K39" s="409">
        <f t="shared" si="2"/>
        <v>0</v>
      </c>
      <c r="L39" s="308" t="s">
        <v>787</v>
      </c>
      <c r="M39" s="409">
        <f t="shared" si="3"/>
        <v>0</v>
      </c>
      <c r="N39" s="409" t="s">
        <v>1035</v>
      </c>
      <c r="O39" s="90" t="s">
        <v>1036</v>
      </c>
      <c r="P39" s="408">
        <f t="shared" si="4"/>
        <v>31072</v>
      </c>
      <c r="R39" s="90">
        <f t="shared" si="5"/>
        <v>0</v>
      </c>
      <c r="S39" s="90">
        <v>39</v>
      </c>
    </row>
    <row r="40" spans="1:19" ht="11.25">
      <c r="A40" s="309">
        <v>33</v>
      </c>
      <c r="B40" s="119" t="s">
        <v>1234</v>
      </c>
      <c r="C40" s="119"/>
      <c r="D40" s="121">
        <v>1050</v>
      </c>
      <c r="E40" s="34"/>
      <c r="F40" s="329"/>
      <c r="G40" s="444">
        <f t="shared" si="6"/>
        <v>0</v>
      </c>
      <c r="H40" s="444">
        <f t="shared" si="7"/>
        <v>0</v>
      </c>
      <c r="J40" s="109" t="s">
        <v>101</v>
      </c>
      <c r="K40" s="409">
        <f t="shared" si="2"/>
        <v>0</v>
      </c>
      <c r="L40" s="308" t="s">
        <v>1457</v>
      </c>
      <c r="M40" s="409">
        <f t="shared" si="3"/>
        <v>0</v>
      </c>
      <c r="N40" s="409" t="s">
        <v>912</v>
      </c>
      <c r="O40" s="90" t="s">
        <v>948</v>
      </c>
      <c r="P40" s="408">
        <f t="shared" si="4"/>
        <v>1050</v>
      </c>
      <c r="R40" s="90">
        <f t="shared" si="5"/>
        <v>0</v>
      </c>
      <c r="S40" s="90">
        <v>40</v>
      </c>
    </row>
    <row r="41" spans="1:19" ht="11.25">
      <c r="A41" s="309">
        <v>34</v>
      </c>
      <c r="B41" s="119" t="s">
        <v>1235</v>
      </c>
      <c r="C41" s="119" t="s">
        <v>1738</v>
      </c>
      <c r="D41" s="121">
        <v>2033</v>
      </c>
      <c r="E41" s="34"/>
      <c r="F41" s="329"/>
      <c r="G41" s="444">
        <f t="shared" si="6"/>
        <v>0</v>
      </c>
      <c r="H41" s="444">
        <f t="shared" si="7"/>
        <v>0</v>
      </c>
      <c r="J41" s="109" t="s">
        <v>102</v>
      </c>
      <c r="K41" s="409">
        <f t="shared" si="2"/>
        <v>0</v>
      </c>
      <c r="L41" s="308" t="s">
        <v>1458</v>
      </c>
      <c r="M41" s="409">
        <f t="shared" si="3"/>
        <v>0</v>
      </c>
      <c r="N41" s="409" t="s">
        <v>913</v>
      </c>
      <c r="O41" s="90" t="s">
        <v>949</v>
      </c>
      <c r="P41" s="408">
        <f t="shared" si="4"/>
        <v>2033</v>
      </c>
      <c r="R41" s="90">
        <f t="shared" si="5"/>
        <v>0</v>
      </c>
      <c r="S41" s="90">
        <v>41</v>
      </c>
    </row>
    <row r="42" spans="1:19" ht="11.25">
      <c r="A42" s="309">
        <v>35</v>
      </c>
      <c r="B42" s="119" t="s">
        <v>1236</v>
      </c>
      <c r="C42" s="119" t="s">
        <v>1740</v>
      </c>
      <c r="D42" s="121">
        <v>2302</v>
      </c>
      <c r="E42" s="34"/>
      <c r="F42" s="329"/>
      <c r="G42" s="444">
        <f t="shared" si="6"/>
        <v>0</v>
      </c>
      <c r="H42" s="444">
        <f t="shared" si="7"/>
        <v>0</v>
      </c>
      <c r="J42" s="109" t="s">
        <v>103</v>
      </c>
      <c r="K42" s="409">
        <f t="shared" si="2"/>
        <v>0</v>
      </c>
      <c r="L42" s="308" t="s">
        <v>1459</v>
      </c>
      <c r="M42" s="409">
        <f t="shared" si="3"/>
        <v>0</v>
      </c>
      <c r="N42" s="409" t="s">
        <v>914</v>
      </c>
      <c r="O42" s="90" t="s">
        <v>950</v>
      </c>
      <c r="P42" s="408">
        <f t="shared" si="4"/>
        <v>2302</v>
      </c>
      <c r="R42" s="90">
        <f t="shared" si="5"/>
        <v>0</v>
      </c>
      <c r="S42" s="90">
        <v>42</v>
      </c>
    </row>
    <row r="43" spans="1:19" ht="11.25">
      <c r="A43" s="309">
        <v>36</v>
      </c>
      <c r="B43" s="119" t="s">
        <v>1237</v>
      </c>
      <c r="C43" s="119" t="s">
        <v>1738</v>
      </c>
      <c r="D43" s="121">
        <v>3847</v>
      </c>
      <c r="E43" s="34"/>
      <c r="F43" s="329"/>
      <c r="G43" s="444">
        <f t="shared" si="6"/>
        <v>0</v>
      </c>
      <c r="H43" s="444">
        <f t="shared" si="7"/>
        <v>0</v>
      </c>
      <c r="J43" s="109" t="s">
        <v>104</v>
      </c>
      <c r="K43" s="409">
        <f t="shared" si="2"/>
        <v>0</v>
      </c>
      <c r="L43" s="308" t="s">
        <v>1460</v>
      </c>
      <c r="M43" s="409">
        <f t="shared" si="3"/>
        <v>0</v>
      </c>
      <c r="N43" s="409" t="s">
        <v>915</v>
      </c>
      <c r="O43" s="90" t="s">
        <v>951</v>
      </c>
      <c r="P43" s="408">
        <f t="shared" si="4"/>
        <v>3847</v>
      </c>
      <c r="R43" s="90">
        <f t="shared" si="5"/>
        <v>0</v>
      </c>
      <c r="S43" s="90">
        <v>43</v>
      </c>
    </row>
    <row r="44" spans="1:19" ht="11.25">
      <c r="A44" s="309">
        <v>37</v>
      </c>
      <c r="B44" s="119" t="s">
        <v>1238</v>
      </c>
      <c r="C44" s="119" t="s">
        <v>1740</v>
      </c>
      <c r="D44" s="121">
        <v>4577</v>
      </c>
      <c r="E44" s="34"/>
      <c r="F44" s="329"/>
      <c r="G44" s="444">
        <f t="shared" si="6"/>
        <v>0</v>
      </c>
      <c r="H44" s="444">
        <f t="shared" si="7"/>
        <v>0</v>
      </c>
      <c r="J44" s="109" t="s">
        <v>105</v>
      </c>
      <c r="K44" s="409">
        <f t="shared" si="2"/>
        <v>0</v>
      </c>
      <c r="L44" s="308" t="s">
        <v>1461</v>
      </c>
      <c r="M44" s="409">
        <f t="shared" si="3"/>
        <v>0</v>
      </c>
      <c r="N44" s="409" t="s">
        <v>916</v>
      </c>
      <c r="O44" s="90" t="s">
        <v>952</v>
      </c>
      <c r="P44" s="408">
        <f t="shared" si="4"/>
        <v>4577</v>
      </c>
      <c r="R44" s="90">
        <f t="shared" si="5"/>
        <v>0</v>
      </c>
      <c r="S44" s="90">
        <v>44</v>
      </c>
    </row>
    <row r="45" spans="1:19" ht="11.25">
      <c r="A45" s="309">
        <v>38</v>
      </c>
      <c r="B45" s="119" t="s">
        <v>1239</v>
      </c>
      <c r="C45" s="119" t="s">
        <v>1685</v>
      </c>
      <c r="D45" s="121">
        <v>6373</v>
      </c>
      <c r="E45" s="34"/>
      <c r="F45" s="329"/>
      <c r="G45" s="444">
        <f t="shared" si="6"/>
        <v>0</v>
      </c>
      <c r="H45" s="444">
        <f t="shared" si="7"/>
        <v>0</v>
      </c>
      <c r="J45" s="109" t="s">
        <v>106</v>
      </c>
      <c r="K45" s="409">
        <f t="shared" si="2"/>
        <v>0</v>
      </c>
      <c r="L45" s="308" t="s">
        <v>1462</v>
      </c>
      <c r="M45" s="409">
        <f t="shared" si="3"/>
        <v>0</v>
      </c>
      <c r="N45" s="409" t="s">
        <v>917</v>
      </c>
      <c r="O45" s="90" t="s">
        <v>953</v>
      </c>
      <c r="P45" s="408">
        <f t="shared" si="4"/>
        <v>6373</v>
      </c>
      <c r="R45" s="90">
        <f t="shared" si="5"/>
        <v>0</v>
      </c>
      <c r="S45" s="90">
        <v>45</v>
      </c>
    </row>
    <row r="46" spans="1:19" ht="11.25">
      <c r="A46" s="309">
        <v>133</v>
      </c>
      <c r="B46" s="119" t="s">
        <v>844</v>
      </c>
      <c r="C46" s="119" t="s">
        <v>1685</v>
      </c>
      <c r="D46" s="121">
        <v>12690</v>
      </c>
      <c r="E46" s="34"/>
      <c r="F46" s="329"/>
      <c r="G46" s="444">
        <f t="shared" si="6"/>
        <v>0</v>
      </c>
      <c r="H46" s="444">
        <f t="shared" si="7"/>
        <v>0</v>
      </c>
      <c r="J46" s="109" t="s">
        <v>788</v>
      </c>
      <c r="K46" s="409">
        <f t="shared" si="2"/>
        <v>0</v>
      </c>
      <c r="L46" s="308" t="s">
        <v>790</v>
      </c>
      <c r="M46" s="409">
        <f t="shared" si="3"/>
        <v>0</v>
      </c>
      <c r="N46" s="409" t="s">
        <v>1037</v>
      </c>
      <c r="O46" s="90" t="s">
        <v>1038</v>
      </c>
      <c r="P46" s="408">
        <f t="shared" si="4"/>
        <v>12690</v>
      </c>
      <c r="R46" s="90">
        <f t="shared" si="5"/>
        <v>0</v>
      </c>
      <c r="S46" s="90">
        <v>46</v>
      </c>
    </row>
    <row r="47" spans="1:19" ht="11.25">
      <c r="A47" s="309">
        <v>134</v>
      </c>
      <c r="B47" s="119" t="s">
        <v>845</v>
      </c>
      <c r="C47" s="119"/>
      <c r="D47" s="121">
        <v>27749</v>
      </c>
      <c r="E47" s="34"/>
      <c r="F47" s="329"/>
      <c r="G47" s="444">
        <f t="shared" si="6"/>
        <v>0</v>
      </c>
      <c r="H47" s="444">
        <f t="shared" si="7"/>
        <v>0</v>
      </c>
      <c r="J47" s="109" t="s">
        <v>789</v>
      </c>
      <c r="K47" s="409">
        <f t="shared" si="2"/>
        <v>0</v>
      </c>
      <c r="L47" s="308" t="s">
        <v>791</v>
      </c>
      <c r="M47" s="409">
        <f t="shared" si="3"/>
        <v>0</v>
      </c>
      <c r="N47" s="409" t="s">
        <v>1039</v>
      </c>
      <c r="O47" s="90" t="s">
        <v>1040</v>
      </c>
      <c r="P47" s="408">
        <f t="shared" si="4"/>
        <v>27749</v>
      </c>
      <c r="R47" s="90">
        <f t="shared" si="5"/>
        <v>0</v>
      </c>
      <c r="S47" s="90">
        <v>47</v>
      </c>
    </row>
    <row r="48" spans="1:19" ht="11.25">
      <c r="A48" s="309">
        <v>40</v>
      </c>
      <c r="B48" s="119" t="s">
        <v>1240</v>
      </c>
      <c r="C48" s="119"/>
      <c r="D48" s="121">
        <v>1069</v>
      </c>
      <c r="E48" s="34"/>
      <c r="F48" s="329"/>
      <c r="G48" s="444">
        <f t="shared" si="6"/>
        <v>0</v>
      </c>
      <c r="H48" s="444">
        <f t="shared" si="7"/>
        <v>0</v>
      </c>
      <c r="J48" s="109" t="s">
        <v>107</v>
      </c>
      <c r="K48" s="409">
        <f t="shared" si="2"/>
        <v>0</v>
      </c>
      <c r="L48" s="308" t="s">
        <v>1463</v>
      </c>
      <c r="M48" s="409">
        <f t="shared" si="3"/>
        <v>0</v>
      </c>
      <c r="N48" s="409" t="s">
        <v>954</v>
      </c>
      <c r="O48" s="90" t="s">
        <v>1041</v>
      </c>
      <c r="P48" s="408">
        <f t="shared" si="4"/>
        <v>1069</v>
      </c>
      <c r="R48" s="90">
        <f t="shared" si="5"/>
        <v>0</v>
      </c>
      <c r="S48" s="90">
        <v>48</v>
      </c>
    </row>
    <row r="49" spans="1:19" ht="11.25">
      <c r="A49" s="309">
        <v>41</v>
      </c>
      <c r="B49" s="119" t="s">
        <v>1241</v>
      </c>
      <c r="C49" s="119"/>
      <c r="D49" s="121">
        <v>2205</v>
      </c>
      <c r="E49" s="34"/>
      <c r="F49" s="329"/>
      <c r="G49" s="444">
        <f t="shared" si="6"/>
        <v>0</v>
      </c>
      <c r="H49" s="444">
        <f t="shared" si="7"/>
        <v>0</v>
      </c>
      <c r="J49" s="109" t="s">
        <v>108</v>
      </c>
      <c r="K49" s="409">
        <f t="shared" si="2"/>
        <v>0</v>
      </c>
      <c r="L49" s="308" t="s">
        <v>1464</v>
      </c>
      <c r="M49" s="409">
        <f t="shared" si="3"/>
        <v>0</v>
      </c>
      <c r="N49" s="409" t="s">
        <v>955</v>
      </c>
      <c r="O49" s="90" t="s">
        <v>1042</v>
      </c>
      <c r="P49" s="408">
        <f t="shared" si="4"/>
        <v>2205</v>
      </c>
      <c r="R49" s="90">
        <f t="shared" si="5"/>
        <v>0</v>
      </c>
      <c r="S49" s="90">
        <v>49</v>
      </c>
    </row>
    <row r="50" spans="1:19" ht="11.25">
      <c r="A50" s="309">
        <v>42</v>
      </c>
      <c r="B50" s="119" t="s">
        <v>74</v>
      </c>
      <c r="C50" s="119" t="s">
        <v>299</v>
      </c>
      <c r="D50" s="121">
        <v>4049</v>
      </c>
      <c r="E50" s="34"/>
      <c r="F50" s="329"/>
      <c r="G50" s="444">
        <f t="shared" si="6"/>
        <v>0</v>
      </c>
      <c r="H50" s="444">
        <f t="shared" si="7"/>
        <v>0</v>
      </c>
      <c r="J50" s="109" t="s">
        <v>109</v>
      </c>
      <c r="K50" s="409">
        <f t="shared" si="2"/>
        <v>0</v>
      </c>
      <c r="L50" s="308" t="s">
        <v>1465</v>
      </c>
      <c r="M50" s="409">
        <f t="shared" si="3"/>
        <v>0</v>
      </c>
      <c r="N50" s="409" t="s">
        <v>956</v>
      </c>
      <c r="O50" s="90" t="s">
        <v>1043</v>
      </c>
      <c r="P50" s="408">
        <f t="shared" si="4"/>
        <v>4049</v>
      </c>
      <c r="R50" s="90">
        <f t="shared" si="5"/>
        <v>0</v>
      </c>
      <c r="S50" s="90">
        <v>50</v>
      </c>
    </row>
    <row r="51" spans="1:19" ht="11.25">
      <c r="A51" s="309">
        <v>135</v>
      </c>
      <c r="B51" s="119" t="s">
        <v>853</v>
      </c>
      <c r="C51" s="119" t="s">
        <v>299</v>
      </c>
      <c r="D51" s="121">
        <v>6497</v>
      </c>
      <c r="E51" s="34"/>
      <c r="F51" s="329"/>
      <c r="G51" s="444">
        <f t="shared" si="6"/>
        <v>0</v>
      </c>
      <c r="H51" s="444">
        <f t="shared" si="7"/>
        <v>0</v>
      </c>
      <c r="J51" s="109" t="s">
        <v>792</v>
      </c>
      <c r="K51" s="409">
        <f t="shared" si="2"/>
        <v>0</v>
      </c>
      <c r="L51" s="308" t="s">
        <v>794</v>
      </c>
      <c r="M51" s="409">
        <f t="shared" si="3"/>
        <v>0</v>
      </c>
      <c r="N51" s="409" t="s">
        <v>1044</v>
      </c>
      <c r="O51" s="90" t="s">
        <v>1045</v>
      </c>
      <c r="P51" s="408">
        <f t="shared" si="4"/>
        <v>6497</v>
      </c>
      <c r="R51" s="90">
        <f t="shared" si="5"/>
        <v>0</v>
      </c>
      <c r="S51" s="90">
        <v>51</v>
      </c>
    </row>
    <row r="52" spans="1:19" ht="11.25">
      <c r="A52" s="309">
        <v>136</v>
      </c>
      <c r="B52" s="119" t="s">
        <v>854</v>
      </c>
      <c r="C52" s="119"/>
      <c r="D52" s="121">
        <v>12939</v>
      </c>
      <c r="E52" s="34"/>
      <c r="F52" s="329"/>
      <c r="G52" s="444">
        <f t="shared" si="6"/>
        <v>0</v>
      </c>
      <c r="H52" s="444">
        <f t="shared" si="7"/>
        <v>0</v>
      </c>
      <c r="J52" s="109" t="s">
        <v>793</v>
      </c>
      <c r="K52" s="409">
        <f t="shared" si="2"/>
        <v>0</v>
      </c>
      <c r="L52" s="308" t="s">
        <v>795</v>
      </c>
      <c r="M52" s="409">
        <f t="shared" si="3"/>
        <v>0</v>
      </c>
      <c r="N52" s="409" t="s">
        <v>1046</v>
      </c>
      <c r="O52" s="90" t="s">
        <v>1047</v>
      </c>
      <c r="P52" s="408">
        <f t="shared" si="4"/>
        <v>12939</v>
      </c>
      <c r="R52" s="90">
        <f t="shared" si="5"/>
        <v>0</v>
      </c>
      <c r="S52" s="90">
        <v>52</v>
      </c>
    </row>
    <row r="53" spans="1:19" ht="11.25">
      <c r="A53" s="309">
        <v>44</v>
      </c>
      <c r="B53" s="119" t="s">
        <v>75</v>
      </c>
      <c r="C53" s="119" t="s">
        <v>1738</v>
      </c>
      <c r="D53" s="121">
        <v>958</v>
      </c>
      <c r="E53" s="34"/>
      <c r="F53" s="329"/>
      <c r="G53" s="444">
        <f t="shared" si="6"/>
        <v>0</v>
      </c>
      <c r="H53" s="444">
        <f t="shared" si="7"/>
        <v>0</v>
      </c>
      <c r="J53" s="109" t="s">
        <v>110</v>
      </c>
      <c r="K53" s="409">
        <f t="shared" si="2"/>
        <v>0</v>
      </c>
      <c r="L53" s="308" t="s">
        <v>1466</v>
      </c>
      <c r="M53" s="409">
        <f t="shared" si="3"/>
        <v>0</v>
      </c>
      <c r="N53" s="409" t="s">
        <v>957</v>
      </c>
      <c r="O53" s="90" t="s">
        <v>1048</v>
      </c>
      <c r="P53" s="408">
        <f t="shared" si="4"/>
        <v>958</v>
      </c>
      <c r="R53" s="90">
        <f t="shared" si="5"/>
        <v>0</v>
      </c>
      <c r="S53" s="90">
        <v>53</v>
      </c>
    </row>
    <row r="54" spans="1:19" ht="11.25">
      <c r="A54" s="309">
        <v>45</v>
      </c>
      <c r="B54" s="119" t="s">
        <v>76</v>
      </c>
      <c r="C54" s="119" t="s">
        <v>1740</v>
      </c>
      <c r="D54" s="121">
        <v>1106</v>
      </c>
      <c r="E54" s="34"/>
      <c r="F54" s="329"/>
      <c r="G54" s="444">
        <f t="shared" si="6"/>
        <v>0</v>
      </c>
      <c r="H54" s="444">
        <f t="shared" si="7"/>
        <v>0</v>
      </c>
      <c r="J54" s="109" t="s">
        <v>111</v>
      </c>
      <c r="K54" s="409">
        <f t="shared" si="2"/>
        <v>0</v>
      </c>
      <c r="L54" s="308" t="s">
        <v>1467</v>
      </c>
      <c r="M54" s="409">
        <f t="shared" si="3"/>
        <v>0</v>
      </c>
      <c r="N54" s="409" t="s">
        <v>958</v>
      </c>
      <c r="O54" s="90" t="s">
        <v>1049</v>
      </c>
      <c r="P54" s="408">
        <f t="shared" si="4"/>
        <v>1106</v>
      </c>
      <c r="R54" s="90">
        <f t="shared" si="5"/>
        <v>0</v>
      </c>
      <c r="S54" s="90">
        <v>54</v>
      </c>
    </row>
    <row r="55" spans="1:19" ht="11.25">
      <c r="A55" s="309">
        <v>46</v>
      </c>
      <c r="B55" s="119" t="s">
        <v>77</v>
      </c>
      <c r="C55" s="119" t="s">
        <v>78</v>
      </c>
      <c r="D55" s="121">
        <v>1835</v>
      </c>
      <c r="E55" s="34"/>
      <c r="F55" s="329"/>
      <c r="G55" s="444">
        <f t="shared" si="6"/>
        <v>0</v>
      </c>
      <c r="H55" s="444">
        <f t="shared" si="7"/>
        <v>0</v>
      </c>
      <c r="J55" s="109" t="s">
        <v>112</v>
      </c>
      <c r="K55" s="409">
        <f t="shared" si="2"/>
        <v>0</v>
      </c>
      <c r="L55" s="308" t="s">
        <v>1468</v>
      </c>
      <c r="M55" s="409">
        <f t="shared" si="3"/>
        <v>0</v>
      </c>
      <c r="N55" s="409" t="s">
        <v>959</v>
      </c>
      <c r="O55" s="90" t="s">
        <v>1050</v>
      </c>
      <c r="P55" s="408">
        <f t="shared" si="4"/>
        <v>1835</v>
      </c>
      <c r="R55" s="90">
        <f t="shared" si="5"/>
        <v>0</v>
      </c>
      <c r="S55" s="90">
        <v>55</v>
      </c>
    </row>
    <row r="56" spans="1:19" ht="11.25">
      <c r="A56" s="309">
        <v>47</v>
      </c>
      <c r="B56" s="119" t="s">
        <v>79</v>
      </c>
      <c r="C56" s="119" t="s">
        <v>80</v>
      </c>
      <c r="D56" s="121">
        <v>2150</v>
      </c>
      <c r="E56" s="34"/>
      <c r="F56" s="329"/>
      <c r="G56" s="444">
        <f t="shared" si="6"/>
        <v>0</v>
      </c>
      <c r="H56" s="444">
        <f t="shared" si="7"/>
        <v>0</v>
      </c>
      <c r="J56" s="109" t="s">
        <v>113</v>
      </c>
      <c r="K56" s="409">
        <f t="shared" si="2"/>
        <v>0</v>
      </c>
      <c r="L56" s="308" t="s">
        <v>1469</v>
      </c>
      <c r="M56" s="409">
        <f t="shared" si="3"/>
        <v>0</v>
      </c>
      <c r="N56" s="409" t="s">
        <v>960</v>
      </c>
      <c r="O56" s="90" t="s">
        <v>1051</v>
      </c>
      <c r="P56" s="408">
        <f t="shared" si="4"/>
        <v>2150</v>
      </c>
      <c r="R56" s="90">
        <f t="shared" si="5"/>
        <v>0</v>
      </c>
      <c r="S56" s="90">
        <v>56</v>
      </c>
    </row>
    <row r="57" spans="1:19" ht="11.25">
      <c r="A57" s="309">
        <v>48</v>
      </c>
      <c r="B57" s="119" t="s">
        <v>91</v>
      </c>
      <c r="C57" s="119" t="s">
        <v>299</v>
      </c>
      <c r="D57" s="121">
        <v>3589</v>
      </c>
      <c r="E57" s="34"/>
      <c r="F57" s="329"/>
      <c r="G57" s="444">
        <f t="shared" si="6"/>
        <v>0</v>
      </c>
      <c r="H57" s="444">
        <f t="shared" si="7"/>
        <v>0</v>
      </c>
      <c r="J57" s="109" t="s">
        <v>114</v>
      </c>
      <c r="K57" s="409">
        <f t="shared" si="2"/>
        <v>0</v>
      </c>
      <c r="L57" s="308" t="s">
        <v>1470</v>
      </c>
      <c r="M57" s="409">
        <f t="shared" si="3"/>
        <v>0</v>
      </c>
      <c r="N57" s="409" t="s">
        <v>961</v>
      </c>
      <c r="O57" s="90" t="s">
        <v>1052</v>
      </c>
      <c r="P57" s="408">
        <f t="shared" si="4"/>
        <v>3589</v>
      </c>
      <c r="R57" s="90">
        <f t="shared" si="5"/>
        <v>0</v>
      </c>
      <c r="S57" s="90">
        <v>57</v>
      </c>
    </row>
    <row r="58" spans="1:19" ht="11.25">
      <c r="A58" s="309">
        <v>49</v>
      </c>
      <c r="B58" s="119" t="s">
        <v>92</v>
      </c>
      <c r="C58" s="119" t="s">
        <v>299</v>
      </c>
      <c r="D58" s="121">
        <v>6354</v>
      </c>
      <c r="E58" s="34"/>
      <c r="F58" s="329"/>
      <c r="G58" s="444">
        <f t="shared" si="6"/>
        <v>0</v>
      </c>
      <c r="H58" s="444">
        <f t="shared" si="7"/>
        <v>0</v>
      </c>
      <c r="J58" s="109" t="s">
        <v>115</v>
      </c>
      <c r="K58" s="409">
        <f t="shared" si="2"/>
        <v>0</v>
      </c>
      <c r="L58" s="308" t="s">
        <v>1471</v>
      </c>
      <c r="M58" s="409">
        <f t="shared" si="3"/>
        <v>0</v>
      </c>
      <c r="N58" s="409" t="s">
        <v>962</v>
      </c>
      <c r="O58" s="90" t="s">
        <v>1053</v>
      </c>
      <c r="P58" s="408">
        <f t="shared" si="4"/>
        <v>6354</v>
      </c>
      <c r="R58" s="90">
        <f t="shared" si="5"/>
        <v>0</v>
      </c>
      <c r="S58" s="90">
        <v>58</v>
      </c>
    </row>
    <row r="59" spans="1:19" ht="11.25">
      <c r="A59" s="309">
        <v>137</v>
      </c>
      <c r="B59" s="119" t="s">
        <v>855</v>
      </c>
      <c r="C59" s="119" t="s">
        <v>299</v>
      </c>
      <c r="D59" s="121">
        <v>12034</v>
      </c>
      <c r="E59" s="34"/>
      <c r="F59" s="329"/>
      <c r="G59" s="444">
        <f t="shared" si="6"/>
        <v>0</v>
      </c>
      <c r="H59" s="444">
        <f t="shared" si="7"/>
        <v>0</v>
      </c>
      <c r="J59" s="109" t="s">
        <v>796</v>
      </c>
      <c r="K59" s="409">
        <f t="shared" si="2"/>
        <v>0</v>
      </c>
      <c r="L59" s="308" t="s">
        <v>798</v>
      </c>
      <c r="M59" s="409">
        <f t="shared" si="3"/>
        <v>0</v>
      </c>
      <c r="N59" s="409" t="s">
        <v>1054</v>
      </c>
      <c r="O59" s="90" t="s">
        <v>1055</v>
      </c>
      <c r="P59" s="408">
        <f t="shared" si="4"/>
        <v>12034</v>
      </c>
      <c r="R59" s="90">
        <f t="shared" si="5"/>
        <v>0</v>
      </c>
      <c r="S59" s="90">
        <v>59</v>
      </c>
    </row>
    <row r="60" spans="1:19" ht="11.25">
      <c r="A60" s="309">
        <v>138</v>
      </c>
      <c r="B60" s="119" t="s">
        <v>856</v>
      </c>
      <c r="C60" s="119"/>
      <c r="D60" s="121">
        <v>33754</v>
      </c>
      <c r="E60" s="34"/>
      <c r="F60" s="329"/>
      <c r="G60" s="444">
        <f t="shared" si="6"/>
        <v>0</v>
      </c>
      <c r="H60" s="444">
        <f t="shared" si="7"/>
        <v>0</v>
      </c>
      <c r="J60" s="109" t="s">
        <v>797</v>
      </c>
      <c r="K60" s="409">
        <f t="shared" si="2"/>
        <v>0</v>
      </c>
      <c r="L60" s="308" t="s">
        <v>799</v>
      </c>
      <c r="M60" s="409">
        <f t="shared" si="3"/>
        <v>0</v>
      </c>
      <c r="N60" s="409" t="s">
        <v>1056</v>
      </c>
      <c r="O60" s="90" t="s">
        <v>1057</v>
      </c>
      <c r="P60" s="408">
        <f t="shared" si="4"/>
        <v>33754</v>
      </c>
      <c r="R60" s="90">
        <f t="shared" si="5"/>
        <v>0</v>
      </c>
      <c r="S60" s="90">
        <v>60</v>
      </c>
    </row>
    <row r="61" spans="1:19" ht="11.25">
      <c r="A61" s="309">
        <v>51</v>
      </c>
      <c r="B61" s="119" t="s">
        <v>93</v>
      </c>
      <c r="C61" s="119" t="s">
        <v>299</v>
      </c>
      <c r="D61" s="121">
        <v>834</v>
      </c>
      <c r="E61" s="34"/>
      <c r="F61" s="329"/>
      <c r="G61" s="444">
        <f t="shared" si="6"/>
        <v>0</v>
      </c>
      <c r="H61" s="444">
        <f t="shared" si="7"/>
        <v>0</v>
      </c>
      <c r="J61" s="109" t="s">
        <v>116</v>
      </c>
      <c r="K61" s="409">
        <f t="shared" si="2"/>
        <v>0</v>
      </c>
      <c r="L61" s="308" t="s">
        <v>1472</v>
      </c>
      <c r="M61" s="409">
        <f t="shared" si="3"/>
        <v>0</v>
      </c>
      <c r="N61" s="409" t="s">
        <v>963</v>
      </c>
      <c r="O61" s="90" t="s">
        <v>1058</v>
      </c>
      <c r="P61" s="408">
        <f t="shared" si="4"/>
        <v>834</v>
      </c>
      <c r="R61" s="90">
        <f t="shared" si="5"/>
        <v>0</v>
      </c>
      <c r="S61" s="90">
        <v>61</v>
      </c>
    </row>
    <row r="62" spans="1:19" ht="11.25">
      <c r="A62" s="309">
        <v>52</v>
      </c>
      <c r="B62" s="119" t="s">
        <v>94</v>
      </c>
      <c r="C62" s="119" t="s">
        <v>299</v>
      </c>
      <c r="D62" s="121">
        <v>1974</v>
      </c>
      <c r="E62" s="34"/>
      <c r="F62" s="329"/>
      <c r="G62" s="444">
        <f t="shared" si="6"/>
        <v>0</v>
      </c>
      <c r="H62" s="444">
        <f t="shared" si="7"/>
        <v>0</v>
      </c>
      <c r="J62" s="109" t="s">
        <v>117</v>
      </c>
      <c r="K62" s="409">
        <f t="shared" si="2"/>
        <v>0</v>
      </c>
      <c r="L62" s="308" t="s">
        <v>1603</v>
      </c>
      <c r="M62" s="409">
        <f t="shared" si="3"/>
        <v>0</v>
      </c>
      <c r="N62" s="409" t="s">
        <v>964</v>
      </c>
      <c r="O62" s="90" t="s">
        <v>1059</v>
      </c>
      <c r="P62" s="408">
        <f t="shared" si="4"/>
        <v>1974</v>
      </c>
      <c r="R62" s="90">
        <f t="shared" si="5"/>
        <v>0</v>
      </c>
      <c r="S62" s="90">
        <v>62</v>
      </c>
    </row>
    <row r="63" spans="1:19" ht="11.25">
      <c r="A63" s="309">
        <v>53</v>
      </c>
      <c r="B63" s="119" t="s">
        <v>95</v>
      </c>
      <c r="C63" s="119" t="s">
        <v>299</v>
      </c>
      <c r="D63" s="121">
        <v>3682</v>
      </c>
      <c r="E63" s="34"/>
      <c r="F63" s="329"/>
      <c r="G63" s="444">
        <f t="shared" si="6"/>
        <v>0</v>
      </c>
      <c r="H63" s="444">
        <f t="shared" si="7"/>
        <v>0</v>
      </c>
      <c r="J63" s="109" t="s">
        <v>118</v>
      </c>
      <c r="K63" s="409">
        <f t="shared" si="2"/>
        <v>0</v>
      </c>
      <c r="L63" s="308" t="s">
        <v>1604</v>
      </c>
      <c r="M63" s="409">
        <f t="shared" si="3"/>
        <v>0</v>
      </c>
      <c r="N63" s="409" t="s">
        <v>965</v>
      </c>
      <c r="O63" s="90" t="s">
        <v>1060</v>
      </c>
      <c r="P63" s="408">
        <f t="shared" si="4"/>
        <v>3682</v>
      </c>
      <c r="R63" s="90">
        <f t="shared" si="5"/>
        <v>0</v>
      </c>
      <c r="S63" s="90">
        <v>63</v>
      </c>
    </row>
    <row r="64" spans="1:19" ht="11.25">
      <c r="A64" s="309">
        <v>54</v>
      </c>
      <c r="B64" s="119" t="s">
        <v>96</v>
      </c>
      <c r="C64" s="119"/>
      <c r="D64" s="121">
        <v>6213</v>
      </c>
      <c r="E64" s="34"/>
      <c r="F64" s="329"/>
      <c r="G64" s="444">
        <f t="shared" si="6"/>
        <v>0</v>
      </c>
      <c r="H64" s="444">
        <f t="shared" si="7"/>
        <v>0</v>
      </c>
      <c r="J64" s="109" t="s">
        <v>119</v>
      </c>
      <c r="K64" s="409">
        <f t="shared" si="2"/>
        <v>0</v>
      </c>
      <c r="L64" s="308" t="s">
        <v>1605</v>
      </c>
      <c r="M64" s="409">
        <f t="shared" si="3"/>
        <v>0</v>
      </c>
      <c r="N64" s="409" t="s">
        <v>966</v>
      </c>
      <c r="O64" s="90" t="s">
        <v>1061</v>
      </c>
      <c r="P64" s="408">
        <f t="shared" si="4"/>
        <v>6213</v>
      </c>
      <c r="R64" s="90">
        <f t="shared" si="5"/>
        <v>0</v>
      </c>
      <c r="S64" s="90">
        <v>64</v>
      </c>
    </row>
    <row r="65" spans="1:19" ht="11.25">
      <c r="A65" s="309">
        <v>139</v>
      </c>
      <c r="B65" s="119" t="s">
        <v>857</v>
      </c>
      <c r="C65" s="119" t="s">
        <v>299</v>
      </c>
      <c r="D65" s="121">
        <v>12418</v>
      </c>
      <c r="E65" s="34"/>
      <c r="F65" s="329"/>
      <c r="G65" s="444">
        <f t="shared" si="6"/>
        <v>0</v>
      </c>
      <c r="H65" s="444">
        <f t="shared" si="7"/>
        <v>0</v>
      </c>
      <c r="J65" s="109" t="s">
        <v>800</v>
      </c>
      <c r="K65" s="409">
        <f t="shared" si="2"/>
        <v>0</v>
      </c>
      <c r="L65" s="308" t="s">
        <v>802</v>
      </c>
      <c r="M65" s="409">
        <f t="shared" si="3"/>
        <v>0</v>
      </c>
      <c r="N65" s="409" t="s">
        <v>1062</v>
      </c>
      <c r="O65" s="90" t="s">
        <v>1063</v>
      </c>
      <c r="P65" s="408">
        <f t="shared" si="4"/>
        <v>12418</v>
      </c>
      <c r="R65" s="90">
        <f t="shared" si="5"/>
        <v>0</v>
      </c>
      <c r="S65" s="90">
        <v>65</v>
      </c>
    </row>
    <row r="66" spans="1:19" ht="11.25">
      <c r="A66" s="529">
        <v>140</v>
      </c>
      <c r="B66" s="119" t="s">
        <v>858</v>
      </c>
      <c r="C66" s="655"/>
      <c r="D66" s="656">
        <v>30310</v>
      </c>
      <c r="E66" s="657"/>
      <c r="F66" s="657"/>
      <c r="G66" s="658">
        <f t="shared" si="6"/>
        <v>0</v>
      </c>
      <c r="H66" s="659">
        <f t="shared" si="7"/>
        <v>0</v>
      </c>
      <c r="J66" s="109" t="s">
        <v>801</v>
      </c>
      <c r="K66" s="409">
        <f t="shared" si="2"/>
        <v>0</v>
      </c>
      <c r="L66" s="308" t="s">
        <v>803</v>
      </c>
      <c r="M66" s="409">
        <f t="shared" si="3"/>
        <v>0</v>
      </c>
      <c r="N66" s="409" t="s">
        <v>1064</v>
      </c>
      <c r="O66" s="90" t="s">
        <v>1065</v>
      </c>
      <c r="P66" s="408">
        <f t="shared" si="4"/>
        <v>30310</v>
      </c>
      <c r="R66" s="90">
        <f t="shared" si="5"/>
        <v>0</v>
      </c>
      <c r="S66" s="90">
        <v>66</v>
      </c>
    </row>
    <row r="67" spans="1:19" ht="22.5">
      <c r="A67" s="330" t="s">
        <v>1716</v>
      </c>
      <c r="B67" s="331" t="s">
        <v>287</v>
      </c>
      <c r="C67" s="331" t="s">
        <v>1717</v>
      </c>
      <c r="D67" s="331" t="s">
        <v>852</v>
      </c>
      <c r="E67" s="332" t="s">
        <v>507</v>
      </c>
      <c r="F67" s="332" t="s">
        <v>508</v>
      </c>
      <c r="G67" s="445" t="s">
        <v>509</v>
      </c>
      <c r="H67" s="445" t="s">
        <v>1695</v>
      </c>
      <c r="J67" s="109"/>
      <c r="K67" s="409"/>
      <c r="M67" s="409"/>
      <c r="N67" s="409"/>
      <c r="P67" s="408"/>
      <c r="S67" s="90">
        <v>67</v>
      </c>
    </row>
    <row r="68" spans="1:19" ht="11.25">
      <c r="A68" s="326">
        <v>56</v>
      </c>
      <c r="B68" s="327" t="s">
        <v>97</v>
      </c>
      <c r="C68" s="327" t="s">
        <v>1685</v>
      </c>
      <c r="D68" s="328">
        <v>858</v>
      </c>
      <c r="E68" s="329"/>
      <c r="F68" s="329"/>
      <c r="G68" s="443">
        <f t="shared" si="6"/>
        <v>0</v>
      </c>
      <c r="H68" s="443">
        <f t="shared" si="7"/>
        <v>0</v>
      </c>
      <c r="J68" s="109" t="s">
        <v>120</v>
      </c>
      <c r="K68" s="409">
        <f t="shared" si="2"/>
        <v>0</v>
      </c>
      <c r="L68" s="308" t="s">
        <v>1606</v>
      </c>
      <c r="M68" s="409">
        <f t="shared" si="3"/>
        <v>0</v>
      </c>
      <c r="N68" s="409" t="s">
        <v>967</v>
      </c>
      <c r="O68" s="90" t="s">
        <v>1066</v>
      </c>
      <c r="P68" s="408">
        <f t="shared" si="4"/>
        <v>858</v>
      </c>
      <c r="R68" s="90">
        <f t="shared" si="5"/>
        <v>0</v>
      </c>
      <c r="S68" s="90">
        <v>68</v>
      </c>
    </row>
    <row r="69" spans="1:19" ht="11.25">
      <c r="A69" s="309">
        <v>57</v>
      </c>
      <c r="B69" s="119" t="s">
        <v>1949</v>
      </c>
      <c r="C69" s="119" t="s">
        <v>1738</v>
      </c>
      <c r="D69" s="121">
        <v>1951</v>
      </c>
      <c r="E69" s="329"/>
      <c r="F69" s="329"/>
      <c r="G69" s="444">
        <f t="shared" si="6"/>
        <v>0</v>
      </c>
      <c r="H69" s="444">
        <f t="shared" si="7"/>
        <v>0</v>
      </c>
      <c r="J69" s="109" t="s">
        <v>121</v>
      </c>
      <c r="K69" s="409">
        <f t="shared" si="2"/>
        <v>0</v>
      </c>
      <c r="L69" s="308" t="s">
        <v>1607</v>
      </c>
      <c r="M69" s="409">
        <f t="shared" si="3"/>
        <v>0</v>
      </c>
      <c r="N69" s="409" t="s">
        <v>968</v>
      </c>
      <c r="O69" s="90" t="s">
        <v>1067</v>
      </c>
      <c r="P69" s="408">
        <f t="shared" si="4"/>
        <v>1951</v>
      </c>
      <c r="R69" s="90">
        <f t="shared" si="5"/>
        <v>0</v>
      </c>
      <c r="S69" s="90">
        <v>69</v>
      </c>
    </row>
    <row r="70" spans="1:19" ht="11.25">
      <c r="A70" s="309">
        <v>58</v>
      </c>
      <c r="B70" s="119" t="s">
        <v>286</v>
      </c>
      <c r="C70" s="119" t="s">
        <v>1740</v>
      </c>
      <c r="D70" s="121">
        <v>2366</v>
      </c>
      <c r="E70" s="329"/>
      <c r="F70" s="329"/>
      <c r="G70" s="444">
        <f t="shared" si="6"/>
        <v>0</v>
      </c>
      <c r="H70" s="444">
        <f t="shared" si="7"/>
        <v>0</v>
      </c>
      <c r="J70" s="109" t="s">
        <v>122</v>
      </c>
      <c r="K70" s="409">
        <f t="shared" si="2"/>
        <v>0</v>
      </c>
      <c r="L70" s="308" t="s">
        <v>1608</v>
      </c>
      <c r="M70" s="409">
        <f t="shared" si="3"/>
        <v>0</v>
      </c>
      <c r="N70" s="409" t="s">
        <v>969</v>
      </c>
      <c r="O70" s="90" t="s">
        <v>1068</v>
      </c>
      <c r="P70" s="408">
        <f t="shared" si="4"/>
        <v>2366</v>
      </c>
      <c r="R70" s="90">
        <f t="shared" si="5"/>
        <v>0</v>
      </c>
      <c r="S70" s="90">
        <v>70</v>
      </c>
    </row>
    <row r="71" spans="1:19" ht="11.25">
      <c r="A71" s="309">
        <v>59</v>
      </c>
      <c r="B71" s="119" t="s">
        <v>1473</v>
      </c>
      <c r="C71" s="119" t="s">
        <v>1685</v>
      </c>
      <c r="D71" s="121">
        <v>3616</v>
      </c>
      <c r="E71" s="329"/>
      <c r="F71" s="329"/>
      <c r="G71" s="444">
        <f t="shared" si="6"/>
        <v>0</v>
      </c>
      <c r="H71" s="444">
        <f t="shared" si="7"/>
        <v>0</v>
      </c>
      <c r="J71" s="109" t="s">
        <v>123</v>
      </c>
      <c r="K71" s="409">
        <f t="shared" si="2"/>
        <v>0</v>
      </c>
      <c r="L71" s="308" t="s">
        <v>1609</v>
      </c>
      <c r="M71" s="409">
        <f t="shared" si="3"/>
        <v>0</v>
      </c>
      <c r="N71" s="409" t="s">
        <v>970</v>
      </c>
      <c r="O71" s="90" t="s">
        <v>1069</v>
      </c>
      <c r="P71" s="408">
        <f t="shared" si="4"/>
        <v>3616</v>
      </c>
      <c r="R71" s="90">
        <f t="shared" si="5"/>
        <v>0</v>
      </c>
      <c r="S71" s="90">
        <v>71</v>
      </c>
    </row>
    <row r="72" spans="1:19" ht="11.25">
      <c r="A72" s="309">
        <v>60</v>
      </c>
      <c r="B72" s="119" t="s">
        <v>1474</v>
      </c>
      <c r="C72" s="119" t="s">
        <v>1685</v>
      </c>
      <c r="D72" s="121">
        <v>6223</v>
      </c>
      <c r="E72" s="329"/>
      <c r="F72" s="329"/>
      <c r="G72" s="444">
        <f t="shared" si="6"/>
        <v>0</v>
      </c>
      <c r="H72" s="444">
        <f t="shared" si="7"/>
        <v>0</v>
      </c>
      <c r="J72" s="109" t="s">
        <v>124</v>
      </c>
      <c r="K72" s="409">
        <f t="shared" si="2"/>
        <v>0</v>
      </c>
      <c r="L72" s="308" t="s">
        <v>1610</v>
      </c>
      <c r="M72" s="409">
        <f t="shared" si="3"/>
        <v>0</v>
      </c>
      <c r="N72" s="409" t="s">
        <v>971</v>
      </c>
      <c r="O72" s="90" t="s">
        <v>1070</v>
      </c>
      <c r="P72" s="408">
        <f t="shared" si="4"/>
        <v>6223</v>
      </c>
      <c r="R72" s="90">
        <f t="shared" si="5"/>
        <v>0</v>
      </c>
      <c r="S72" s="90">
        <v>72</v>
      </c>
    </row>
    <row r="73" spans="1:19" ht="11.25">
      <c r="A73" s="309">
        <v>141</v>
      </c>
      <c r="B73" s="119" t="s">
        <v>859</v>
      </c>
      <c r="C73" s="119" t="s">
        <v>1685</v>
      </c>
      <c r="D73" s="121">
        <v>12568</v>
      </c>
      <c r="E73" s="329"/>
      <c r="F73" s="329"/>
      <c r="G73" s="444">
        <f t="shared" si="6"/>
        <v>0</v>
      </c>
      <c r="H73" s="444">
        <f t="shared" si="7"/>
        <v>0</v>
      </c>
      <c r="J73" s="109" t="s">
        <v>804</v>
      </c>
      <c r="K73" s="409">
        <f t="shared" si="2"/>
        <v>0</v>
      </c>
      <c r="L73" s="308" t="s">
        <v>806</v>
      </c>
      <c r="M73" s="409">
        <f t="shared" si="3"/>
        <v>0</v>
      </c>
      <c r="N73" s="409" t="s">
        <v>1074</v>
      </c>
      <c r="O73" s="90" t="s">
        <v>1075</v>
      </c>
      <c r="P73" s="408">
        <f t="shared" si="4"/>
        <v>12568</v>
      </c>
      <c r="R73" s="90">
        <f t="shared" si="5"/>
        <v>0</v>
      </c>
      <c r="S73" s="90">
        <v>73</v>
      </c>
    </row>
    <row r="74" spans="1:19" ht="11.25">
      <c r="A74" s="309">
        <v>142</v>
      </c>
      <c r="B74" s="119" t="s">
        <v>860</v>
      </c>
      <c r="C74" s="119"/>
      <c r="D74" s="121">
        <v>31300</v>
      </c>
      <c r="E74" s="329"/>
      <c r="F74" s="329"/>
      <c r="G74" s="444">
        <f t="shared" si="6"/>
        <v>0</v>
      </c>
      <c r="H74" s="444">
        <f t="shared" si="7"/>
        <v>0</v>
      </c>
      <c r="J74" s="109" t="s">
        <v>805</v>
      </c>
      <c r="K74" s="409">
        <f t="shared" si="2"/>
        <v>0</v>
      </c>
      <c r="L74" s="308" t="s">
        <v>807</v>
      </c>
      <c r="M74" s="409">
        <f t="shared" si="3"/>
        <v>0</v>
      </c>
      <c r="N74" s="409" t="s">
        <v>1076</v>
      </c>
      <c r="O74" s="90" t="s">
        <v>1077</v>
      </c>
      <c r="P74" s="408">
        <f t="shared" si="4"/>
        <v>31300</v>
      </c>
      <c r="R74" s="90">
        <f t="shared" si="5"/>
        <v>0</v>
      </c>
      <c r="S74" s="90">
        <v>74</v>
      </c>
    </row>
    <row r="75" spans="1:19" ht="11.25">
      <c r="A75" s="309">
        <v>62</v>
      </c>
      <c r="B75" s="119" t="s">
        <v>1481</v>
      </c>
      <c r="C75" s="119" t="s">
        <v>1482</v>
      </c>
      <c r="D75" s="121">
        <v>935</v>
      </c>
      <c r="E75" s="329"/>
      <c r="F75" s="329"/>
      <c r="G75" s="444">
        <f t="shared" si="6"/>
        <v>0</v>
      </c>
      <c r="H75" s="444">
        <f t="shared" si="7"/>
        <v>0</v>
      </c>
      <c r="J75" s="109" t="s">
        <v>125</v>
      </c>
      <c r="K75" s="409">
        <f t="shared" si="2"/>
        <v>0</v>
      </c>
      <c r="L75" s="308" t="s">
        <v>1611</v>
      </c>
      <c r="M75" s="409">
        <f t="shared" si="3"/>
        <v>0</v>
      </c>
      <c r="N75" s="409" t="s">
        <v>972</v>
      </c>
      <c r="O75" s="90" t="s">
        <v>1078</v>
      </c>
      <c r="P75" s="408">
        <f t="shared" si="4"/>
        <v>935</v>
      </c>
      <c r="R75" s="90">
        <f t="shared" si="5"/>
        <v>0</v>
      </c>
      <c r="S75" s="90">
        <v>75</v>
      </c>
    </row>
    <row r="76" spans="1:19" ht="11.25">
      <c r="A76" s="309">
        <v>63</v>
      </c>
      <c r="B76" s="119" t="s">
        <v>1483</v>
      </c>
      <c r="C76" s="119" t="s">
        <v>1484</v>
      </c>
      <c r="D76" s="121">
        <v>1078</v>
      </c>
      <c r="E76" s="329"/>
      <c r="F76" s="329"/>
      <c r="G76" s="444">
        <f t="shared" si="6"/>
        <v>0</v>
      </c>
      <c r="H76" s="444">
        <f t="shared" si="7"/>
        <v>0</v>
      </c>
      <c r="J76" s="109" t="s">
        <v>126</v>
      </c>
      <c r="K76" s="409">
        <f t="shared" si="2"/>
        <v>0</v>
      </c>
      <c r="L76" s="308" t="s">
        <v>1612</v>
      </c>
      <c r="M76" s="409">
        <f t="shared" si="3"/>
        <v>0</v>
      </c>
      <c r="N76" s="409" t="s">
        <v>973</v>
      </c>
      <c r="O76" s="90" t="s">
        <v>1079</v>
      </c>
      <c r="P76" s="408">
        <f t="shared" si="4"/>
        <v>1078</v>
      </c>
      <c r="R76" s="90">
        <f t="shared" si="5"/>
        <v>0</v>
      </c>
      <c r="S76" s="90">
        <v>76</v>
      </c>
    </row>
    <row r="77" spans="1:19" ht="11.25">
      <c r="A77" s="309">
        <v>64</v>
      </c>
      <c r="B77" s="119" t="s">
        <v>1485</v>
      </c>
      <c r="C77" s="119" t="s">
        <v>1738</v>
      </c>
      <c r="D77" s="121">
        <v>1932</v>
      </c>
      <c r="E77" s="329"/>
      <c r="F77" s="329"/>
      <c r="G77" s="444">
        <f t="shared" si="6"/>
        <v>0</v>
      </c>
      <c r="H77" s="444">
        <f t="shared" si="7"/>
        <v>0</v>
      </c>
      <c r="J77" s="109" t="s">
        <v>127</v>
      </c>
      <c r="K77" s="409">
        <f t="shared" si="2"/>
        <v>0</v>
      </c>
      <c r="L77" s="308" t="s">
        <v>1613</v>
      </c>
      <c r="M77" s="409">
        <f t="shared" si="3"/>
        <v>0</v>
      </c>
      <c r="N77" s="409" t="s">
        <v>974</v>
      </c>
      <c r="O77" s="90" t="s">
        <v>1080</v>
      </c>
      <c r="P77" s="408">
        <f t="shared" si="4"/>
        <v>1932</v>
      </c>
      <c r="R77" s="90">
        <f t="shared" si="5"/>
        <v>0</v>
      </c>
      <c r="S77" s="90">
        <v>77</v>
      </c>
    </row>
    <row r="78" spans="1:19" ht="11.25">
      <c r="A78" s="309">
        <v>65</v>
      </c>
      <c r="B78" s="119" t="s">
        <v>1486</v>
      </c>
      <c r="C78" s="119" t="s">
        <v>1740</v>
      </c>
      <c r="D78" s="121">
        <v>2126</v>
      </c>
      <c r="E78" s="329"/>
      <c r="F78" s="329"/>
      <c r="G78" s="444">
        <f t="shared" si="6"/>
        <v>0</v>
      </c>
      <c r="H78" s="444">
        <f t="shared" si="7"/>
        <v>0</v>
      </c>
      <c r="J78" s="109" t="s">
        <v>128</v>
      </c>
      <c r="K78" s="409">
        <f aca="true" t="shared" si="8" ref="K78:K149">E78</f>
        <v>0</v>
      </c>
      <c r="L78" s="308" t="s">
        <v>1614</v>
      </c>
      <c r="M78" s="409">
        <f aca="true" t="shared" si="9" ref="M78:M149">F78</f>
        <v>0</v>
      </c>
      <c r="N78" s="409" t="s">
        <v>975</v>
      </c>
      <c r="O78" s="90" t="s">
        <v>1081</v>
      </c>
      <c r="P78" s="408">
        <f aca="true" t="shared" si="10" ref="P78:P149">D78</f>
        <v>2126</v>
      </c>
      <c r="R78" s="90">
        <f aca="true" t="shared" si="11" ref="R78:R84">S78*(E78+F78)+$E$154</f>
        <v>0</v>
      </c>
      <c r="S78" s="90">
        <v>78</v>
      </c>
    </row>
    <row r="79" spans="1:19" ht="11.25">
      <c r="A79" s="309">
        <v>66</v>
      </c>
      <c r="B79" s="119" t="s">
        <v>1487</v>
      </c>
      <c r="C79" s="119" t="s">
        <v>299</v>
      </c>
      <c r="D79" s="121">
        <v>3735</v>
      </c>
      <c r="E79" s="329"/>
      <c r="F79" s="329"/>
      <c r="G79" s="444">
        <f t="shared" si="6"/>
        <v>0</v>
      </c>
      <c r="H79" s="444">
        <f t="shared" si="7"/>
        <v>0</v>
      </c>
      <c r="J79" s="109" t="s">
        <v>129</v>
      </c>
      <c r="K79" s="409">
        <f t="shared" si="8"/>
        <v>0</v>
      </c>
      <c r="L79" s="308" t="s">
        <v>1615</v>
      </c>
      <c r="M79" s="409">
        <f t="shared" si="9"/>
        <v>0</v>
      </c>
      <c r="N79" s="409" t="s">
        <v>976</v>
      </c>
      <c r="O79" s="90" t="s">
        <v>1082</v>
      </c>
      <c r="P79" s="408">
        <f t="shared" si="10"/>
        <v>3735</v>
      </c>
      <c r="R79" s="90">
        <f t="shared" si="11"/>
        <v>0</v>
      </c>
      <c r="S79" s="90">
        <v>79</v>
      </c>
    </row>
    <row r="80" spans="1:19" ht="11.25">
      <c r="A80" s="309">
        <v>67</v>
      </c>
      <c r="B80" s="119" t="s">
        <v>1488</v>
      </c>
      <c r="C80" s="119" t="s">
        <v>299</v>
      </c>
      <c r="D80" s="121">
        <v>6139</v>
      </c>
      <c r="E80" s="329"/>
      <c r="F80" s="329"/>
      <c r="G80" s="444">
        <f t="shared" si="6"/>
        <v>0</v>
      </c>
      <c r="H80" s="444">
        <f t="shared" si="7"/>
        <v>0</v>
      </c>
      <c r="J80" s="109" t="s">
        <v>130</v>
      </c>
      <c r="K80" s="409">
        <f t="shared" si="8"/>
        <v>0</v>
      </c>
      <c r="L80" s="308" t="s">
        <v>1616</v>
      </c>
      <c r="M80" s="409">
        <f t="shared" si="9"/>
        <v>0</v>
      </c>
      <c r="N80" s="409" t="s">
        <v>977</v>
      </c>
      <c r="O80" s="90" t="s">
        <v>1083</v>
      </c>
      <c r="P80" s="408">
        <f t="shared" si="10"/>
        <v>6139</v>
      </c>
      <c r="R80" s="90">
        <f t="shared" si="11"/>
        <v>0</v>
      </c>
      <c r="S80" s="90">
        <v>80</v>
      </c>
    </row>
    <row r="81" spans="1:19" ht="11.25">
      <c r="A81" s="309">
        <v>68</v>
      </c>
      <c r="B81" s="119" t="s">
        <v>1489</v>
      </c>
      <c r="C81" s="119"/>
      <c r="D81" s="121">
        <v>11345</v>
      </c>
      <c r="E81" s="329"/>
      <c r="F81" s="329"/>
      <c r="G81" s="444">
        <f t="shared" si="6"/>
        <v>0</v>
      </c>
      <c r="H81" s="444">
        <f t="shared" si="7"/>
        <v>0</v>
      </c>
      <c r="J81" s="109" t="s">
        <v>131</v>
      </c>
      <c r="K81" s="409">
        <f t="shared" si="8"/>
        <v>0</v>
      </c>
      <c r="L81" s="308" t="s">
        <v>1617</v>
      </c>
      <c r="M81" s="409">
        <f t="shared" si="9"/>
        <v>0</v>
      </c>
      <c r="N81" s="409" t="s">
        <v>978</v>
      </c>
      <c r="O81" s="90" t="s">
        <v>1084</v>
      </c>
      <c r="P81" s="408">
        <f t="shared" si="10"/>
        <v>11345</v>
      </c>
      <c r="R81" s="90">
        <f t="shared" si="11"/>
        <v>0</v>
      </c>
      <c r="S81" s="90">
        <v>81</v>
      </c>
    </row>
    <row r="82" spans="1:19" ht="11.25">
      <c r="A82" s="309">
        <v>143</v>
      </c>
      <c r="B82" s="119" t="s">
        <v>861</v>
      </c>
      <c r="C82" s="119" t="s">
        <v>299</v>
      </c>
      <c r="D82" s="121">
        <v>20911</v>
      </c>
      <c r="E82" s="329"/>
      <c r="F82" s="329"/>
      <c r="G82" s="444">
        <f t="shared" si="6"/>
        <v>0</v>
      </c>
      <c r="H82" s="444">
        <f t="shared" si="7"/>
        <v>0</v>
      </c>
      <c r="J82" s="109" t="s">
        <v>808</v>
      </c>
      <c r="K82" s="409">
        <f t="shared" si="8"/>
        <v>0</v>
      </c>
      <c r="L82" s="308" t="s">
        <v>811</v>
      </c>
      <c r="M82" s="409">
        <f t="shared" si="9"/>
        <v>0</v>
      </c>
      <c r="N82" s="409" t="s">
        <v>1085</v>
      </c>
      <c r="O82" s="90" t="s">
        <v>1086</v>
      </c>
      <c r="P82" s="408">
        <f t="shared" si="10"/>
        <v>20911</v>
      </c>
      <c r="R82" s="90">
        <f t="shared" si="11"/>
        <v>0</v>
      </c>
      <c r="S82" s="90">
        <v>82</v>
      </c>
    </row>
    <row r="83" spans="1:19" ht="11.25">
      <c r="A83" s="309">
        <v>144</v>
      </c>
      <c r="B83" s="119" t="s">
        <v>862</v>
      </c>
      <c r="C83" s="119"/>
      <c r="D83" s="121">
        <v>30159</v>
      </c>
      <c r="E83" s="329"/>
      <c r="F83" s="329"/>
      <c r="G83" s="444">
        <f t="shared" si="6"/>
        <v>0</v>
      </c>
      <c r="H83" s="444">
        <f t="shared" si="7"/>
        <v>0</v>
      </c>
      <c r="J83" s="109" t="s">
        <v>809</v>
      </c>
      <c r="K83" s="409">
        <f t="shared" si="8"/>
        <v>0</v>
      </c>
      <c r="L83" s="308" t="s">
        <v>812</v>
      </c>
      <c r="M83" s="409">
        <f t="shared" si="9"/>
        <v>0</v>
      </c>
      <c r="N83" s="409" t="s">
        <v>1087</v>
      </c>
      <c r="O83" s="90" t="s">
        <v>1088</v>
      </c>
      <c r="P83" s="408">
        <f t="shared" si="10"/>
        <v>30159</v>
      </c>
      <c r="R83" s="90">
        <f t="shared" si="11"/>
        <v>0</v>
      </c>
      <c r="S83" s="90">
        <v>83</v>
      </c>
    </row>
    <row r="84" spans="1:19" ht="11.25">
      <c r="A84" s="309">
        <v>145</v>
      </c>
      <c r="B84" s="119" t="s">
        <v>863</v>
      </c>
      <c r="C84" s="119"/>
      <c r="D84" s="121">
        <v>43415</v>
      </c>
      <c r="E84" s="329"/>
      <c r="F84" s="329"/>
      <c r="G84" s="444">
        <f t="shared" si="6"/>
        <v>0</v>
      </c>
      <c r="H84" s="444">
        <f t="shared" si="7"/>
        <v>0</v>
      </c>
      <c r="J84" s="109" t="s">
        <v>810</v>
      </c>
      <c r="K84" s="409">
        <f t="shared" si="8"/>
        <v>0</v>
      </c>
      <c r="L84" s="308" t="s">
        <v>813</v>
      </c>
      <c r="M84" s="409">
        <f t="shared" si="9"/>
        <v>0</v>
      </c>
      <c r="N84" s="409" t="s">
        <v>1089</v>
      </c>
      <c r="O84" s="90" t="s">
        <v>1090</v>
      </c>
      <c r="P84" s="408">
        <f t="shared" si="10"/>
        <v>43415</v>
      </c>
      <c r="R84" s="90">
        <f t="shared" si="11"/>
        <v>0</v>
      </c>
      <c r="S84" s="90">
        <v>84</v>
      </c>
    </row>
    <row r="85" spans="1:19" ht="11.25">
      <c r="A85" s="309">
        <v>70</v>
      </c>
      <c r="B85" s="119" t="s">
        <v>1490</v>
      </c>
      <c r="C85" s="119" t="s">
        <v>1491</v>
      </c>
      <c r="D85" s="121">
        <v>979</v>
      </c>
      <c r="E85" s="329"/>
      <c r="F85" s="329"/>
      <c r="G85" s="444">
        <f t="shared" si="6"/>
        <v>0</v>
      </c>
      <c r="H85" s="444">
        <f t="shared" si="7"/>
        <v>0</v>
      </c>
      <c r="J85" s="109" t="s">
        <v>132</v>
      </c>
      <c r="K85" s="409">
        <f t="shared" si="8"/>
        <v>0</v>
      </c>
      <c r="L85" s="308" t="s">
        <v>1618</v>
      </c>
      <c r="M85" s="409">
        <f t="shared" si="9"/>
        <v>0</v>
      </c>
      <c r="N85" s="409" t="s">
        <v>979</v>
      </c>
      <c r="O85" s="90" t="s">
        <v>1091</v>
      </c>
      <c r="P85" s="408">
        <f t="shared" si="10"/>
        <v>979</v>
      </c>
      <c r="R85" s="90">
        <f aca="true" t="shared" si="12" ref="R85:R149">S85*(E85+F85)+$E$154</f>
        <v>0</v>
      </c>
      <c r="S85" s="90">
        <v>85</v>
      </c>
    </row>
    <row r="86" spans="1:19" ht="11.25">
      <c r="A86" s="309">
        <v>71</v>
      </c>
      <c r="B86" s="119" t="s">
        <v>1492</v>
      </c>
      <c r="C86" s="119" t="s">
        <v>1493</v>
      </c>
      <c r="D86" s="121">
        <v>1189</v>
      </c>
      <c r="E86" s="329"/>
      <c r="F86" s="329"/>
      <c r="G86" s="444">
        <f t="shared" si="6"/>
        <v>0</v>
      </c>
      <c r="H86" s="444">
        <f t="shared" si="7"/>
        <v>0</v>
      </c>
      <c r="J86" s="109" t="s">
        <v>133</v>
      </c>
      <c r="K86" s="409">
        <f t="shared" si="8"/>
        <v>0</v>
      </c>
      <c r="L86" s="308" t="s">
        <v>1619</v>
      </c>
      <c r="M86" s="409">
        <f t="shared" si="9"/>
        <v>0</v>
      </c>
      <c r="N86" s="409" t="s">
        <v>980</v>
      </c>
      <c r="O86" s="90" t="s">
        <v>1092</v>
      </c>
      <c r="P86" s="408">
        <f t="shared" si="10"/>
        <v>1189</v>
      </c>
      <c r="R86" s="90">
        <f t="shared" si="12"/>
        <v>0</v>
      </c>
      <c r="S86" s="90">
        <v>86</v>
      </c>
    </row>
    <row r="87" spans="1:19" ht="11.25">
      <c r="A87" s="309">
        <v>72</v>
      </c>
      <c r="B87" s="119" t="s">
        <v>1494</v>
      </c>
      <c r="C87" s="119" t="s">
        <v>1491</v>
      </c>
      <c r="D87" s="121">
        <v>1993</v>
      </c>
      <c r="E87" s="329"/>
      <c r="F87" s="329"/>
      <c r="G87" s="444">
        <f aca="true" t="shared" si="13" ref="G87:G153">D87*E87</f>
        <v>0</v>
      </c>
      <c r="H87" s="444">
        <f aca="true" t="shared" si="14" ref="H87:H153">D87*F87</f>
        <v>0</v>
      </c>
      <c r="J87" s="109" t="s">
        <v>134</v>
      </c>
      <c r="K87" s="409">
        <f t="shared" si="8"/>
        <v>0</v>
      </c>
      <c r="L87" s="308" t="s">
        <v>1620</v>
      </c>
      <c r="M87" s="409">
        <f t="shared" si="9"/>
        <v>0</v>
      </c>
      <c r="N87" s="409" t="s">
        <v>981</v>
      </c>
      <c r="O87" s="90" t="s">
        <v>1093</v>
      </c>
      <c r="P87" s="408">
        <f t="shared" si="10"/>
        <v>1993</v>
      </c>
      <c r="R87" s="90">
        <f t="shared" si="12"/>
        <v>0</v>
      </c>
      <c r="S87" s="90">
        <v>87</v>
      </c>
    </row>
    <row r="88" spans="1:19" ht="11.25">
      <c r="A88" s="309">
        <v>73</v>
      </c>
      <c r="B88" s="119" t="s">
        <v>1495</v>
      </c>
      <c r="C88" s="119" t="s">
        <v>1493</v>
      </c>
      <c r="D88" s="121">
        <v>2288</v>
      </c>
      <c r="E88" s="329"/>
      <c r="F88" s="329"/>
      <c r="G88" s="444">
        <f t="shared" si="13"/>
        <v>0</v>
      </c>
      <c r="H88" s="444">
        <f t="shared" si="14"/>
        <v>0</v>
      </c>
      <c r="J88" s="109" t="s">
        <v>135</v>
      </c>
      <c r="K88" s="409">
        <f t="shared" si="8"/>
        <v>0</v>
      </c>
      <c r="L88" s="308" t="s">
        <v>1621</v>
      </c>
      <c r="M88" s="409">
        <f t="shared" si="9"/>
        <v>0</v>
      </c>
      <c r="N88" s="409" t="s">
        <v>982</v>
      </c>
      <c r="O88" s="90" t="s">
        <v>1094</v>
      </c>
      <c r="P88" s="408">
        <f t="shared" si="10"/>
        <v>2288</v>
      </c>
      <c r="R88" s="90">
        <f t="shared" si="12"/>
        <v>0</v>
      </c>
      <c r="S88" s="90">
        <v>88</v>
      </c>
    </row>
    <row r="89" spans="1:19" ht="11.25">
      <c r="A89" s="309">
        <v>74</v>
      </c>
      <c r="B89" s="119" t="s">
        <v>1496</v>
      </c>
      <c r="C89" s="119" t="s">
        <v>1491</v>
      </c>
      <c r="D89" s="121">
        <v>3679</v>
      </c>
      <c r="E89" s="329"/>
      <c r="F89" s="329"/>
      <c r="G89" s="444">
        <f t="shared" si="13"/>
        <v>0</v>
      </c>
      <c r="H89" s="444">
        <f t="shared" si="14"/>
        <v>0</v>
      </c>
      <c r="J89" s="109" t="s">
        <v>136</v>
      </c>
      <c r="K89" s="409">
        <f t="shared" si="8"/>
        <v>0</v>
      </c>
      <c r="L89" s="308" t="s">
        <v>1622</v>
      </c>
      <c r="M89" s="409">
        <f t="shared" si="9"/>
        <v>0</v>
      </c>
      <c r="N89" s="409" t="s">
        <v>983</v>
      </c>
      <c r="O89" s="90" t="s">
        <v>1095</v>
      </c>
      <c r="P89" s="408">
        <f t="shared" si="10"/>
        <v>3679</v>
      </c>
      <c r="R89" s="90">
        <f t="shared" si="12"/>
        <v>0</v>
      </c>
      <c r="S89" s="90">
        <v>89</v>
      </c>
    </row>
    <row r="90" spans="1:19" ht="11.25">
      <c r="A90" s="309">
        <v>75</v>
      </c>
      <c r="B90" s="119" t="s">
        <v>1497</v>
      </c>
      <c r="C90" s="119" t="s">
        <v>1493</v>
      </c>
      <c r="D90" s="121">
        <v>4054</v>
      </c>
      <c r="E90" s="329"/>
      <c r="F90" s="329"/>
      <c r="G90" s="444">
        <f t="shared" si="13"/>
        <v>0</v>
      </c>
      <c r="H90" s="444">
        <f t="shared" si="14"/>
        <v>0</v>
      </c>
      <c r="J90" s="109" t="s">
        <v>137</v>
      </c>
      <c r="K90" s="409">
        <f t="shared" si="8"/>
        <v>0</v>
      </c>
      <c r="L90" s="308" t="s">
        <v>1623</v>
      </c>
      <c r="M90" s="409">
        <f t="shared" si="9"/>
        <v>0</v>
      </c>
      <c r="N90" s="409" t="s">
        <v>984</v>
      </c>
      <c r="O90" s="90" t="s">
        <v>1096</v>
      </c>
      <c r="P90" s="408">
        <f t="shared" si="10"/>
        <v>4054</v>
      </c>
      <c r="R90" s="90">
        <f t="shared" si="12"/>
        <v>0</v>
      </c>
      <c r="S90" s="90">
        <v>90</v>
      </c>
    </row>
    <row r="91" spans="1:19" ht="11.25">
      <c r="A91" s="309">
        <v>76</v>
      </c>
      <c r="B91" s="119" t="s">
        <v>1498</v>
      </c>
      <c r="C91" s="119" t="s">
        <v>1499</v>
      </c>
      <c r="D91" s="121">
        <v>6262</v>
      </c>
      <c r="E91" s="329"/>
      <c r="F91" s="329"/>
      <c r="G91" s="444">
        <f t="shared" si="13"/>
        <v>0</v>
      </c>
      <c r="H91" s="444">
        <f t="shared" si="14"/>
        <v>0</v>
      </c>
      <c r="J91" s="109" t="s">
        <v>138</v>
      </c>
      <c r="K91" s="409">
        <f t="shared" si="8"/>
        <v>0</v>
      </c>
      <c r="L91" s="308" t="s">
        <v>1624</v>
      </c>
      <c r="M91" s="409">
        <f t="shared" si="9"/>
        <v>0</v>
      </c>
      <c r="N91" s="409" t="s">
        <v>985</v>
      </c>
      <c r="O91" s="90" t="s">
        <v>1097</v>
      </c>
      <c r="P91" s="408">
        <f t="shared" si="10"/>
        <v>6262</v>
      </c>
      <c r="R91" s="90">
        <f t="shared" si="12"/>
        <v>0</v>
      </c>
      <c r="S91" s="90">
        <v>91</v>
      </c>
    </row>
    <row r="92" spans="1:19" ht="11.25">
      <c r="A92" s="309">
        <v>77</v>
      </c>
      <c r="B92" s="119" t="s">
        <v>1500</v>
      </c>
      <c r="C92" s="119" t="s">
        <v>1501</v>
      </c>
      <c r="D92" s="121">
        <v>7052</v>
      </c>
      <c r="E92" s="329"/>
      <c r="F92" s="329"/>
      <c r="G92" s="444">
        <f t="shared" si="13"/>
        <v>0</v>
      </c>
      <c r="H92" s="444">
        <f t="shared" si="14"/>
        <v>0</v>
      </c>
      <c r="J92" s="109" t="s">
        <v>139</v>
      </c>
      <c r="K92" s="409">
        <f t="shared" si="8"/>
        <v>0</v>
      </c>
      <c r="L92" s="308" t="s">
        <v>1625</v>
      </c>
      <c r="M92" s="409">
        <f t="shared" si="9"/>
        <v>0</v>
      </c>
      <c r="N92" s="409" t="s">
        <v>986</v>
      </c>
      <c r="O92" s="90" t="s">
        <v>1098</v>
      </c>
      <c r="P92" s="408">
        <f t="shared" si="10"/>
        <v>7052</v>
      </c>
      <c r="R92" s="90">
        <f t="shared" si="12"/>
        <v>0</v>
      </c>
      <c r="S92" s="90">
        <v>92</v>
      </c>
    </row>
    <row r="93" spans="1:19" ht="11.25">
      <c r="A93" s="309">
        <v>78</v>
      </c>
      <c r="B93" s="119" t="s">
        <v>553</v>
      </c>
      <c r="C93" s="119" t="s">
        <v>1728</v>
      </c>
      <c r="D93" s="121">
        <v>11645</v>
      </c>
      <c r="E93" s="329"/>
      <c r="F93" s="329"/>
      <c r="G93" s="444">
        <f t="shared" si="13"/>
        <v>0</v>
      </c>
      <c r="H93" s="444">
        <f t="shared" si="14"/>
        <v>0</v>
      </c>
      <c r="J93" s="109" t="s">
        <v>140</v>
      </c>
      <c r="K93" s="409">
        <f t="shared" si="8"/>
        <v>0</v>
      </c>
      <c r="L93" s="308" t="s">
        <v>1626</v>
      </c>
      <c r="M93" s="409">
        <f t="shared" si="9"/>
        <v>0</v>
      </c>
      <c r="N93" s="409" t="s">
        <v>987</v>
      </c>
      <c r="O93" s="90" t="s">
        <v>1099</v>
      </c>
      <c r="P93" s="408">
        <f t="shared" si="10"/>
        <v>11645</v>
      </c>
      <c r="R93" s="90">
        <f t="shared" si="12"/>
        <v>0</v>
      </c>
      <c r="S93" s="90">
        <v>93</v>
      </c>
    </row>
    <row r="94" spans="1:19" ht="11.25">
      <c r="A94" s="309">
        <v>79</v>
      </c>
      <c r="B94" s="119" t="s">
        <v>554</v>
      </c>
      <c r="C94" s="119" t="s">
        <v>1231</v>
      </c>
      <c r="D94" s="121">
        <v>13541</v>
      </c>
      <c r="E94" s="329"/>
      <c r="F94" s="329"/>
      <c r="G94" s="444">
        <f t="shared" si="13"/>
        <v>0</v>
      </c>
      <c r="H94" s="444">
        <f t="shared" si="14"/>
        <v>0</v>
      </c>
      <c r="J94" s="109" t="s">
        <v>141</v>
      </c>
      <c r="K94" s="409">
        <f t="shared" si="8"/>
        <v>0</v>
      </c>
      <c r="L94" s="308" t="s">
        <v>1627</v>
      </c>
      <c r="M94" s="409">
        <f t="shared" si="9"/>
        <v>0</v>
      </c>
      <c r="N94" s="409" t="s">
        <v>988</v>
      </c>
      <c r="O94" s="90" t="s">
        <v>1100</v>
      </c>
      <c r="P94" s="408">
        <f t="shared" si="10"/>
        <v>13541</v>
      </c>
      <c r="R94" s="90">
        <f t="shared" si="12"/>
        <v>0</v>
      </c>
      <c r="S94" s="90">
        <v>94</v>
      </c>
    </row>
    <row r="95" spans="1:19" ht="11.25">
      <c r="A95" s="309">
        <v>146</v>
      </c>
      <c r="B95" s="119" t="s">
        <v>864</v>
      </c>
      <c r="C95" s="119" t="s">
        <v>299</v>
      </c>
      <c r="D95" s="121">
        <v>22000</v>
      </c>
      <c r="E95" s="329"/>
      <c r="F95" s="329"/>
      <c r="G95" s="444">
        <f t="shared" si="13"/>
        <v>0</v>
      </c>
      <c r="H95" s="444">
        <f t="shared" si="14"/>
        <v>0</v>
      </c>
      <c r="J95" s="109" t="s">
        <v>815</v>
      </c>
      <c r="K95" s="409">
        <f t="shared" si="8"/>
        <v>0</v>
      </c>
      <c r="L95" s="308" t="s">
        <v>814</v>
      </c>
      <c r="M95" s="409">
        <f t="shared" si="9"/>
        <v>0</v>
      </c>
      <c r="N95" s="409" t="s">
        <v>1101</v>
      </c>
      <c r="O95" s="90" t="s">
        <v>1102</v>
      </c>
      <c r="P95" s="408">
        <f t="shared" si="10"/>
        <v>22000</v>
      </c>
      <c r="R95" s="90">
        <f t="shared" si="12"/>
        <v>0</v>
      </c>
      <c r="S95" s="90">
        <v>95</v>
      </c>
    </row>
    <row r="96" spans="1:19" ht="11.25">
      <c r="A96" s="309">
        <v>147</v>
      </c>
      <c r="B96" s="119" t="s">
        <v>865</v>
      </c>
      <c r="C96" s="119"/>
      <c r="D96" s="121">
        <v>34972</v>
      </c>
      <c r="E96" s="329"/>
      <c r="F96" s="329"/>
      <c r="G96" s="444">
        <f t="shared" si="13"/>
        <v>0</v>
      </c>
      <c r="H96" s="444">
        <f t="shared" si="14"/>
        <v>0</v>
      </c>
      <c r="J96" s="109" t="s">
        <v>816</v>
      </c>
      <c r="K96" s="409">
        <f t="shared" si="8"/>
        <v>0</v>
      </c>
      <c r="L96" s="308" t="s">
        <v>817</v>
      </c>
      <c r="M96" s="409">
        <f t="shared" si="9"/>
        <v>0</v>
      </c>
      <c r="N96" s="409" t="s">
        <v>1103</v>
      </c>
      <c r="O96" s="90" t="s">
        <v>1104</v>
      </c>
      <c r="P96" s="408">
        <f t="shared" si="10"/>
        <v>34972</v>
      </c>
      <c r="R96" s="90">
        <f t="shared" si="12"/>
        <v>0</v>
      </c>
      <c r="S96" s="90">
        <v>96</v>
      </c>
    </row>
    <row r="97" spans="1:19" ht="11.25">
      <c r="A97" s="309">
        <v>81</v>
      </c>
      <c r="B97" s="119" t="s">
        <v>555</v>
      </c>
      <c r="C97" s="119" t="s">
        <v>1738</v>
      </c>
      <c r="D97" s="121">
        <v>955</v>
      </c>
      <c r="E97" s="329"/>
      <c r="F97" s="329"/>
      <c r="G97" s="444">
        <f t="shared" si="13"/>
        <v>0</v>
      </c>
      <c r="H97" s="444">
        <f t="shared" si="14"/>
        <v>0</v>
      </c>
      <c r="J97" s="109" t="s">
        <v>142</v>
      </c>
      <c r="K97" s="409">
        <f t="shared" si="8"/>
        <v>0</v>
      </c>
      <c r="L97" s="308" t="s">
        <v>1628</v>
      </c>
      <c r="M97" s="409">
        <f t="shared" si="9"/>
        <v>0</v>
      </c>
      <c r="N97" s="409" t="s">
        <v>989</v>
      </c>
      <c r="O97" s="90" t="s">
        <v>1105</v>
      </c>
      <c r="P97" s="408">
        <f t="shared" si="10"/>
        <v>955</v>
      </c>
      <c r="R97" s="90">
        <f t="shared" si="12"/>
        <v>0</v>
      </c>
      <c r="S97" s="90">
        <v>97</v>
      </c>
    </row>
    <row r="98" spans="1:19" ht="11.25">
      <c r="A98" s="309">
        <v>82</v>
      </c>
      <c r="B98" s="119" t="s">
        <v>556</v>
      </c>
      <c r="C98" s="119" t="s">
        <v>1740</v>
      </c>
      <c r="D98" s="121">
        <v>1110</v>
      </c>
      <c r="E98" s="329"/>
      <c r="F98" s="329"/>
      <c r="G98" s="444">
        <f t="shared" si="13"/>
        <v>0</v>
      </c>
      <c r="H98" s="444">
        <f t="shared" si="14"/>
        <v>0</v>
      </c>
      <c r="J98" s="109" t="s">
        <v>143</v>
      </c>
      <c r="K98" s="409">
        <f t="shared" si="8"/>
        <v>0</v>
      </c>
      <c r="L98" s="308" t="s">
        <v>1629</v>
      </c>
      <c r="M98" s="409">
        <f t="shared" si="9"/>
        <v>0</v>
      </c>
      <c r="N98" s="409" t="s">
        <v>990</v>
      </c>
      <c r="O98" s="90" t="s">
        <v>1106</v>
      </c>
      <c r="P98" s="408">
        <f t="shared" si="10"/>
        <v>1110</v>
      </c>
      <c r="R98" s="90">
        <f t="shared" si="12"/>
        <v>0</v>
      </c>
      <c r="S98" s="90">
        <v>98</v>
      </c>
    </row>
    <row r="99" spans="1:19" ht="11.25">
      <c r="A99" s="309">
        <v>83</v>
      </c>
      <c r="B99" s="119" t="s">
        <v>557</v>
      </c>
      <c r="C99" s="119" t="s">
        <v>78</v>
      </c>
      <c r="D99" s="121">
        <v>2113</v>
      </c>
      <c r="E99" s="329"/>
      <c r="F99" s="329"/>
      <c r="G99" s="444">
        <f t="shared" si="13"/>
        <v>0</v>
      </c>
      <c r="H99" s="444">
        <f t="shared" si="14"/>
        <v>0</v>
      </c>
      <c r="J99" s="109" t="s">
        <v>144</v>
      </c>
      <c r="K99" s="409">
        <f t="shared" si="8"/>
        <v>0</v>
      </c>
      <c r="L99" s="308" t="s">
        <v>1630</v>
      </c>
      <c r="M99" s="409">
        <f t="shared" si="9"/>
        <v>0</v>
      </c>
      <c r="N99" s="409" t="s">
        <v>991</v>
      </c>
      <c r="O99" s="90" t="s">
        <v>1107</v>
      </c>
      <c r="P99" s="408">
        <f t="shared" si="10"/>
        <v>2113</v>
      </c>
      <c r="R99" s="90">
        <f t="shared" si="12"/>
        <v>0</v>
      </c>
      <c r="S99" s="90">
        <v>99</v>
      </c>
    </row>
    <row r="100" spans="1:19" ht="11.25">
      <c r="A100" s="309">
        <v>84</v>
      </c>
      <c r="B100" s="119" t="s">
        <v>558</v>
      </c>
      <c r="C100" s="119" t="s">
        <v>80</v>
      </c>
      <c r="D100" s="121">
        <v>2411</v>
      </c>
      <c r="E100" s="329"/>
      <c r="F100" s="329"/>
      <c r="G100" s="444">
        <f t="shared" si="13"/>
        <v>0</v>
      </c>
      <c r="H100" s="444">
        <f t="shared" si="14"/>
        <v>0</v>
      </c>
      <c r="J100" s="109" t="s">
        <v>145</v>
      </c>
      <c r="K100" s="409">
        <f t="shared" si="8"/>
        <v>0</v>
      </c>
      <c r="L100" s="308" t="s">
        <v>1631</v>
      </c>
      <c r="M100" s="409">
        <f t="shared" si="9"/>
        <v>0</v>
      </c>
      <c r="N100" s="409" t="s">
        <v>992</v>
      </c>
      <c r="O100" s="90" t="s">
        <v>1108</v>
      </c>
      <c r="P100" s="408">
        <f t="shared" si="10"/>
        <v>2411</v>
      </c>
      <c r="R100" s="90">
        <f t="shared" si="12"/>
        <v>0</v>
      </c>
      <c r="S100" s="90">
        <v>100</v>
      </c>
    </row>
    <row r="101" spans="1:19" ht="11.25">
      <c r="A101" s="309">
        <v>85</v>
      </c>
      <c r="B101" s="119" t="s">
        <v>559</v>
      </c>
      <c r="C101" s="119" t="s">
        <v>1738</v>
      </c>
      <c r="D101" s="121">
        <v>3461</v>
      </c>
      <c r="E101" s="329"/>
      <c r="F101" s="329"/>
      <c r="G101" s="444">
        <f t="shared" si="13"/>
        <v>0</v>
      </c>
      <c r="H101" s="444">
        <f t="shared" si="14"/>
        <v>0</v>
      </c>
      <c r="J101" s="109" t="s">
        <v>146</v>
      </c>
      <c r="K101" s="409">
        <f t="shared" si="8"/>
        <v>0</v>
      </c>
      <c r="L101" s="308" t="s">
        <v>1632</v>
      </c>
      <c r="M101" s="409">
        <f t="shared" si="9"/>
        <v>0</v>
      </c>
      <c r="N101" s="409" t="s">
        <v>993</v>
      </c>
      <c r="O101" s="90" t="s">
        <v>1109</v>
      </c>
      <c r="P101" s="408">
        <f t="shared" si="10"/>
        <v>3461</v>
      </c>
      <c r="R101" s="90">
        <f t="shared" si="12"/>
        <v>0</v>
      </c>
      <c r="S101" s="90">
        <v>101</v>
      </c>
    </row>
    <row r="102" spans="1:19" ht="11.25">
      <c r="A102" s="309">
        <v>86</v>
      </c>
      <c r="B102" s="119" t="s">
        <v>560</v>
      </c>
      <c r="C102" s="119" t="s">
        <v>1740</v>
      </c>
      <c r="D102" s="121">
        <v>4253</v>
      </c>
      <c r="E102" s="329"/>
      <c r="F102" s="329"/>
      <c r="G102" s="444">
        <f t="shared" si="13"/>
        <v>0</v>
      </c>
      <c r="H102" s="444">
        <f t="shared" si="14"/>
        <v>0</v>
      </c>
      <c r="J102" s="109" t="s">
        <v>147</v>
      </c>
      <c r="K102" s="409">
        <f t="shared" si="8"/>
        <v>0</v>
      </c>
      <c r="L102" s="308" t="s">
        <v>1633</v>
      </c>
      <c r="M102" s="409">
        <f t="shared" si="9"/>
        <v>0</v>
      </c>
      <c r="N102" s="409" t="s">
        <v>994</v>
      </c>
      <c r="O102" s="90" t="s">
        <v>1110</v>
      </c>
      <c r="P102" s="408">
        <f t="shared" si="10"/>
        <v>4253</v>
      </c>
      <c r="R102" s="90">
        <f t="shared" si="12"/>
        <v>0</v>
      </c>
      <c r="S102" s="90">
        <v>102</v>
      </c>
    </row>
    <row r="103" spans="1:19" ht="11.25">
      <c r="A103" s="309">
        <v>87</v>
      </c>
      <c r="B103" s="119" t="s">
        <v>561</v>
      </c>
      <c r="C103" s="119" t="s">
        <v>299</v>
      </c>
      <c r="D103" s="121">
        <v>6566</v>
      </c>
      <c r="E103" s="329"/>
      <c r="F103" s="329"/>
      <c r="G103" s="444">
        <f t="shared" si="13"/>
        <v>0</v>
      </c>
      <c r="H103" s="444">
        <f t="shared" si="14"/>
        <v>0</v>
      </c>
      <c r="J103" s="109" t="s">
        <v>148</v>
      </c>
      <c r="K103" s="409">
        <f t="shared" si="8"/>
        <v>0</v>
      </c>
      <c r="L103" s="308" t="s">
        <v>1634</v>
      </c>
      <c r="M103" s="409">
        <f t="shared" si="9"/>
        <v>0</v>
      </c>
      <c r="N103" s="409" t="s">
        <v>995</v>
      </c>
      <c r="O103" s="90" t="s">
        <v>1111</v>
      </c>
      <c r="P103" s="408">
        <f t="shared" si="10"/>
        <v>6566</v>
      </c>
      <c r="R103" s="90">
        <f t="shared" si="12"/>
        <v>0</v>
      </c>
      <c r="S103" s="90">
        <v>103</v>
      </c>
    </row>
    <row r="104" spans="1:19" ht="11.25">
      <c r="A104" s="309">
        <v>148</v>
      </c>
      <c r="B104" s="119" t="s">
        <v>866</v>
      </c>
      <c r="C104" s="119" t="s">
        <v>299</v>
      </c>
      <c r="D104" s="121">
        <v>12963</v>
      </c>
      <c r="E104" s="329"/>
      <c r="F104" s="329"/>
      <c r="G104" s="444">
        <f t="shared" si="13"/>
        <v>0</v>
      </c>
      <c r="H104" s="444">
        <f t="shared" si="14"/>
        <v>0</v>
      </c>
      <c r="J104" s="109" t="s">
        <v>818</v>
      </c>
      <c r="K104" s="409">
        <f t="shared" si="8"/>
        <v>0</v>
      </c>
      <c r="L104" s="308" t="s">
        <v>820</v>
      </c>
      <c r="M104" s="409">
        <f t="shared" si="9"/>
        <v>0</v>
      </c>
      <c r="N104" s="409" t="s">
        <v>1112</v>
      </c>
      <c r="O104" s="90" t="s">
        <v>1113</v>
      </c>
      <c r="P104" s="408">
        <f t="shared" si="10"/>
        <v>12963</v>
      </c>
      <c r="R104" s="90">
        <f t="shared" si="12"/>
        <v>0</v>
      </c>
      <c r="S104" s="90">
        <v>104</v>
      </c>
    </row>
    <row r="105" spans="1:19" ht="11.25">
      <c r="A105" s="309">
        <v>149</v>
      </c>
      <c r="B105" s="119" t="s">
        <v>867</v>
      </c>
      <c r="C105" s="119"/>
      <c r="D105" s="121">
        <v>26892</v>
      </c>
      <c r="E105" s="329"/>
      <c r="F105" s="329"/>
      <c r="G105" s="444">
        <f t="shared" si="13"/>
        <v>0</v>
      </c>
      <c r="H105" s="444">
        <f t="shared" si="14"/>
        <v>0</v>
      </c>
      <c r="J105" s="109" t="s">
        <v>819</v>
      </c>
      <c r="K105" s="409">
        <f t="shared" si="8"/>
        <v>0</v>
      </c>
      <c r="L105" s="308" t="s">
        <v>821</v>
      </c>
      <c r="M105" s="409">
        <f t="shared" si="9"/>
        <v>0</v>
      </c>
      <c r="N105" s="409" t="s">
        <v>1114</v>
      </c>
      <c r="O105" s="90" t="s">
        <v>1115</v>
      </c>
      <c r="P105" s="408">
        <f t="shared" si="10"/>
        <v>26892</v>
      </c>
      <c r="R105" s="90">
        <f t="shared" si="12"/>
        <v>0</v>
      </c>
      <c r="S105" s="90">
        <v>105</v>
      </c>
    </row>
    <row r="106" spans="1:19" ht="11.25">
      <c r="A106" s="309">
        <v>89</v>
      </c>
      <c r="B106" s="119" t="s">
        <v>562</v>
      </c>
      <c r="C106" s="119" t="s">
        <v>1491</v>
      </c>
      <c r="D106" s="121">
        <v>966</v>
      </c>
      <c r="E106" s="329"/>
      <c r="F106" s="329"/>
      <c r="G106" s="444">
        <f t="shared" si="13"/>
        <v>0</v>
      </c>
      <c r="H106" s="444">
        <f t="shared" si="14"/>
        <v>0</v>
      </c>
      <c r="J106" s="109" t="s">
        <v>149</v>
      </c>
      <c r="K106" s="409">
        <f t="shared" si="8"/>
        <v>0</v>
      </c>
      <c r="L106" s="308" t="s">
        <v>1635</v>
      </c>
      <c r="M106" s="409">
        <f t="shared" si="9"/>
        <v>0</v>
      </c>
      <c r="N106" s="409" t="s">
        <v>996</v>
      </c>
      <c r="O106" s="90" t="s">
        <v>1116</v>
      </c>
      <c r="P106" s="408">
        <f t="shared" si="10"/>
        <v>966</v>
      </c>
      <c r="R106" s="90">
        <f t="shared" si="12"/>
        <v>0</v>
      </c>
      <c r="S106" s="90">
        <v>106</v>
      </c>
    </row>
    <row r="107" spans="1:19" ht="11.25">
      <c r="A107" s="309">
        <v>90</v>
      </c>
      <c r="B107" s="119" t="s">
        <v>563</v>
      </c>
      <c r="C107" s="119" t="s">
        <v>564</v>
      </c>
      <c r="D107" s="121">
        <v>1108</v>
      </c>
      <c r="E107" s="329"/>
      <c r="F107" s="329"/>
      <c r="G107" s="444">
        <f t="shared" si="13"/>
        <v>0</v>
      </c>
      <c r="H107" s="444">
        <f t="shared" si="14"/>
        <v>0</v>
      </c>
      <c r="J107" s="109" t="s">
        <v>150</v>
      </c>
      <c r="K107" s="409">
        <f t="shared" si="8"/>
        <v>0</v>
      </c>
      <c r="L107" s="308" t="s">
        <v>1636</v>
      </c>
      <c r="M107" s="409">
        <f t="shared" si="9"/>
        <v>0</v>
      </c>
      <c r="N107" s="409" t="s">
        <v>997</v>
      </c>
      <c r="O107" s="90" t="s">
        <v>1117</v>
      </c>
      <c r="P107" s="408">
        <f t="shared" si="10"/>
        <v>1108</v>
      </c>
      <c r="R107" s="90">
        <f t="shared" si="12"/>
        <v>0</v>
      </c>
      <c r="S107" s="90">
        <v>107</v>
      </c>
    </row>
    <row r="108" spans="1:19" ht="11.25">
      <c r="A108" s="309">
        <v>91</v>
      </c>
      <c r="B108" s="119" t="s">
        <v>565</v>
      </c>
      <c r="C108" s="119" t="s">
        <v>1491</v>
      </c>
      <c r="D108" s="121">
        <v>1964</v>
      </c>
      <c r="E108" s="329"/>
      <c r="F108" s="329"/>
      <c r="G108" s="444">
        <f t="shared" si="13"/>
        <v>0</v>
      </c>
      <c r="H108" s="444">
        <f t="shared" si="14"/>
        <v>0</v>
      </c>
      <c r="J108" s="109" t="s">
        <v>151</v>
      </c>
      <c r="K108" s="409">
        <f t="shared" si="8"/>
        <v>0</v>
      </c>
      <c r="L108" s="308" t="s">
        <v>1637</v>
      </c>
      <c r="M108" s="409">
        <f t="shared" si="9"/>
        <v>0</v>
      </c>
      <c r="N108" s="409" t="s">
        <v>998</v>
      </c>
      <c r="O108" s="90" t="s">
        <v>1118</v>
      </c>
      <c r="P108" s="408">
        <f t="shared" si="10"/>
        <v>1964</v>
      </c>
      <c r="R108" s="90">
        <f t="shared" si="12"/>
        <v>0</v>
      </c>
      <c r="S108" s="90">
        <v>108</v>
      </c>
    </row>
    <row r="109" spans="1:19" ht="11.25">
      <c r="A109" s="309">
        <v>92</v>
      </c>
      <c r="B109" s="119" t="s">
        <v>566</v>
      </c>
      <c r="C109" s="119" t="s">
        <v>564</v>
      </c>
      <c r="D109" s="121">
        <v>2193</v>
      </c>
      <c r="E109" s="329"/>
      <c r="F109" s="329"/>
      <c r="G109" s="444">
        <f t="shared" si="13"/>
        <v>0</v>
      </c>
      <c r="H109" s="444">
        <f t="shared" si="14"/>
        <v>0</v>
      </c>
      <c r="J109" s="109" t="s">
        <v>152</v>
      </c>
      <c r="K109" s="409">
        <f t="shared" si="8"/>
        <v>0</v>
      </c>
      <c r="L109" s="308" t="s">
        <v>1638</v>
      </c>
      <c r="M109" s="409">
        <f t="shared" si="9"/>
        <v>0</v>
      </c>
      <c r="N109" s="409" t="s">
        <v>999</v>
      </c>
      <c r="O109" s="90" t="s">
        <v>1119</v>
      </c>
      <c r="P109" s="408">
        <f t="shared" si="10"/>
        <v>2193</v>
      </c>
      <c r="R109" s="90">
        <f t="shared" si="12"/>
        <v>0</v>
      </c>
      <c r="S109" s="90">
        <v>109</v>
      </c>
    </row>
    <row r="110" spans="1:19" ht="11.25">
      <c r="A110" s="309">
        <v>93</v>
      </c>
      <c r="B110" s="119" t="s">
        <v>567</v>
      </c>
      <c r="C110" s="119" t="s">
        <v>1728</v>
      </c>
      <c r="D110" s="121">
        <v>3741</v>
      </c>
      <c r="E110" s="329"/>
      <c r="F110" s="329"/>
      <c r="G110" s="444">
        <f t="shared" si="13"/>
        <v>0</v>
      </c>
      <c r="H110" s="444">
        <f t="shared" si="14"/>
        <v>0</v>
      </c>
      <c r="J110" s="109" t="s">
        <v>153</v>
      </c>
      <c r="K110" s="409">
        <f t="shared" si="8"/>
        <v>0</v>
      </c>
      <c r="L110" s="308" t="s">
        <v>1639</v>
      </c>
      <c r="M110" s="409">
        <f t="shared" si="9"/>
        <v>0</v>
      </c>
      <c r="N110" s="409" t="s">
        <v>1000</v>
      </c>
      <c r="O110" s="90" t="s">
        <v>1120</v>
      </c>
      <c r="P110" s="408">
        <f t="shared" si="10"/>
        <v>3741</v>
      </c>
      <c r="R110" s="90">
        <f t="shared" si="12"/>
        <v>0</v>
      </c>
      <c r="S110" s="90">
        <v>110</v>
      </c>
    </row>
    <row r="111" spans="1:19" ht="11.25">
      <c r="A111" s="309">
        <v>94</v>
      </c>
      <c r="B111" s="119" t="s">
        <v>568</v>
      </c>
      <c r="C111" s="119" t="s">
        <v>1231</v>
      </c>
      <c r="D111" s="121">
        <v>4232</v>
      </c>
      <c r="E111" s="329"/>
      <c r="F111" s="329"/>
      <c r="G111" s="444">
        <f t="shared" si="13"/>
        <v>0</v>
      </c>
      <c r="H111" s="444">
        <f t="shared" si="14"/>
        <v>0</v>
      </c>
      <c r="J111" s="109" t="s">
        <v>154</v>
      </c>
      <c r="K111" s="409">
        <f t="shared" si="8"/>
        <v>0</v>
      </c>
      <c r="L111" s="308" t="s">
        <v>1640</v>
      </c>
      <c r="M111" s="409">
        <f t="shared" si="9"/>
        <v>0</v>
      </c>
      <c r="N111" s="409" t="s">
        <v>1001</v>
      </c>
      <c r="O111" s="90" t="s">
        <v>1121</v>
      </c>
      <c r="P111" s="408">
        <f t="shared" si="10"/>
        <v>4232</v>
      </c>
      <c r="R111" s="90">
        <f t="shared" si="12"/>
        <v>0</v>
      </c>
      <c r="S111" s="90">
        <v>111</v>
      </c>
    </row>
    <row r="112" spans="1:19" ht="11.25">
      <c r="A112" s="309">
        <v>95</v>
      </c>
      <c r="B112" s="119" t="s">
        <v>569</v>
      </c>
      <c r="C112" s="119" t="s">
        <v>1728</v>
      </c>
      <c r="D112" s="121">
        <v>6473</v>
      </c>
      <c r="E112" s="329"/>
      <c r="F112" s="329"/>
      <c r="G112" s="444">
        <f t="shared" si="13"/>
        <v>0</v>
      </c>
      <c r="H112" s="444">
        <f t="shared" si="14"/>
        <v>0</v>
      </c>
      <c r="J112" s="109" t="s">
        <v>155</v>
      </c>
      <c r="K112" s="409">
        <f t="shared" si="8"/>
        <v>0</v>
      </c>
      <c r="L112" s="308" t="s">
        <v>1641</v>
      </c>
      <c r="M112" s="409">
        <f t="shared" si="9"/>
        <v>0</v>
      </c>
      <c r="N112" s="409" t="s">
        <v>1002</v>
      </c>
      <c r="O112" s="90" t="s">
        <v>1122</v>
      </c>
      <c r="P112" s="408">
        <f t="shared" si="10"/>
        <v>6473</v>
      </c>
      <c r="R112" s="90">
        <f t="shared" si="12"/>
        <v>0</v>
      </c>
      <c r="S112" s="90">
        <v>112</v>
      </c>
    </row>
    <row r="113" spans="1:19" ht="11.25">
      <c r="A113" s="309">
        <v>96</v>
      </c>
      <c r="B113" s="119" t="s">
        <v>570</v>
      </c>
      <c r="C113" s="119" t="s">
        <v>1231</v>
      </c>
      <c r="D113" s="121">
        <v>7515</v>
      </c>
      <c r="E113" s="329"/>
      <c r="F113" s="329"/>
      <c r="G113" s="444">
        <f t="shared" si="13"/>
        <v>0</v>
      </c>
      <c r="H113" s="444">
        <f t="shared" si="14"/>
        <v>0</v>
      </c>
      <c r="J113" s="109" t="s">
        <v>156</v>
      </c>
      <c r="K113" s="409">
        <f t="shared" si="8"/>
        <v>0</v>
      </c>
      <c r="L113" s="308" t="s">
        <v>1642</v>
      </c>
      <c r="M113" s="409">
        <f t="shared" si="9"/>
        <v>0</v>
      </c>
      <c r="N113" s="409" t="s">
        <v>1003</v>
      </c>
      <c r="O113" s="90" t="s">
        <v>1123</v>
      </c>
      <c r="P113" s="408">
        <f t="shared" si="10"/>
        <v>7515</v>
      </c>
      <c r="R113" s="90">
        <f t="shared" si="12"/>
        <v>0</v>
      </c>
      <c r="S113" s="90">
        <v>113</v>
      </c>
    </row>
    <row r="114" spans="1:19" ht="11.25">
      <c r="A114" s="309">
        <v>97</v>
      </c>
      <c r="B114" s="119" t="s">
        <v>571</v>
      </c>
      <c r="C114" s="119" t="s">
        <v>1482</v>
      </c>
      <c r="D114" s="121">
        <v>10995</v>
      </c>
      <c r="E114" s="329"/>
      <c r="F114" s="329"/>
      <c r="G114" s="444">
        <f t="shared" si="13"/>
        <v>0</v>
      </c>
      <c r="H114" s="444">
        <f t="shared" si="14"/>
        <v>0</v>
      </c>
      <c r="J114" s="109" t="s">
        <v>157</v>
      </c>
      <c r="K114" s="409">
        <f t="shared" si="8"/>
        <v>0</v>
      </c>
      <c r="L114" s="308" t="s">
        <v>1643</v>
      </c>
      <c r="M114" s="409">
        <f t="shared" si="9"/>
        <v>0</v>
      </c>
      <c r="N114" s="409" t="s">
        <v>1004</v>
      </c>
      <c r="O114" s="90" t="s">
        <v>1124</v>
      </c>
      <c r="P114" s="408">
        <f t="shared" si="10"/>
        <v>10995</v>
      </c>
      <c r="R114" s="90">
        <f t="shared" si="12"/>
        <v>0</v>
      </c>
      <c r="S114" s="90">
        <v>114</v>
      </c>
    </row>
    <row r="115" spans="1:19" ht="11.25">
      <c r="A115" s="309">
        <v>98</v>
      </c>
      <c r="B115" s="119" t="s">
        <v>572</v>
      </c>
      <c r="C115" s="119" t="s">
        <v>1484</v>
      </c>
      <c r="D115" s="121">
        <v>13466</v>
      </c>
      <c r="E115" s="329"/>
      <c r="F115" s="329"/>
      <c r="G115" s="444">
        <f t="shared" si="13"/>
        <v>0</v>
      </c>
      <c r="H115" s="444">
        <f t="shared" si="14"/>
        <v>0</v>
      </c>
      <c r="J115" s="109" t="s">
        <v>158</v>
      </c>
      <c r="K115" s="409">
        <f t="shared" si="8"/>
        <v>0</v>
      </c>
      <c r="L115" s="308" t="s">
        <v>1644</v>
      </c>
      <c r="M115" s="409">
        <f t="shared" si="9"/>
        <v>0</v>
      </c>
      <c r="N115" s="409" t="s">
        <v>1005</v>
      </c>
      <c r="O115" s="90" t="s">
        <v>1125</v>
      </c>
      <c r="P115" s="408">
        <f t="shared" si="10"/>
        <v>13466</v>
      </c>
      <c r="R115" s="90">
        <f t="shared" si="12"/>
        <v>0</v>
      </c>
      <c r="S115" s="90">
        <v>115</v>
      </c>
    </row>
    <row r="116" spans="1:19" ht="11.25">
      <c r="A116" s="309">
        <v>150</v>
      </c>
      <c r="B116" s="119" t="s">
        <v>868</v>
      </c>
      <c r="C116" s="119" t="s">
        <v>299</v>
      </c>
      <c r="D116" s="121">
        <v>22879</v>
      </c>
      <c r="E116" s="329"/>
      <c r="F116" s="329"/>
      <c r="G116" s="444">
        <f t="shared" si="13"/>
        <v>0</v>
      </c>
      <c r="H116" s="444">
        <f t="shared" si="14"/>
        <v>0</v>
      </c>
      <c r="J116" s="109" t="s">
        <v>822</v>
      </c>
      <c r="K116" s="409">
        <f t="shared" si="8"/>
        <v>0</v>
      </c>
      <c r="L116" s="308" t="s">
        <v>824</v>
      </c>
      <c r="M116" s="409">
        <f t="shared" si="9"/>
        <v>0</v>
      </c>
      <c r="N116" s="409" t="s">
        <v>1126</v>
      </c>
      <c r="O116" s="90" t="s">
        <v>1127</v>
      </c>
      <c r="P116" s="408">
        <f t="shared" si="10"/>
        <v>22879</v>
      </c>
      <c r="R116" s="90">
        <f t="shared" si="12"/>
        <v>0</v>
      </c>
      <c r="S116" s="90">
        <v>116</v>
      </c>
    </row>
    <row r="117" spans="1:19" ht="11.25">
      <c r="A117" s="309">
        <v>151</v>
      </c>
      <c r="B117" s="119" t="s">
        <v>869</v>
      </c>
      <c r="C117" s="119"/>
      <c r="D117" s="121">
        <v>35241</v>
      </c>
      <c r="E117" s="329"/>
      <c r="F117" s="329"/>
      <c r="G117" s="444">
        <f t="shared" si="13"/>
        <v>0</v>
      </c>
      <c r="H117" s="444">
        <f t="shared" si="14"/>
        <v>0</v>
      </c>
      <c r="J117" s="109" t="s">
        <v>823</v>
      </c>
      <c r="K117" s="409">
        <f t="shared" si="8"/>
        <v>0</v>
      </c>
      <c r="L117" s="308" t="s">
        <v>825</v>
      </c>
      <c r="M117" s="409">
        <f t="shared" si="9"/>
        <v>0</v>
      </c>
      <c r="N117" s="409" t="s">
        <v>1128</v>
      </c>
      <c r="O117" s="90" t="s">
        <v>1129</v>
      </c>
      <c r="P117" s="408">
        <f t="shared" si="10"/>
        <v>35241</v>
      </c>
      <c r="R117" s="90">
        <f t="shared" si="12"/>
        <v>0</v>
      </c>
      <c r="S117" s="90">
        <v>117</v>
      </c>
    </row>
    <row r="118" spans="1:19" ht="11.25">
      <c r="A118" s="309">
        <v>100</v>
      </c>
      <c r="B118" s="119" t="s">
        <v>573</v>
      </c>
      <c r="C118" s="119" t="s">
        <v>1491</v>
      </c>
      <c r="D118" s="121">
        <v>883</v>
      </c>
      <c r="E118" s="329"/>
      <c r="F118" s="329"/>
      <c r="G118" s="444">
        <f t="shared" si="13"/>
        <v>0</v>
      </c>
      <c r="H118" s="444">
        <f t="shared" si="14"/>
        <v>0</v>
      </c>
      <c r="J118" s="109" t="s">
        <v>159</v>
      </c>
      <c r="K118" s="409">
        <f t="shared" si="8"/>
        <v>0</v>
      </c>
      <c r="L118" s="308" t="s">
        <v>1645</v>
      </c>
      <c r="M118" s="409">
        <f t="shared" si="9"/>
        <v>0</v>
      </c>
      <c r="N118" s="409" t="s">
        <v>1006</v>
      </c>
      <c r="O118" s="90" t="s">
        <v>1130</v>
      </c>
      <c r="P118" s="408">
        <f t="shared" si="10"/>
        <v>883</v>
      </c>
      <c r="R118" s="90">
        <f t="shared" si="12"/>
        <v>0</v>
      </c>
      <c r="S118" s="90">
        <v>118</v>
      </c>
    </row>
    <row r="119" spans="1:19" ht="11.25">
      <c r="A119" s="309">
        <v>101</v>
      </c>
      <c r="B119" s="119" t="s">
        <v>574</v>
      </c>
      <c r="C119" s="119" t="s">
        <v>1493</v>
      </c>
      <c r="D119" s="121">
        <v>1087</v>
      </c>
      <c r="E119" s="329"/>
      <c r="F119" s="329"/>
      <c r="G119" s="444">
        <f t="shared" si="13"/>
        <v>0</v>
      </c>
      <c r="H119" s="444">
        <f t="shared" si="14"/>
        <v>0</v>
      </c>
      <c r="J119" s="109" t="s">
        <v>160</v>
      </c>
      <c r="K119" s="409">
        <f t="shared" si="8"/>
        <v>0</v>
      </c>
      <c r="L119" s="308" t="s">
        <v>1646</v>
      </c>
      <c r="M119" s="409">
        <f t="shared" si="9"/>
        <v>0</v>
      </c>
      <c r="N119" s="409" t="s">
        <v>1007</v>
      </c>
      <c r="O119" s="90" t="s">
        <v>1131</v>
      </c>
      <c r="P119" s="408">
        <f t="shared" si="10"/>
        <v>1087</v>
      </c>
      <c r="R119" s="90">
        <f t="shared" si="12"/>
        <v>0</v>
      </c>
      <c r="S119" s="90">
        <v>119</v>
      </c>
    </row>
    <row r="120" spans="1:19" ht="11.25">
      <c r="A120" s="309">
        <v>102</v>
      </c>
      <c r="B120" s="119" t="s">
        <v>575</v>
      </c>
      <c r="C120" s="119" t="s">
        <v>1491</v>
      </c>
      <c r="D120" s="121">
        <v>1856</v>
      </c>
      <c r="E120" s="329"/>
      <c r="F120" s="329"/>
      <c r="G120" s="444">
        <f t="shared" si="13"/>
        <v>0</v>
      </c>
      <c r="H120" s="444">
        <f t="shared" si="14"/>
        <v>0</v>
      </c>
      <c r="J120" s="109" t="s">
        <v>161</v>
      </c>
      <c r="K120" s="409">
        <f t="shared" si="8"/>
        <v>0</v>
      </c>
      <c r="L120" s="308" t="s">
        <v>1647</v>
      </c>
      <c r="M120" s="409">
        <f t="shared" si="9"/>
        <v>0</v>
      </c>
      <c r="N120" s="409" t="s">
        <v>1008</v>
      </c>
      <c r="O120" s="90" t="s">
        <v>1132</v>
      </c>
      <c r="P120" s="408">
        <f t="shared" si="10"/>
        <v>1856</v>
      </c>
      <c r="R120" s="90">
        <f t="shared" si="12"/>
        <v>0</v>
      </c>
      <c r="S120" s="90">
        <v>120</v>
      </c>
    </row>
    <row r="121" spans="1:19" ht="11.25">
      <c r="A121" s="309">
        <v>103</v>
      </c>
      <c r="B121" s="119" t="s">
        <v>576</v>
      </c>
      <c r="C121" s="119" t="s">
        <v>1493</v>
      </c>
      <c r="D121" s="121">
        <v>2125</v>
      </c>
      <c r="E121" s="329"/>
      <c r="F121" s="329"/>
      <c r="G121" s="444">
        <f t="shared" si="13"/>
        <v>0</v>
      </c>
      <c r="H121" s="444">
        <f t="shared" si="14"/>
        <v>0</v>
      </c>
      <c r="J121" s="109" t="s">
        <v>162</v>
      </c>
      <c r="K121" s="409">
        <f t="shared" si="8"/>
        <v>0</v>
      </c>
      <c r="L121" s="308" t="s">
        <v>1648</v>
      </c>
      <c r="M121" s="409">
        <f t="shared" si="9"/>
        <v>0</v>
      </c>
      <c r="N121" s="409" t="s">
        <v>1009</v>
      </c>
      <c r="O121" s="90" t="s">
        <v>1133</v>
      </c>
      <c r="P121" s="408">
        <f t="shared" si="10"/>
        <v>2125</v>
      </c>
      <c r="R121" s="90">
        <f t="shared" si="12"/>
        <v>0</v>
      </c>
      <c r="S121" s="90">
        <v>121</v>
      </c>
    </row>
    <row r="122" spans="1:19" ht="11.25">
      <c r="A122" s="309">
        <v>104</v>
      </c>
      <c r="B122" s="119" t="s">
        <v>577</v>
      </c>
      <c r="C122" s="119" t="s">
        <v>1685</v>
      </c>
      <c r="D122" s="121">
        <v>3686</v>
      </c>
      <c r="E122" s="329"/>
      <c r="F122" s="329"/>
      <c r="G122" s="444">
        <f t="shared" si="13"/>
        <v>0</v>
      </c>
      <c r="H122" s="444">
        <f t="shared" si="14"/>
        <v>0</v>
      </c>
      <c r="J122" s="109" t="s">
        <v>163</v>
      </c>
      <c r="K122" s="409">
        <f t="shared" si="8"/>
        <v>0</v>
      </c>
      <c r="L122" s="308" t="s">
        <v>1649</v>
      </c>
      <c r="M122" s="409">
        <f t="shared" si="9"/>
        <v>0</v>
      </c>
      <c r="N122" s="409" t="s">
        <v>1010</v>
      </c>
      <c r="O122" s="90" t="s">
        <v>1134</v>
      </c>
      <c r="P122" s="408">
        <f t="shared" si="10"/>
        <v>3686</v>
      </c>
      <c r="R122" s="90">
        <f t="shared" si="12"/>
        <v>0</v>
      </c>
      <c r="S122" s="90">
        <v>122</v>
      </c>
    </row>
    <row r="123" spans="1:19" ht="11.25">
      <c r="A123" s="309">
        <v>105</v>
      </c>
      <c r="B123" s="119" t="s">
        <v>578</v>
      </c>
      <c r="C123" s="119" t="s">
        <v>1685</v>
      </c>
      <c r="D123" s="121">
        <v>6254</v>
      </c>
      <c r="E123" s="329"/>
      <c r="F123" s="329"/>
      <c r="G123" s="444">
        <f t="shared" si="13"/>
        <v>0</v>
      </c>
      <c r="H123" s="444">
        <f t="shared" si="14"/>
        <v>0</v>
      </c>
      <c r="J123" s="109" t="s">
        <v>164</v>
      </c>
      <c r="K123" s="409">
        <f t="shared" si="8"/>
        <v>0</v>
      </c>
      <c r="L123" s="308" t="s">
        <v>1650</v>
      </c>
      <c r="M123" s="409">
        <f t="shared" si="9"/>
        <v>0</v>
      </c>
      <c r="N123" s="409" t="s">
        <v>1011</v>
      </c>
      <c r="O123" s="90" t="s">
        <v>1135</v>
      </c>
      <c r="P123" s="408">
        <f t="shared" si="10"/>
        <v>6254</v>
      </c>
      <c r="R123" s="90">
        <f t="shared" si="12"/>
        <v>0</v>
      </c>
      <c r="S123" s="90">
        <v>123</v>
      </c>
    </row>
    <row r="124" spans="1:19" ht="11.25">
      <c r="A124" s="309">
        <v>152</v>
      </c>
      <c r="B124" s="119" t="s">
        <v>870</v>
      </c>
      <c r="C124" s="119" t="s">
        <v>1685</v>
      </c>
      <c r="D124" s="121">
        <v>12833</v>
      </c>
      <c r="E124" s="329"/>
      <c r="F124" s="329"/>
      <c r="G124" s="444">
        <f t="shared" si="13"/>
        <v>0</v>
      </c>
      <c r="H124" s="444">
        <f t="shared" si="14"/>
        <v>0</v>
      </c>
      <c r="J124" s="109" t="s">
        <v>826</v>
      </c>
      <c r="K124" s="409">
        <f t="shared" si="8"/>
        <v>0</v>
      </c>
      <c r="L124" s="308" t="s">
        <v>828</v>
      </c>
      <c r="M124" s="409">
        <f t="shared" si="9"/>
        <v>0</v>
      </c>
      <c r="N124" s="409" t="s">
        <v>1136</v>
      </c>
      <c r="O124" s="90" t="s">
        <v>1137</v>
      </c>
      <c r="P124" s="408">
        <f t="shared" si="10"/>
        <v>12833</v>
      </c>
      <c r="R124" s="90">
        <f t="shared" si="12"/>
        <v>0</v>
      </c>
      <c r="S124" s="90">
        <v>124</v>
      </c>
    </row>
    <row r="125" spans="1:19" ht="11.25">
      <c r="A125" s="309">
        <v>153</v>
      </c>
      <c r="B125" s="119" t="s">
        <v>871</v>
      </c>
      <c r="C125" s="119"/>
      <c r="D125" s="121">
        <v>28918</v>
      </c>
      <c r="E125" s="329"/>
      <c r="F125" s="329"/>
      <c r="G125" s="444">
        <f t="shared" si="13"/>
        <v>0</v>
      </c>
      <c r="H125" s="444">
        <f t="shared" si="14"/>
        <v>0</v>
      </c>
      <c r="J125" s="109" t="s">
        <v>827</v>
      </c>
      <c r="K125" s="409">
        <f t="shared" si="8"/>
        <v>0</v>
      </c>
      <c r="L125" s="308" t="s">
        <v>829</v>
      </c>
      <c r="M125" s="409">
        <f t="shared" si="9"/>
        <v>0</v>
      </c>
      <c r="N125" s="409" t="s">
        <v>1138</v>
      </c>
      <c r="O125" s="90" t="s">
        <v>1139</v>
      </c>
      <c r="P125" s="408">
        <f t="shared" si="10"/>
        <v>28918</v>
      </c>
      <c r="R125" s="90">
        <f t="shared" si="12"/>
        <v>0</v>
      </c>
      <c r="S125" s="90">
        <v>125</v>
      </c>
    </row>
    <row r="126" spans="1:19" ht="11.25">
      <c r="A126" s="309">
        <v>107</v>
      </c>
      <c r="B126" s="119" t="s">
        <v>579</v>
      </c>
      <c r="C126" s="119" t="s">
        <v>1491</v>
      </c>
      <c r="D126" s="121">
        <v>875</v>
      </c>
      <c r="E126" s="329"/>
      <c r="F126" s="329"/>
      <c r="G126" s="444">
        <f t="shared" si="13"/>
        <v>0</v>
      </c>
      <c r="H126" s="444">
        <f t="shared" si="14"/>
        <v>0</v>
      </c>
      <c r="J126" s="109" t="s">
        <v>165</v>
      </c>
      <c r="K126" s="409">
        <f t="shared" si="8"/>
        <v>0</v>
      </c>
      <c r="L126" s="308" t="s">
        <v>1651</v>
      </c>
      <c r="M126" s="409">
        <f t="shared" si="9"/>
        <v>0</v>
      </c>
      <c r="N126" s="409" t="s">
        <v>1012</v>
      </c>
      <c r="O126" s="90" t="s">
        <v>1140</v>
      </c>
      <c r="P126" s="408">
        <f t="shared" si="10"/>
        <v>875</v>
      </c>
      <c r="R126" s="90">
        <f t="shared" si="12"/>
        <v>0</v>
      </c>
      <c r="S126" s="90">
        <v>126</v>
      </c>
    </row>
    <row r="127" spans="1:19" ht="11.25">
      <c r="A127" s="309">
        <v>108</v>
      </c>
      <c r="B127" s="119" t="s">
        <v>580</v>
      </c>
      <c r="C127" s="119" t="s">
        <v>1493</v>
      </c>
      <c r="D127" s="121">
        <v>1016</v>
      </c>
      <c r="E127" s="329"/>
      <c r="F127" s="329"/>
      <c r="G127" s="444">
        <f t="shared" si="13"/>
        <v>0</v>
      </c>
      <c r="H127" s="444">
        <f t="shared" si="14"/>
        <v>0</v>
      </c>
      <c r="J127" s="109" t="s">
        <v>166</v>
      </c>
      <c r="K127" s="409">
        <f t="shared" si="8"/>
        <v>0</v>
      </c>
      <c r="L127" s="308" t="s">
        <v>1652</v>
      </c>
      <c r="M127" s="409">
        <f t="shared" si="9"/>
        <v>0</v>
      </c>
      <c r="N127" s="409" t="s">
        <v>1013</v>
      </c>
      <c r="O127" s="90" t="s">
        <v>1141</v>
      </c>
      <c r="P127" s="408">
        <f t="shared" si="10"/>
        <v>1016</v>
      </c>
      <c r="R127" s="90">
        <f t="shared" si="12"/>
        <v>0</v>
      </c>
      <c r="S127" s="90">
        <v>127</v>
      </c>
    </row>
    <row r="128" spans="1:19" ht="11.25">
      <c r="A128" s="309">
        <v>109</v>
      </c>
      <c r="B128" s="119" t="s">
        <v>581</v>
      </c>
      <c r="C128" s="119" t="s">
        <v>1491</v>
      </c>
      <c r="D128" s="121">
        <v>1891</v>
      </c>
      <c r="E128" s="329"/>
      <c r="F128" s="329"/>
      <c r="G128" s="444">
        <f t="shared" si="13"/>
        <v>0</v>
      </c>
      <c r="H128" s="444">
        <f t="shared" si="14"/>
        <v>0</v>
      </c>
      <c r="J128" s="109" t="s">
        <v>167</v>
      </c>
      <c r="K128" s="409">
        <f t="shared" si="8"/>
        <v>0</v>
      </c>
      <c r="L128" s="308" t="s">
        <v>1653</v>
      </c>
      <c r="M128" s="409">
        <f t="shared" si="9"/>
        <v>0</v>
      </c>
      <c r="N128" s="409" t="s">
        <v>1014</v>
      </c>
      <c r="O128" s="90" t="s">
        <v>1142</v>
      </c>
      <c r="P128" s="408">
        <f t="shared" si="10"/>
        <v>1891</v>
      </c>
      <c r="R128" s="90">
        <f t="shared" si="12"/>
        <v>0</v>
      </c>
      <c r="S128" s="90">
        <v>128</v>
      </c>
    </row>
    <row r="129" spans="1:19" ht="11.25">
      <c r="A129" s="309">
        <v>110</v>
      </c>
      <c r="B129" s="119" t="s">
        <v>229</v>
      </c>
      <c r="C129" s="119" t="s">
        <v>1493</v>
      </c>
      <c r="D129" s="121">
        <v>2112</v>
      </c>
      <c r="E129" s="329"/>
      <c r="F129" s="329"/>
      <c r="G129" s="444">
        <f t="shared" si="13"/>
        <v>0</v>
      </c>
      <c r="H129" s="444">
        <f t="shared" si="14"/>
        <v>0</v>
      </c>
      <c r="J129" s="109" t="s">
        <v>168</v>
      </c>
      <c r="K129" s="409">
        <f t="shared" si="8"/>
        <v>0</v>
      </c>
      <c r="L129" s="308" t="s">
        <v>1654</v>
      </c>
      <c r="M129" s="409">
        <f t="shared" si="9"/>
        <v>0</v>
      </c>
      <c r="N129" s="409" t="s">
        <v>1015</v>
      </c>
      <c r="O129" s="90" t="s">
        <v>1143</v>
      </c>
      <c r="P129" s="408">
        <f t="shared" si="10"/>
        <v>2112</v>
      </c>
      <c r="R129" s="90">
        <f t="shared" si="12"/>
        <v>0</v>
      </c>
      <c r="S129" s="90">
        <v>129</v>
      </c>
    </row>
    <row r="130" spans="1:19" ht="11.25">
      <c r="A130" s="309">
        <v>111</v>
      </c>
      <c r="B130" s="119" t="s">
        <v>230</v>
      </c>
      <c r="C130" s="119" t="s">
        <v>299</v>
      </c>
      <c r="D130" s="121">
        <v>3876</v>
      </c>
      <c r="E130" s="329"/>
      <c r="F130" s="329"/>
      <c r="G130" s="444">
        <f t="shared" si="13"/>
        <v>0</v>
      </c>
      <c r="H130" s="444">
        <f t="shared" si="14"/>
        <v>0</v>
      </c>
      <c r="J130" s="109" t="s">
        <v>169</v>
      </c>
      <c r="K130" s="409">
        <f t="shared" si="8"/>
        <v>0</v>
      </c>
      <c r="L130" s="308" t="s">
        <v>1655</v>
      </c>
      <c r="M130" s="409">
        <f t="shared" si="9"/>
        <v>0</v>
      </c>
      <c r="N130" s="409" t="s">
        <v>1016</v>
      </c>
      <c r="O130" s="90" t="s">
        <v>1144</v>
      </c>
      <c r="P130" s="408">
        <f t="shared" si="10"/>
        <v>3876</v>
      </c>
      <c r="R130" s="90">
        <f t="shared" si="12"/>
        <v>0</v>
      </c>
      <c r="S130" s="90">
        <v>130</v>
      </c>
    </row>
    <row r="131" spans="1:19" ht="22.5">
      <c r="A131" s="330" t="s">
        <v>1716</v>
      </c>
      <c r="B131" s="331" t="s">
        <v>287</v>
      </c>
      <c r="C131" s="331" t="s">
        <v>1717</v>
      </c>
      <c r="D131" s="331" t="s">
        <v>852</v>
      </c>
      <c r="E131" s="332" t="s">
        <v>507</v>
      </c>
      <c r="F131" s="332" t="s">
        <v>508</v>
      </c>
      <c r="G131" s="445" t="s">
        <v>509</v>
      </c>
      <c r="H131" s="445" t="s">
        <v>1695</v>
      </c>
      <c r="J131" s="109"/>
      <c r="K131" s="409"/>
      <c r="M131" s="409"/>
      <c r="N131" s="409"/>
      <c r="P131" s="408"/>
      <c r="S131" s="90">
        <v>131</v>
      </c>
    </row>
    <row r="132" spans="1:19" ht="11.25">
      <c r="A132" s="326">
        <v>112</v>
      </c>
      <c r="B132" s="327" t="s">
        <v>231</v>
      </c>
      <c r="C132" s="327" t="s">
        <v>299</v>
      </c>
      <c r="D132" s="328">
        <v>6555</v>
      </c>
      <c r="E132" s="329"/>
      <c r="F132" s="329"/>
      <c r="G132" s="443">
        <f t="shared" si="13"/>
        <v>0</v>
      </c>
      <c r="H132" s="443">
        <f t="shared" si="14"/>
        <v>0</v>
      </c>
      <c r="J132" s="109" t="s">
        <v>170</v>
      </c>
      <c r="K132" s="409">
        <f t="shared" si="8"/>
        <v>0</v>
      </c>
      <c r="L132" s="308" t="s">
        <v>1656</v>
      </c>
      <c r="M132" s="409">
        <f t="shared" si="9"/>
        <v>0</v>
      </c>
      <c r="N132" s="409" t="s">
        <v>1017</v>
      </c>
      <c r="O132" s="90" t="s">
        <v>1145</v>
      </c>
      <c r="P132" s="408">
        <f t="shared" si="10"/>
        <v>6555</v>
      </c>
      <c r="R132" s="90">
        <f t="shared" si="12"/>
        <v>0</v>
      </c>
      <c r="S132" s="90">
        <v>132</v>
      </c>
    </row>
    <row r="133" spans="1:19" ht="11.25">
      <c r="A133" s="309">
        <v>154</v>
      </c>
      <c r="B133" s="327" t="s">
        <v>872</v>
      </c>
      <c r="C133" s="119" t="s">
        <v>1685</v>
      </c>
      <c r="D133" s="121">
        <v>12625</v>
      </c>
      <c r="E133" s="329"/>
      <c r="F133" s="329"/>
      <c r="G133" s="444">
        <f t="shared" si="13"/>
        <v>0</v>
      </c>
      <c r="H133" s="444">
        <f t="shared" si="14"/>
        <v>0</v>
      </c>
      <c r="J133" s="109" t="s">
        <v>830</v>
      </c>
      <c r="K133" s="409">
        <f t="shared" si="8"/>
        <v>0</v>
      </c>
      <c r="L133" s="308" t="s">
        <v>832</v>
      </c>
      <c r="M133" s="409">
        <f t="shared" si="9"/>
        <v>0</v>
      </c>
      <c r="N133" s="409" t="s">
        <v>1146</v>
      </c>
      <c r="O133" s="90" t="s">
        <v>1148</v>
      </c>
      <c r="P133" s="408">
        <f t="shared" si="10"/>
        <v>12625</v>
      </c>
      <c r="R133" s="90">
        <f t="shared" si="12"/>
        <v>0</v>
      </c>
      <c r="S133" s="90">
        <v>133</v>
      </c>
    </row>
    <row r="134" spans="1:19" ht="11.25">
      <c r="A134" s="309">
        <v>155</v>
      </c>
      <c r="B134" s="119" t="s">
        <v>873</v>
      </c>
      <c r="C134" s="119"/>
      <c r="D134" s="121">
        <v>26241</v>
      </c>
      <c r="E134" s="329"/>
      <c r="F134" s="329"/>
      <c r="G134" s="444">
        <f t="shared" si="13"/>
        <v>0</v>
      </c>
      <c r="H134" s="444">
        <f t="shared" si="14"/>
        <v>0</v>
      </c>
      <c r="J134" s="109" t="s">
        <v>831</v>
      </c>
      <c r="K134" s="409">
        <f t="shared" si="8"/>
        <v>0</v>
      </c>
      <c r="L134" s="308" t="s">
        <v>833</v>
      </c>
      <c r="M134" s="409">
        <f t="shared" si="9"/>
        <v>0</v>
      </c>
      <c r="N134" s="409" t="s">
        <v>1149</v>
      </c>
      <c r="O134" s="90" t="s">
        <v>1147</v>
      </c>
      <c r="P134" s="408">
        <f t="shared" si="10"/>
        <v>26241</v>
      </c>
      <c r="R134" s="90">
        <f t="shared" si="12"/>
        <v>0</v>
      </c>
      <c r="S134" s="90">
        <v>134</v>
      </c>
    </row>
    <row r="135" spans="1:19" ht="11.25">
      <c r="A135" s="309">
        <v>114</v>
      </c>
      <c r="B135" s="119" t="s">
        <v>232</v>
      </c>
      <c r="C135" s="119" t="s">
        <v>1738</v>
      </c>
      <c r="D135" s="121">
        <v>953</v>
      </c>
      <c r="E135" s="329"/>
      <c r="F135" s="329"/>
      <c r="G135" s="444">
        <f t="shared" si="13"/>
        <v>0</v>
      </c>
      <c r="H135" s="444">
        <f t="shared" si="14"/>
        <v>0</v>
      </c>
      <c r="J135" s="109" t="s">
        <v>171</v>
      </c>
      <c r="K135" s="409">
        <f t="shared" si="8"/>
        <v>0</v>
      </c>
      <c r="L135" s="308" t="s">
        <v>1657</v>
      </c>
      <c r="M135" s="409">
        <f t="shared" si="9"/>
        <v>0</v>
      </c>
      <c r="N135" s="409" t="s">
        <v>1018</v>
      </c>
      <c r="O135" s="90" t="s">
        <v>1150</v>
      </c>
      <c r="P135" s="408">
        <f t="shared" si="10"/>
        <v>953</v>
      </c>
      <c r="R135" s="90">
        <f t="shared" si="12"/>
        <v>0</v>
      </c>
      <c r="S135" s="90">
        <v>135</v>
      </c>
    </row>
    <row r="136" spans="1:19" ht="11.25">
      <c r="A136" s="309">
        <v>115</v>
      </c>
      <c r="B136" s="119" t="s">
        <v>234</v>
      </c>
      <c r="C136" s="119" t="s">
        <v>1740</v>
      </c>
      <c r="D136" s="121">
        <v>1155</v>
      </c>
      <c r="E136" s="329"/>
      <c r="F136" s="329"/>
      <c r="G136" s="444">
        <f t="shared" si="13"/>
        <v>0</v>
      </c>
      <c r="H136" s="444">
        <f t="shared" si="14"/>
        <v>0</v>
      </c>
      <c r="J136" s="109" t="s">
        <v>172</v>
      </c>
      <c r="K136" s="409">
        <f t="shared" si="8"/>
        <v>0</v>
      </c>
      <c r="L136" s="308" t="s">
        <v>1658</v>
      </c>
      <c r="M136" s="409">
        <f t="shared" si="9"/>
        <v>0</v>
      </c>
      <c r="N136" s="409" t="s">
        <v>1019</v>
      </c>
      <c r="O136" s="90" t="s">
        <v>1151</v>
      </c>
      <c r="P136" s="408">
        <f t="shared" si="10"/>
        <v>1155</v>
      </c>
      <c r="R136" s="90">
        <f t="shared" si="12"/>
        <v>0</v>
      </c>
      <c r="S136" s="90">
        <v>136</v>
      </c>
    </row>
    <row r="137" spans="1:19" ht="11.25">
      <c r="A137" s="309">
        <v>116</v>
      </c>
      <c r="B137" s="119" t="s">
        <v>235</v>
      </c>
      <c r="C137" s="119" t="s">
        <v>78</v>
      </c>
      <c r="D137" s="121">
        <v>1949</v>
      </c>
      <c r="E137" s="329"/>
      <c r="F137" s="329"/>
      <c r="G137" s="444">
        <f t="shared" si="13"/>
        <v>0</v>
      </c>
      <c r="H137" s="444">
        <f t="shared" si="14"/>
        <v>0</v>
      </c>
      <c r="J137" s="109" t="s">
        <v>173</v>
      </c>
      <c r="K137" s="409">
        <f t="shared" si="8"/>
        <v>0</v>
      </c>
      <c r="L137" s="308" t="s">
        <v>1659</v>
      </c>
      <c r="M137" s="409">
        <f t="shared" si="9"/>
        <v>0</v>
      </c>
      <c r="N137" s="409" t="s">
        <v>1020</v>
      </c>
      <c r="O137" s="90" t="s">
        <v>1152</v>
      </c>
      <c r="P137" s="408">
        <f t="shared" si="10"/>
        <v>1949</v>
      </c>
      <c r="R137" s="90">
        <f t="shared" si="12"/>
        <v>0</v>
      </c>
      <c r="S137" s="90">
        <v>137</v>
      </c>
    </row>
    <row r="138" spans="1:19" ht="11.25">
      <c r="A138" s="309">
        <v>117</v>
      </c>
      <c r="B138" s="119" t="s">
        <v>236</v>
      </c>
      <c r="C138" s="119" t="s">
        <v>80</v>
      </c>
      <c r="D138" s="121">
        <v>2260</v>
      </c>
      <c r="E138" s="329"/>
      <c r="F138" s="329"/>
      <c r="G138" s="444">
        <f t="shared" si="13"/>
        <v>0</v>
      </c>
      <c r="H138" s="444">
        <f t="shared" si="14"/>
        <v>0</v>
      </c>
      <c r="J138" s="109" t="s">
        <v>174</v>
      </c>
      <c r="K138" s="409">
        <f t="shared" si="8"/>
        <v>0</v>
      </c>
      <c r="L138" s="308" t="s">
        <v>1660</v>
      </c>
      <c r="M138" s="409">
        <f t="shared" si="9"/>
        <v>0</v>
      </c>
      <c r="N138" s="409" t="s">
        <v>1021</v>
      </c>
      <c r="O138" s="90" t="s">
        <v>1153</v>
      </c>
      <c r="P138" s="408">
        <f t="shared" si="10"/>
        <v>2260</v>
      </c>
      <c r="R138" s="90">
        <f t="shared" si="12"/>
        <v>0</v>
      </c>
      <c r="S138" s="90">
        <v>138</v>
      </c>
    </row>
    <row r="139" spans="1:19" ht="11.25">
      <c r="A139" s="309">
        <v>118</v>
      </c>
      <c r="B139" s="119" t="s">
        <v>237</v>
      </c>
      <c r="C139" s="119" t="s">
        <v>299</v>
      </c>
      <c r="D139" s="121">
        <v>3993</v>
      </c>
      <c r="E139" s="329"/>
      <c r="F139" s="329"/>
      <c r="G139" s="444">
        <f t="shared" si="13"/>
        <v>0</v>
      </c>
      <c r="H139" s="444">
        <f t="shared" si="14"/>
        <v>0</v>
      </c>
      <c r="J139" s="109" t="s">
        <v>175</v>
      </c>
      <c r="K139" s="409">
        <f t="shared" si="8"/>
        <v>0</v>
      </c>
      <c r="L139" s="308" t="s">
        <v>1661</v>
      </c>
      <c r="M139" s="409">
        <f t="shared" si="9"/>
        <v>0</v>
      </c>
      <c r="N139" s="409" t="s">
        <v>1022</v>
      </c>
      <c r="O139" s="90" t="s">
        <v>1154</v>
      </c>
      <c r="P139" s="408">
        <f t="shared" si="10"/>
        <v>3993</v>
      </c>
      <c r="R139" s="90">
        <f t="shared" si="12"/>
        <v>0</v>
      </c>
      <c r="S139" s="90">
        <v>139</v>
      </c>
    </row>
    <row r="140" spans="1:19" ht="11.25">
      <c r="A140" s="309">
        <v>119</v>
      </c>
      <c r="B140" s="119" t="s">
        <v>1842</v>
      </c>
      <c r="C140" s="119" t="s">
        <v>299</v>
      </c>
      <c r="D140" s="121">
        <v>6690</v>
      </c>
      <c r="E140" s="329"/>
      <c r="F140" s="329"/>
      <c r="G140" s="444">
        <f t="shared" si="13"/>
        <v>0</v>
      </c>
      <c r="H140" s="444">
        <f t="shared" si="14"/>
        <v>0</v>
      </c>
      <c r="J140" s="109" t="s">
        <v>176</v>
      </c>
      <c r="K140" s="409">
        <f t="shared" si="8"/>
        <v>0</v>
      </c>
      <c r="L140" s="308" t="s">
        <v>1662</v>
      </c>
      <c r="M140" s="409">
        <f t="shared" si="9"/>
        <v>0</v>
      </c>
      <c r="N140" s="409" t="s">
        <v>1023</v>
      </c>
      <c r="O140" s="90" t="s">
        <v>1155</v>
      </c>
      <c r="P140" s="408">
        <f t="shared" si="10"/>
        <v>6690</v>
      </c>
      <c r="R140" s="90">
        <f t="shared" si="12"/>
        <v>0</v>
      </c>
      <c r="S140" s="90">
        <v>140</v>
      </c>
    </row>
    <row r="141" spans="1:19" ht="11.25">
      <c r="A141" s="309">
        <v>156</v>
      </c>
      <c r="B141" s="119" t="s">
        <v>874</v>
      </c>
      <c r="C141" s="119" t="s">
        <v>299</v>
      </c>
      <c r="D141" s="121">
        <v>12977</v>
      </c>
      <c r="E141" s="329"/>
      <c r="F141" s="329"/>
      <c r="G141" s="444">
        <f t="shared" si="13"/>
        <v>0</v>
      </c>
      <c r="H141" s="444">
        <f t="shared" si="14"/>
        <v>0</v>
      </c>
      <c r="J141" s="109" t="s">
        <v>834</v>
      </c>
      <c r="K141" s="409">
        <f t="shared" si="8"/>
        <v>0</v>
      </c>
      <c r="L141" s="308" t="s">
        <v>836</v>
      </c>
      <c r="M141" s="409">
        <f t="shared" si="9"/>
        <v>0</v>
      </c>
      <c r="N141" s="409" t="s">
        <v>1156</v>
      </c>
      <c r="O141" s="90" t="s">
        <v>1157</v>
      </c>
      <c r="P141" s="408">
        <f t="shared" si="10"/>
        <v>12977</v>
      </c>
      <c r="R141" s="90">
        <f t="shared" si="12"/>
        <v>0</v>
      </c>
      <c r="S141" s="90">
        <v>141</v>
      </c>
    </row>
    <row r="142" spans="1:19" ht="11.25">
      <c r="A142" s="309">
        <v>157</v>
      </c>
      <c r="B142" s="119" t="s">
        <v>875</v>
      </c>
      <c r="C142" s="119"/>
      <c r="D142" s="121">
        <v>26438</v>
      </c>
      <c r="E142" s="329"/>
      <c r="F142" s="329"/>
      <c r="G142" s="444">
        <f t="shared" si="13"/>
        <v>0</v>
      </c>
      <c r="H142" s="444">
        <f t="shared" si="14"/>
        <v>0</v>
      </c>
      <c r="J142" s="109" t="s">
        <v>835</v>
      </c>
      <c r="K142" s="409">
        <f t="shared" si="8"/>
        <v>0</v>
      </c>
      <c r="L142" s="308" t="s">
        <v>837</v>
      </c>
      <c r="M142" s="409">
        <f t="shared" si="9"/>
        <v>0</v>
      </c>
      <c r="N142" s="409" t="s">
        <v>1158</v>
      </c>
      <c r="O142" s="90" t="s">
        <v>1159</v>
      </c>
      <c r="P142" s="408">
        <f t="shared" si="10"/>
        <v>26438</v>
      </c>
      <c r="R142" s="90">
        <f t="shared" si="12"/>
        <v>0</v>
      </c>
      <c r="S142" s="90">
        <v>142</v>
      </c>
    </row>
    <row r="143" spans="1:19" ht="11.25">
      <c r="A143" s="309">
        <v>121</v>
      </c>
      <c r="B143" s="119" t="s">
        <v>1843</v>
      </c>
      <c r="C143" s="119" t="s">
        <v>1685</v>
      </c>
      <c r="D143" s="121">
        <v>1023</v>
      </c>
      <c r="E143" s="329"/>
      <c r="F143" s="329"/>
      <c r="G143" s="444">
        <f t="shared" si="13"/>
        <v>0</v>
      </c>
      <c r="H143" s="444">
        <f t="shared" si="14"/>
        <v>0</v>
      </c>
      <c r="J143" s="109" t="s">
        <v>177</v>
      </c>
      <c r="K143" s="409">
        <f t="shared" si="8"/>
        <v>0</v>
      </c>
      <c r="L143" s="308" t="s">
        <v>1663</v>
      </c>
      <c r="M143" s="409">
        <f t="shared" si="9"/>
        <v>0</v>
      </c>
      <c r="N143" s="409" t="s">
        <v>1024</v>
      </c>
      <c r="O143" s="90" t="s">
        <v>1160</v>
      </c>
      <c r="P143" s="408">
        <f t="shared" si="10"/>
        <v>1023</v>
      </c>
      <c r="R143" s="90">
        <f t="shared" si="12"/>
        <v>0</v>
      </c>
      <c r="S143" s="90">
        <v>143</v>
      </c>
    </row>
    <row r="144" spans="1:19" ht="11.25">
      <c r="A144" s="309">
        <v>122</v>
      </c>
      <c r="B144" s="119" t="s">
        <v>1844</v>
      </c>
      <c r="C144" s="119" t="s">
        <v>1491</v>
      </c>
      <c r="D144" s="121">
        <v>2012</v>
      </c>
      <c r="E144" s="329"/>
      <c r="F144" s="329"/>
      <c r="G144" s="444">
        <f t="shared" si="13"/>
        <v>0</v>
      </c>
      <c r="H144" s="444">
        <f t="shared" si="14"/>
        <v>0</v>
      </c>
      <c r="J144" s="109" t="s">
        <v>178</v>
      </c>
      <c r="K144" s="409">
        <f t="shared" si="8"/>
        <v>0</v>
      </c>
      <c r="L144" s="308" t="s">
        <v>1664</v>
      </c>
      <c r="M144" s="409">
        <f t="shared" si="9"/>
        <v>0</v>
      </c>
      <c r="N144" s="409" t="s">
        <v>1025</v>
      </c>
      <c r="O144" s="90" t="s">
        <v>1161</v>
      </c>
      <c r="P144" s="408">
        <f t="shared" si="10"/>
        <v>2012</v>
      </c>
      <c r="R144" s="90">
        <f t="shared" si="12"/>
        <v>0</v>
      </c>
      <c r="S144" s="90">
        <v>144</v>
      </c>
    </row>
    <row r="145" spans="1:19" ht="11.25">
      <c r="A145" s="309">
        <v>123</v>
      </c>
      <c r="B145" s="119" t="s">
        <v>1845</v>
      </c>
      <c r="C145" s="119" t="s">
        <v>1493</v>
      </c>
      <c r="D145" s="121">
        <v>2339</v>
      </c>
      <c r="E145" s="329"/>
      <c r="F145" s="329"/>
      <c r="G145" s="444">
        <f t="shared" si="13"/>
        <v>0</v>
      </c>
      <c r="H145" s="444">
        <f t="shared" si="14"/>
        <v>0</v>
      </c>
      <c r="J145" s="109" t="s">
        <v>179</v>
      </c>
      <c r="K145" s="409">
        <f t="shared" si="8"/>
        <v>0</v>
      </c>
      <c r="L145" s="308" t="s">
        <v>1665</v>
      </c>
      <c r="M145" s="409">
        <f t="shared" si="9"/>
        <v>0</v>
      </c>
      <c r="N145" s="409" t="s">
        <v>1026</v>
      </c>
      <c r="O145" s="90" t="s">
        <v>1162</v>
      </c>
      <c r="P145" s="408">
        <f t="shared" si="10"/>
        <v>2339</v>
      </c>
      <c r="R145" s="90">
        <f t="shared" si="12"/>
        <v>0</v>
      </c>
      <c r="S145" s="90">
        <v>145</v>
      </c>
    </row>
    <row r="146" spans="1:19" ht="11.25">
      <c r="A146" s="309">
        <v>124</v>
      </c>
      <c r="B146" s="119" t="s">
        <v>1846</v>
      </c>
      <c r="C146" s="119" t="s">
        <v>1491</v>
      </c>
      <c r="D146" s="121">
        <v>3707</v>
      </c>
      <c r="E146" s="329"/>
      <c r="F146" s="329"/>
      <c r="G146" s="444">
        <f t="shared" si="13"/>
        <v>0</v>
      </c>
      <c r="H146" s="444">
        <f t="shared" si="14"/>
        <v>0</v>
      </c>
      <c r="J146" s="109" t="s">
        <v>180</v>
      </c>
      <c r="K146" s="409">
        <f t="shared" si="8"/>
        <v>0</v>
      </c>
      <c r="L146" s="308" t="s">
        <v>1666</v>
      </c>
      <c r="M146" s="409">
        <f t="shared" si="9"/>
        <v>0</v>
      </c>
      <c r="N146" s="409" t="s">
        <v>1027</v>
      </c>
      <c r="O146" s="90" t="s">
        <v>1163</v>
      </c>
      <c r="P146" s="408">
        <f t="shared" si="10"/>
        <v>3707</v>
      </c>
      <c r="R146" s="90">
        <f t="shared" si="12"/>
        <v>0</v>
      </c>
      <c r="S146" s="90">
        <v>146</v>
      </c>
    </row>
    <row r="147" spans="1:19" ht="11.25">
      <c r="A147" s="309">
        <v>125</v>
      </c>
      <c r="B147" s="119" t="s">
        <v>1847</v>
      </c>
      <c r="C147" s="119" t="s">
        <v>1493</v>
      </c>
      <c r="D147" s="121">
        <v>4084</v>
      </c>
      <c r="E147" s="329"/>
      <c r="F147" s="329"/>
      <c r="G147" s="444">
        <f t="shared" si="13"/>
        <v>0</v>
      </c>
      <c r="H147" s="444">
        <f t="shared" si="14"/>
        <v>0</v>
      </c>
      <c r="J147" s="109" t="s">
        <v>181</v>
      </c>
      <c r="K147" s="409">
        <f t="shared" si="8"/>
        <v>0</v>
      </c>
      <c r="L147" s="308" t="s">
        <v>1667</v>
      </c>
      <c r="M147" s="409">
        <f t="shared" si="9"/>
        <v>0</v>
      </c>
      <c r="N147" s="409" t="s">
        <v>1028</v>
      </c>
      <c r="O147" s="90" t="s">
        <v>1164</v>
      </c>
      <c r="P147" s="408">
        <f t="shared" si="10"/>
        <v>4084</v>
      </c>
      <c r="R147" s="90">
        <f t="shared" si="12"/>
        <v>0</v>
      </c>
      <c r="S147" s="90">
        <v>147</v>
      </c>
    </row>
    <row r="148" spans="1:19" ht="11.25">
      <c r="A148" s="309">
        <v>126</v>
      </c>
      <c r="B148" s="119" t="s">
        <v>1206</v>
      </c>
      <c r="C148" s="119" t="s">
        <v>1491</v>
      </c>
      <c r="D148" s="121">
        <v>6203</v>
      </c>
      <c r="E148" s="329"/>
      <c r="F148" s="329"/>
      <c r="G148" s="444">
        <f t="shared" si="13"/>
        <v>0</v>
      </c>
      <c r="H148" s="444">
        <f t="shared" si="14"/>
        <v>0</v>
      </c>
      <c r="J148" s="109" t="s">
        <v>182</v>
      </c>
      <c r="K148" s="409">
        <f t="shared" si="8"/>
        <v>0</v>
      </c>
      <c r="L148" s="308" t="s">
        <v>1668</v>
      </c>
      <c r="M148" s="409">
        <f t="shared" si="9"/>
        <v>0</v>
      </c>
      <c r="N148" s="409" t="s">
        <v>1029</v>
      </c>
      <c r="O148" s="90" t="s">
        <v>1165</v>
      </c>
      <c r="P148" s="408">
        <f t="shared" si="10"/>
        <v>6203</v>
      </c>
      <c r="R148" s="90">
        <f t="shared" si="12"/>
        <v>0</v>
      </c>
      <c r="S148" s="90">
        <v>148</v>
      </c>
    </row>
    <row r="149" spans="1:19" ht="11.25">
      <c r="A149" s="309">
        <v>127</v>
      </c>
      <c r="B149" s="119" t="s">
        <v>1207</v>
      </c>
      <c r="C149" s="119" t="s">
        <v>1493</v>
      </c>
      <c r="D149" s="121">
        <v>7233</v>
      </c>
      <c r="E149" s="329"/>
      <c r="F149" s="329"/>
      <c r="G149" s="444">
        <f t="shared" si="13"/>
        <v>0</v>
      </c>
      <c r="H149" s="444">
        <f t="shared" si="14"/>
        <v>0</v>
      </c>
      <c r="J149" s="109" t="s">
        <v>183</v>
      </c>
      <c r="K149" s="409">
        <f t="shared" si="8"/>
        <v>0</v>
      </c>
      <c r="L149" s="308" t="s">
        <v>1669</v>
      </c>
      <c r="M149" s="409">
        <f t="shared" si="9"/>
        <v>0</v>
      </c>
      <c r="N149" s="409" t="s">
        <v>1030</v>
      </c>
      <c r="O149" s="90" t="s">
        <v>1166</v>
      </c>
      <c r="P149" s="408">
        <f t="shared" si="10"/>
        <v>7233</v>
      </c>
      <c r="R149" s="90">
        <f t="shared" si="12"/>
        <v>0</v>
      </c>
      <c r="S149" s="90">
        <v>149</v>
      </c>
    </row>
    <row r="150" spans="1:19" ht="11.25">
      <c r="A150" s="309">
        <v>128</v>
      </c>
      <c r="B150" s="119" t="s">
        <v>1208</v>
      </c>
      <c r="C150" s="119" t="s">
        <v>1482</v>
      </c>
      <c r="D150" s="121">
        <v>11015</v>
      </c>
      <c r="E150" s="329"/>
      <c r="F150" s="329"/>
      <c r="G150" s="444">
        <f t="shared" si="13"/>
        <v>0</v>
      </c>
      <c r="H150" s="444">
        <f t="shared" si="14"/>
        <v>0</v>
      </c>
      <c r="J150" s="109" t="s">
        <v>184</v>
      </c>
      <c r="K150" s="409">
        <f>E150</f>
        <v>0</v>
      </c>
      <c r="L150" s="308" t="s">
        <v>1670</v>
      </c>
      <c r="M150" s="409">
        <f>F150</f>
        <v>0</v>
      </c>
      <c r="N150" s="409" t="s">
        <v>1031</v>
      </c>
      <c r="O150" s="90" t="s">
        <v>1167</v>
      </c>
      <c r="P150" s="408">
        <f>D150</f>
        <v>11015</v>
      </c>
      <c r="R150" s="90">
        <f>S150*(E150+F150)+$E$154</f>
        <v>0</v>
      </c>
      <c r="S150" s="90">
        <v>150</v>
      </c>
    </row>
    <row r="151" spans="1:19" ht="11.25">
      <c r="A151" s="309">
        <v>129</v>
      </c>
      <c r="B151" s="119" t="s">
        <v>1209</v>
      </c>
      <c r="C151" s="119" t="s">
        <v>1484</v>
      </c>
      <c r="D151" s="121">
        <v>13372</v>
      </c>
      <c r="E151" s="329"/>
      <c r="F151" s="329"/>
      <c r="G151" s="444">
        <f t="shared" si="13"/>
        <v>0</v>
      </c>
      <c r="H151" s="444">
        <f t="shared" si="14"/>
        <v>0</v>
      </c>
      <c r="J151" s="109" t="s">
        <v>185</v>
      </c>
      <c r="K151" s="409">
        <f>E151</f>
        <v>0</v>
      </c>
      <c r="L151" s="308" t="s">
        <v>1671</v>
      </c>
      <c r="M151" s="409">
        <f>F151</f>
        <v>0</v>
      </c>
      <c r="N151" s="409" t="s">
        <v>1032</v>
      </c>
      <c r="O151" s="90" t="s">
        <v>1168</v>
      </c>
      <c r="P151" s="408">
        <f>D151</f>
        <v>13372</v>
      </c>
      <c r="R151" s="90">
        <f>S151*(E151+F151)+$E$154</f>
        <v>0</v>
      </c>
      <c r="S151" s="90">
        <v>151</v>
      </c>
    </row>
    <row r="152" spans="1:19" ht="11.25">
      <c r="A152" s="309">
        <v>158</v>
      </c>
      <c r="B152" s="119" t="s">
        <v>876</v>
      </c>
      <c r="C152" s="119" t="s">
        <v>1685</v>
      </c>
      <c r="D152" s="121">
        <v>22960</v>
      </c>
      <c r="E152" s="329"/>
      <c r="F152" s="329"/>
      <c r="G152" s="444">
        <f t="shared" si="13"/>
        <v>0</v>
      </c>
      <c r="H152" s="444">
        <f t="shared" si="14"/>
        <v>0</v>
      </c>
      <c r="J152" s="109" t="s">
        <v>838</v>
      </c>
      <c r="K152" s="409">
        <f>E152</f>
        <v>0</v>
      </c>
      <c r="L152" s="308" t="s">
        <v>840</v>
      </c>
      <c r="M152" s="409">
        <f>F152</f>
        <v>0</v>
      </c>
      <c r="N152" s="409" t="s">
        <v>1169</v>
      </c>
      <c r="O152" s="90" t="s">
        <v>1170</v>
      </c>
      <c r="P152" s="408">
        <f>D152</f>
        <v>22960</v>
      </c>
      <c r="R152" s="90">
        <f>S152*(E152+F152)+$E$154</f>
        <v>0</v>
      </c>
      <c r="S152" s="90">
        <v>152</v>
      </c>
    </row>
    <row r="153" spans="1:19" ht="11.25">
      <c r="A153" s="309">
        <v>159</v>
      </c>
      <c r="B153" s="119" t="s">
        <v>877</v>
      </c>
      <c r="C153" s="112"/>
      <c r="D153" s="121">
        <v>37625</v>
      </c>
      <c r="E153" s="329"/>
      <c r="F153" s="329"/>
      <c r="G153" s="664">
        <f t="shared" si="13"/>
        <v>0</v>
      </c>
      <c r="H153" s="664">
        <f t="shared" si="14"/>
        <v>0</v>
      </c>
      <c r="J153" s="109" t="s">
        <v>839</v>
      </c>
      <c r="K153" s="409">
        <f>E153</f>
        <v>0</v>
      </c>
      <c r="L153" s="308" t="s">
        <v>841</v>
      </c>
      <c r="M153" s="409">
        <f>F153</f>
        <v>0</v>
      </c>
      <c r="N153" s="409" t="s">
        <v>1171</v>
      </c>
      <c r="O153" s="90" t="s">
        <v>1172</v>
      </c>
      <c r="P153" s="408">
        <f>D153</f>
        <v>37625</v>
      </c>
      <c r="R153" s="90">
        <f>S153*(E153+F153)+$E$154</f>
        <v>0</v>
      </c>
      <c r="S153" s="90">
        <v>153</v>
      </c>
    </row>
    <row r="154" spans="1:14" ht="12" thickBot="1">
      <c r="A154" s="310"/>
      <c r="B154" s="460" t="s">
        <v>598</v>
      </c>
      <c r="C154" s="264"/>
      <c r="D154" s="459"/>
      <c r="E154" s="461">
        <f>SUM(E7:E153)</f>
        <v>0</v>
      </c>
      <c r="F154" s="461">
        <f>SUM(F7:F153)</f>
        <v>0</v>
      </c>
      <c r="G154" s="457">
        <f>SUM(G7:G153)</f>
        <v>0</v>
      </c>
      <c r="H154" s="457">
        <f>SUM(H7:H153)</f>
        <v>0</v>
      </c>
      <c r="I154" s="90" t="s">
        <v>311</v>
      </c>
      <c r="M154" s="407"/>
      <c r="N154" s="407"/>
    </row>
    <row r="155" spans="7:14" ht="17.25" customHeight="1" thickTop="1">
      <c r="G155" s="133"/>
      <c r="H155" s="133"/>
      <c r="M155" s="407"/>
      <c r="N155" s="407"/>
    </row>
    <row r="156" spans="1:14" ht="13.5" customHeight="1">
      <c r="A156" s="780" t="s">
        <v>600</v>
      </c>
      <c r="B156" s="781"/>
      <c r="C156" s="781"/>
      <c r="D156" s="781"/>
      <c r="E156" s="781"/>
      <c r="G156" s="133"/>
      <c r="H156" s="133"/>
      <c r="M156" s="407"/>
      <c r="N156" s="407"/>
    </row>
    <row r="157" spans="1:14" ht="15" customHeight="1">
      <c r="A157" s="330" t="s">
        <v>1716</v>
      </c>
      <c r="B157" s="331" t="s">
        <v>288</v>
      </c>
      <c r="C157" s="337"/>
      <c r="D157" s="331" t="s">
        <v>852</v>
      </c>
      <c r="E157" s="316" t="s">
        <v>1697</v>
      </c>
      <c r="F157" s="337"/>
      <c r="G157" s="447"/>
      <c r="H157" s="448" t="s">
        <v>1698</v>
      </c>
      <c r="M157" s="407"/>
      <c r="N157" s="407"/>
    </row>
    <row r="158" spans="1:19" ht="12">
      <c r="A158" s="333">
        <v>0</v>
      </c>
      <c r="B158" s="334" t="s">
        <v>1210</v>
      </c>
      <c r="C158" s="327"/>
      <c r="D158" s="328">
        <v>0</v>
      </c>
      <c r="E158" s="335"/>
      <c r="F158" s="336"/>
      <c r="G158" s="449"/>
      <c r="H158" s="443">
        <f>D158*E158</f>
        <v>0</v>
      </c>
      <c r="J158" s="109" t="s">
        <v>186</v>
      </c>
      <c r="K158" s="409">
        <f>E158</f>
        <v>0</v>
      </c>
      <c r="L158" s="308"/>
      <c r="M158" s="407"/>
      <c r="N158" s="407"/>
      <c r="O158" s="90" t="s">
        <v>1299</v>
      </c>
      <c r="P158" s="408">
        <f>D158</f>
        <v>0</v>
      </c>
      <c r="R158" s="90">
        <f aca="true" t="shared" si="15" ref="R158:R193">S158*(E158+F158)+$E$230</f>
        <v>0</v>
      </c>
      <c r="S158" s="90">
        <v>154</v>
      </c>
    </row>
    <row r="159" spans="1:19" ht="12">
      <c r="A159" s="321">
        <v>11</v>
      </c>
      <c r="B159" s="319" t="s">
        <v>1211</v>
      </c>
      <c r="C159" s="119"/>
      <c r="D159" s="121">
        <v>195</v>
      </c>
      <c r="E159" s="318"/>
      <c r="F159" s="317"/>
      <c r="G159" s="450"/>
      <c r="H159" s="444">
        <f aca="true" t="shared" si="16" ref="H159:H229">D159*E159</f>
        <v>0</v>
      </c>
      <c r="J159" s="109" t="s">
        <v>187</v>
      </c>
      <c r="K159" s="409">
        <f aca="true" t="shared" si="17" ref="K159:K223">E159</f>
        <v>0</v>
      </c>
      <c r="L159" s="308"/>
      <c r="M159" s="407"/>
      <c r="N159" s="407"/>
      <c r="O159" s="90" t="s">
        <v>1300</v>
      </c>
      <c r="P159" s="408">
        <f aca="true" t="shared" si="18" ref="P159:P223">D159</f>
        <v>195</v>
      </c>
      <c r="R159" s="90">
        <f t="shared" si="15"/>
        <v>0</v>
      </c>
      <c r="S159" s="90">
        <v>155</v>
      </c>
    </row>
    <row r="160" spans="1:19" ht="12">
      <c r="A160" s="321">
        <v>12</v>
      </c>
      <c r="B160" s="319" t="s">
        <v>1212</v>
      </c>
      <c r="C160" s="119"/>
      <c r="D160" s="121">
        <v>457</v>
      </c>
      <c r="E160" s="318"/>
      <c r="F160" s="317"/>
      <c r="G160" s="450"/>
      <c r="H160" s="444">
        <f t="shared" si="16"/>
        <v>0</v>
      </c>
      <c r="J160" s="109" t="s">
        <v>188</v>
      </c>
      <c r="K160" s="409">
        <f t="shared" si="17"/>
        <v>0</v>
      </c>
      <c r="L160" s="308"/>
      <c r="M160" s="407"/>
      <c r="N160" s="407"/>
      <c r="O160" s="90" t="s">
        <v>1301</v>
      </c>
      <c r="P160" s="408">
        <f t="shared" si="18"/>
        <v>457</v>
      </c>
      <c r="R160" s="90">
        <f t="shared" si="15"/>
        <v>0</v>
      </c>
      <c r="S160" s="90">
        <v>156</v>
      </c>
    </row>
    <row r="161" spans="1:19" ht="12">
      <c r="A161" s="321">
        <v>13</v>
      </c>
      <c r="B161" s="319" t="s">
        <v>1213</v>
      </c>
      <c r="C161" s="119"/>
      <c r="D161" s="121">
        <v>690</v>
      </c>
      <c r="E161" s="318"/>
      <c r="F161" s="317"/>
      <c r="G161" s="450"/>
      <c r="H161" s="444">
        <f t="shared" si="16"/>
        <v>0</v>
      </c>
      <c r="J161" s="109" t="s">
        <v>189</v>
      </c>
      <c r="K161" s="409">
        <f t="shared" si="17"/>
        <v>0</v>
      </c>
      <c r="L161" s="308"/>
      <c r="M161" s="407"/>
      <c r="N161" s="407"/>
      <c r="O161" s="90" t="s">
        <v>1302</v>
      </c>
      <c r="P161" s="408">
        <f t="shared" si="18"/>
        <v>690</v>
      </c>
      <c r="R161" s="90">
        <f t="shared" si="15"/>
        <v>0</v>
      </c>
      <c r="S161" s="90">
        <v>157</v>
      </c>
    </row>
    <row r="162" spans="1:19" ht="12">
      <c r="A162" s="321">
        <v>14</v>
      </c>
      <c r="B162" s="319" t="s">
        <v>1214</v>
      </c>
      <c r="C162" s="119"/>
      <c r="D162" s="121">
        <v>1072</v>
      </c>
      <c r="E162" s="318"/>
      <c r="F162" s="317"/>
      <c r="G162" s="450"/>
      <c r="H162" s="444">
        <f t="shared" si="16"/>
        <v>0</v>
      </c>
      <c r="J162" s="109" t="s">
        <v>190</v>
      </c>
      <c r="K162" s="409">
        <f t="shared" si="17"/>
        <v>0</v>
      </c>
      <c r="L162" s="308"/>
      <c r="M162" s="407"/>
      <c r="N162" s="407"/>
      <c r="O162" s="90" t="s">
        <v>1303</v>
      </c>
      <c r="P162" s="408">
        <f t="shared" si="18"/>
        <v>1072</v>
      </c>
      <c r="R162" s="90">
        <f t="shared" si="15"/>
        <v>0</v>
      </c>
      <c r="S162" s="90">
        <v>158</v>
      </c>
    </row>
    <row r="163" spans="1:19" ht="12">
      <c r="A163" s="321">
        <v>15</v>
      </c>
      <c r="B163" s="319" t="s">
        <v>1215</v>
      </c>
      <c r="C163" s="119"/>
      <c r="D163" s="121">
        <v>1665</v>
      </c>
      <c r="E163" s="318"/>
      <c r="F163" s="317"/>
      <c r="G163" s="450"/>
      <c r="H163" s="444">
        <f t="shared" si="16"/>
        <v>0</v>
      </c>
      <c r="J163" s="109" t="s">
        <v>191</v>
      </c>
      <c r="K163" s="409">
        <f t="shared" si="17"/>
        <v>0</v>
      </c>
      <c r="L163" s="308"/>
      <c r="M163" s="407"/>
      <c r="N163" s="407"/>
      <c r="O163" s="90" t="s">
        <v>1304</v>
      </c>
      <c r="P163" s="408">
        <f t="shared" si="18"/>
        <v>1665</v>
      </c>
      <c r="R163" s="90">
        <f t="shared" si="15"/>
        <v>0</v>
      </c>
      <c r="S163" s="90">
        <v>159</v>
      </c>
    </row>
    <row r="164" spans="1:19" ht="12">
      <c r="A164" s="321">
        <v>21</v>
      </c>
      <c r="B164" s="320" t="s">
        <v>1216</v>
      </c>
      <c r="C164" s="119"/>
      <c r="D164" s="121">
        <v>480</v>
      </c>
      <c r="E164" s="318"/>
      <c r="F164" s="317"/>
      <c r="G164" s="450"/>
      <c r="H164" s="444">
        <f t="shared" si="16"/>
        <v>0</v>
      </c>
      <c r="J164" s="109" t="s">
        <v>192</v>
      </c>
      <c r="K164" s="409">
        <f t="shared" si="17"/>
        <v>0</v>
      </c>
      <c r="L164" s="308"/>
      <c r="M164" s="407"/>
      <c r="N164" s="407"/>
      <c r="O164" s="90" t="s">
        <v>1305</v>
      </c>
      <c r="P164" s="408">
        <f t="shared" si="18"/>
        <v>480</v>
      </c>
      <c r="R164" s="90">
        <f t="shared" si="15"/>
        <v>0</v>
      </c>
      <c r="S164" s="90">
        <v>160</v>
      </c>
    </row>
    <row r="165" spans="1:19" ht="12">
      <c r="A165" s="321">
        <v>22</v>
      </c>
      <c r="B165" s="320" t="s">
        <v>1217</v>
      </c>
      <c r="C165" s="119"/>
      <c r="D165" s="121">
        <v>1124</v>
      </c>
      <c r="E165" s="318"/>
      <c r="F165" s="317"/>
      <c r="G165" s="450"/>
      <c r="H165" s="444">
        <f t="shared" si="16"/>
        <v>0</v>
      </c>
      <c r="J165" s="109" t="s">
        <v>193</v>
      </c>
      <c r="K165" s="409">
        <f t="shared" si="17"/>
        <v>0</v>
      </c>
      <c r="L165" s="308"/>
      <c r="M165" s="407"/>
      <c r="N165" s="407"/>
      <c r="O165" s="90" t="s">
        <v>1306</v>
      </c>
      <c r="P165" s="408">
        <f t="shared" si="18"/>
        <v>1124</v>
      </c>
      <c r="R165" s="90">
        <f t="shared" si="15"/>
        <v>0</v>
      </c>
      <c r="S165" s="90">
        <v>161</v>
      </c>
    </row>
    <row r="166" spans="1:19" ht="12">
      <c r="A166" s="321">
        <v>23</v>
      </c>
      <c r="B166" s="320" t="s">
        <v>1218</v>
      </c>
      <c r="C166" s="119"/>
      <c r="D166" s="121">
        <v>1759</v>
      </c>
      <c r="E166" s="318"/>
      <c r="F166" s="317"/>
      <c r="G166" s="450"/>
      <c r="H166" s="444">
        <f t="shared" si="16"/>
        <v>0</v>
      </c>
      <c r="J166" s="109" t="s">
        <v>194</v>
      </c>
      <c r="K166" s="409">
        <f t="shared" si="17"/>
        <v>0</v>
      </c>
      <c r="L166" s="308"/>
      <c r="M166" s="407"/>
      <c r="N166" s="407"/>
      <c r="O166" s="90" t="s">
        <v>1307</v>
      </c>
      <c r="P166" s="408">
        <f t="shared" si="18"/>
        <v>1759</v>
      </c>
      <c r="R166" s="90">
        <f t="shared" si="15"/>
        <v>0</v>
      </c>
      <c r="S166" s="90">
        <v>162</v>
      </c>
    </row>
    <row r="167" spans="1:19" ht="12">
      <c r="A167" s="321">
        <v>24</v>
      </c>
      <c r="B167" s="320" t="s">
        <v>1219</v>
      </c>
      <c r="C167" s="119"/>
      <c r="D167" s="121">
        <v>2733</v>
      </c>
      <c r="E167" s="318"/>
      <c r="F167" s="317"/>
      <c r="G167" s="450"/>
      <c r="H167" s="444">
        <f t="shared" si="16"/>
        <v>0</v>
      </c>
      <c r="J167" s="109" t="s">
        <v>195</v>
      </c>
      <c r="K167" s="409">
        <f t="shared" si="17"/>
        <v>0</v>
      </c>
      <c r="L167" s="308"/>
      <c r="M167" s="407"/>
      <c r="N167" s="407"/>
      <c r="O167" s="90" t="s">
        <v>1308</v>
      </c>
      <c r="P167" s="408">
        <f t="shared" si="18"/>
        <v>2733</v>
      </c>
      <c r="R167" s="90">
        <f t="shared" si="15"/>
        <v>0</v>
      </c>
      <c r="S167" s="90">
        <v>163</v>
      </c>
    </row>
    <row r="168" spans="1:19" ht="12">
      <c r="A168" s="321">
        <v>25</v>
      </c>
      <c r="B168" s="320" t="s">
        <v>1220</v>
      </c>
      <c r="C168" s="119"/>
      <c r="D168" s="121">
        <v>4246</v>
      </c>
      <c r="E168" s="318"/>
      <c r="F168" s="317"/>
      <c r="G168" s="450"/>
      <c r="H168" s="444">
        <f t="shared" si="16"/>
        <v>0</v>
      </c>
      <c r="J168" s="109" t="s">
        <v>196</v>
      </c>
      <c r="K168" s="409">
        <f t="shared" si="17"/>
        <v>0</v>
      </c>
      <c r="L168" s="308"/>
      <c r="M168" s="407"/>
      <c r="N168" s="407"/>
      <c r="O168" s="90" t="s">
        <v>1309</v>
      </c>
      <c r="P168" s="408">
        <f t="shared" si="18"/>
        <v>4246</v>
      </c>
      <c r="R168" s="90">
        <f t="shared" si="15"/>
        <v>0</v>
      </c>
      <c r="S168" s="90">
        <v>164</v>
      </c>
    </row>
    <row r="169" spans="1:19" ht="12">
      <c r="A169" s="321">
        <v>31</v>
      </c>
      <c r="B169" s="320" t="s">
        <v>1221</v>
      </c>
      <c r="C169" s="119"/>
      <c r="D169" s="121">
        <v>972</v>
      </c>
      <c r="E169" s="318"/>
      <c r="F169" s="317"/>
      <c r="G169" s="450"/>
      <c r="H169" s="444">
        <f t="shared" si="16"/>
        <v>0</v>
      </c>
      <c r="J169" s="109" t="s">
        <v>197</v>
      </c>
      <c r="K169" s="409">
        <f t="shared" si="17"/>
        <v>0</v>
      </c>
      <c r="L169" s="308"/>
      <c r="M169" s="407"/>
      <c r="N169" s="407"/>
      <c r="O169" s="90" t="s">
        <v>1310</v>
      </c>
      <c r="P169" s="408">
        <f t="shared" si="18"/>
        <v>972</v>
      </c>
      <c r="R169" s="90">
        <f t="shared" si="15"/>
        <v>0</v>
      </c>
      <c r="S169" s="90">
        <v>165</v>
      </c>
    </row>
    <row r="170" spans="1:19" ht="12">
      <c r="A170" s="321">
        <v>32</v>
      </c>
      <c r="B170" s="320" t="s">
        <v>1222</v>
      </c>
      <c r="C170" s="119"/>
      <c r="D170" s="121">
        <v>2276</v>
      </c>
      <c r="E170" s="318"/>
      <c r="F170" s="317"/>
      <c r="G170" s="450"/>
      <c r="H170" s="444">
        <f t="shared" si="16"/>
        <v>0</v>
      </c>
      <c r="J170" s="109" t="s">
        <v>198</v>
      </c>
      <c r="K170" s="409">
        <f t="shared" si="17"/>
        <v>0</v>
      </c>
      <c r="L170" s="308"/>
      <c r="M170" s="407"/>
      <c r="N170" s="407"/>
      <c r="O170" s="90" t="s">
        <v>1311</v>
      </c>
      <c r="P170" s="408">
        <f t="shared" si="18"/>
        <v>2276</v>
      </c>
      <c r="R170" s="90">
        <f t="shared" si="15"/>
        <v>0</v>
      </c>
      <c r="S170" s="90">
        <v>166</v>
      </c>
    </row>
    <row r="171" spans="1:19" ht="12">
      <c r="A171" s="321">
        <v>33</v>
      </c>
      <c r="B171" s="320" t="s">
        <v>1223</v>
      </c>
      <c r="C171" s="119"/>
      <c r="D171" s="121">
        <v>3293</v>
      </c>
      <c r="E171" s="318"/>
      <c r="F171" s="317"/>
      <c r="G171" s="450"/>
      <c r="H171" s="444">
        <f t="shared" si="16"/>
        <v>0</v>
      </c>
      <c r="J171" s="109" t="s">
        <v>199</v>
      </c>
      <c r="K171" s="409">
        <f t="shared" si="17"/>
        <v>0</v>
      </c>
      <c r="L171" s="308"/>
      <c r="M171" s="407"/>
      <c r="N171" s="407"/>
      <c r="O171" s="90" t="s">
        <v>1312</v>
      </c>
      <c r="P171" s="408">
        <f t="shared" si="18"/>
        <v>3293</v>
      </c>
      <c r="R171" s="90">
        <f t="shared" si="15"/>
        <v>0</v>
      </c>
      <c r="S171" s="90">
        <v>167</v>
      </c>
    </row>
    <row r="172" spans="1:19" ht="12">
      <c r="A172" s="321">
        <v>34</v>
      </c>
      <c r="B172" s="320" t="s">
        <v>1224</v>
      </c>
      <c r="C172" s="119"/>
      <c r="D172" s="121">
        <v>5118</v>
      </c>
      <c r="E172" s="318"/>
      <c r="F172" s="317"/>
      <c r="G172" s="450"/>
      <c r="H172" s="444">
        <f t="shared" si="16"/>
        <v>0</v>
      </c>
      <c r="J172" s="109" t="s">
        <v>200</v>
      </c>
      <c r="K172" s="409">
        <f t="shared" si="17"/>
        <v>0</v>
      </c>
      <c r="L172" s="308"/>
      <c r="M172" s="407"/>
      <c r="N172" s="407"/>
      <c r="O172" s="90" t="s">
        <v>1313</v>
      </c>
      <c r="P172" s="408">
        <f t="shared" si="18"/>
        <v>5118</v>
      </c>
      <c r="R172" s="90">
        <f t="shared" si="15"/>
        <v>0</v>
      </c>
      <c r="S172" s="90">
        <v>168</v>
      </c>
    </row>
    <row r="173" spans="1:19" ht="12">
      <c r="A173" s="321">
        <v>35</v>
      </c>
      <c r="B173" s="320" t="s">
        <v>1225</v>
      </c>
      <c r="C173" s="119"/>
      <c r="D173" s="121">
        <v>7950</v>
      </c>
      <c r="E173" s="318"/>
      <c r="F173" s="317"/>
      <c r="G173" s="450"/>
      <c r="H173" s="444">
        <f t="shared" si="16"/>
        <v>0</v>
      </c>
      <c r="J173" s="109" t="s">
        <v>201</v>
      </c>
      <c r="K173" s="409">
        <f t="shared" si="17"/>
        <v>0</v>
      </c>
      <c r="L173" s="308"/>
      <c r="M173" s="407"/>
      <c r="N173" s="407"/>
      <c r="O173" s="90" t="s">
        <v>1314</v>
      </c>
      <c r="P173" s="408">
        <f t="shared" si="18"/>
        <v>7950</v>
      </c>
      <c r="R173" s="90">
        <f t="shared" si="15"/>
        <v>0</v>
      </c>
      <c r="S173" s="90">
        <v>169</v>
      </c>
    </row>
    <row r="174" spans="1:19" ht="12">
      <c r="A174" s="321">
        <v>41</v>
      </c>
      <c r="B174" s="320" t="s">
        <v>1226</v>
      </c>
      <c r="C174" s="119"/>
      <c r="D174" s="121">
        <v>1671</v>
      </c>
      <c r="E174" s="318"/>
      <c r="F174" s="317"/>
      <c r="G174" s="450"/>
      <c r="H174" s="444">
        <f t="shared" si="16"/>
        <v>0</v>
      </c>
      <c r="J174" s="109" t="s">
        <v>202</v>
      </c>
      <c r="K174" s="409">
        <f t="shared" si="17"/>
        <v>0</v>
      </c>
      <c r="L174" s="308"/>
      <c r="M174" s="407"/>
      <c r="N174" s="407"/>
      <c r="O174" s="90" t="s">
        <v>1315</v>
      </c>
      <c r="P174" s="408">
        <f t="shared" si="18"/>
        <v>1671</v>
      </c>
      <c r="R174" s="90">
        <f t="shared" si="15"/>
        <v>0</v>
      </c>
      <c r="S174" s="90">
        <v>170</v>
      </c>
    </row>
    <row r="175" spans="1:19" ht="12">
      <c r="A175" s="321">
        <v>42</v>
      </c>
      <c r="B175" s="320" t="s">
        <v>1227</v>
      </c>
      <c r="C175" s="119"/>
      <c r="D175" s="121">
        <v>3913</v>
      </c>
      <c r="E175" s="318"/>
      <c r="F175" s="317"/>
      <c r="G175" s="450"/>
      <c r="H175" s="444">
        <f t="shared" si="16"/>
        <v>0</v>
      </c>
      <c r="J175" s="109" t="s">
        <v>203</v>
      </c>
      <c r="K175" s="409">
        <f t="shared" si="17"/>
        <v>0</v>
      </c>
      <c r="L175" s="308"/>
      <c r="M175" s="407"/>
      <c r="N175" s="407"/>
      <c r="O175" s="90" t="s">
        <v>1316</v>
      </c>
      <c r="P175" s="408">
        <f t="shared" si="18"/>
        <v>3913</v>
      </c>
      <c r="R175" s="90">
        <f t="shared" si="15"/>
        <v>0</v>
      </c>
      <c r="S175" s="90">
        <v>171</v>
      </c>
    </row>
    <row r="176" spans="1:19" ht="12">
      <c r="A176" s="321">
        <v>43</v>
      </c>
      <c r="B176" s="320" t="s">
        <v>1577</v>
      </c>
      <c r="C176" s="119"/>
      <c r="D176" s="121">
        <v>5604</v>
      </c>
      <c r="E176" s="318"/>
      <c r="F176" s="317"/>
      <c r="G176" s="450"/>
      <c r="H176" s="444">
        <f t="shared" si="16"/>
        <v>0</v>
      </c>
      <c r="J176" s="109" t="s">
        <v>204</v>
      </c>
      <c r="K176" s="409">
        <f t="shared" si="17"/>
        <v>0</v>
      </c>
      <c r="L176" s="308"/>
      <c r="M176" s="407"/>
      <c r="N176" s="407"/>
      <c r="O176" s="90" t="s">
        <v>1317</v>
      </c>
      <c r="P176" s="408">
        <f t="shared" si="18"/>
        <v>5604</v>
      </c>
      <c r="R176" s="90">
        <f t="shared" si="15"/>
        <v>0</v>
      </c>
      <c r="S176" s="90">
        <v>172</v>
      </c>
    </row>
    <row r="177" spans="1:19" ht="12">
      <c r="A177" s="321">
        <v>44</v>
      </c>
      <c r="B177" s="320" t="s">
        <v>1800</v>
      </c>
      <c r="C177" s="119"/>
      <c r="D177" s="121">
        <v>8708</v>
      </c>
      <c r="E177" s="318"/>
      <c r="F177" s="317"/>
      <c r="G177" s="450"/>
      <c r="H177" s="444">
        <f t="shared" si="16"/>
        <v>0</v>
      </c>
      <c r="J177" s="109" t="s">
        <v>205</v>
      </c>
      <c r="K177" s="409">
        <f t="shared" si="17"/>
        <v>0</v>
      </c>
      <c r="L177" s="308"/>
      <c r="M177" s="407"/>
      <c r="N177" s="407"/>
      <c r="O177" s="90" t="s">
        <v>1318</v>
      </c>
      <c r="P177" s="408">
        <f t="shared" si="18"/>
        <v>8708</v>
      </c>
      <c r="R177" s="90">
        <f t="shared" si="15"/>
        <v>0</v>
      </c>
      <c r="S177" s="90">
        <v>173</v>
      </c>
    </row>
    <row r="178" spans="1:19" ht="12">
      <c r="A178" s="321">
        <v>45</v>
      </c>
      <c r="B178" s="320" t="s">
        <v>1801</v>
      </c>
      <c r="C178" s="119"/>
      <c r="D178" s="121">
        <v>13528</v>
      </c>
      <c r="E178" s="318"/>
      <c r="F178" s="317"/>
      <c r="G178" s="450"/>
      <c r="H178" s="444">
        <f t="shared" si="16"/>
        <v>0</v>
      </c>
      <c r="J178" s="109" t="s">
        <v>206</v>
      </c>
      <c r="K178" s="409">
        <f t="shared" si="17"/>
        <v>0</v>
      </c>
      <c r="L178" s="308"/>
      <c r="M178" s="407"/>
      <c r="N178" s="407"/>
      <c r="O178" s="90" t="s">
        <v>1319</v>
      </c>
      <c r="P178" s="408">
        <f t="shared" si="18"/>
        <v>13528</v>
      </c>
      <c r="R178" s="90">
        <f t="shared" si="15"/>
        <v>0</v>
      </c>
      <c r="S178" s="90">
        <v>174</v>
      </c>
    </row>
    <row r="179" spans="1:19" ht="12">
      <c r="A179" s="321">
        <v>51</v>
      </c>
      <c r="B179" s="320" t="s">
        <v>432</v>
      </c>
      <c r="C179" s="119"/>
      <c r="D179" s="121">
        <v>2983</v>
      </c>
      <c r="E179" s="318"/>
      <c r="F179" s="317"/>
      <c r="G179" s="450"/>
      <c r="H179" s="444">
        <f t="shared" si="16"/>
        <v>0</v>
      </c>
      <c r="J179" s="109" t="s">
        <v>207</v>
      </c>
      <c r="K179" s="409">
        <f t="shared" si="17"/>
        <v>0</v>
      </c>
      <c r="L179" s="308"/>
      <c r="M179" s="407"/>
      <c r="N179" s="407"/>
      <c r="O179" s="90" t="s">
        <v>1320</v>
      </c>
      <c r="P179" s="408">
        <f t="shared" si="18"/>
        <v>2983</v>
      </c>
      <c r="R179" s="90">
        <f t="shared" si="15"/>
        <v>0</v>
      </c>
      <c r="S179" s="90">
        <v>175</v>
      </c>
    </row>
    <row r="180" spans="1:19" ht="12">
      <c r="A180" s="321">
        <v>52</v>
      </c>
      <c r="B180" s="320" t="s">
        <v>433</v>
      </c>
      <c r="C180" s="119"/>
      <c r="D180" s="121">
        <v>6987</v>
      </c>
      <c r="E180" s="318"/>
      <c r="F180" s="317"/>
      <c r="G180" s="450"/>
      <c r="H180" s="444">
        <f t="shared" si="16"/>
        <v>0</v>
      </c>
      <c r="J180" s="109" t="s">
        <v>208</v>
      </c>
      <c r="K180" s="409">
        <f t="shared" si="17"/>
        <v>0</v>
      </c>
      <c r="L180" s="308"/>
      <c r="M180" s="407"/>
      <c r="N180" s="407"/>
      <c r="O180" s="90" t="s">
        <v>1321</v>
      </c>
      <c r="P180" s="408">
        <f t="shared" si="18"/>
        <v>6987</v>
      </c>
      <c r="R180" s="90">
        <f t="shared" si="15"/>
        <v>0</v>
      </c>
      <c r="S180" s="90">
        <v>176</v>
      </c>
    </row>
    <row r="181" spans="1:19" ht="12">
      <c r="A181" s="321">
        <v>53</v>
      </c>
      <c r="B181" s="320" t="s">
        <v>434</v>
      </c>
      <c r="C181" s="119"/>
      <c r="D181" s="121">
        <v>10770</v>
      </c>
      <c r="E181" s="318"/>
      <c r="F181" s="317"/>
      <c r="G181" s="450"/>
      <c r="H181" s="444">
        <f t="shared" si="16"/>
        <v>0</v>
      </c>
      <c r="J181" s="109" t="s">
        <v>209</v>
      </c>
      <c r="K181" s="409">
        <f t="shared" si="17"/>
        <v>0</v>
      </c>
      <c r="L181" s="308"/>
      <c r="M181" s="407"/>
      <c r="N181" s="407"/>
      <c r="O181" s="90" t="s">
        <v>1322</v>
      </c>
      <c r="P181" s="408">
        <f t="shared" si="18"/>
        <v>10770</v>
      </c>
      <c r="R181" s="90">
        <f t="shared" si="15"/>
        <v>0</v>
      </c>
      <c r="S181" s="90">
        <v>177</v>
      </c>
    </row>
    <row r="182" spans="1:19" ht="12">
      <c r="A182" s="321">
        <v>54</v>
      </c>
      <c r="B182" s="320" t="s">
        <v>435</v>
      </c>
      <c r="C182" s="119"/>
      <c r="D182" s="121">
        <v>16737</v>
      </c>
      <c r="E182" s="318"/>
      <c r="F182" s="317"/>
      <c r="G182" s="450"/>
      <c r="H182" s="444">
        <f t="shared" si="16"/>
        <v>0</v>
      </c>
      <c r="J182" s="109" t="s">
        <v>210</v>
      </c>
      <c r="K182" s="409">
        <f t="shared" si="17"/>
        <v>0</v>
      </c>
      <c r="L182" s="308"/>
      <c r="M182" s="407"/>
      <c r="N182" s="407"/>
      <c r="O182" s="90" t="s">
        <v>1323</v>
      </c>
      <c r="P182" s="408">
        <f t="shared" si="18"/>
        <v>16737</v>
      </c>
      <c r="R182" s="90">
        <f t="shared" si="15"/>
        <v>0</v>
      </c>
      <c r="S182" s="90">
        <v>178</v>
      </c>
    </row>
    <row r="183" spans="1:19" ht="12">
      <c r="A183" s="321">
        <v>55</v>
      </c>
      <c r="B183" s="320" t="s">
        <v>436</v>
      </c>
      <c r="C183" s="119"/>
      <c r="D183" s="121">
        <v>25999</v>
      </c>
      <c r="E183" s="318"/>
      <c r="F183" s="317"/>
      <c r="G183" s="450"/>
      <c r="H183" s="444">
        <f t="shared" si="16"/>
        <v>0</v>
      </c>
      <c r="J183" s="109" t="s">
        <v>211</v>
      </c>
      <c r="K183" s="409">
        <f t="shared" si="17"/>
        <v>0</v>
      </c>
      <c r="L183" s="308"/>
      <c r="M183" s="407"/>
      <c r="N183" s="407"/>
      <c r="O183" s="90" t="s">
        <v>1324</v>
      </c>
      <c r="P183" s="408">
        <f t="shared" si="18"/>
        <v>25999</v>
      </c>
      <c r="R183" s="90">
        <f t="shared" si="15"/>
        <v>0</v>
      </c>
      <c r="S183" s="90">
        <v>179</v>
      </c>
    </row>
    <row r="184" spans="1:19" ht="12">
      <c r="A184" s="321">
        <v>61</v>
      </c>
      <c r="B184" s="320" t="s">
        <v>437</v>
      </c>
      <c r="C184" s="119"/>
      <c r="D184" s="121">
        <v>4891</v>
      </c>
      <c r="E184" s="318"/>
      <c r="F184" s="317"/>
      <c r="G184" s="450"/>
      <c r="H184" s="444">
        <f t="shared" si="16"/>
        <v>0</v>
      </c>
      <c r="J184" s="109" t="s">
        <v>212</v>
      </c>
      <c r="K184" s="409">
        <f t="shared" si="17"/>
        <v>0</v>
      </c>
      <c r="L184" s="308"/>
      <c r="M184" s="407"/>
      <c r="N184" s="407"/>
      <c r="O184" s="90" t="s">
        <v>1325</v>
      </c>
      <c r="P184" s="408">
        <f t="shared" si="18"/>
        <v>4891</v>
      </c>
      <c r="R184" s="90">
        <f t="shared" si="15"/>
        <v>0</v>
      </c>
      <c r="S184" s="90">
        <v>180</v>
      </c>
    </row>
    <row r="185" spans="1:19" ht="12">
      <c r="A185" s="321">
        <v>62</v>
      </c>
      <c r="B185" s="320" t="s">
        <v>438</v>
      </c>
      <c r="C185" s="119"/>
      <c r="D185" s="121">
        <v>11455</v>
      </c>
      <c r="E185" s="318"/>
      <c r="F185" s="317"/>
      <c r="G185" s="450"/>
      <c r="H185" s="444">
        <f t="shared" si="16"/>
        <v>0</v>
      </c>
      <c r="J185" s="109" t="s">
        <v>213</v>
      </c>
      <c r="K185" s="409">
        <f t="shared" si="17"/>
        <v>0</v>
      </c>
      <c r="L185" s="308"/>
      <c r="M185" s="407"/>
      <c r="N185" s="407"/>
      <c r="O185" s="90" t="s">
        <v>1326</v>
      </c>
      <c r="P185" s="408">
        <f t="shared" si="18"/>
        <v>11455</v>
      </c>
      <c r="R185" s="90">
        <f t="shared" si="15"/>
        <v>0</v>
      </c>
      <c r="S185" s="90">
        <v>181</v>
      </c>
    </row>
    <row r="186" spans="1:19" ht="12">
      <c r="A186" s="321">
        <v>63</v>
      </c>
      <c r="B186" s="320" t="s">
        <v>439</v>
      </c>
      <c r="C186" s="119"/>
      <c r="D186" s="121">
        <v>16794</v>
      </c>
      <c r="E186" s="318"/>
      <c r="F186" s="317"/>
      <c r="G186" s="450"/>
      <c r="H186" s="444">
        <f t="shared" si="16"/>
        <v>0</v>
      </c>
      <c r="J186" s="109" t="s">
        <v>214</v>
      </c>
      <c r="K186" s="409">
        <f t="shared" si="17"/>
        <v>0</v>
      </c>
      <c r="L186" s="308"/>
      <c r="M186" s="407"/>
      <c r="N186" s="407"/>
      <c r="O186" s="90" t="s">
        <v>1327</v>
      </c>
      <c r="P186" s="408">
        <f t="shared" si="18"/>
        <v>16794</v>
      </c>
      <c r="R186" s="90">
        <f t="shared" si="15"/>
        <v>0</v>
      </c>
      <c r="S186" s="90">
        <v>182</v>
      </c>
    </row>
    <row r="187" spans="1:19" ht="12">
      <c r="A187" s="321">
        <v>64</v>
      </c>
      <c r="B187" s="320" t="s">
        <v>500</v>
      </c>
      <c r="C187" s="119"/>
      <c r="D187" s="121">
        <v>26099</v>
      </c>
      <c r="E187" s="318"/>
      <c r="F187" s="317"/>
      <c r="G187" s="450"/>
      <c r="H187" s="444">
        <f t="shared" si="16"/>
        <v>0</v>
      </c>
      <c r="J187" s="109" t="s">
        <v>215</v>
      </c>
      <c r="K187" s="409">
        <f t="shared" si="17"/>
        <v>0</v>
      </c>
      <c r="L187" s="308"/>
      <c r="M187" s="407"/>
      <c r="N187" s="407"/>
      <c r="O187" s="90" t="s">
        <v>1328</v>
      </c>
      <c r="P187" s="408">
        <f t="shared" si="18"/>
        <v>26099</v>
      </c>
      <c r="R187" s="90">
        <f t="shared" si="15"/>
        <v>0</v>
      </c>
      <c r="S187" s="90">
        <v>183</v>
      </c>
    </row>
    <row r="188" spans="1:19" ht="12">
      <c r="A188" s="321">
        <v>65</v>
      </c>
      <c r="B188" s="320" t="s">
        <v>501</v>
      </c>
      <c r="C188" s="119"/>
      <c r="D188" s="121">
        <v>40542</v>
      </c>
      <c r="E188" s="318"/>
      <c r="F188" s="317"/>
      <c r="G188" s="450"/>
      <c r="H188" s="444">
        <f t="shared" si="16"/>
        <v>0</v>
      </c>
      <c r="J188" s="109" t="s">
        <v>216</v>
      </c>
      <c r="K188" s="409">
        <f t="shared" si="17"/>
        <v>0</v>
      </c>
      <c r="L188" s="308"/>
      <c r="M188" s="407"/>
      <c r="N188" s="407"/>
      <c r="O188" s="90" t="s">
        <v>1329</v>
      </c>
      <c r="P188" s="408">
        <f t="shared" si="18"/>
        <v>40542</v>
      </c>
      <c r="R188" s="90">
        <f t="shared" si="15"/>
        <v>0</v>
      </c>
      <c r="S188" s="90">
        <v>184</v>
      </c>
    </row>
    <row r="189" spans="1:19" ht="12">
      <c r="A189" s="321">
        <v>71</v>
      </c>
      <c r="B189" s="320" t="s">
        <v>502</v>
      </c>
      <c r="C189" s="119"/>
      <c r="D189" s="121">
        <v>5671</v>
      </c>
      <c r="E189" s="318"/>
      <c r="F189" s="317"/>
      <c r="G189" s="450"/>
      <c r="H189" s="444">
        <f t="shared" si="16"/>
        <v>0</v>
      </c>
      <c r="J189" s="109" t="s">
        <v>217</v>
      </c>
      <c r="K189" s="409">
        <f t="shared" si="17"/>
        <v>0</v>
      </c>
      <c r="L189" s="308"/>
      <c r="M189" s="407"/>
      <c r="N189" s="407"/>
      <c r="O189" s="90" t="s">
        <v>1330</v>
      </c>
      <c r="P189" s="408">
        <f t="shared" si="18"/>
        <v>5671</v>
      </c>
      <c r="R189" s="90">
        <f t="shared" si="15"/>
        <v>0</v>
      </c>
      <c r="S189" s="90">
        <v>185</v>
      </c>
    </row>
    <row r="190" spans="1:19" ht="12">
      <c r="A190" s="321">
        <v>72</v>
      </c>
      <c r="B190" s="320" t="s">
        <v>503</v>
      </c>
      <c r="C190" s="119"/>
      <c r="D190" s="121">
        <v>15074</v>
      </c>
      <c r="E190" s="318"/>
      <c r="F190" s="317"/>
      <c r="G190" s="450"/>
      <c r="H190" s="444">
        <f t="shared" si="16"/>
        <v>0</v>
      </c>
      <c r="J190" s="109" t="s">
        <v>218</v>
      </c>
      <c r="K190" s="409">
        <f t="shared" si="17"/>
        <v>0</v>
      </c>
      <c r="L190" s="308"/>
      <c r="M190" s="407"/>
      <c r="N190" s="407"/>
      <c r="O190" s="90" t="s">
        <v>1331</v>
      </c>
      <c r="P190" s="408">
        <f t="shared" si="18"/>
        <v>15074</v>
      </c>
      <c r="R190" s="90">
        <f t="shared" si="15"/>
        <v>0</v>
      </c>
      <c r="S190" s="90">
        <v>186</v>
      </c>
    </row>
    <row r="191" spans="1:19" ht="12">
      <c r="A191" s="321">
        <v>73</v>
      </c>
      <c r="B191" s="320" t="s">
        <v>504</v>
      </c>
      <c r="C191" s="119"/>
      <c r="D191" s="121">
        <v>23426</v>
      </c>
      <c r="E191" s="318"/>
      <c r="F191" s="317"/>
      <c r="G191" s="450"/>
      <c r="H191" s="444">
        <f t="shared" si="16"/>
        <v>0</v>
      </c>
      <c r="J191" s="109" t="s">
        <v>219</v>
      </c>
      <c r="K191" s="409">
        <f t="shared" si="17"/>
        <v>0</v>
      </c>
      <c r="L191" s="308"/>
      <c r="M191" s="407"/>
      <c r="N191" s="407"/>
      <c r="O191" s="90" t="s">
        <v>1332</v>
      </c>
      <c r="P191" s="408">
        <f t="shared" si="18"/>
        <v>23426</v>
      </c>
      <c r="R191" s="90">
        <f t="shared" si="15"/>
        <v>0</v>
      </c>
      <c r="S191" s="90">
        <v>187</v>
      </c>
    </row>
    <row r="192" spans="1:19" ht="12">
      <c r="A192" s="321">
        <v>74</v>
      </c>
      <c r="B192" s="320" t="s">
        <v>505</v>
      </c>
      <c r="C192" s="119"/>
      <c r="D192" s="121">
        <v>36406</v>
      </c>
      <c r="E192" s="318"/>
      <c r="F192" s="317"/>
      <c r="G192" s="450"/>
      <c r="H192" s="444">
        <f t="shared" si="16"/>
        <v>0</v>
      </c>
      <c r="J192" s="109" t="s">
        <v>220</v>
      </c>
      <c r="K192" s="409">
        <f t="shared" si="17"/>
        <v>0</v>
      </c>
      <c r="L192" s="308"/>
      <c r="M192" s="407"/>
      <c r="N192" s="407"/>
      <c r="O192" s="90" t="s">
        <v>1333</v>
      </c>
      <c r="P192" s="408">
        <f t="shared" si="18"/>
        <v>36406</v>
      </c>
      <c r="R192" s="90">
        <f t="shared" si="15"/>
        <v>0</v>
      </c>
      <c r="S192" s="90">
        <v>188</v>
      </c>
    </row>
    <row r="193" spans="1:19" ht="12">
      <c r="A193" s="321">
        <v>75</v>
      </c>
      <c r="B193" s="320" t="s">
        <v>506</v>
      </c>
      <c r="C193" s="119"/>
      <c r="D193" s="121">
        <v>56552</v>
      </c>
      <c r="E193" s="318"/>
      <c r="F193" s="317"/>
      <c r="G193" s="450"/>
      <c r="H193" s="444">
        <f t="shared" si="16"/>
        <v>0</v>
      </c>
      <c r="J193" s="109" t="s">
        <v>221</v>
      </c>
      <c r="K193" s="409">
        <f t="shared" si="17"/>
        <v>0</v>
      </c>
      <c r="L193" s="308"/>
      <c r="M193" s="407"/>
      <c r="N193" s="407"/>
      <c r="O193" s="90" t="s">
        <v>1334</v>
      </c>
      <c r="P193" s="408">
        <f t="shared" si="18"/>
        <v>56552</v>
      </c>
      <c r="R193" s="90">
        <f t="shared" si="15"/>
        <v>0</v>
      </c>
      <c r="S193" s="90">
        <v>189</v>
      </c>
    </row>
    <row r="194" spans="1:19" ht="12">
      <c r="A194" s="321">
        <v>111</v>
      </c>
      <c r="B194" s="320" t="s">
        <v>714</v>
      </c>
      <c r="C194" s="119"/>
      <c r="D194" s="121">
        <v>9377</v>
      </c>
      <c r="E194" s="318"/>
      <c r="F194" s="317"/>
      <c r="G194" s="450"/>
      <c r="H194" s="444">
        <f t="shared" si="16"/>
        <v>0</v>
      </c>
      <c r="J194" s="109" t="s">
        <v>749</v>
      </c>
      <c r="K194" s="409">
        <f t="shared" si="17"/>
        <v>0</v>
      </c>
      <c r="L194" s="308"/>
      <c r="M194" s="407"/>
      <c r="N194" s="407"/>
      <c r="O194" s="90" t="s">
        <v>1335</v>
      </c>
      <c r="P194" s="408">
        <f t="shared" si="18"/>
        <v>9377</v>
      </c>
      <c r="R194" s="90">
        <f aca="true" t="shared" si="19" ref="R194:R229">S194*(E194+F194)+$E$230</f>
        <v>0</v>
      </c>
      <c r="S194" s="90">
        <v>190</v>
      </c>
    </row>
    <row r="195" spans="1:19" ht="12">
      <c r="A195" s="321">
        <v>112</v>
      </c>
      <c r="B195" s="320" t="s">
        <v>715</v>
      </c>
      <c r="C195" s="119"/>
      <c r="D195" s="121">
        <v>22408</v>
      </c>
      <c r="E195" s="318"/>
      <c r="F195" s="317"/>
      <c r="G195" s="450"/>
      <c r="H195" s="444">
        <f t="shared" si="16"/>
        <v>0</v>
      </c>
      <c r="J195" s="109" t="s">
        <v>750</v>
      </c>
      <c r="K195" s="409">
        <f t="shared" si="17"/>
        <v>0</v>
      </c>
      <c r="L195" s="308"/>
      <c r="M195" s="407"/>
      <c r="N195" s="407"/>
      <c r="O195" s="90" t="s">
        <v>1336</v>
      </c>
      <c r="P195" s="408">
        <f t="shared" si="18"/>
        <v>22408</v>
      </c>
      <c r="R195" s="90">
        <f t="shared" si="19"/>
        <v>0</v>
      </c>
      <c r="S195" s="90">
        <v>191</v>
      </c>
    </row>
    <row r="196" spans="1:19" ht="12">
      <c r="A196" s="321">
        <v>113</v>
      </c>
      <c r="B196" s="320" t="s">
        <v>716</v>
      </c>
      <c r="C196" s="119"/>
      <c r="D196" s="121">
        <v>33831</v>
      </c>
      <c r="E196" s="318"/>
      <c r="F196" s="317"/>
      <c r="G196" s="450"/>
      <c r="H196" s="444">
        <f t="shared" si="16"/>
        <v>0</v>
      </c>
      <c r="J196" s="109" t="s">
        <v>751</v>
      </c>
      <c r="K196" s="409">
        <f t="shared" si="17"/>
        <v>0</v>
      </c>
      <c r="L196" s="308"/>
      <c r="M196" s="407"/>
      <c r="N196" s="407"/>
      <c r="O196" s="90" t="s">
        <v>1337</v>
      </c>
      <c r="P196" s="408">
        <f t="shared" si="18"/>
        <v>33831</v>
      </c>
      <c r="R196" s="90">
        <f t="shared" si="19"/>
        <v>0</v>
      </c>
      <c r="S196" s="90">
        <v>192</v>
      </c>
    </row>
    <row r="197" spans="1:19" ht="12">
      <c r="A197" s="321">
        <v>114</v>
      </c>
      <c r="B197" s="320" t="s">
        <v>717</v>
      </c>
      <c r="C197" s="119"/>
      <c r="D197" s="121">
        <v>52576</v>
      </c>
      <c r="E197" s="318"/>
      <c r="F197" s="317"/>
      <c r="G197" s="450"/>
      <c r="H197" s="444">
        <f t="shared" si="16"/>
        <v>0</v>
      </c>
      <c r="J197" s="109" t="s">
        <v>752</v>
      </c>
      <c r="K197" s="409">
        <f t="shared" si="17"/>
        <v>0</v>
      </c>
      <c r="L197" s="308"/>
      <c r="M197" s="407"/>
      <c r="N197" s="407"/>
      <c r="O197" s="90" t="s">
        <v>1338</v>
      </c>
      <c r="P197" s="408">
        <f t="shared" si="18"/>
        <v>52576</v>
      </c>
      <c r="R197" s="90">
        <f t="shared" si="19"/>
        <v>0</v>
      </c>
      <c r="S197" s="90">
        <v>193</v>
      </c>
    </row>
    <row r="198" spans="1:19" ht="12">
      <c r="A198" s="321">
        <v>115</v>
      </c>
      <c r="B198" s="320" t="s">
        <v>718</v>
      </c>
      <c r="C198" s="119"/>
      <c r="D198" s="121">
        <v>81672</v>
      </c>
      <c r="E198" s="318"/>
      <c r="F198" s="317"/>
      <c r="G198" s="450"/>
      <c r="H198" s="444">
        <f t="shared" si="16"/>
        <v>0</v>
      </c>
      <c r="J198" s="109" t="s">
        <v>753</v>
      </c>
      <c r="K198" s="409">
        <f t="shared" si="17"/>
        <v>0</v>
      </c>
      <c r="L198" s="308"/>
      <c r="M198" s="407"/>
      <c r="N198" s="407"/>
      <c r="O198" s="90" t="s">
        <v>1339</v>
      </c>
      <c r="P198" s="408">
        <f t="shared" si="18"/>
        <v>81672</v>
      </c>
      <c r="R198" s="90">
        <f t="shared" si="19"/>
        <v>0</v>
      </c>
      <c r="S198" s="90">
        <v>194</v>
      </c>
    </row>
    <row r="199" spans="1:19" ht="12">
      <c r="A199" s="321">
        <v>121</v>
      </c>
      <c r="B199" s="320" t="s">
        <v>719</v>
      </c>
      <c r="C199" s="119"/>
      <c r="D199" s="121">
        <v>14490</v>
      </c>
      <c r="E199" s="318"/>
      <c r="F199" s="317"/>
      <c r="G199" s="450"/>
      <c r="H199" s="444">
        <f t="shared" si="16"/>
        <v>0</v>
      </c>
      <c r="J199" s="109" t="s">
        <v>754</v>
      </c>
      <c r="K199" s="409">
        <f t="shared" si="17"/>
        <v>0</v>
      </c>
      <c r="L199" s="308"/>
      <c r="M199" s="407"/>
      <c r="N199" s="407"/>
      <c r="O199" s="90" t="s">
        <v>1340</v>
      </c>
      <c r="P199" s="408">
        <f t="shared" si="18"/>
        <v>14490</v>
      </c>
      <c r="R199" s="90">
        <f t="shared" si="19"/>
        <v>0</v>
      </c>
      <c r="S199" s="90">
        <v>195</v>
      </c>
    </row>
    <row r="200" spans="1:19" ht="12">
      <c r="A200" s="321">
        <v>122</v>
      </c>
      <c r="B200" s="320" t="s">
        <v>720</v>
      </c>
      <c r="C200" s="119"/>
      <c r="D200" s="121">
        <v>33937</v>
      </c>
      <c r="E200" s="318"/>
      <c r="F200" s="317"/>
      <c r="G200" s="450"/>
      <c r="H200" s="444">
        <f t="shared" si="16"/>
        <v>0</v>
      </c>
      <c r="J200" s="109" t="s">
        <v>760</v>
      </c>
      <c r="K200" s="409">
        <f t="shared" si="17"/>
        <v>0</v>
      </c>
      <c r="L200" s="308"/>
      <c r="M200" s="407"/>
      <c r="N200" s="407"/>
      <c r="O200" s="90" t="s">
        <v>1341</v>
      </c>
      <c r="P200" s="408">
        <f t="shared" si="18"/>
        <v>33937</v>
      </c>
      <c r="R200" s="90">
        <f t="shared" si="19"/>
        <v>0</v>
      </c>
      <c r="S200" s="90">
        <v>196</v>
      </c>
    </row>
    <row r="201" spans="1:19" ht="12">
      <c r="A201" s="321">
        <v>123</v>
      </c>
      <c r="B201" s="320" t="s">
        <v>721</v>
      </c>
      <c r="C201" s="119"/>
      <c r="D201" s="121">
        <v>51238</v>
      </c>
      <c r="E201" s="318"/>
      <c r="F201" s="317"/>
      <c r="G201" s="450"/>
      <c r="H201" s="444">
        <f t="shared" si="16"/>
        <v>0</v>
      </c>
      <c r="J201" s="109" t="s">
        <v>761</v>
      </c>
      <c r="K201" s="409">
        <f t="shared" si="17"/>
        <v>0</v>
      </c>
      <c r="L201" s="308"/>
      <c r="M201" s="407"/>
      <c r="N201" s="407"/>
      <c r="O201" s="90" t="s">
        <v>1342</v>
      </c>
      <c r="P201" s="408">
        <f t="shared" si="18"/>
        <v>51238</v>
      </c>
      <c r="R201" s="90">
        <f t="shared" si="19"/>
        <v>0</v>
      </c>
      <c r="S201" s="90">
        <v>197</v>
      </c>
    </row>
    <row r="202" spans="1:19" ht="12">
      <c r="A202" s="321">
        <v>124</v>
      </c>
      <c r="B202" s="320" t="s">
        <v>727</v>
      </c>
      <c r="C202" s="119"/>
      <c r="D202" s="121">
        <v>79628</v>
      </c>
      <c r="E202" s="318"/>
      <c r="F202" s="317"/>
      <c r="G202" s="450"/>
      <c r="H202" s="444">
        <f t="shared" si="16"/>
        <v>0</v>
      </c>
      <c r="J202" s="109" t="s">
        <v>762</v>
      </c>
      <c r="K202" s="409">
        <f t="shared" si="17"/>
        <v>0</v>
      </c>
      <c r="L202" s="308"/>
      <c r="M202" s="407"/>
      <c r="N202" s="407"/>
      <c r="O202" s="90" t="s">
        <v>1343</v>
      </c>
      <c r="P202" s="408">
        <f t="shared" si="18"/>
        <v>79628</v>
      </c>
      <c r="R202" s="90">
        <f t="shared" si="19"/>
        <v>0</v>
      </c>
      <c r="S202" s="90">
        <v>198</v>
      </c>
    </row>
    <row r="203" spans="1:19" ht="12">
      <c r="A203" s="321">
        <v>125</v>
      </c>
      <c r="B203" s="320" t="s">
        <v>722</v>
      </c>
      <c r="C203" s="119"/>
      <c r="D203" s="121">
        <v>123693</v>
      </c>
      <c r="E203" s="318"/>
      <c r="F203" s="317"/>
      <c r="G203" s="450"/>
      <c r="H203" s="444">
        <f t="shared" si="16"/>
        <v>0</v>
      </c>
      <c r="J203" s="109" t="s">
        <v>763</v>
      </c>
      <c r="K203" s="409">
        <f t="shared" si="17"/>
        <v>0</v>
      </c>
      <c r="L203" s="308"/>
      <c r="M203" s="407"/>
      <c r="N203" s="407"/>
      <c r="O203" s="90" t="s">
        <v>1344</v>
      </c>
      <c r="P203" s="408">
        <f t="shared" si="18"/>
        <v>123693</v>
      </c>
      <c r="R203" s="90">
        <f t="shared" si="19"/>
        <v>0</v>
      </c>
      <c r="S203" s="90">
        <v>199</v>
      </c>
    </row>
    <row r="204" spans="1:19" ht="12">
      <c r="A204" s="321">
        <v>131</v>
      </c>
      <c r="B204" s="320" t="s">
        <v>723</v>
      </c>
      <c r="C204" s="119"/>
      <c r="D204" s="121">
        <v>19527</v>
      </c>
      <c r="E204" s="318"/>
      <c r="F204" s="317"/>
      <c r="G204" s="450"/>
      <c r="H204" s="444">
        <f t="shared" si="16"/>
        <v>0</v>
      </c>
      <c r="J204" s="109" t="s">
        <v>755</v>
      </c>
      <c r="K204" s="409">
        <f t="shared" si="17"/>
        <v>0</v>
      </c>
      <c r="L204" s="308"/>
      <c r="M204" s="407"/>
      <c r="N204" s="407"/>
      <c r="O204" s="90" t="s">
        <v>1345</v>
      </c>
      <c r="P204" s="408">
        <f t="shared" si="18"/>
        <v>19527</v>
      </c>
      <c r="R204" s="90">
        <f t="shared" si="19"/>
        <v>0</v>
      </c>
      <c r="S204" s="90">
        <v>200</v>
      </c>
    </row>
    <row r="205" spans="1:19" ht="12">
      <c r="A205" s="321">
        <v>132</v>
      </c>
      <c r="B205" s="320" t="s">
        <v>724</v>
      </c>
      <c r="C205" s="119"/>
      <c r="D205" s="121">
        <v>45735</v>
      </c>
      <c r="E205" s="318"/>
      <c r="F205" s="317"/>
      <c r="G205" s="450"/>
      <c r="H205" s="444">
        <f t="shared" si="16"/>
        <v>0</v>
      </c>
      <c r="J205" s="109" t="s">
        <v>764</v>
      </c>
      <c r="K205" s="409">
        <f t="shared" si="17"/>
        <v>0</v>
      </c>
      <c r="L205" s="308"/>
      <c r="M205" s="407"/>
      <c r="N205" s="407"/>
      <c r="O205" s="90" t="s">
        <v>1346</v>
      </c>
      <c r="P205" s="408">
        <f t="shared" si="18"/>
        <v>45735</v>
      </c>
      <c r="R205" s="90">
        <f t="shared" si="19"/>
        <v>0</v>
      </c>
      <c r="S205" s="90">
        <v>201</v>
      </c>
    </row>
    <row r="206" spans="1:19" ht="12">
      <c r="A206" s="321">
        <v>133</v>
      </c>
      <c r="B206" s="320" t="s">
        <v>725</v>
      </c>
      <c r="C206" s="119"/>
      <c r="D206" s="121">
        <v>69051</v>
      </c>
      <c r="E206" s="318"/>
      <c r="F206" s="317"/>
      <c r="G206" s="450"/>
      <c r="H206" s="444">
        <f t="shared" si="16"/>
        <v>0</v>
      </c>
      <c r="J206" s="109" t="s">
        <v>765</v>
      </c>
      <c r="K206" s="409">
        <f t="shared" si="17"/>
        <v>0</v>
      </c>
      <c r="L206" s="308"/>
      <c r="M206" s="407"/>
      <c r="N206" s="407"/>
      <c r="O206" s="90" t="s">
        <v>1347</v>
      </c>
      <c r="P206" s="408">
        <f t="shared" si="18"/>
        <v>69051</v>
      </c>
      <c r="R206" s="90">
        <f t="shared" si="19"/>
        <v>0</v>
      </c>
      <c r="S206" s="90">
        <v>202</v>
      </c>
    </row>
    <row r="207" spans="1:19" ht="12">
      <c r="A207" s="321">
        <v>134</v>
      </c>
      <c r="B207" s="320" t="s">
        <v>726</v>
      </c>
      <c r="C207" s="119"/>
      <c r="D207" s="121">
        <v>107311</v>
      </c>
      <c r="E207" s="318"/>
      <c r="F207" s="317"/>
      <c r="G207" s="450"/>
      <c r="H207" s="444">
        <f t="shared" si="16"/>
        <v>0</v>
      </c>
      <c r="J207" s="109" t="s">
        <v>766</v>
      </c>
      <c r="K207" s="409">
        <f t="shared" si="17"/>
        <v>0</v>
      </c>
      <c r="L207" s="308"/>
      <c r="M207" s="407"/>
      <c r="N207" s="407"/>
      <c r="O207" s="90" t="s">
        <v>1348</v>
      </c>
      <c r="P207" s="408">
        <f t="shared" si="18"/>
        <v>107311</v>
      </c>
      <c r="R207" s="90">
        <f t="shared" si="19"/>
        <v>0</v>
      </c>
      <c r="S207" s="90">
        <v>203</v>
      </c>
    </row>
    <row r="208" spans="1:19" ht="12">
      <c r="A208" s="321">
        <v>135</v>
      </c>
      <c r="B208" s="320" t="s">
        <v>728</v>
      </c>
      <c r="C208" s="119"/>
      <c r="D208" s="121">
        <v>166696</v>
      </c>
      <c r="E208" s="318"/>
      <c r="F208" s="317"/>
      <c r="G208" s="450"/>
      <c r="H208" s="444">
        <f t="shared" si="16"/>
        <v>0</v>
      </c>
      <c r="J208" s="109" t="s">
        <v>767</v>
      </c>
      <c r="K208" s="409">
        <f t="shared" si="17"/>
        <v>0</v>
      </c>
      <c r="L208" s="308"/>
      <c r="M208" s="407"/>
      <c r="N208" s="407"/>
      <c r="O208" s="90" t="s">
        <v>1349</v>
      </c>
      <c r="P208" s="408">
        <f t="shared" si="18"/>
        <v>166696</v>
      </c>
      <c r="R208" s="90">
        <f t="shared" si="19"/>
        <v>0</v>
      </c>
      <c r="S208" s="90">
        <v>204</v>
      </c>
    </row>
    <row r="209" spans="1:19" ht="12">
      <c r="A209" s="321">
        <v>141</v>
      </c>
      <c r="B209" s="320" t="s">
        <v>729</v>
      </c>
      <c r="C209" s="119"/>
      <c r="D209" s="121">
        <v>21372</v>
      </c>
      <c r="E209" s="318"/>
      <c r="F209" s="317"/>
      <c r="G209" s="450"/>
      <c r="H209" s="444">
        <f t="shared" si="16"/>
        <v>0</v>
      </c>
      <c r="J209" s="109" t="s">
        <v>756</v>
      </c>
      <c r="K209" s="409">
        <f t="shared" si="17"/>
        <v>0</v>
      </c>
      <c r="L209" s="308"/>
      <c r="M209" s="407"/>
      <c r="N209" s="407"/>
      <c r="O209" s="90" t="s">
        <v>1350</v>
      </c>
      <c r="P209" s="408">
        <f t="shared" si="18"/>
        <v>21372</v>
      </c>
      <c r="R209" s="90">
        <f t="shared" si="19"/>
        <v>0</v>
      </c>
      <c r="S209" s="90">
        <v>205</v>
      </c>
    </row>
    <row r="210" spans="1:19" ht="12">
      <c r="A210" s="321">
        <v>142</v>
      </c>
      <c r="B210" s="320" t="s">
        <v>730</v>
      </c>
      <c r="C210" s="119"/>
      <c r="D210" s="121">
        <v>50057</v>
      </c>
      <c r="E210" s="318"/>
      <c r="F210" s="317"/>
      <c r="G210" s="450"/>
      <c r="H210" s="444">
        <f t="shared" si="16"/>
        <v>0</v>
      </c>
      <c r="J210" s="109" t="s">
        <v>768</v>
      </c>
      <c r="K210" s="409">
        <f t="shared" si="17"/>
        <v>0</v>
      </c>
      <c r="L210" s="308"/>
      <c r="M210" s="407"/>
      <c r="N210" s="407"/>
      <c r="O210" s="90" t="s">
        <v>1351</v>
      </c>
      <c r="P210" s="408">
        <f t="shared" si="18"/>
        <v>50057</v>
      </c>
      <c r="R210" s="90">
        <f t="shared" si="19"/>
        <v>0</v>
      </c>
      <c r="S210" s="90">
        <v>206</v>
      </c>
    </row>
    <row r="211" spans="1:19" ht="12">
      <c r="A211" s="321">
        <v>143</v>
      </c>
      <c r="B211" s="320" t="s">
        <v>731</v>
      </c>
      <c r="C211" s="119"/>
      <c r="D211" s="121">
        <v>75575</v>
      </c>
      <c r="E211" s="318"/>
      <c r="F211" s="317"/>
      <c r="G211" s="450"/>
      <c r="H211" s="444">
        <f t="shared" si="16"/>
        <v>0</v>
      </c>
      <c r="J211" s="109" t="s">
        <v>769</v>
      </c>
      <c r="K211" s="409">
        <f t="shared" si="17"/>
        <v>0</v>
      </c>
      <c r="L211" s="308"/>
      <c r="M211" s="407"/>
      <c r="N211" s="407"/>
      <c r="O211" s="90" t="s">
        <v>1352</v>
      </c>
      <c r="P211" s="408">
        <f t="shared" si="18"/>
        <v>75575</v>
      </c>
      <c r="R211" s="90">
        <f t="shared" si="19"/>
        <v>0</v>
      </c>
      <c r="S211" s="90">
        <v>207</v>
      </c>
    </row>
    <row r="212" spans="1:19" ht="12">
      <c r="A212" s="321">
        <v>144</v>
      </c>
      <c r="B212" s="320" t="s">
        <v>732</v>
      </c>
      <c r="C212" s="119"/>
      <c r="D212" s="121">
        <v>117450</v>
      </c>
      <c r="E212" s="318"/>
      <c r="F212" s="317"/>
      <c r="G212" s="450"/>
      <c r="H212" s="444">
        <f t="shared" si="16"/>
        <v>0</v>
      </c>
      <c r="J212" s="109" t="s">
        <v>770</v>
      </c>
      <c r="K212" s="409">
        <f t="shared" si="17"/>
        <v>0</v>
      </c>
      <c r="L212" s="308"/>
      <c r="M212" s="407"/>
      <c r="N212" s="407"/>
      <c r="O212" s="90" t="s">
        <v>1353</v>
      </c>
      <c r="P212" s="408">
        <f t="shared" si="18"/>
        <v>117450</v>
      </c>
      <c r="R212" s="90">
        <f t="shared" si="19"/>
        <v>0</v>
      </c>
      <c r="S212" s="90">
        <v>208</v>
      </c>
    </row>
    <row r="213" spans="1:19" ht="12">
      <c r="A213" s="321">
        <v>145</v>
      </c>
      <c r="B213" s="320" t="s">
        <v>733</v>
      </c>
      <c r="C213" s="119"/>
      <c r="D213" s="121">
        <v>182446</v>
      </c>
      <c r="E213" s="318"/>
      <c r="F213" s="317"/>
      <c r="G213" s="450"/>
      <c r="H213" s="444">
        <f t="shared" si="16"/>
        <v>0</v>
      </c>
      <c r="J213" s="109" t="s">
        <v>771</v>
      </c>
      <c r="K213" s="409">
        <f t="shared" si="17"/>
        <v>0</v>
      </c>
      <c r="L213" s="308"/>
      <c r="M213" s="407"/>
      <c r="N213" s="407"/>
      <c r="O213" s="90" t="s">
        <v>1354</v>
      </c>
      <c r="P213" s="408">
        <f t="shared" si="18"/>
        <v>182446</v>
      </c>
      <c r="R213" s="90">
        <f t="shared" si="19"/>
        <v>0</v>
      </c>
      <c r="S213" s="90">
        <v>209</v>
      </c>
    </row>
    <row r="214" spans="1:19" ht="12">
      <c r="A214" s="321">
        <v>151</v>
      </c>
      <c r="B214" s="320" t="s">
        <v>734</v>
      </c>
      <c r="C214" s="119"/>
      <c r="D214" s="121">
        <v>27432</v>
      </c>
      <c r="E214" s="318"/>
      <c r="F214" s="317"/>
      <c r="G214" s="450"/>
      <c r="H214" s="444">
        <f t="shared" si="16"/>
        <v>0</v>
      </c>
      <c r="J214" s="109" t="s">
        <v>757</v>
      </c>
      <c r="K214" s="409">
        <f t="shared" si="17"/>
        <v>0</v>
      </c>
      <c r="L214" s="308"/>
      <c r="M214" s="407"/>
      <c r="N214" s="407"/>
      <c r="O214" s="90" t="s">
        <v>1355</v>
      </c>
      <c r="P214" s="408">
        <f t="shared" si="18"/>
        <v>27432</v>
      </c>
      <c r="R214" s="90">
        <f t="shared" si="19"/>
        <v>0</v>
      </c>
      <c r="S214" s="90">
        <v>210</v>
      </c>
    </row>
    <row r="215" spans="1:19" ht="12">
      <c r="A215" s="321">
        <v>152</v>
      </c>
      <c r="B215" s="320" t="s">
        <v>735</v>
      </c>
      <c r="C215" s="119"/>
      <c r="D215" s="121">
        <v>64250</v>
      </c>
      <c r="E215" s="318"/>
      <c r="F215" s="317"/>
      <c r="G215" s="450"/>
      <c r="H215" s="444">
        <f t="shared" si="16"/>
        <v>0</v>
      </c>
      <c r="J215" s="109" t="s">
        <v>772</v>
      </c>
      <c r="K215" s="409">
        <f t="shared" si="17"/>
        <v>0</v>
      </c>
      <c r="L215" s="308"/>
      <c r="M215" s="407"/>
      <c r="N215" s="407"/>
      <c r="O215" s="90" t="s">
        <v>1356</v>
      </c>
      <c r="P215" s="408">
        <f t="shared" si="18"/>
        <v>64250</v>
      </c>
      <c r="R215" s="90">
        <f t="shared" si="19"/>
        <v>0</v>
      </c>
      <c r="S215" s="90">
        <v>211</v>
      </c>
    </row>
    <row r="216" spans="1:19" ht="12">
      <c r="A216" s="321">
        <v>153</v>
      </c>
      <c r="B216" s="320" t="s">
        <v>736</v>
      </c>
      <c r="C216" s="119"/>
      <c r="D216" s="121">
        <v>97003</v>
      </c>
      <c r="E216" s="318"/>
      <c r="F216" s="317"/>
      <c r="G216" s="450"/>
      <c r="H216" s="444">
        <f t="shared" si="16"/>
        <v>0</v>
      </c>
      <c r="J216" s="109" t="s">
        <v>773</v>
      </c>
      <c r="K216" s="409">
        <f t="shared" si="17"/>
        <v>0</v>
      </c>
      <c r="L216" s="308"/>
      <c r="M216" s="407"/>
      <c r="N216" s="407"/>
      <c r="O216" s="90" t="s">
        <v>1357</v>
      </c>
      <c r="P216" s="408">
        <f t="shared" si="18"/>
        <v>97003</v>
      </c>
      <c r="R216" s="90">
        <f t="shared" si="19"/>
        <v>0</v>
      </c>
      <c r="S216" s="90">
        <v>212</v>
      </c>
    </row>
    <row r="217" spans="1:16" ht="18" customHeight="1">
      <c r="A217" s="330" t="s">
        <v>1716</v>
      </c>
      <c r="B217" s="331" t="s">
        <v>288</v>
      </c>
      <c r="C217" s="337"/>
      <c r="D217" s="331" t="s">
        <v>852</v>
      </c>
      <c r="E217" s="316" t="s">
        <v>1697</v>
      </c>
      <c r="F217" s="337"/>
      <c r="G217" s="447"/>
      <c r="H217" s="448" t="s">
        <v>1698</v>
      </c>
      <c r="J217" s="109"/>
      <c r="K217" s="409"/>
      <c r="L217" s="308"/>
      <c r="M217" s="407"/>
      <c r="N217" s="407"/>
      <c r="P217" s="408"/>
    </row>
    <row r="218" spans="1:19" ht="12">
      <c r="A218" s="321">
        <v>154</v>
      </c>
      <c r="B218" s="320" t="s">
        <v>737</v>
      </c>
      <c r="C218" s="119"/>
      <c r="D218" s="121">
        <v>150751</v>
      </c>
      <c r="E218" s="318"/>
      <c r="F218" s="317"/>
      <c r="G218" s="450"/>
      <c r="H218" s="444">
        <f t="shared" si="16"/>
        <v>0</v>
      </c>
      <c r="J218" s="109" t="s">
        <v>774</v>
      </c>
      <c r="K218" s="409">
        <f t="shared" si="17"/>
        <v>0</v>
      </c>
      <c r="L218" s="308"/>
      <c r="M218" s="407"/>
      <c r="N218" s="407"/>
      <c r="O218" s="90" t="s">
        <v>1358</v>
      </c>
      <c r="P218" s="408">
        <f t="shared" si="18"/>
        <v>150751</v>
      </c>
      <c r="R218" s="90">
        <f t="shared" si="19"/>
        <v>0</v>
      </c>
      <c r="S218" s="90">
        <v>213</v>
      </c>
    </row>
    <row r="219" spans="1:19" ht="12">
      <c r="A219" s="321">
        <v>155</v>
      </c>
      <c r="B219" s="320" t="s">
        <v>738</v>
      </c>
      <c r="C219" s="119"/>
      <c r="D219" s="121">
        <v>234176</v>
      </c>
      <c r="E219" s="318"/>
      <c r="F219" s="317"/>
      <c r="G219" s="450"/>
      <c r="H219" s="444">
        <f t="shared" si="16"/>
        <v>0</v>
      </c>
      <c r="J219" s="109" t="s">
        <v>775</v>
      </c>
      <c r="K219" s="409">
        <f t="shared" si="17"/>
        <v>0</v>
      </c>
      <c r="L219" s="308"/>
      <c r="M219" s="407"/>
      <c r="N219" s="407"/>
      <c r="O219" s="90" t="s">
        <v>1359</v>
      </c>
      <c r="P219" s="408">
        <f t="shared" si="18"/>
        <v>234176</v>
      </c>
      <c r="R219" s="90">
        <f t="shared" si="19"/>
        <v>0</v>
      </c>
      <c r="S219" s="90">
        <v>214</v>
      </c>
    </row>
    <row r="220" spans="1:19" ht="12">
      <c r="A220" s="321">
        <v>161</v>
      </c>
      <c r="B220" s="320" t="s">
        <v>739</v>
      </c>
      <c r="C220" s="119"/>
      <c r="D220" s="121">
        <v>31755</v>
      </c>
      <c r="E220" s="318"/>
      <c r="F220" s="317"/>
      <c r="G220" s="450"/>
      <c r="H220" s="444">
        <f t="shared" si="16"/>
        <v>0</v>
      </c>
      <c r="J220" s="109" t="s">
        <v>758</v>
      </c>
      <c r="K220" s="409">
        <f t="shared" si="17"/>
        <v>0</v>
      </c>
      <c r="L220" s="308"/>
      <c r="M220" s="407"/>
      <c r="N220" s="407"/>
      <c r="O220" s="90" t="s">
        <v>1360</v>
      </c>
      <c r="P220" s="408">
        <f t="shared" si="18"/>
        <v>31755</v>
      </c>
      <c r="R220" s="90">
        <f t="shared" si="19"/>
        <v>0</v>
      </c>
      <c r="S220" s="90">
        <v>215</v>
      </c>
    </row>
    <row r="221" spans="1:19" ht="12">
      <c r="A221" s="321">
        <v>162</v>
      </c>
      <c r="B221" s="320" t="s">
        <v>740</v>
      </c>
      <c r="C221" s="119"/>
      <c r="D221" s="121">
        <v>74375</v>
      </c>
      <c r="E221" s="318"/>
      <c r="F221" s="317"/>
      <c r="G221" s="450"/>
      <c r="H221" s="444">
        <f t="shared" si="16"/>
        <v>0</v>
      </c>
      <c r="J221" s="109" t="s">
        <v>776</v>
      </c>
      <c r="K221" s="409">
        <f t="shared" si="17"/>
        <v>0</v>
      </c>
      <c r="L221" s="308"/>
      <c r="M221" s="407"/>
      <c r="N221" s="407"/>
      <c r="O221" s="90" t="s">
        <v>1361</v>
      </c>
      <c r="P221" s="408">
        <f t="shared" si="18"/>
        <v>74375</v>
      </c>
      <c r="R221" s="90">
        <f t="shared" si="19"/>
        <v>0</v>
      </c>
      <c r="S221" s="90">
        <v>216</v>
      </c>
    </row>
    <row r="222" spans="1:19" ht="12">
      <c r="A222" s="321">
        <v>163</v>
      </c>
      <c r="B222" s="320" t="s">
        <v>741</v>
      </c>
      <c r="C222" s="119"/>
      <c r="D222" s="121">
        <v>112290</v>
      </c>
      <c r="E222" s="318"/>
      <c r="F222" s="317"/>
      <c r="G222" s="450"/>
      <c r="H222" s="444">
        <f t="shared" si="16"/>
        <v>0</v>
      </c>
      <c r="J222" s="109" t="s">
        <v>777</v>
      </c>
      <c r="K222" s="409">
        <f t="shared" si="17"/>
        <v>0</v>
      </c>
      <c r="L222" s="308"/>
      <c r="M222" s="407"/>
      <c r="N222" s="407"/>
      <c r="O222" s="90" t="s">
        <v>1362</v>
      </c>
      <c r="P222" s="408">
        <f t="shared" si="18"/>
        <v>112290</v>
      </c>
      <c r="R222" s="90">
        <f t="shared" si="19"/>
        <v>0</v>
      </c>
      <c r="S222" s="90">
        <v>217</v>
      </c>
    </row>
    <row r="223" spans="1:19" ht="12">
      <c r="A223" s="321">
        <v>164</v>
      </c>
      <c r="B223" s="320" t="s">
        <v>742</v>
      </c>
      <c r="C223" s="119"/>
      <c r="D223" s="121">
        <v>174508</v>
      </c>
      <c r="E223" s="318"/>
      <c r="F223" s="317"/>
      <c r="G223" s="450"/>
      <c r="H223" s="444">
        <f t="shared" si="16"/>
        <v>0</v>
      </c>
      <c r="J223" s="109" t="s">
        <v>778</v>
      </c>
      <c r="K223" s="409">
        <f t="shared" si="17"/>
        <v>0</v>
      </c>
      <c r="L223" s="308"/>
      <c r="M223" s="407"/>
      <c r="N223" s="407"/>
      <c r="O223" s="90" t="s">
        <v>1363</v>
      </c>
      <c r="P223" s="408">
        <f t="shared" si="18"/>
        <v>174508</v>
      </c>
      <c r="R223" s="90">
        <f t="shared" si="19"/>
        <v>0</v>
      </c>
      <c r="S223" s="90">
        <v>218</v>
      </c>
    </row>
    <row r="224" spans="1:19" ht="12">
      <c r="A224" s="321">
        <v>165</v>
      </c>
      <c r="B224" s="320" t="s">
        <v>743</v>
      </c>
      <c r="C224" s="119"/>
      <c r="D224" s="121">
        <v>271079</v>
      </c>
      <c r="E224" s="318"/>
      <c r="F224" s="317"/>
      <c r="G224" s="450"/>
      <c r="H224" s="444">
        <f t="shared" si="16"/>
        <v>0</v>
      </c>
      <c r="J224" s="109" t="s">
        <v>779</v>
      </c>
      <c r="K224" s="409">
        <f aca="true" t="shared" si="20" ref="K224:K229">E224</f>
        <v>0</v>
      </c>
      <c r="L224" s="308"/>
      <c r="M224" s="407"/>
      <c r="N224" s="407"/>
      <c r="O224" s="90" t="s">
        <v>1364</v>
      </c>
      <c r="P224" s="408">
        <f aca="true" t="shared" si="21" ref="P224:P229">D224</f>
        <v>271079</v>
      </c>
      <c r="R224" s="90">
        <f t="shared" si="19"/>
        <v>0</v>
      </c>
      <c r="S224" s="90">
        <v>219</v>
      </c>
    </row>
    <row r="225" spans="1:19" ht="12">
      <c r="A225" s="321">
        <v>171</v>
      </c>
      <c r="B225" s="320" t="s">
        <v>744</v>
      </c>
      <c r="C225" s="119"/>
      <c r="D225" s="121">
        <v>35163</v>
      </c>
      <c r="E225" s="318"/>
      <c r="F225" s="317"/>
      <c r="G225" s="450"/>
      <c r="H225" s="444">
        <f t="shared" si="16"/>
        <v>0</v>
      </c>
      <c r="J225" s="109" t="s">
        <v>759</v>
      </c>
      <c r="K225" s="409">
        <f t="shared" si="20"/>
        <v>0</v>
      </c>
      <c r="L225" s="308"/>
      <c r="M225" s="407"/>
      <c r="N225" s="407"/>
      <c r="O225" s="90" t="s">
        <v>1365</v>
      </c>
      <c r="P225" s="408">
        <f t="shared" si="21"/>
        <v>35163</v>
      </c>
      <c r="R225" s="90">
        <f t="shared" si="19"/>
        <v>0</v>
      </c>
      <c r="S225" s="90">
        <v>220</v>
      </c>
    </row>
    <row r="226" spans="1:19" ht="12">
      <c r="A226" s="321">
        <v>172</v>
      </c>
      <c r="B226" s="320" t="s">
        <v>745</v>
      </c>
      <c r="C226" s="119"/>
      <c r="D226" s="121">
        <v>79681</v>
      </c>
      <c r="E226" s="318"/>
      <c r="F226" s="317"/>
      <c r="G226" s="450"/>
      <c r="H226" s="444">
        <f t="shared" si="16"/>
        <v>0</v>
      </c>
      <c r="J226" s="109" t="s">
        <v>780</v>
      </c>
      <c r="K226" s="409">
        <f t="shared" si="20"/>
        <v>0</v>
      </c>
      <c r="L226" s="308"/>
      <c r="M226" s="407"/>
      <c r="N226" s="407"/>
      <c r="O226" s="90" t="s">
        <v>1366</v>
      </c>
      <c r="P226" s="408">
        <f t="shared" si="21"/>
        <v>79681</v>
      </c>
      <c r="R226" s="90">
        <f t="shared" si="19"/>
        <v>0</v>
      </c>
      <c r="S226" s="90">
        <v>221</v>
      </c>
    </row>
    <row r="227" spans="1:19" ht="12">
      <c r="A227" s="321">
        <v>173</v>
      </c>
      <c r="B227" s="320" t="s">
        <v>746</v>
      </c>
      <c r="C227" s="119"/>
      <c r="D227" s="121">
        <v>119620</v>
      </c>
      <c r="E227" s="318"/>
      <c r="F227" s="317"/>
      <c r="G227" s="450"/>
      <c r="H227" s="444">
        <f t="shared" si="16"/>
        <v>0</v>
      </c>
      <c r="J227" s="109" t="s">
        <v>781</v>
      </c>
      <c r="K227" s="409">
        <f t="shared" si="20"/>
        <v>0</v>
      </c>
      <c r="L227" s="308"/>
      <c r="M227" s="407"/>
      <c r="N227" s="407"/>
      <c r="O227" s="90" t="s">
        <v>1367</v>
      </c>
      <c r="P227" s="408">
        <f t="shared" si="21"/>
        <v>119620</v>
      </c>
      <c r="R227" s="90">
        <f t="shared" si="19"/>
        <v>0</v>
      </c>
      <c r="S227" s="90">
        <v>222</v>
      </c>
    </row>
    <row r="228" spans="1:19" ht="12">
      <c r="A228" s="321">
        <v>174</v>
      </c>
      <c r="B228" s="320" t="s">
        <v>747</v>
      </c>
      <c r="C228" s="119"/>
      <c r="D228" s="121">
        <v>183804</v>
      </c>
      <c r="E228" s="318"/>
      <c r="F228" s="317"/>
      <c r="G228" s="450"/>
      <c r="H228" s="444">
        <f t="shared" si="16"/>
        <v>0</v>
      </c>
      <c r="J228" s="109" t="s">
        <v>782</v>
      </c>
      <c r="K228" s="409">
        <f t="shared" si="20"/>
        <v>0</v>
      </c>
      <c r="L228" s="308"/>
      <c r="M228" s="407"/>
      <c r="N228" s="407"/>
      <c r="O228" s="90" t="s">
        <v>1368</v>
      </c>
      <c r="P228" s="408">
        <f t="shared" si="21"/>
        <v>183804</v>
      </c>
      <c r="R228" s="90">
        <f t="shared" si="19"/>
        <v>0</v>
      </c>
      <c r="S228" s="90">
        <v>223</v>
      </c>
    </row>
    <row r="229" spans="1:19" ht="12">
      <c r="A229" s="321">
        <v>175</v>
      </c>
      <c r="B229" s="320" t="s">
        <v>748</v>
      </c>
      <c r="C229" s="119"/>
      <c r="D229" s="121">
        <v>271320</v>
      </c>
      <c r="E229" s="318"/>
      <c r="F229" s="317"/>
      <c r="G229" s="450"/>
      <c r="H229" s="444">
        <f t="shared" si="16"/>
        <v>0</v>
      </c>
      <c r="J229" s="109" t="s">
        <v>783</v>
      </c>
      <c r="K229" s="409">
        <f t="shared" si="20"/>
        <v>0</v>
      </c>
      <c r="L229" s="308"/>
      <c r="M229" s="407"/>
      <c r="N229" s="407"/>
      <c r="O229" s="90" t="s">
        <v>1369</v>
      </c>
      <c r="P229" s="408">
        <f t="shared" si="21"/>
        <v>271320</v>
      </c>
      <c r="R229" s="90">
        <f t="shared" si="19"/>
        <v>0</v>
      </c>
      <c r="S229" s="90">
        <v>224</v>
      </c>
    </row>
    <row r="230" spans="1:19" ht="12" thickBot="1">
      <c r="A230" s="310"/>
      <c r="B230" s="315" t="s">
        <v>309</v>
      </c>
      <c r="C230" s="311"/>
      <c r="D230" s="311"/>
      <c r="E230" s="461">
        <f>SUM(E158:E229)</f>
        <v>0</v>
      </c>
      <c r="F230" s="463"/>
      <c r="G230" s="462"/>
      <c r="H230" s="457">
        <f>SUM(H158:H229)</f>
        <v>0</v>
      </c>
      <c r="I230" s="90" t="s">
        <v>316</v>
      </c>
      <c r="M230" s="407"/>
      <c r="N230" s="407"/>
      <c r="R230" s="90">
        <f>SUM(R7:R229)</f>
        <v>0</v>
      </c>
      <c r="S230" s="90">
        <v>225</v>
      </c>
    </row>
    <row r="231" spans="13:14" ht="12" thickTop="1">
      <c r="M231" s="407"/>
      <c r="N231" s="407"/>
    </row>
    <row r="232" spans="1:14" ht="11.25">
      <c r="A232" s="310"/>
      <c r="B232" s="460" t="s">
        <v>624</v>
      </c>
      <c r="C232" s="264"/>
      <c r="D232" s="264"/>
      <c r="E232" s="264"/>
      <c r="F232" s="264"/>
      <c r="G232" s="464"/>
      <c r="H232" s="446">
        <f>G154</f>
        <v>0</v>
      </c>
      <c r="I232" s="90" t="s">
        <v>302</v>
      </c>
      <c r="M232" s="407"/>
      <c r="N232" s="407"/>
    </row>
    <row r="233" spans="1:9" ht="11.25">
      <c r="A233" s="310"/>
      <c r="B233" s="460" t="s">
        <v>625</v>
      </c>
      <c r="C233" s="264"/>
      <c r="D233" s="264"/>
      <c r="E233" s="264"/>
      <c r="F233" s="264"/>
      <c r="G233" s="462"/>
      <c r="H233" s="458">
        <f>H230+H154</f>
        <v>0</v>
      </c>
      <c r="I233" s="90" t="s">
        <v>312</v>
      </c>
    </row>
    <row r="234" spans="1:8" ht="12" thickBot="1">
      <c r="A234" s="310"/>
      <c r="B234" s="460" t="s">
        <v>310</v>
      </c>
      <c r="C234" s="264"/>
      <c r="D234" s="264"/>
      <c r="E234" s="264"/>
      <c r="F234" s="264"/>
      <c r="G234" s="462"/>
      <c r="H234" s="457">
        <f>H233+H232</f>
        <v>0</v>
      </c>
    </row>
    <row r="235" ht="12" thickTop="1"/>
  </sheetData>
  <sheetProtection password="9487" sheet="1" objects="1" scenarios="1"/>
  <mergeCells count="3">
    <mergeCell ref="A5:E5"/>
    <mergeCell ref="D1:F1"/>
    <mergeCell ref="A156:E156"/>
  </mergeCells>
  <conditionalFormatting sqref="D1">
    <cfRule type="expression" priority="1" dxfId="2" stopIfTrue="1">
      <formula>$P$4=TRUE</formula>
    </cfRule>
  </conditionalFormatting>
  <conditionalFormatting sqref="E7:F66 E68:F130 E132:F153 E158:E216 E218:E229">
    <cfRule type="expression" priority="2" dxfId="13" stopIfTrue="1">
      <formula>$Q$4=3</formula>
    </cfRule>
    <cfRule type="expression" priority="3" dxfId="13" stopIfTrue="1">
      <formula>$Q$4=4</formula>
    </cfRule>
    <cfRule type="expression" priority="4" dxfId="2" stopIfTrue="1">
      <formula>$P$4=TRUE</formula>
    </cfRule>
  </conditionalFormatting>
  <dataValidations count="2">
    <dataValidation type="whole" allowBlank="1" showInputMessage="1" showErrorMessage="1" errorTitle="Alleen gehele aantallen!" error="U kunt hier alleen een geheel aantal invoeren" sqref="E7:F66 E68:F130 E132:F153 E158:E216 E218:E229">
      <formula1>-99999999</formula1>
      <formula2>99999999</formula2>
    </dataValidation>
    <dataValidation type="whole" allowBlank="1" showInputMessage="1" showErrorMessage="1" errorTitle="Alleen positieve aantallen!" error="U kunt hier alleen een positief aantal invoeren!" sqref="F158:F216 F218:F229">
      <formula1>-99999999</formula1>
      <formula2>99999999</formula2>
    </dataValidation>
  </dataValidations>
  <printOptions/>
  <pageMargins left="0.3937007874015748" right="0.3937007874015748" top="0.984251968503937" bottom="0.984251968503937" header="0.5118110236220472" footer="0.5118110236220472"/>
  <pageSetup firstPageNumber="14" useFirstPageNumber="1" horizontalDpi="600" verticalDpi="600" orientation="landscape" scale="60" r:id="rId2"/>
  <headerFooter alignWithMargins="0">
    <oddFooter>&amp;RPagina &amp;P</oddFooter>
  </headerFooter>
  <rowBreaks count="3" manualBreakCount="3">
    <brk id="66" max="8" man="1"/>
    <brk id="130" max="8" man="1"/>
    <brk id="155" max="8" man="1"/>
  </rowBreaks>
  <legacyDrawing r:id="rId1"/>
</worksheet>
</file>

<file path=xl/worksheets/sheet7.xml><?xml version="1.0" encoding="utf-8"?>
<worksheet xmlns="http://schemas.openxmlformats.org/spreadsheetml/2006/main" xmlns:r="http://schemas.openxmlformats.org/officeDocument/2006/relationships">
  <sheetPr codeName="Blad9"/>
  <dimension ref="A1:R35"/>
  <sheetViews>
    <sheetView showGridLines="0" showRowColHeaders="0" workbookViewId="0" topLeftCell="A1">
      <selection activeCell="N27" sqref="N27"/>
    </sheetView>
  </sheetViews>
  <sheetFormatPr defaultColWidth="9.140625" defaultRowHeight="12.75"/>
  <cols>
    <col min="1" max="3" width="9.140625" style="98" customWidth="1"/>
    <col min="4" max="4" width="9.28125" style="98" bestFit="1" customWidth="1"/>
    <col min="5" max="11" width="9.140625" style="98" customWidth="1"/>
    <col min="12" max="13" width="9.28125" style="98" bestFit="1" customWidth="1"/>
    <col min="14" max="16" width="9.140625" style="98" customWidth="1"/>
    <col min="17" max="17" width="10.57421875" style="98" bestFit="1" customWidth="1"/>
    <col min="18" max="18" width="9.28125" style="98" bestFit="1" customWidth="1"/>
    <col min="19" max="16384" width="9.140625" style="98" customWidth="1"/>
  </cols>
  <sheetData>
    <row r="1" spans="1:17" ht="12.75">
      <c r="A1" s="434" t="e">
        <f>'dbc''s'!A2</f>
        <v>#N/A</v>
      </c>
      <c r="B1" s="416"/>
      <c r="C1" s="417"/>
      <c r="D1" s="417"/>
      <c r="E1" s="417"/>
      <c r="F1" s="417"/>
      <c r="G1" s="418"/>
      <c r="H1" s="417"/>
      <c r="I1" s="419"/>
      <c r="J1" s="417"/>
      <c r="K1" s="417"/>
      <c r="L1" s="435">
        <f>voorblad!E38</f>
        <v>450</v>
      </c>
      <c r="M1" s="436">
        <f>voorblad!F38</f>
        <v>0</v>
      </c>
      <c r="N1" s="417"/>
      <c r="O1" s="417"/>
      <c r="P1"/>
      <c r="Q1"/>
    </row>
    <row r="2" spans="1:17" ht="12.75">
      <c r="A2" s="420" t="s">
        <v>1797</v>
      </c>
      <c r="B2" s="421"/>
      <c r="C2" s="421"/>
      <c r="D2" s="421"/>
      <c r="E2" s="421"/>
      <c r="F2" s="421"/>
      <c r="G2" s="421"/>
      <c r="H2" s="421"/>
      <c r="I2" s="421"/>
      <c r="J2" s="421"/>
      <c r="K2" s="421"/>
      <c r="L2" s="421"/>
      <c r="M2" s="421"/>
      <c r="N2" s="421"/>
      <c r="O2" s="422"/>
      <c r="P2"/>
      <c r="Q2"/>
    </row>
    <row r="3" spans="1:17" ht="12.75">
      <c r="A3" s="421"/>
      <c r="B3" s="421"/>
      <c r="C3" s="421"/>
      <c r="D3" s="421"/>
      <c r="E3" s="421"/>
      <c r="F3" s="421"/>
      <c r="G3" s="421"/>
      <c r="H3" s="421"/>
      <c r="I3" s="421"/>
      <c r="J3" s="421"/>
      <c r="K3" s="421"/>
      <c r="L3" s="421"/>
      <c r="M3" s="421"/>
      <c r="N3" s="421"/>
      <c r="O3" s="417"/>
      <c r="P3"/>
      <c r="Q3"/>
    </row>
    <row r="4" spans="1:17" ht="12.75">
      <c r="A4" s="421" t="s">
        <v>1798</v>
      </c>
      <c r="B4" s="421"/>
      <c r="C4" s="421"/>
      <c r="D4" s="421"/>
      <c r="E4" s="421"/>
      <c r="F4" s="421"/>
      <c r="G4" s="421"/>
      <c r="H4" s="421"/>
      <c r="I4" s="421"/>
      <c r="J4" s="421"/>
      <c r="K4" s="421"/>
      <c r="L4" s="421"/>
      <c r="M4" s="421"/>
      <c r="N4" s="421"/>
      <c r="O4" s="417"/>
      <c r="P4"/>
      <c r="Q4"/>
    </row>
    <row r="5" spans="1:17" ht="12.75">
      <c r="A5" s="421" t="s">
        <v>39</v>
      </c>
      <c r="B5" s="421"/>
      <c r="C5" s="421"/>
      <c r="D5" s="421"/>
      <c r="E5" s="421"/>
      <c r="F5" s="421"/>
      <c r="G5" s="421"/>
      <c r="H5" s="421"/>
      <c r="I5" s="421"/>
      <c r="J5" s="421"/>
      <c r="K5" s="421"/>
      <c r="L5" s="421"/>
      <c r="M5" s="421"/>
      <c r="N5" s="421"/>
      <c r="O5" s="417"/>
      <c r="P5"/>
      <c r="Q5"/>
    </row>
    <row r="6" spans="1:17" ht="12.75">
      <c r="A6" s="421" t="s">
        <v>40</v>
      </c>
      <c r="B6" s="421"/>
      <c r="C6" s="421"/>
      <c r="D6" s="421"/>
      <c r="E6" s="421"/>
      <c r="F6" s="421"/>
      <c r="G6" s="421"/>
      <c r="H6" s="421"/>
      <c r="I6" s="421"/>
      <c r="J6" s="421"/>
      <c r="K6" s="421"/>
      <c r="L6" s="421"/>
      <c r="M6" s="421"/>
      <c r="N6" s="421"/>
      <c r="O6" s="417"/>
      <c r="P6"/>
      <c r="Q6"/>
    </row>
    <row r="7" spans="1:17" ht="12.75">
      <c r="A7" s="421" t="s">
        <v>543</v>
      </c>
      <c r="B7" s="421"/>
      <c r="C7" s="421"/>
      <c r="D7" s="421"/>
      <c r="E7" s="421"/>
      <c r="F7" s="421"/>
      <c r="G7" s="421"/>
      <c r="H7" s="421"/>
      <c r="I7" s="421"/>
      <c r="J7" s="421"/>
      <c r="K7" s="421"/>
      <c r="L7" s="421"/>
      <c r="M7" s="421"/>
      <c r="N7" s="421"/>
      <c r="O7" s="417"/>
      <c r="P7"/>
      <c r="Q7"/>
    </row>
    <row r="8" spans="1:17" ht="12.75">
      <c r="A8" s="423"/>
      <c r="B8" s="421"/>
      <c r="C8" s="421"/>
      <c r="D8" s="421"/>
      <c r="E8" s="421"/>
      <c r="F8" s="421"/>
      <c r="G8" s="421"/>
      <c r="H8" s="421"/>
      <c r="I8" s="421"/>
      <c r="J8" s="421"/>
      <c r="K8" s="421"/>
      <c r="L8" s="421"/>
      <c r="M8" s="421"/>
      <c r="N8" s="421"/>
      <c r="O8" s="417"/>
      <c r="P8"/>
      <c r="Q8"/>
    </row>
    <row r="9" spans="1:17" ht="12.75">
      <c r="A9" s="423" t="s">
        <v>1531</v>
      </c>
      <c r="B9" s="421"/>
      <c r="C9" s="421"/>
      <c r="D9" s="421"/>
      <c r="E9" s="421"/>
      <c r="F9" s="421"/>
      <c r="G9" s="421"/>
      <c r="H9" s="421"/>
      <c r="I9" s="421"/>
      <c r="J9" s="421"/>
      <c r="K9" s="421"/>
      <c r="L9" s="421"/>
      <c r="M9" s="421"/>
      <c r="N9" s="421"/>
      <c r="O9" s="417"/>
      <c r="P9"/>
      <c r="Q9"/>
    </row>
    <row r="10" spans="1:17" ht="12.75">
      <c r="A10" s="423"/>
      <c r="B10" s="421"/>
      <c r="C10" s="421"/>
      <c r="D10" s="421"/>
      <c r="E10" s="421"/>
      <c r="F10" s="421"/>
      <c r="G10" s="421"/>
      <c r="H10" s="421"/>
      <c r="I10" s="421"/>
      <c r="J10" s="421"/>
      <c r="K10" s="421"/>
      <c r="L10" s="421"/>
      <c r="M10" s="421"/>
      <c r="N10" s="421"/>
      <c r="O10" s="417"/>
      <c r="P10"/>
      <c r="Q10"/>
    </row>
    <row r="11" spans="1:17" ht="18.75" customHeight="1">
      <c r="A11" s="437" t="s">
        <v>542</v>
      </c>
      <c r="B11" s="438"/>
      <c r="C11" s="427"/>
      <c r="D11" s="496">
        <f>SUM(D15:D17)</f>
        <v>0</v>
      </c>
      <c r="E11" s="421"/>
      <c r="F11" s="421"/>
      <c r="G11" s="421"/>
      <c r="H11" s="421"/>
      <c r="I11" s="421"/>
      <c r="J11" s="421"/>
      <c r="K11" s="421"/>
      <c r="L11" s="421"/>
      <c r="M11" s="421"/>
      <c r="N11" s="421"/>
      <c r="O11" s="417"/>
      <c r="P11"/>
      <c r="Q11"/>
    </row>
    <row r="12" spans="1:17" ht="12.75">
      <c r="A12" s="423"/>
      <c r="B12" s="421"/>
      <c r="C12" s="421"/>
      <c r="D12" s="421"/>
      <c r="E12" s="421"/>
      <c r="F12" s="421"/>
      <c r="G12" s="421"/>
      <c r="H12" s="421"/>
      <c r="I12" s="421"/>
      <c r="J12" s="421"/>
      <c r="K12" s="421"/>
      <c r="L12" s="421"/>
      <c r="M12" s="421"/>
      <c r="N12" s="421"/>
      <c r="O12" s="417"/>
      <c r="P12"/>
      <c r="Q12"/>
    </row>
    <row r="13" spans="1:17" ht="12.75">
      <c r="A13" s="423" t="s">
        <v>1532</v>
      </c>
      <c r="B13" s="421"/>
      <c r="C13" s="421"/>
      <c r="D13" s="421"/>
      <c r="E13" s="423"/>
      <c r="F13" s="421"/>
      <c r="G13" s="421"/>
      <c r="H13" s="421"/>
      <c r="I13" s="421"/>
      <c r="J13" s="421"/>
      <c r="K13" s="421"/>
      <c r="L13" s="421"/>
      <c r="M13" s="421"/>
      <c r="N13" s="421"/>
      <c r="O13" s="416"/>
      <c r="P13"/>
      <c r="Q13"/>
    </row>
    <row r="14" spans="1:18" ht="12.75">
      <c r="A14" s="423"/>
      <c r="B14" s="421"/>
      <c r="C14" s="421"/>
      <c r="D14" s="421"/>
      <c r="E14" s="423"/>
      <c r="F14" s="421"/>
      <c r="G14" s="421"/>
      <c r="H14" s="421"/>
      <c r="I14" s="421"/>
      <c r="J14" s="421"/>
      <c r="K14" s="421"/>
      <c r="L14" s="421"/>
      <c r="M14" s="421"/>
      <c r="N14" s="421"/>
      <c r="O14" s="416"/>
      <c r="P14"/>
      <c r="Q14" s="440"/>
      <c r="R14" s="441"/>
    </row>
    <row r="15" spans="1:18" ht="19.5" customHeight="1">
      <c r="A15" s="425" t="s">
        <v>1680</v>
      </c>
      <c r="B15" s="426"/>
      <c r="C15" s="427"/>
      <c r="D15" s="424"/>
      <c r="E15" s="423"/>
      <c r="F15" s="421"/>
      <c r="G15" s="421"/>
      <c r="H15" s="421"/>
      <c r="I15" s="421"/>
      <c r="J15" s="421"/>
      <c r="K15" s="421"/>
      <c r="L15" s="421"/>
      <c r="M15" s="421"/>
      <c r="N15" s="421"/>
      <c r="O15" s="416"/>
      <c r="P15"/>
      <c r="Q15" s="440"/>
      <c r="R15" s="442"/>
    </row>
    <row r="16" spans="1:18" ht="20.25" customHeight="1">
      <c r="A16" s="425" t="s">
        <v>544</v>
      </c>
      <c r="B16" s="426"/>
      <c r="C16" s="427"/>
      <c r="D16" s="424"/>
      <c r="E16" s="423"/>
      <c r="F16" s="421"/>
      <c r="G16" s="421"/>
      <c r="H16" s="421" t="s">
        <v>1685</v>
      </c>
      <c r="I16" s="421"/>
      <c r="J16" s="421"/>
      <c r="K16" s="421"/>
      <c r="L16" s="421"/>
      <c r="M16" s="421"/>
      <c r="N16" s="421"/>
      <c r="O16" s="416"/>
      <c r="P16"/>
      <c r="Q16" s="440"/>
      <c r="R16" s="442"/>
    </row>
    <row r="17" spans="1:18" ht="21" customHeight="1">
      <c r="A17" s="425" t="s">
        <v>545</v>
      </c>
      <c r="B17" s="426"/>
      <c r="C17" s="427"/>
      <c r="D17" s="424"/>
      <c r="E17" s="421"/>
      <c r="F17" s="421"/>
      <c r="G17" s="421"/>
      <c r="H17" s="421"/>
      <c r="I17" s="421"/>
      <c r="J17" s="421"/>
      <c r="K17" s="421"/>
      <c r="L17" s="421"/>
      <c r="M17" s="421"/>
      <c r="N17" s="421"/>
      <c r="O17" s="416"/>
      <c r="P17"/>
      <c r="Q17" s="440"/>
      <c r="R17" s="442"/>
    </row>
    <row r="18" spans="1:18" ht="12.75">
      <c r="A18" s="423"/>
      <c r="B18" s="421"/>
      <c r="C18" s="421"/>
      <c r="D18" s="421"/>
      <c r="E18" s="421"/>
      <c r="F18" s="421"/>
      <c r="G18" s="421"/>
      <c r="H18" s="421"/>
      <c r="I18" s="421"/>
      <c r="J18" s="421"/>
      <c r="K18" s="421"/>
      <c r="L18" s="421"/>
      <c r="M18" s="421"/>
      <c r="N18" s="421"/>
      <c r="O18" s="416"/>
      <c r="P18"/>
      <c r="Q18" s="440"/>
      <c r="R18" s="441"/>
    </row>
    <row r="19" spans="1:17" ht="12.75">
      <c r="A19" s="423" t="s">
        <v>546</v>
      </c>
      <c r="B19" s="421"/>
      <c r="C19" s="421"/>
      <c r="D19" s="421"/>
      <c r="E19" s="421"/>
      <c r="F19" s="421"/>
      <c r="G19" s="421"/>
      <c r="H19" s="421"/>
      <c r="I19" s="421"/>
      <c r="J19" s="421"/>
      <c r="K19" s="421"/>
      <c r="L19" s="421"/>
      <c r="M19" s="421"/>
      <c r="N19" s="421"/>
      <c r="O19" s="416"/>
      <c r="P19"/>
      <c r="Q19"/>
    </row>
    <row r="20" spans="1:17" ht="12.75">
      <c r="A20" s="423"/>
      <c r="B20" s="421"/>
      <c r="C20" s="421"/>
      <c r="D20" s="421"/>
      <c r="E20" s="421"/>
      <c r="F20" s="421"/>
      <c r="G20" s="421"/>
      <c r="H20" s="421"/>
      <c r="I20" s="421"/>
      <c r="J20" s="421"/>
      <c r="K20" s="421"/>
      <c r="L20" s="421"/>
      <c r="M20" s="421"/>
      <c r="N20" s="416"/>
      <c r="O20" s="416"/>
      <c r="P20"/>
      <c r="Q20"/>
    </row>
    <row r="21" spans="1:17" ht="12.75">
      <c r="A21" s="790"/>
      <c r="B21" s="791"/>
      <c r="C21" s="791"/>
      <c r="D21" s="791"/>
      <c r="E21" s="791"/>
      <c r="F21" s="791"/>
      <c r="G21" s="791"/>
      <c r="H21" s="791"/>
      <c r="I21" s="791"/>
      <c r="J21" s="791"/>
      <c r="K21" s="791"/>
      <c r="L21" s="791"/>
      <c r="M21" s="792"/>
      <c r="N21" s="416"/>
      <c r="O21" s="416"/>
      <c r="P21"/>
      <c r="Q21"/>
    </row>
    <row r="22" spans="1:17" ht="12.75">
      <c r="A22" s="784"/>
      <c r="B22" s="785"/>
      <c r="C22" s="785"/>
      <c r="D22" s="785"/>
      <c r="E22" s="785"/>
      <c r="F22" s="785"/>
      <c r="G22" s="785"/>
      <c r="H22" s="785"/>
      <c r="I22" s="785"/>
      <c r="J22" s="785"/>
      <c r="K22" s="785"/>
      <c r="L22" s="785"/>
      <c r="M22" s="786"/>
      <c r="N22" s="416"/>
      <c r="O22" s="416"/>
      <c r="P22"/>
      <c r="Q22"/>
    </row>
    <row r="23" spans="1:17" ht="12.75">
      <c r="A23" s="784"/>
      <c r="B23" s="785"/>
      <c r="C23" s="785"/>
      <c r="D23" s="785"/>
      <c r="E23" s="785"/>
      <c r="F23" s="785"/>
      <c r="G23" s="785"/>
      <c r="H23" s="785"/>
      <c r="I23" s="785"/>
      <c r="J23" s="785"/>
      <c r="K23" s="785"/>
      <c r="L23" s="785"/>
      <c r="M23" s="786"/>
      <c r="N23" s="416"/>
      <c r="O23" s="416"/>
      <c r="P23"/>
      <c r="Q23"/>
    </row>
    <row r="24" spans="1:17" ht="12.75">
      <c r="A24" s="784"/>
      <c r="B24" s="785"/>
      <c r="C24" s="785"/>
      <c r="D24" s="785"/>
      <c r="E24" s="785"/>
      <c r="F24" s="785"/>
      <c r="G24" s="785"/>
      <c r="H24" s="785"/>
      <c r="I24" s="785"/>
      <c r="J24" s="785"/>
      <c r="K24" s="785"/>
      <c r="L24" s="785"/>
      <c r="M24" s="786"/>
      <c r="N24" s="416"/>
      <c r="O24" s="416"/>
      <c r="P24"/>
      <c r="Q24"/>
    </row>
    <row r="25" spans="1:17" ht="12.75">
      <c r="A25" s="784"/>
      <c r="B25" s="785"/>
      <c r="C25" s="785"/>
      <c r="D25" s="785"/>
      <c r="E25" s="785"/>
      <c r="F25" s="785"/>
      <c r="G25" s="785"/>
      <c r="H25" s="785"/>
      <c r="I25" s="785"/>
      <c r="J25" s="785"/>
      <c r="K25" s="785"/>
      <c r="L25" s="785"/>
      <c r="M25" s="786"/>
      <c r="N25" s="416"/>
      <c r="O25" s="416"/>
      <c r="P25"/>
      <c r="Q25"/>
    </row>
    <row r="26" spans="1:17" ht="12.75">
      <c r="A26" s="787"/>
      <c r="B26" s="788"/>
      <c r="C26" s="788"/>
      <c r="D26" s="788"/>
      <c r="E26" s="788"/>
      <c r="F26" s="788"/>
      <c r="G26" s="788"/>
      <c r="H26" s="788"/>
      <c r="I26" s="788"/>
      <c r="J26" s="788"/>
      <c r="K26" s="788"/>
      <c r="L26" s="788"/>
      <c r="M26" s="789"/>
      <c r="N26" s="416"/>
      <c r="O26" s="416"/>
      <c r="P26"/>
      <c r="Q26"/>
    </row>
    <row r="27" spans="1:17" ht="12.75">
      <c r="A27" s="421"/>
      <c r="B27" s="421"/>
      <c r="C27" s="421"/>
      <c r="D27" s="421"/>
      <c r="E27" s="421"/>
      <c r="F27" s="421"/>
      <c r="G27" s="421"/>
      <c r="H27" s="421"/>
      <c r="I27" s="421"/>
      <c r="J27" s="421"/>
      <c r="K27" s="421"/>
      <c r="L27" s="421"/>
      <c r="M27" s="421"/>
      <c r="N27" s="416"/>
      <c r="O27" s="416"/>
      <c r="P27"/>
      <c r="Q27"/>
    </row>
    <row r="28" spans="1:17" ht="12.75">
      <c r="A28" s="428" t="s">
        <v>1583</v>
      </c>
      <c r="B28" s="429"/>
      <c r="C28" s="429"/>
      <c r="D28" s="429"/>
      <c r="E28" s="429"/>
      <c r="F28" s="429"/>
      <c r="G28" s="429"/>
      <c r="H28" s="430"/>
      <c r="I28" s="430"/>
      <c r="J28" s="430"/>
      <c r="K28" s="430"/>
      <c r="L28" s="430"/>
      <c r="M28" s="430"/>
      <c r="N28" s="416"/>
      <c r="O28" s="416"/>
      <c r="P28"/>
      <c r="Q28"/>
    </row>
    <row r="29" spans="1:17" ht="12.75">
      <c r="A29" s="429" t="s">
        <v>1584</v>
      </c>
      <c r="B29" s="429"/>
      <c r="C29" s="429"/>
      <c r="D29" s="429"/>
      <c r="E29" s="429"/>
      <c r="F29" s="429"/>
      <c r="G29" s="429"/>
      <c r="H29" s="429"/>
      <c r="I29" s="429"/>
      <c r="J29" s="430"/>
      <c r="K29" s="430"/>
      <c r="L29" s="430"/>
      <c r="M29" s="430"/>
      <c r="N29" s="416"/>
      <c r="O29" s="416"/>
      <c r="P29"/>
      <c r="Q29"/>
    </row>
    <row r="30" spans="1:17" ht="12.75">
      <c r="A30" s="429"/>
      <c r="B30" s="429"/>
      <c r="C30" s="429"/>
      <c r="D30" s="429"/>
      <c r="E30" s="429"/>
      <c r="F30" s="429"/>
      <c r="G30" s="429"/>
      <c r="H30" s="429"/>
      <c r="I30" s="429"/>
      <c r="J30" s="430"/>
      <c r="K30" s="430"/>
      <c r="L30" s="430"/>
      <c r="M30" s="430"/>
      <c r="N30" s="416"/>
      <c r="O30" s="416"/>
      <c r="P30"/>
      <c r="Q30"/>
    </row>
    <row r="31" spans="1:17" ht="12.75">
      <c r="A31" s="428"/>
      <c r="B31" s="428"/>
      <c r="C31" s="428"/>
      <c r="D31" s="428"/>
      <c r="E31" s="428"/>
      <c r="F31" s="428"/>
      <c r="G31" s="428"/>
      <c r="H31" s="428"/>
      <c r="I31" s="428"/>
      <c r="J31" s="430"/>
      <c r="K31" s="430"/>
      <c r="L31" s="430"/>
      <c r="M31" s="430"/>
      <c r="N31" s="416"/>
      <c r="O31" s="416"/>
      <c r="P31"/>
      <c r="Q31"/>
    </row>
    <row r="32" spans="1:17" ht="12.75">
      <c r="A32" s="429"/>
      <c r="B32" s="429"/>
      <c r="C32" s="429"/>
      <c r="D32" s="429"/>
      <c r="E32" s="429"/>
      <c r="F32" s="429"/>
      <c r="G32" s="429"/>
      <c r="H32" s="429"/>
      <c r="I32" s="429"/>
      <c r="J32" s="430"/>
      <c r="K32" s="430"/>
      <c r="L32" s="430"/>
      <c r="M32" s="430"/>
      <c r="N32" s="416"/>
      <c r="O32" s="416"/>
      <c r="P32"/>
      <c r="Q32"/>
    </row>
    <row r="33" spans="1:17" ht="12.75">
      <c r="A33" s="416"/>
      <c r="B33" s="416"/>
      <c r="C33" s="416"/>
      <c r="D33" s="416"/>
      <c r="E33" s="416"/>
      <c r="F33" s="416"/>
      <c r="G33" s="416"/>
      <c r="H33" s="416"/>
      <c r="I33" s="431"/>
      <c r="J33" s="421"/>
      <c r="K33" s="421"/>
      <c r="L33" s="421"/>
      <c r="M33" s="421"/>
      <c r="N33" s="416"/>
      <c r="O33" s="416"/>
      <c r="P33"/>
      <c r="Q33"/>
    </row>
    <row r="34" spans="1:17" ht="12.75">
      <c r="A34" s="416"/>
      <c r="B34" s="416"/>
      <c r="C34" s="416"/>
      <c r="D34" s="416"/>
      <c r="E34" s="416"/>
      <c r="F34" s="416"/>
      <c r="G34" s="416"/>
      <c r="H34" s="416"/>
      <c r="I34" s="431"/>
      <c r="J34" s="416"/>
      <c r="K34" s="416"/>
      <c r="L34" s="416"/>
      <c r="M34" s="416"/>
      <c r="N34" s="416"/>
      <c r="O34" s="416"/>
      <c r="P34"/>
      <c r="Q34"/>
    </row>
    <row r="35" spans="1:17" ht="12.75">
      <c r="A35" s="416"/>
      <c r="B35" s="416"/>
      <c r="C35" s="416"/>
      <c r="D35" s="416"/>
      <c r="E35" s="416"/>
      <c r="F35" s="416"/>
      <c r="G35" s="416"/>
      <c r="H35" s="416"/>
      <c r="I35" s="431"/>
      <c r="J35" s="416"/>
      <c r="K35" s="416"/>
      <c r="L35" s="416"/>
      <c r="M35" s="416"/>
      <c r="N35" s="416"/>
      <c r="O35" s="416"/>
      <c r="P35"/>
      <c r="Q35"/>
    </row>
  </sheetData>
  <sheetProtection password="9487" sheet="1" objects="1" scenarios="1"/>
  <mergeCells count="6">
    <mergeCell ref="A25:M25"/>
    <mergeCell ref="A26:M26"/>
    <mergeCell ref="A21:M21"/>
    <mergeCell ref="A22:M22"/>
    <mergeCell ref="A23:M23"/>
    <mergeCell ref="A24:M24"/>
  </mergeCells>
  <printOptions/>
  <pageMargins left="0.7874015748031497" right="0.7874015748031497" top="0.7874015748031497" bottom="0.7874015748031497" header="0.5118110236220472" footer="0.5118110236220472"/>
  <pageSetup firstPageNumber="19" useFirstPageNumber="1" horizontalDpi="600" verticalDpi="600" orientation="landscape" paperSize="9" scale="79" r:id="rId2"/>
  <headerFooter alignWithMargins="0">
    <oddHeader>&amp;R&amp;G</oddHeader>
    <oddFooter>&amp;RPagina &amp;P</oddFooter>
  </headerFooter>
  <legacyDrawingHF r:id="rId1"/>
</worksheet>
</file>

<file path=xl/worksheets/sheet8.xml><?xml version="1.0" encoding="utf-8"?>
<worksheet xmlns="http://schemas.openxmlformats.org/spreadsheetml/2006/main" xmlns:r="http://schemas.openxmlformats.org/officeDocument/2006/relationships">
  <dimension ref="A1:L103"/>
  <sheetViews>
    <sheetView workbookViewId="0" topLeftCell="A1">
      <pane ySplit="4" topLeftCell="BM5" activePane="bottomLeft" state="frozen"/>
      <selection pane="topLeft" activeCell="A1" sqref="A1"/>
      <selection pane="bottomLeft" activeCell="C50" sqref="C50"/>
    </sheetView>
  </sheetViews>
  <sheetFormatPr defaultColWidth="9.140625" defaultRowHeight="12.75"/>
  <cols>
    <col min="1" max="1" width="10.421875" style="466" bestFit="1" customWidth="1"/>
    <col min="2" max="2" width="49.00390625" style="466" customWidth="1"/>
    <col min="3" max="3" width="13.7109375" style="466" customWidth="1"/>
    <col min="4" max="4" width="10.7109375" style="469" bestFit="1" customWidth="1"/>
    <col min="5" max="5" width="10.28125" style="466" customWidth="1"/>
    <col min="6" max="6" width="9.140625" style="466" customWidth="1"/>
    <col min="7" max="7" width="9.7109375" style="469" customWidth="1"/>
    <col min="8" max="8" width="10.421875" style="466" customWidth="1"/>
    <col min="9" max="9" width="18.28125" style="466" customWidth="1"/>
    <col min="10" max="11" width="10.7109375" style="466" customWidth="1"/>
    <col min="12" max="12" width="10.7109375" style="466" bestFit="1" customWidth="1"/>
    <col min="13" max="16384" width="9.140625" style="466" customWidth="1"/>
  </cols>
  <sheetData>
    <row r="1" spans="1:11" ht="11.25">
      <c r="A1" s="465">
        <f ca="1">TODAY()</f>
        <v>40000</v>
      </c>
      <c r="C1" s="467" t="s">
        <v>1590</v>
      </c>
      <c r="D1" s="468"/>
      <c r="E1" s="467"/>
      <c r="F1" s="467" t="s">
        <v>1591</v>
      </c>
      <c r="G1" s="468"/>
      <c r="H1" s="467"/>
      <c r="I1" s="467" t="s">
        <v>628</v>
      </c>
      <c r="J1" s="467" t="s">
        <v>1684</v>
      </c>
      <c r="K1" s="467">
        <f>0.85*E5+0.15*H5</f>
        <v>1</v>
      </c>
    </row>
    <row r="2" ht="11.25">
      <c r="B2" s="467" t="s">
        <v>652</v>
      </c>
    </row>
    <row r="3" spans="5:8" ht="11.25">
      <c r="E3" s="467" t="s">
        <v>709</v>
      </c>
      <c r="H3" s="466" t="s">
        <v>426</v>
      </c>
    </row>
    <row r="4" spans="2:11" ht="11.25">
      <c r="B4" s="470" t="s">
        <v>514</v>
      </c>
      <c r="D4" s="469" t="s">
        <v>710</v>
      </c>
      <c r="E4" s="467" t="s">
        <v>67</v>
      </c>
      <c r="G4" s="469" t="s">
        <v>710</v>
      </c>
      <c r="H4" s="467" t="s">
        <v>68</v>
      </c>
      <c r="I4" s="471" t="s">
        <v>1808</v>
      </c>
      <c r="J4" s="466" t="s">
        <v>707</v>
      </c>
      <c r="K4" s="466" t="s">
        <v>708</v>
      </c>
    </row>
    <row r="5" spans="1:11" ht="11.25">
      <c r="A5" s="472" t="s">
        <v>383</v>
      </c>
      <c r="B5" s="473" t="s">
        <v>373</v>
      </c>
      <c r="C5" s="466" t="s">
        <v>384</v>
      </c>
      <c r="D5" s="476">
        <v>57.93</v>
      </c>
      <c r="E5" s="474">
        <v>1</v>
      </c>
      <c r="F5" s="466" t="s">
        <v>629</v>
      </c>
      <c r="G5" s="469">
        <v>13.93</v>
      </c>
      <c r="H5" s="474">
        <v>1</v>
      </c>
      <c r="I5" s="476">
        <f aca="true" t="shared" si="0" ref="I5:I10">ROUND((D5*E5),2)+ROUND((G5*H5),2)</f>
        <v>71.86</v>
      </c>
      <c r="J5" s="469">
        <f aca="true" t="shared" si="1" ref="J5:J10">ROUND(D5*E5,2)</f>
        <v>57.93</v>
      </c>
      <c r="K5" s="469">
        <f aca="true" t="shared" si="2" ref="K5:K10">ROUND(G5*H5,2)</f>
        <v>13.93</v>
      </c>
    </row>
    <row r="6" spans="1:11" ht="11.25">
      <c r="A6" s="472" t="s">
        <v>1813</v>
      </c>
      <c r="B6" s="473" t="s">
        <v>28</v>
      </c>
      <c r="C6" s="481" t="s">
        <v>385</v>
      </c>
      <c r="D6" s="476">
        <v>73.35</v>
      </c>
      <c r="E6" s="482">
        <f>$E$5</f>
        <v>1</v>
      </c>
      <c r="F6" s="481" t="s">
        <v>629</v>
      </c>
      <c r="G6" s="476">
        <v>13.93</v>
      </c>
      <c r="H6" s="482">
        <f>$H$5</f>
        <v>1</v>
      </c>
      <c r="I6" s="476">
        <f t="shared" si="0"/>
        <v>87.28</v>
      </c>
      <c r="J6" s="469">
        <f t="shared" si="1"/>
        <v>73.35</v>
      </c>
      <c r="K6" s="469">
        <f t="shared" si="2"/>
        <v>13.93</v>
      </c>
    </row>
    <row r="7" spans="1:11" ht="11.25">
      <c r="A7" s="472" t="s">
        <v>1814</v>
      </c>
      <c r="B7" s="473" t="s">
        <v>29</v>
      </c>
      <c r="C7" s="481" t="s">
        <v>386</v>
      </c>
      <c r="D7" s="476">
        <v>99.24</v>
      </c>
      <c r="E7" s="482">
        <f>$E$5</f>
        <v>1</v>
      </c>
      <c r="F7" s="481" t="s">
        <v>629</v>
      </c>
      <c r="G7" s="476">
        <v>13.93</v>
      </c>
      <c r="H7" s="482">
        <f>$H$5</f>
        <v>1</v>
      </c>
      <c r="I7" s="476">
        <f t="shared" si="0"/>
        <v>113.16999999999999</v>
      </c>
      <c r="J7" s="469">
        <f t="shared" si="1"/>
        <v>99.24</v>
      </c>
      <c r="K7" s="469">
        <f t="shared" si="2"/>
        <v>13.93</v>
      </c>
    </row>
    <row r="8" spans="1:11" ht="11.25">
      <c r="A8" s="472" t="s">
        <v>1815</v>
      </c>
      <c r="B8" s="473" t="s">
        <v>633</v>
      </c>
      <c r="C8" s="481" t="s">
        <v>387</v>
      </c>
      <c r="D8" s="476">
        <v>108.64</v>
      </c>
      <c r="E8" s="482">
        <f>$E$5</f>
        <v>1</v>
      </c>
      <c r="F8" s="481" t="s">
        <v>629</v>
      </c>
      <c r="G8" s="476">
        <v>13.93</v>
      </c>
      <c r="H8" s="482">
        <f>$H$5</f>
        <v>1</v>
      </c>
      <c r="I8" s="476">
        <f t="shared" si="0"/>
        <v>122.57</v>
      </c>
      <c r="J8" s="469">
        <f t="shared" si="1"/>
        <v>108.64</v>
      </c>
      <c r="K8" s="469">
        <f t="shared" si="2"/>
        <v>13.93</v>
      </c>
    </row>
    <row r="9" spans="1:11" ht="11.25">
      <c r="A9" s="472" t="s">
        <v>1816</v>
      </c>
      <c r="B9" s="473" t="s">
        <v>634</v>
      </c>
      <c r="C9" s="481" t="s">
        <v>388</v>
      </c>
      <c r="D9" s="476">
        <v>150.19</v>
      </c>
      <c r="E9" s="482">
        <f>$E$5</f>
        <v>1</v>
      </c>
      <c r="F9" s="481" t="s">
        <v>629</v>
      </c>
      <c r="G9" s="476">
        <v>13.93</v>
      </c>
      <c r="H9" s="482">
        <f>$H$5</f>
        <v>1</v>
      </c>
      <c r="I9" s="476">
        <f t="shared" si="0"/>
        <v>164.12</v>
      </c>
      <c r="J9" s="469">
        <f t="shared" si="1"/>
        <v>150.19</v>
      </c>
      <c r="K9" s="469">
        <f t="shared" si="2"/>
        <v>13.93</v>
      </c>
    </row>
    <row r="10" spans="1:11" ht="11.25">
      <c r="A10" s="472" t="s">
        <v>1817</v>
      </c>
      <c r="B10" s="473" t="s">
        <v>635</v>
      </c>
      <c r="C10" s="481" t="s">
        <v>389</v>
      </c>
      <c r="D10" s="476">
        <v>207.85</v>
      </c>
      <c r="E10" s="482">
        <f>$E$5</f>
        <v>1</v>
      </c>
      <c r="F10" s="481" t="s">
        <v>629</v>
      </c>
      <c r="G10" s="476">
        <v>13.93</v>
      </c>
      <c r="H10" s="482">
        <f>$H$5</f>
        <v>1</v>
      </c>
      <c r="I10" s="476">
        <f t="shared" si="0"/>
        <v>221.78</v>
      </c>
      <c r="J10" s="469">
        <f t="shared" si="1"/>
        <v>207.85</v>
      </c>
      <c r="K10" s="469">
        <f t="shared" si="2"/>
        <v>13.93</v>
      </c>
    </row>
    <row r="11" spans="2:9" ht="11.25">
      <c r="B11" s="473"/>
      <c r="C11" s="481"/>
      <c r="D11" s="476"/>
      <c r="E11" s="481"/>
      <c r="F11" s="481"/>
      <c r="G11" s="476"/>
      <c r="H11" s="481"/>
      <c r="I11" s="476"/>
    </row>
    <row r="12" spans="2:9" ht="11.25">
      <c r="B12" s="470" t="s">
        <v>515</v>
      </c>
      <c r="C12" s="481"/>
      <c r="D12" s="476"/>
      <c r="E12" s="481"/>
      <c r="F12" s="481"/>
      <c r="G12" s="476"/>
      <c r="H12" s="481"/>
      <c r="I12" s="476"/>
    </row>
    <row r="13" spans="1:11" ht="11.25">
      <c r="A13" s="472" t="s">
        <v>1818</v>
      </c>
      <c r="B13" s="473" t="s">
        <v>636</v>
      </c>
      <c r="C13" s="481" t="s">
        <v>395</v>
      </c>
      <c r="D13" s="476">
        <v>130.79</v>
      </c>
      <c r="E13" s="482">
        <f aca="true" t="shared" si="3" ref="E13:E18">$E$5</f>
        <v>1</v>
      </c>
      <c r="F13" s="481" t="s">
        <v>630</v>
      </c>
      <c r="G13" s="476">
        <v>13.93</v>
      </c>
      <c r="H13" s="482">
        <f aca="true" t="shared" si="4" ref="H13:H18">$H$5</f>
        <v>1</v>
      </c>
      <c r="I13" s="476">
        <f aca="true" t="shared" si="5" ref="I13:I18">ROUND((D13*E13),2)+ROUND((G13*H13),2)</f>
        <v>144.72</v>
      </c>
      <c r="J13" s="469">
        <f aca="true" t="shared" si="6" ref="J13:J18">ROUND(D13*E13,2)</f>
        <v>130.79</v>
      </c>
      <c r="K13" s="469">
        <f aca="true" t="shared" si="7" ref="K13:K18">ROUND(G13*H13,2)</f>
        <v>13.93</v>
      </c>
    </row>
    <row r="14" spans="1:11" ht="11.25">
      <c r="A14" s="472" t="s">
        <v>1819</v>
      </c>
      <c r="B14" s="473" t="s">
        <v>637</v>
      </c>
      <c r="C14" s="481" t="s">
        <v>390</v>
      </c>
      <c r="D14" s="476">
        <v>184.39</v>
      </c>
      <c r="E14" s="482">
        <f t="shared" si="3"/>
        <v>1</v>
      </c>
      <c r="F14" s="481" t="s">
        <v>630</v>
      </c>
      <c r="G14" s="476">
        <v>13.93</v>
      </c>
      <c r="H14" s="482">
        <f t="shared" si="4"/>
        <v>1</v>
      </c>
      <c r="I14" s="476">
        <f t="shared" si="5"/>
        <v>198.32</v>
      </c>
      <c r="J14" s="469">
        <f t="shared" si="6"/>
        <v>184.39</v>
      </c>
      <c r="K14" s="469">
        <f t="shared" si="7"/>
        <v>13.93</v>
      </c>
    </row>
    <row r="15" spans="1:11" ht="11.25">
      <c r="A15" s="472" t="s">
        <v>1820</v>
      </c>
      <c r="B15" s="473" t="s">
        <v>440</v>
      </c>
      <c r="C15" s="481" t="s">
        <v>391</v>
      </c>
      <c r="D15" s="476">
        <v>164.98</v>
      </c>
      <c r="E15" s="482">
        <f t="shared" si="3"/>
        <v>1</v>
      </c>
      <c r="F15" s="481" t="s">
        <v>630</v>
      </c>
      <c r="G15" s="476">
        <v>13.93</v>
      </c>
      <c r="H15" s="482">
        <f t="shared" si="4"/>
        <v>1</v>
      </c>
      <c r="I15" s="476">
        <f t="shared" si="5"/>
        <v>178.91</v>
      </c>
      <c r="J15" s="469">
        <f t="shared" si="6"/>
        <v>164.98</v>
      </c>
      <c r="K15" s="469">
        <f t="shared" si="7"/>
        <v>13.93</v>
      </c>
    </row>
    <row r="16" spans="1:11" ht="11.25">
      <c r="A16" s="472" t="s">
        <v>1821</v>
      </c>
      <c r="B16" s="473" t="s">
        <v>441</v>
      </c>
      <c r="C16" s="481" t="s">
        <v>392</v>
      </c>
      <c r="D16" s="476">
        <v>218.54</v>
      </c>
      <c r="E16" s="482">
        <f t="shared" si="3"/>
        <v>1</v>
      </c>
      <c r="F16" s="481" t="s">
        <v>630</v>
      </c>
      <c r="G16" s="476">
        <v>13.93</v>
      </c>
      <c r="H16" s="482">
        <f t="shared" si="4"/>
        <v>1</v>
      </c>
      <c r="I16" s="476">
        <f t="shared" si="5"/>
        <v>232.47</v>
      </c>
      <c r="J16" s="469">
        <f t="shared" si="6"/>
        <v>218.54</v>
      </c>
      <c r="K16" s="469">
        <f t="shared" si="7"/>
        <v>13.93</v>
      </c>
    </row>
    <row r="17" spans="1:11" ht="11.25">
      <c r="A17" s="472" t="s">
        <v>1822</v>
      </c>
      <c r="B17" s="473" t="s">
        <v>357</v>
      </c>
      <c r="C17" s="481" t="s">
        <v>393</v>
      </c>
      <c r="D17" s="476">
        <v>221.64</v>
      </c>
      <c r="E17" s="482">
        <f t="shared" si="3"/>
        <v>1</v>
      </c>
      <c r="F17" s="481" t="s">
        <v>630</v>
      </c>
      <c r="G17" s="476">
        <v>13.93</v>
      </c>
      <c r="H17" s="482">
        <f t="shared" si="4"/>
        <v>1</v>
      </c>
      <c r="I17" s="476">
        <f t="shared" si="5"/>
        <v>235.57</v>
      </c>
      <c r="J17" s="469">
        <f t="shared" si="6"/>
        <v>221.64</v>
      </c>
      <c r="K17" s="469">
        <f t="shared" si="7"/>
        <v>13.93</v>
      </c>
    </row>
    <row r="18" spans="1:11" ht="11.25">
      <c r="A18" s="472" t="s">
        <v>1823</v>
      </c>
      <c r="B18" s="473" t="s">
        <v>1786</v>
      </c>
      <c r="C18" s="481" t="s">
        <v>394</v>
      </c>
      <c r="D18" s="476">
        <v>286.24</v>
      </c>
      <c r="E18" s="482">
        <f t="shared" si="3"/>
        <v>1</v>
      </c>
      <c r="F18" s="481" t="s">
        <v>630</v>
      </c>
      <c r="G18" s="476">
        <v>13.93</v>
      </c>
      <c r="H18" s="482">
        <f t="shared" si="4"/>
        <v>1</v>
      </c>
      <c r="I18" s="476">
        <f t="shared" si="5"/>
        <v>300.17</v>
      </c>
      <c r="J18" s="469">
        <f t="shared" si="6"/>
        <v>286.24</v>
      </c>
      <c r="K18" s="469">
        <f t="shared" si="7"/>
        <v>13.93</v>
      </c>
    </row>
    <row r="19" spans="2:9" ht="11.25">
      <c r="B19" s="470"/>
      <c r="C19" s="481"/>
      <c r="D19" s="476"/>
      <c r="E19" s="481"/>
      <c r="F19" s="481"/>
      <c r="G19" s="476"/>
      <c r="H19" s="481"/>
      <c r="I19" s="476"/>
    </row>
    <row r="20" spans="2:9" ht="11.25">
      <c r="B20" s="470" t="s">
        <v>516</v>
      </c>
      <c r="C20" s="481"/>
      <c r="D20" s="476"/>
      <c r="E20" s="481"/>
      <c r="F20" s="481"/>
      <c r="G20" s="476"/>
      <c r="H20" s="481"/>
      <c r="I20" s="476"/>
    </row>
    <row r="21" spans="1:11" ht="11.25">
      <c r="A21" s="472" t="s">
        <v>1809</v>
      </c>
      <c r="B21" s="473" t="s">
        <v>642</v>
      </c>
      <c r="C21" s="481" t="s">
        <v>396</v>
      </c>
      <c r="D21" s="476">
        <v>75.7</v>
      </c>
      <c r="E21" s="482">
        <f aca="true" t="shared" si="8" ref="E21:E29">$E$5</f>
        <v>1</v>
      </c>
      <c r="F21" s="481" t="s">
        <v>57</v>
      </c>
      <c r="G21" s="476">
        <v>12.56</v>
      </c>
      <c r="H21" s="482">
        <f aca="true" t="shared" si="9" ref="H21:H29">$H$5</f>
        <v>1</v>
      </c>
      <c r="I21" s="476">
        <f aca="true" t="shared" si="10" ref="I21:I29">ROUND((D21*E21),2)+ROUND((G21*H21),2)</f>
        <v>88.26</v>
      </c>
      <c r="J21" s="469">
        <f aca="true" t="shared" si="11" ref="J21:J29">ROUND(D21*E21,2)</f>
        <v>75.7</v>
      </c>
      <c r="K21" s="469">
        <f aca="true" t="shared" si="12" ref="K21:K29">ROUND(G21*H21,2)</f>
        <v>12.56</v>
      </c>
    </row>
    <row r="22" spans="1:11" ht="11.25">
      <c r="A22" s="472" t="s">
        <v>1810</v>
      </c>
      <c r="B22" s="473" t="s">
        <v>1785</v>
      </c>
      <c r="C22" s="481" t="s">
        <v>397</v>
      </c>
      <c r="D22" s="476">
        <v>108.32</v>
      </c>
      <c r="E22" s="482">
        <f t="shared" si="8"/>
        <v>1</v>
      </c>
      <c r="F22" s="481" t="s">
        <v>57</v>
      </c>
      <c r="G22" s="476">
        <v>12.56</v>
      </c>
      <c r="H22" s="482">
        <f t="shared" si="9"/>
        <v>1</v>
      </c>
      <c r="I22" s="476">
        <f t="shared" si="10"/>
        <v>120.88</v>
      </c>
      <c r="J22" s="469">
        <f t="shared" si="11"/>
        <v>108.32</v>
      </c>
      <c r="K22" s="469">
        <f t="shared" si="12"/>
        <v>12.56</v>
      </c>
    </row>
    <row r="23" spans="1:11" ht="11.25">
      <c r="A23" s="472" t="s">
        <v>1811</v>
      </c>
      <c r="B23" s="473" t="s">
        <v>1784</v>
      </c>
      <c r="C23" s="481" t="s">
        <v>398</v>
      </c>
      <c r="D23" s="476">
        <v>174.29</v>
      </c>
      <c r="E23" s="482">
        <f t="shared" si="8"/>
        <v>1</v>
      </c>
      <c r="F23" s="481" t="s">
        <v>57</v>
      </c>
      <c r="G23" s="476">
        <v>12.56</v>
      </c>
      <c r="H23" s="482">
        <f t="shared" si="9"/>
        <v>1</v>
      </c>
      <c r="I23" s="476">
        <f t="shared" si="10"/>
        <v>186.85</v>
      </c>
      <c r="J23" s="469">
        <f t="shared" si="11"/>
        <v>174.29</v>
      </c>
      <c r="K23" s="469">
        <f t="shared" si="12"/>
        <v>12.56</v>
      </c>
    </row>
    <row r="24" spans="1:11" ht="11.25">
      <c r="A24" s="472" t="s">
        <v>1812</v>
      </c>
      <c r="B24" s="473" t="s">
        <v>358</v>
      </c>
      <c r="C24" s="481" t="s">
        <v>399</v>
      </c>
      <c r="D24" s="476">
        <v>34.42</v>
      </c>
      <c r="E24" s="482">
        <f t="shared" si="8"/>
        <v>1</v>
      </c>
      <c r="F24" s="481" t="s">
        <v>399</v>
      </c>
      <c r="G24" s="476">
        <v>6.8</v>
      </c>
      <c r="H24" s="482">
        <f t="shared" si="9"/>
        <v>1</v>
      </c>
      <c r="I24" s="476">
        <f t="shared" si="10"/>
        <v>41.22</v>
      </c>
      <c r="J24" s="469">
        <f t="shared" si="11"/>
        <v>34.42</v>
      </c>
      <c r="K24" s="469">
        <f t="shared" si="12"/>
        <v>6.8</v>
      </c>
    </row>
    <row r="25" spans="1:11" ht="11.25">
      <c r="A25" s="472" t="s">
        <v>1824</v>
      </c>
      <c r="B25" s="473" t="s">
        <v>263</v>
      </c>
      <c r="C25" s="481" t="s">
        <v>400</v>
      </c>
      <c r="D25" s="476">
        <v>33.13</v>
      </c>
      <c r="E25" s="482">
        <f t="shared" si="8"/>
        <v>1</v>
      </c>
      <c r="F25" s="481" t="s">
        <v>57</v>
      </c>
      <c r="G25" s="476">
        <v>12.56</v>
      </c>
      <c r="H25" s="482">
        <f t="shared" si="9"/>
        <v>1</v>
      </c>
      <c r="I25" s="476">
        <f t="shared" si="10"/>
        <v>45.690000000000005</v>
      </c>
      <c r="J25" s="469">
        <f t="shared" si="11"/>
        <v>33.13</v>
      </c>
      <c r="K25" s="469">
        <f t="shared" si="12"/>
        <v>12.56</v>
      </c>
    </row>
    <row r="26" spans="1:11" ht="11.25">
      <c r="A26" s="472" t="s">
        <v>1825</v>
      </c>
      <c r="B26" s="473" t="s">
        <v>1785</v>
      </c>
      <c r="C26" s="481" t="s">
        <v>401</v>
      </c>
      <c r="D26" s="476">
        <v>89.77</v>
      </c>
      <c r="E26" s="482">
        <f t="shared" si="8"/>
        <v>1</v>
      </c>
      <c r="F26" s="481" t="s">
        <v>57</v>
      </c>
      <c r="G26" s="476">
        <v>12.56</v>
      </c>
      <c r="H26" s="482">
        <f t="shared" si="9"/>
        <v>1</v>
      </c>
      <c r="I26" s="476">
        <f t="shared" si="10"/>
        <v>102.33</v>
      </c>
      <c r="J26" s="469">
        <f t="shared" si="11"/>
        <v>89.77</v>
      </c>
      <c r="K26" s="469">
        <f t="shared" si="12"/>
        <v>12.56</v>
      </c>
    </row>
    <row r="27" spans="1:11" ht="11.25">
      <c r="A27" s="472" t="s">
        <v>1826</v>
      </c>
      <c r="B27" s="473" t="s">
        <v>1787</v>
      </c>
      <c r="C27" s="481" t="s">
        <v>402</v>
      </c>
      <c r="D27" s="476">
        <v>53.73</v>
      </c>
      <c r="E27" s="482">
        <f t="shared" si="8"/>
        <v>1</v>
      </c>
      <c r="F27" s="481" t="s">
        <v>57</v>
      </c>
      <c r="G27" s="476">
        <v>12.56</v>
      </c>
      <c r="H27" s="482">
        <f t="shared" si="9"/>
        <v>1</v>
      </c>
      <c r="I27" s="476">
        <f t="shared" si="10"/>
        <v>66.28999999999999</v>
      </c>
      <c r="J27" s="469">
        <f t="shared" si="11"/>
        <v>53.73</v>
      </c>
      <c r="K27" s="469">
        <f t="shared" si="12"/>
        <v>12.56</v>
      </c>
    </row>
    <row r="28" spans="1:11" ht="11.25">
      <c r="A28" s="472" t="s">
        <v>1827</v>
      </c>
      <c r="B28" s="473" t="s">
        <v>1785</v>
      </c>
      <c r="C28" s="481" t="s">
        <v>365</v>
      </c>
      <c r="D28" s="476">
        <v>99.44</v>
      </c>
      <c r="E28" s="482">
        <f t="shared" si="8"/>
        <v>1</v>
      </c>
      <c r="F28" s="481" t="s">
        <v>57</v>
      </c>
      <c r="G28" s="476">
        <v>12.56</v>
      </c>
      <c r="H28" s="482">
        <f t="shared" si="9"/>
        <v>1</v>
      </c>
      <c r="I28" s="476">
        <f t="shared" si="10"/>
        <v>112</v>
      </c>
      <c r="J28" s="469">
        <f t="shared" si="11"/>
        <v>99.44</v>
      </c>
      <c r="K28" s="469">
        <f t="shared" si="12"/>
        <v>12.56</v>
      </c>
    </row>
    <row r="29" spans="1:11" ht="11.25">
      <c r="A29" s="472" t="s">
        <v>1828</v>
      </c>
      <c r="B29" s="473" t="s">
        <v>1788</v>
      </c>
      <c r="C29" s="481" t="s">
        <v>366</v>
      </c>
      <c r="D29" s="476">
        <v>144.63</v>
      </c>
      <c r="E29" s="482">
        <f t="shared" si="8"/>
        <v>1</v>
      </c>
      <c r="F29" s="481" t="s">
        <v>57</v>
      </c>
      <c r="G29" s="476">
        <v>12.56</v>
      </c>
      <c r="H29" s="482">
        <f t="shared" si="9"/>
        <v>1</v>
      </c>
      <c r="I29" s="476">
        <f t="shared" si="10"/>
        <v>157.19</v>
      </c>
      <c r="J29" s="469">
        <f t="shared" si="11"/>
        <v>144.63</v>
      </c>
      <c r="K29" s="469">
        <f t="shared" si="12"/>
        <v>12.56</v>
      </c>
    </row>
    <row r="30" spans="3:9" ht="11.25">
      <c r="C30" s="481"/>
      <c r="D30" s="476"/>
      <c r="E30" s="481"/>
      <c r="F30" s="481"/>
      <c r="G30" s="476"/>
      <c r="H30" s="481"/>
      <c r="I30" s="476"/>
    </row>
    <row r="31" spans="2:9" ht="11.25">
      <c r="B31" s="470" t="s">
        <v>517</v>
      </c>
      <c r="C31" s="481"/>
      <c r="D31" s="476"/>
      <c r="E31" s="481"/>
      <c r="F31" s="481"/>
      <c r="G31" s="476"/>
      <c r="H31" s="481"/>
      <c r="I31" s="476"/>
    </row>
    <row r="32" spans="1:11" ht="11.25">
      <c r="A32" s="472" t="s">
        <v>1829</v>
      </c>
      <c r="B32" s="473" t="s">
        <v>359</v>
      </c>
      <c r="C32" s="481" t="s">
        <v>372</v>
      </c>
      <c r="D32" s="476">
        <v>187.26</v>
      </c>
      <c r="E32" s="482">
        <f aca="true" t="shared" si="13" ref="E32:E37">$E$5</f>
        <v>1</v>
      </c>
      <c r="F32" s="481" t="s">
        <v>58</v>
      </c>
      <c r="G32" s="476">
        <v>13.69</v>
      </c>
      <c r="H32" s="482">
        <f aca="true" t="shared" si="14" ref="H32:H37">$H$5</f>
        <v>1</v>
      </c>
      <c r="I32" s="476">
        <f aca="true" t="shared" si="15" ref="I32:I37">ROUND((D32*E32),2)+ROUND((G32*H32),2)</f>
        <v>200.95</v>
      </c>
      <c r="J32" s="469">
        <f aca="true" t="shared" si="16" ref="J32:J37">ROUND(D32*E32,2)</f>
        <v>187.26</v>
      </c>
      <c r="K32" s="469">
        <f aca="true" t="shared" si="17" ref="K32:K37">ROUND(G32*H32,2)</f>
        <v>13.69</v>
      </c>
    </row>
    <row r="33" spans="1:11" ht="11.25">
      <c r="A33" s="472" t="s">
        <v>1830</v>
      </c>
      <c r="B33" s="473" t="s">
        <v>360</v>
      </c>
      <c r="C33" s="481" t="s">
        <v>367</v>
      </c>
      <c r="D33" s="476">
        <v>250.58</v>
      </c>
      <c r="E33" s="482">
        <f t="shared" si="13"/>
        <v>1</v>
      </c>
      <c r="F33" s="481" t="s">
        <v>58</v>
      </c>
      <c r="G33" s="476">
        <v>13.69</v>
      </c>
      <c r="H33" s="482">
        <f t="shared" si="14"/>
        <v>1</v>
      </c>
      <c r="I33" s="476">
        <f t="shared" si="15"/>
        <v>264.27000000000004</v>
      </c>
      <c r="J33" s="469">
        <f t="shared" si="16"/>
        <v>250.58</v>
      </c>
      <c r="K33" s="469">
        <f t="shared" si="17"/>
        <v>13.69</v>
      </c>
    </row>
    <row r="34" spans="1:11" ht="11.25">
      <c r="A34" s="472" t="s">
        <v>1831</v>
      </c>
      <c r="B34" s="473" t="s">
        <v>361</v>
      </c>
      <c r="C34" s="481" t="s">
        <v>368</v>
      </c>
      <c r="D34" s="476">
        <v>190.72</v>
      </c>
      <c r="E34" s="482">
        <f t="shared" si="13"/>
        <v>1</v>
      </c>
      <c r="F34" s="481" t="s">
        <v>58</v>
      </c>
      <c r="G34" s="476">
        <v>13.69</v>
      </c>
      <c r="H34" s="482">
        <f t="shared" si="14"/>
        <v>1</v>
      </c>
      <c r="I34" s="476">
        <f t="shared" si="15"/>
        <v>204.41</v>
      </c>
      <c r="J34" s="469">
        <f t="shared" si="16"/>
        <v>190.72</v>
      </c>
      <c r="K34" s="469">
        <f t="shared" si="17"/>
        <v>13.69</v>
      </c>
    </row>
    <row r="35" spans="1:11" ht="11.25">
      <c r="A35" s="472" t="s">
        <v>1832</v>
      </c>
      <c r="B35" s="473" t="s">
        <v>362</v>
      </c>
      <c r="C35" s="481" t="s">
        <v>369</v>
      </c>
      <c r="D35" s="476">
        <v>291.7</v>
      </c>
      <c r="E35" s="482">
        <f t="shared" si="13"/>
        <v>1</v>
      </c>
      <c r="F35" s="481" t="s">
        <v>58</v>
      </c>
      <c r="G35" s="476">
        <v>13.69</v>
      </c>
      <c r="H35" s="482">
        <f t="shared" si="14"/>
        <v>1</v>
      </c>
      <c r="I35" s="476">
        <f t="shared" si="15"/>
        <v>305.39</v>
      </c>
      <c r="J35" s="469">
        <f t="shared" si="16"/>
        <v>291.7</v>
      </c>
      <c r="K35" s="469">
        <f t="shared" si="17"/>
        <v>13.69</v>
      </c>
    </row>
    <row r="36" spans="1:11" ht="11.25">
      <c r="A36" s="472" t="s">
        <v>1833</v>
      </c>
      <c r="B36" s="473" t="s">
        <v>363</v>
      </c>
      <c r="C36" s="481" t="s">
        <v>370</v>
      </c>
      <c r="D36" s="476">
        <v>247.98</v>
      </c>
      <c r="E36" s="482">
        <f t="shared" si="13"/>
        <v>1</v>
      </c>
      <c r="F36" s="481" t="s">
        <v>58</v>
      </c>
      <c r="G36" s="476">
        <v>13.69</v>
      </c>
      <c r="H36" s="482">
        <f t="shared" si="14"/>
        <v>1</v>
      </c>
      <c r="I36" s="476">
        <f t="shared" si="15"/>
        <v>261.67</v>
      </c>
      <c r="J36" s="469">
        <f t="shared" si="16"/>
        <v>247.98</v>
      </c>
      <c r="K36" s="469">
        <f t="shared" si="17"/>
        <v>13.69</v>
      </c>
    </row>
    <row r="37" spans="1:11" ht="11.25">
      <c r="A37" s="472" t="s">
        <v>1834</v>
      </c>
      <c r="B37" s="473" t="s">
        <v>364</v>
      </c>
      <c r="C37" s="481" t="s">
        <v>371</v>
      </c>
      <c r="D37" s="476">
        <v>316.07</v>
      </c>
      <c r="E37" s="482">
        <f t="shared" si="13"/>
        <v>1</v>
      </c>
      <c r="F37" s="481" t="s">
        <v>58</v>
      </c>
      <c r="G37" s="476">
        <v>13.69</v>
      </c>
      <c r="H37" s="482">
        <f t="shared" si="14"/>
        <v>1</v>
      </c>
      <c r="I37" s="476">
        <f t="shared" si="15"/>
        <v>329.76</v>
      </c>
      <c r="J37" s="469">
        <f t="shared" si="16"/>
        <v>316.07</v>
      </c>
      <c r="K37" s="469">
        <f t="shared" si="17"/>
        <v>13.69</v>
      </c>
    </row>
    <row r="38" spans="3:9" ht="11.25">
      <c r="C38" s="481"/>
      <c r="D38" s="476"/>
      <c r="E38" s="481"/>
      <c r="F38" s="481"/>
      <c r="G38" s="476"/>
      <c r="H38" s="481"/>
      <c r="I38" s="476"/>
    </row>
    <row r="39" spans="2:11" ht="11.25">
      <c r="B39" s="477" t="s">
        <v>59</v>
      </c>
      <c r="C39" s="481" t="s">
        <v>269</v>
      </c>
      <c r="D39" s="476">
        <v>301.71</v>
      </c>
      <c r="E39" s="482">
        <f>$E$5</f>
        <v>1</v>
      </c>
      <c r="F39" s="481" t="s">
        <v>269</v>
      </c>
      <c r="G39" s="476">
        <v>13.69</v>
      </c>
      <c r="H39" s="482">
        <f>$H$5</f>
        <v>1</v>
      </c>
      <c r="I39" s="476">
        <f>ROUND((D39*E39),2)+ROUND((G39*H39),2)</f>
        <v>315.4</v>
      </c>
      <c r="J39" s="469">
        <f>ROUND(D39*E39,2)</f>
        <v>301.71</v>
      </c>
      <c r="K39" s="469">
        <f>ROUND(G39*H39,2)</f>
        <v>13.69</v>
      </c>
    </row>
    <row r="40" spans="3:9" ht="11.25">
      <c r="C40" s="481"/>
      <c r="D40" s="476"/>
      <c r="E40" s="481"/>
      <c r="F40" s="481"/>
      <c r="G40" s="476"/>
      <c r="H40" s="481"/>
      <c r="I40" s="476"/>
    </row>
    <row r="41" spans="2:9" ht="11.25">
      <c r="B41" s="478" t="s">
        <v>378</v>
      </c>
      <c r="C41" s="481"/>
      <c r="D41" s="476"/>
      <c r="E41" s="481"/>
      <c r="F41" s="481"/>
      <c r="G41" s="476"/>
      <c r="H41" s="481"/>
      <c r="I41" s="476"/>
    </row>
    <row r="42" spans="2:11" ht="11.25">
      <c r="B42" s="479" t="s">
        <v>381</v>
      </c>
      <c r="C42" s="481"/>
      <c r="D42" s="476">
        <v>329.72</v>
      </c>
      <c r="E42" s="482">
        <f>$E$5</f>
        <v>1</v>
      </c>
      <c r="F42" s="481"/>
      <c r="G42" s="476">
        <v>0</v>
      </c>
      <c r="H42" s="482">
        <f>$H$5</f>
        <v>1</v>
      </c>
      <c r="I42" s="476">
        <f>ROUND((D42*E42),2)+ROUND((G42*H42),2)</f>
        <v>329.72</v>
      </c>
      <c r="J42" s="469">
        <f>ROUND(D42*E42,2)</f>
        <v>329.72</v>
      </c>
      <c r="K42" s="469">
        <f>ROUND(G42*H42,2)</f>
        <v>0</v>
      </c>
    </row>
    <row r="43" spans="2:11" ht="11.25">
      <c r="B43" s="479" t="s">
        <v>1835</v>
      </c>
      <c r="C43" s="481"/>
      <c r="D43" s="476">
        <v>329.72</v>
      </c>
      <c r="E43" s="482">
        <f>$E$5</f>
        <v>1</v>
      </c>
      <c r="F43" s="481"/>
      <c r="G43" s="476">
        <v>0</v>
      </c>
      <c r="H43" s="482">
        <f>$H$5</f>
        <v>1</v>
      </c>
      <c r="I43" s="476">
        <f>ROUND((D43*E43),2)+ROUND((G43*H43),2)</f>
        <v>329.72</v>
      </c>
      <c r="J43" s="469">
        <f>ROUND(D43*E43,2)</f>
        <v>329.72</v>
      </c>
      <c r="K43" s="469">
        <f>ROUND(G43*H43,2)</f>
        <v>0</v>
      </c>
    </row>
    <row r="44" spans="2:11" ht="11.25">
      <c r="B44" s="479" t="s">
        <v>1836</v>
      </c>
      <c r="C44" s="481"/>
      <c r="D44" s="476">
        <v>929.41</v>
      </c>
      <c r="E44" s="482">
        <f>$E$5</f>
        <v>1</v>
      </c>
      <c r="F44" s="481"/>
      <c r="G44" s="476">
        <v>0</v>
      </c>
      <c r="H44" s="482">
        <f>$H$5</f>
        <v>1</v>
      </c>
      <c r="I44" s="476">
        <f>ROUND((D44*E44),2)+ROUND((G44*H44),2)</f>
        <v>929.41</v>
      </c>
      <c r="J44" s="469">
        <f>ROUND(D44*E44,2)</f>
        <v>929.41</v>
      </c>
      <c r="K44" s="469">
        <f>ROUND(G44*H44,2)</f>
        <v>0</v>
      </c>
    </row>
    <row r="45" spans="2:11" ht="11.25">
      <c r="B45" s="479" t="s">
        <v>319</v>
      </c>
      <c r="C45" s="481"/>
      <c r="D45" s="476">
        <v>2689.07</v>
      </c>
      <c r="E45" s="482">
        <f>$E$5</f>
        <v>1</v>
      </c>
      <c r="F45" s="481"/>
      <c r="G45" s="476">
        <v>0</v>
      </c>
      <c r="H45" s="482">
        <f>$H$5</f>
        <v>1</v>
      </c>
      <c r="I45" s="476">
        <f>ROUND((D45*E45),2)+ROUND((G45*H45),2)</f>
        <v>2689.07</v>
      </c>
      <c r="J45" s="469">
        <f>ROUND(D45*E45,2)</f>
        <v>2689.07</v>
      </c>
      <c r="K45" s="469">
        <f>ROUND(G45*H45,2)</f>
        <v>0</v>
      </c>
    </row>
    <row r="46" spans="2:11" ht="11.25">
      <c r="B46" s="479" t="s">
        <v>320</v>
      </c>
      <c r="C46" s="481"/>
      <c r="D46" s="476">
        <v>1299.72</v>
      </c>
      <c r="E46" s="482">
        <f>$E$5</f>
        <v>1</v>
      </c>
      <c r="F46" s="481"/>
      <c r="G46" s="476">
        <v>0</v>
      </c>
      <c r="H46" s="482">
        <f>$H$5</f>
        <v>1</v>
      </c>
      <c r="I46" s="476">
        <f>ROUND((D46*E46),2)+ROUND((G46*H46),2)</f>
        <v>1299.72</v>
      </c>
      <c r="J46" s="469">
        <f>ROUND(D46*E46,2)</f>
        <v>1299.72</v>
      </c>
      <c r="K46" s="469">
        <f>ROUND(G46*H46,2)</f>
        <v>0</v>
      </c>
    </row>
    <row r="47" spans="3:9" ht="11.25">
      <c r="C47" s="481"/>
      <c r="D47" s="476"/>
      <c r="E47" s="481"/>
      <c r="F47" s="481"/>
      <c r="G47" s="476"/>
      <c r="H47" s="481"/>
      <c r="I47" s="476"/>
    </row>
    <row r="48" spans="3:9" ht="11.25">
      <c r="C48" s="481"/>
      <c r="D48" s="476"/>
      <c r="E48" s="481"/>
      <c r="F48" s="481"/>
      <c r="G48" s="476"/>
      <c r="H48" s="481"/>
      <c r="I48" s="476"/>
    </row>
    <row r="49" spans="2:9" ht="11.25">
      <c r="B49" s="470" t="s">
        <v>491</v>
      </c>
      <c r="C49" s="481"/>
      <c r="D49" s="476"/>
      <c r="E49" s="481"/>
      <c r="F49" s="481"/>
      <c r="G49" s="476"/>
      <c r="H49" s="481"/>
      <c r="I49" s="476"/>
    </row>
    <row r="50" spans="1:11" ht="11.25">
      <c r="A50" s="472" t="s">
        <v>1868</v>
      </c>
      <c r="B50" s="473" t="s">
        <v>1907</v>
      </c>
      <c r="C50" s="481" t="s">
        <v>1908</v>
      </c>
      <c r="D50" s="476">
        <v>23.37</v>
      </c>
      <c r="E50" s="482">
        <f>$E$5</f>
        <v>1</v>
      </c>
      <c r="F50" s="481" t="s">
        <v>60</v>
      </c>
      <c r="G50" s="476">
        <v>8.99</v>
      </c>
      <c r="H50" s="482">
        <f>$H$5</f>
        <v>1</v>
      </c>
      <c r="I50" s="476">
        <f>ROUND((D50*E50),2)+ROUND((G50*H50),2)</f>
        <v>32.36</v>
      </c>
      <c r="J50" s="469">
        <f>ROUND(D50*E50,2)</f>
        <v>23.37</v>
      </c>
      <c r="K50" s="469">
        <f>ROUND(G50*H50,2)</f>
        <v>8.99</v>
      </c>
    </row>
    <row r="51" spans="1:11" ht="11.25">
      <c r="A51" s="472" t="s">
        <v>1869</v>
      </c>
      <c r="B51" s="473" t="s">
        <v>1909</v>
      </c>
      <c r="C51" s="481" t="s">
        <v>1910</v>
      </c>
      <c r="D51" s="476">
        <v>69.37</v>
      </c>
      <c r="E51" s="482">
        <f>$E$5</f>
        <v>1</v>
      </c>
      <c r="F51" s="481" t="s">
        <v>60</v>
      </c>
      <c r="G51" s="476">
        <v>8.99</v>
      </c>
      <c r="H51" s="482">
        <f>$H$5</f>
        <v>1</v>
      </c>
      <c r="I51" s="476">
        <f>ROUND((D51*E51),2)+ROUND((G51*H51),2)</f>
        <v>78.36</v>
      </c>
      <c r="J51" s="469">
        <f>ROUND(D51*E51,2)</f>
        <v>69.37</v>
      </c>
      <c r="K51" s="469">
        <f>ROUND(G51*H51,2)</f>
        <v>8.99</v>
      </c>
    </row>
    <row r="52" spans="1:11" ht="11.25">
      <c r="A52" s="472" t="s">
        <v>1870</v>
      </c>
      <c r="B52" s="473" t="s">
        <v>1911</v>
      </c>
      <c r="C52" s="481" t="s">
        <v>1582</v>
      </c>
      <c r="D52" s="476">
        <v>34.71</v>
      </c>
      <c r="E52" s="482">
        <f>$E$5</f>
        <v>1</v>
      </c>
      <c r="F52" s="481" t="s">
        <v>60</v>
      </c>
      <c r="G52" s="476">
        <v>8.99</v>
      </c>
      <c r="H52" s="482">
        <f>$H$5</f>
        <v>1</v>
      </c>
      <c r="I52" s="476">
        <f>ROUND((D52*E52),2)+ROUND((G52*H52),2)</f>
        <v>43.7</v>
      </c>
      <c r="J52" s="469">
        <f>ROUND(D52*E52,2)</f>
        <v>34.71</v>
      </c>
      <c r="K52" s="469">
        <f>ROUND(G52*H52,2)</f>
        <v>8.99</v>
      </c>
    </row>
    <row r="53" spans="1:11" ht="11.25">
      <c r="A53" s="472" t="s">
        <v>1871</v>
      </c>
      <c r="B53" s="473" t="s">
        <v>603</v>
      </c>
      <c r="C53" s="481" t="s">
        <v>604</v>
      </c>
      <c r="D53" s="476">
        <v>78.5</v>
      </c>
      <c r="E53" s="482">
        <f>$E$5</f>
        <v>1</v>
      </c>
      <c r="F53" s="481" t="s">
        <v>60</v>
      </c>
      <c r="G53" s="476">
        <v>8.99</v>
      </c>
      <c r="H53" s="482">
        <f>$H$5</f>
        <v>1</v>
      </c>
      <c r="I53" s="476">
        <f>ROUND((D53*E53),2)+ROUND((G53*H53),2)</f>
        <v>87.49</v>
      </c>
      <c r="J53" s="469">
        <f>ROUND(D53*E53,2)</f>
        <v>78.5</v>
      </c>
      <c r="K53" s="469">
        <f>ROUND(G53*H53,2)</f>
        <v>8.99</v>
      </c>
    </row>
    <row r="54" spans="1:11" ht="11.25">
      <c r="A54" s="472" t="s">
        <v>1778</v>
      </c>
      <c r="B54" s="473" t="s">
        <v>603</v>
      </c>
      <c r="C54" s="481" t="s">
        <v>1777</v>
      </c>
      <c r="D54" s="476">
        <v>108.46</v>
      </c>
      <c r="E54" s="482">
        <f>$E$5</f>
        <v>1</v>
      </c>
      <c r="F54" s="481" t="s">
        <v>60</v>
      </c>
      <c r="G54" s="476">
        <v>8.99</v>
      </c>
      <c r="H54" s="482">
        <f>$H$5</f>
        <v>1</v>
      </c>
      <c r="I54" s="476">
        <f>ROUND((D54*E54),2)+ROUND((G54*H54),2)</f>
        <v>117.44999999999999</v>
      </c>
      <c r="J54" s="469">
        <f>ROUND(D54*E54,2)</f>
        <v>108.46</v>
      </c>
      <c r="K54" s="469">
        <f>ROUND(G54*H54,2)</f>
        <v>8.99</v>
      </c>
    </row>
    <row r="55" spans="3:9" ht="11.25">
      <c r="C55" s="481"/>
      <c r="D55" s="476"/>
      <c r="E55" s="481"/>
      <c r="F55" s="481"/>
      <c r="G55" s="476"/>
      <c r="H55" s="481"/>
      <c r="I55" s="476"/>
    </row>
    <row r="56" spans="2:9" ht="11.25">
      <c r="B56" s="473"/>
      <c r="C56" s="481"/>
      <c r="D56" s="476"/>
      <c r="E56" s="481"/>
      <c r="F56" s="481"/>
      <c r="G56" s="476"/>
      <c r="H56" s="481"/>
      <c r="I56" s="476"/>
    </row>
    <row r="57" spans="2:9" ht="11.25">
      <c r="B57" s="473"/>
      <c r="C57" s="481"/>
      <c r="D57" s="476"/>
      <c r="E57" s="481"/>
      <c r="F57" s="481"/>
      <c r="G57" s="476"/>
      <c r="H57" s="481"/>
      <c r="I57" s="476"/>
    </row>
    <row r="58" spans="2:11" ht="11.25">
      <c r="B58" s="473" t="s">
        <v>610</v>
      </c>
      <c r="C58" s="481" t="s">
        <v>382</v>
      </c>
      <c r="D58" s="476">
        <v>16106.33</v>
      </c>
      <c r="E58" s="482">
        <f aca="true" t="shared" si="18" ref="E58:E71">$E$5</f>
        <v>1</v>
      </c>
      <c r="F58" s="481" t="str">
        <f aca="true" t="shared" si="19" ref="F58:F64">C58</f>
        <v>BAD</v>
      </c>
      <c r="G58" s="476">
        <v>4451.84</v>
      </c>
      <c r="H58" s="482">
        <f aca="true" t="shared" si="20" ref="H58:H71">$H$5</f>
        <v>1</v>
      </c>
      <c r="I58" s="476">
        <f aca="true" t="shared" si="21" ref="I58:I71">ROUND((D58*E58),2)+ROUND((G58*H58),2)</f>
        <v>20558.17</v>
      </c>
      <c r="J58" s="469">
        <f aca="true" t="shared" si="22" ref="J58:J69">ROUND(D58*E58,2)</f>
        <v>16106.33</v>
      </c>
      <c r="K58" s="469">
        <f aca="true" t="shared" si="23" ref="K58:K69">ROUND(G58*H58,2)</f>
        <v>4451.84</v>
      </c>
    </row>
    <row r="59" spans="2:11" ht="11.25">
      <c r="B59" s="473" t="s">
        <v>270</v>
      </c>
      <c r="C59" s="481" t="s">
        <v>274</v>
      </c>
      <c r="D59" s="476">
        <v>51589.59</v>
      </c>
      <c r="E59" s="482">
        <f t="shared" si="18"/>
        <v>1</v>
      </c>
      <c r="F59" s="481" t="str">
        <f t="shared" si="19"/>
        <v>BKZ</v>
      </c>
      <c r="G59" s="476">
        <v>3486.53</v>
      </c>
      <c r="H59" s="482">
        <f t="shared" si="20"/>
        <v>1</v>
      </c>
      <c r="I59" s="476">
        <f t="shared" si="21"/>
        <v>55076.119999999995</v>
      </c>
      <c r="J59" s="469">
        <f t="shared" si="22"/>
        <v>51589.59</v>
      </c>
      <c r="K59" s="469">
        <f t="shared" si="23"/>
        <v>3486.53</v>
      </c>
    </row>
    <row r="60" spans="2:11" ht="11.25">
      <c r="B60" s="473" t="s">
        <v>1746</v>
      </c>
      <c r="C60" s="481" t="s">
        <v>275</v>
      </c>
      <c r="D60" s="476">
        <v>25648.75</v>
      </c>
      <c r="E60" s="482">
        <f t="shared" si="18"/>
        <v>1</v>
      </c>
      <c r="F60" s="481" t="str">
        <f t="shared" si="19"/>
        <v>BKB</v>
      </c>
      <c r="G60" s="476">
        <v>3486.53</v>
      </c>
      <c r="H60" s="482">
        <f t="shared" si="20"/>
        <v>1</v>
      </c>
      <c r="I60" s="476">
        <f t="shared" si="21"/>
        <v>29135.28</v>
      </c>
      <c r="J60" s="469">
        <f t="shared" si="22"/>
        <v>25648.75</v>
      </c>
      <c r="K60" s="469">
        <f t="shared" si="23"/>
        <v>3486.53</v>
      </c>
    </row>
    <row r="61" spans="2:11" ht="11.25">
      <c r="B61" s="473" t="s">
        <v>616</v>
      </c>
      <c r="C61" s="481" t="s">
        <v>276</v>
      </c>
      <c r="D61" s="476">
        <v>18652.72</v>
      </c>
      <c r="E61" s="482">
        <f t="shared" si="18"/>
        <v>1</v>
      </c>
      <c r="F61" s="481" t="str">
        <f t="shared" si="19"/>
        <v>BKO</v>
      </c>
      <c r="G61" s="476">
        <v>3486.53</v>
      </c>
      <c r="H61" s="482">
        <f t="shared" si="20"/>
        <v>1</v>
      </c>
      <c r="I61" s="476">
        <f t="shared" si="21"/>
        <v>22139.25</v>
      </c>
      <c r="J61" s="469">
        <f t="shared" si="22"/>
        <v>18652.72</v>
      </c>
      <c r="K61" s="469">
        <f t="shared" si="23"/>
        <v>3486.53</v>
      </c>
    </row>
    <row r="62" spans="2:11" ht="11.25">
      <c r="B62" s="473" t="s">
        <v>1674</v>
      </c>
      <c r="C62" s="481" t="s">
        <v>1675</v>
      </c>
      <c r="D62" s="476"/>
      <c r="E62" s="482">
        <f t="shared" si="18"/>
        <v>1</v>
      </c>
      <c r="F62" s="481" t="str">
        <f t="shared" si="19"/>
        <v>BKL</v>
      </c>
      <c r="G62" s="476"/>
      <c r="H62" s="482">
        <f t="shared" si="20"/>
        <v>1</v>
      </c>
      <c r="I62" s="476">
        <f t="shared" si="21"/>
        <v>0</v>
      </c>
      <c r="J62" s="469">
        <f t="shared" si="22"/>
        <v>0</v>
      </c>
      <c r="K62" s="469">
        <f t="shared" si="23"/>
        <v>0</v>
      </c>
    </row>
    <row r="63" spans="2:11" ht="11.25">
      <c r="B63" s="473" t="s">
        <v>623</v>
      </c>
      <c r="C63" s="481" t="s">
        <v>282</v>
      </c>
      <c r="D63" s="476">
        <v>16209.81</v>
      </c>
      <c r="E63" s="482">
        <f t="shared" si="18"/>
        <v>1</v>
      </c>
      <c r="F63" s="481" t="str">
        <f t="shared" si="19"/>
        <v>BO</v>
      </c>
      <c r="G63" s="476">
        <v>2863.42</v>
      </c>
      <c r="H63" s="482">
        <f t="shared" si="20"/>
        <v>1</v>
      </c>
      <c r="I63" s="476">
        <f t="shared" si="21"/>
        <v>19073.23</v>
      </c>
      <c r="J63" s="469">
        <f t="shared" si="22"/>
        <v>16209.81</v>
      </c>
      <c r="K63" s="469">
        <f t="shared" si="23"/>
        <v>2863.42</v>
      </c>
    </row>
    <row r="64" spans="2:11" ht="11.25">
      <c r="B64" s="473" t="s">
        <v>271</v>
      </c>
      <c r="C64" s="481" t="s">
        <v>281</v>
      </c>
      <c r="D64" s="476">
        <v>15280.29</v>
      </c>
      <c r="E64" s="482">
        <f t="shared" si="18"/>
        <v>1</v>
      </c>
      <c r="F64" s="481" t="str">
        <f t="shared" si="19"/>
        <v>BH</v>
      </c>
      <c r="G64" s="476">
        <v>2863.42</v>
      </c>
      <c r="H64" s="482">
        <f t="shared" si="20"/>
        <v>1</v>
      </c>
      <c r="I64" s="476">
        <f t="shared" si="21"/>
        <v>18143.71</v>
      </c>
      <c r="J64" s="469">
        <f t="shared" si="22"/>
        <v>15280.29</v>
      </c>
      <c r="K64" s="469">
        <f t="shared" si="23"/>
        <v>2863.42</v>
      </c>
    </row>
    <row r="65" spans="2:11" ht="11.25">
      <c r="B65" s="473" t="s">
        <v>379</v>
      </c>
      <c r="C65" s="481" t="s">
        <v>279</v>
      </c>
      <c r="D65" s="476">
        <v>35851.46</v>
      </c>
      <c r="E65" s="482">
        <f t="shared" si="18"/>
        <v>1</v>
      </c>
      <c r="F65" s="481" t="s">
        <v>355</v>
      </c>
      <c r="G65" s="476">
        <v>5731.29</v>
      </c>
      <c r="H65" s="482">
        <f t="shared" si="20"/>
        <v>1</v>
      </c>
      <c r="I65" s="476">
        <f t="shared" si="21"/>
        <v>41582.75</v>
      </c>
      <c r="J65" s="469">
        <f t="shared" si="22"/>
        <v>35851.46</v>
      </c>
      <c r="K65" s="469">
        <f t="shared" si="23"/>
        <v>5731.29</v>
      </c>
    </row>
    <row r="66" spans="2:11" ht="11.25">
      <c r="B66" s="473" t="s">
        <v>380</v>
      </c>
      <c r="C66" s="481" t="s">
        <v>280</v>
      </c>
      <c r="D66" s="476">
        <v>23194.64</v>
      </c>
      <c r="E66" s="482">
        <f t="shared" si="18"/>
        <v>1</v>
      </c>
      <c r="F66" s="481" t="s">
        <v>355</v>
      </c>
      <c r="G66" s="476">
        <v>5731.29</v>
      </c>
      <c r="H66" s="482">
        <f t="shared" si="20"/>
        <v>1</v>
      </c>
      <c r="I66" s="476">
        <f t="shared" si="21"/>
        <v>28925.93</v>
      </c>
      <c r="J66" s="469">
        <f t="shared" si="22"/>
        <v>23194.64</v>
      </c>
      <c r="K66" s="469">
        <f t="shared" si="23"/>
        <v>5731.29</v>
      </c>
    </row>
    <row r="67" spans="2:12" ht="11.25">
      <c r="B67" s="473" t="s">
        <v>272</v>
      </c>
      <c r="C67" s="481" t="s">
        <v>278</v>
      </c>
      <c r="D67" s="476">
        <v>21414.57</v>
      </c>
      <c r="E67" s="482">
        <f t="shared" si="18"/>
        <v>1</v>
      </c>
      <c r="F67" s="481" t="str">
        <f>C67</f>
        <v>BFO</v>
      </c>
      <c r="G67" s="476">
        <v>3416.68</v>
      </c>
      <c r="H67" s="482">
        <f t="shared" si="20"/>
        <v>1</v>
      </c>
      <c r="I67" s="476">
        <f t="shared" si="21"/>
        <v>24831.25</v>
      </c>
      <c r="J67" s="469">
        <f t="shared" si="22"/>
        <v>21414.57</v>
      </c>
      <c r="K67" s="469">
        <f t="shared" si="23"/>
        <v>3416.68</v>
      </c>
      <c r="L67" s="467"/>
    </row>
    <row r="68" spans="2:11" ht="11.25">
      <c r="B68" s="473" t="s">
        <v>273</v>
      </c>
      <c r="C68" s="481" t="s">
        <v>277</v>
      </c>
      <c r="D68" s="476">
        <v>52705.7</v>
      </c>
      <c r="E68" s="482">
        <f t="shared" si="18"/>
        <v>1</v>
      </c>
      <c r="F68" s="481" t="str">
        <f>C68</f>
        <v>BSGA</v>
      </c>
      <c r="G68" s="476">
        <v>3322.52</v>
      </c>
      <c r="H68" s="482">
        <f t="shared" si="20"/>
        <v>1</v>
      </c>
      <c r="I68" s="476">
        <f t="shared" si="21"/>
        <v>56028.219999999994</v>
      </c>
      <c r="J68" s="469">
        <f t="shared" si="22"/>
        <v>52705.7</v>
      </c>
      <c r="K68" s="469">
        <f t="shared" si="23"/>
        <v>3322.52</v>
      </c>
    </row>
    <row r="69" spans="2:11" ht="11.25">
      <c r="B69" s="480" t="s">
        <v>41</v>
      </c>
      <c r="C69" s="481" t="s">
        <v>1900</v>
      </c>
      <c r="D69" s="476">
        <v>6436.63</v>
      </c>
      <c r="E69" s="482">
        <f t="shared" si="18"/>
        <v>1</v>
      </c>
      <c r="F69" s="481" t="s">
        <v>1900</v>
      </c>
      <c r="G69" s="476">
        <v>3558.98</v>
      </c>
      <c r="H69" s="482">
        <f t="shared" si="20"/>
        <v>1</v>
      </c>
      <c r="I69" s="476">
        <f t="shared" si="21"/>
        <v>9995.61</v>
      </c>
      <c r="J69" s="469">
        <f t="shared" si="22"/>
        <v>6436.63</v>
      </c>
      <c r="K69" s="469">
        <f t="shared" si="23"/>
        <v>3558.98</v>
      </c>
    </row>
    <row r="70" spans="2:11" ht="11.25">
      <c r="B70" s="480" t="s">
        <v>42</v>
      </c>
      <c r="C70" s="481" t="s">
        <v>1901</v>
      </c>
      <c r="D70" s="476">
        <v>6436.63</v>
      </c>
      <c r="E70" s="482">
        <f t="shared" si="18"/>
        <v>1</v>
      </c>
      <c r="F70" s="481" t="s">
        <v>1901</v>
      </c>
      <c r="G70" s="476">
        <v>2911.32</v>
      </c>
      <c r="H70" s="482">
        <f t="shared" si="20"/>
        <v>1</v>
      </c>
      <c r="I70" s="476">
        <f t="shared" si="21"/>
        <v>9347.95</v>
      </c>
      <c r="J70" s="469">
        <f>ROUND(D70*E70,2)</f>
        <v>6436.63</v>
      </c>
      <c r="K70" s="469">
        <f>ROUND(G70*H70,2)</f>
        <v>2911.32</v>
      </c>
    </row>
    <row r="71" spans="2:11" ht="11.25">
      <c r="B71" s="481" t="s">
        <v>641</v>
      </c>
      <c r="C71" s="481" t="s">
        <v>1902</v>
      </c>
      <c r="D71" s="476">
        <v>6436.63</v>
      </c>
      <c r="E71" s="482">
        <f t="shared" si="18"/>
        <v>1</v>
      </c>
      <c r="F71" s="481" t="s">
        <v>1902</v>
      </c>
      <c r="G71" s="476">
        <v>3164.14</v>
      </c>
      <c r="H71" s="482">
        <f t="shared" si="20"/>
        <v>1</v>
      </c>
      <c r="I71" s="476">
        <f t="shared" si="21"/>
        <v>9600.77</v>
      </c>
      <c r="J71" s="469">
        <f>ROUND(D71*E71,2)</f>
        <v>6436.63</v>
      </c>
      <c r="K71" s="469">
        <f>ROUND(G71*H71,2)</f>
        <v>3164.14</v>
      </c>
    </row>
    <row r="72" spans="2:11" ht="11.25">
      <c r="B72" s="481" t="s">
        <v>519</v>
      </c>
      <c r="C72" s="481"/>
      <c r="D72" s="481"/>
      <c r="E72" s="481"/>
      <c r="F72" s="481"/>
      <c r="G72" s="481"/>
      <c r="H72" s="482"/>
      <c r="I72" s="475"/>
      <c r="J72" s="469"/>
      <c r="K72" s="469"/>
    </row>
    <row r="73" spans="3:9" ht="11.25">
      <c r="C73" s="481"/>
      <c r="D73" s="476"/>
      <c r="E73" s="481"/>
      <c r="F73" s="481"/>
      <c r="G73" s="476"/>
      <c r="H73" s="481"/>
      <c r="I73" s="476"/>
    </row>
    <row r="74" spans="2:9" ht="11.25">
      <c r="B74" s="470" t="s">
        <v>605</v>
      </c>
      <c r="C74" s="481"/>
      <c r="D74" s="476"/>
      <c r="E74" s="481"/>
      <c r="F74" s="481"/>
      <c r="G74" s="476"/>
      <c r="H74" s="481"/>
      <c r="I74" s="476"/>
    </row>
    <row r="75" spans="2:9" ht="11.25">
      <c r="B75" s="473" t="s">
        <v>1676</v>
      </c>
      <c r="C75" s="481" t="s">
        <v>45</v>
      </c>
      <c r="D75" s="476">
        <v>4256.94</v>
      </c>
      <c r="E75" s="482">
        <f>$E$5</f>
        <v>1</v>
      </c>
      <c r="F75" s="481"/>
      <c r="G75" s="476"/>
      <c r="H75" s="481"/>
      <c r="I75" s="476">
        <f>ROUND((D75*E75),2)+ROUND((G75*H75),2)</f>
        <v>4256.94</v>
      </c>
    </row>
    <row r="76" spans="3:9" ht="11.25">
      <c r="C76" s="481"/>
      <c r="D76" s="476"/>
      <c r="E76" s="481"/>
      <c r="F76" s="481"/>
      <c r="G76" s="476"/>
      <c r="H76" s="481"/>
      <c r="I76" s="476"/>
    </row>
    <row r="77" spans="2:9" ht="11.25">
      <c r="B77" s="470" t="s">
        <v>1780</v>
      </c>
      <c r="C77" s="481"/>
      <c r="D77" s="476"/>
      <c r="E77" s="481"/>
      <c r="F77" s="481"/>
      <c r="G77" s="476"/>
      <c r="H77" s="481"/>
      <c r="I77" s="476"/>
    </row>
    <row r="78" spans="2:9" ht="11.25">
      <c r="B78" s="483" t="s">
        <v>1792</v>
      </c>
      <c r="C78" s="481"/>
      <c r="D78" s="476"/>
      <c r="E78" s="481"/>
      <c r="F78" s="481" t="s">
        <v>651</v>
      </c>
      <c r="G78" s="476">
        <v>21.14</v>
      </c>
      <c r="H78" s="482">
        <f>$H$5</f>
        <v>1</v>
      </c>
      <c r="I78" s="476">
        <f>ROUND((D78*E78),2)+ROUND((G78*H78),2)</f>
        <v>21.14</v>
      </c>
    </row>
    <row r="79" spans="2:9" ht="11.25">
      <c r="B79" s="480" t="s">
        <v>455</v>
      </c>
      <c r="C79" s="481"/>
      <c r="D79" s="476"/>
      <c r="E79" s="481"/>
      <c r="F79" s="481" t="s">
        <v>1900</v>
      </c>
      <c r="G79" s="476">
        <v>1405.06</v>
      </c>
      <c r="H79" s="482">
        <f>$H$5</f>
        <v>1</v>
      </c>
      <c r="I79" s="476">
        <f>ROUND((D79*E79),2)+ROUND((G79*H79),2)</f>
        <v>1405.06</v>
      </c>
    </row>
    <row r="80" spans="2:9" ht="11.25">
      <c r="B80" s="480" t="s">
        <v>456</v>
      </c>
      <c r="C80" s="481"/>
      <c r="D80" s="476"/>
      <c r="E80" s="481"/>
      <c r="F80" s="481" t="s">
        <v>1901</v>
      </c>
      <c r="G80" s="476">
        <v>968.27</v>
      </c>
      <c r="H80" s="482">
        <f>$H$5</f>
        <v>1</v>
      </c>
      <c r="I80" s="476">
        <f>ROUND((D80*E80),2)+ROUND((G80*H80),2)</f>
        <v>968.27</v>
      </c>
    </row>
    <row r="81" spans="2:9" ht="11.25">
      <c r="B81" s="481" t="s">
        <v>457</v>
      </c>
      <c r="C81" s="481"/>
      <c r="D81" s="476"/>
      <c r="E81" s="481"/>
      <c r="F81" s="481" t="s">
        <v>1902</v>
      </c>
      <c r="G81" s="476">
        <v>1138.25</v>
      </c>
      <c r="H81" s="482">
        <f>$H$5</f>
        <v>1</v>
      </c>
      <c r="I81" s="476">
        <f>ROUND((D81*E81),2)+ROUND((G81*H81),2)</f>
        <v>1138.25</v>
      </c>
    </row>
    <row r="82" spans="2:9" ht="11.25">
      <c r="B82" s="484"/>
      <c r="C82" s="481"/>
      <c r="D82" s="476"/>
      <c r="E82" s="481"/>
      <c r="F82" s="481"/>
      <c r="G82" s="476"/>
      <c r="H82" s="481"/>
      <c r="I82" s="476"/>
    </row>
    <row r="83" spans="2:8" ht="11.25">
      <c r="B83" s="478" t="s">
        <v>1602</v>
      </c>
      <c r="C83" s="481"/>
      <c r="D83" s="476" t="s">
        <v>645</v>
      </c>
      <c r="E83" s="481" t="s">
        <v>646</v>
      </c>
      <c r="F83" s="481"/>
      <c r="G83" s="476"/>
      <c r="H83" s="481"/>
    </row>
    <row r="84" spans="2:9" ht="11.25">
      <c r="B84" s="479" t="s">
        <v>455</v>
      </c>
      <c r="C84" s="481" t="s">
        <v>1900</v>
      </c>
      <c r="D84" s="476">
        <v>7709.32</v>
      </c>
      <c r="E84" s="481">
        <v>1589.26</v>
      </c>
      <c r="F84" s="481"/>
      <c r="G84" s="476">
        <f>E84+D84</f>
        <v>9298.58</v>
      </c>
      <c r="H84" s="482">
        <v>1</v>
      </c>
      <c r="I84" s="476">
        <f aca="true" t="shared" si="24" ref="I84:I89">ROUND((G84*H84),2)</f>
        <v>9298.58</v>
      </c>
    </row>
    <row r="85" spans="2:9" ht="11.25">
      <c r="B85" s="485" t="s">
        <v>456</v>
      </c>
      <c r="C85" s="481" t="s">
        <v>1901</v>
      </c>
      <c r="D85" s="476">
        <v>5266.02</v>
      </c>
      <c r="E85" s="481">
        <v>1095.82</v>
      </c>
      <c r="F85" s="481"/>
      <c r="G85" s="476">
        <f>E85+D85</f>
        <v>6361.84</v>
      </c>
      <c r="H85" s="482">
        <v>1</v>
      </c>
      <c r="I85" s="476">
        <f t="shared" si="24"/>
        <v>6361.84</v>
      </c>
    </row>
    <row r="86" spans="2:9" ht="11.25">
      <c r="B86" s="485" t="s">
        <v>457</v>
      </c>
      <c r="C86" s="481" t="s">
        <v>1902</v>
      </c>
      <c r="D86" s="476">
        <v>7722.97</v>
      </c>
      <c r="E86" s="481">
        <v>1288.07</v>
      </c>
      <c r="F86" s="481"/>
      <c r="G86" s="476">
        <f>E86+D86</f>
        <v>9011.04</v>
      </c>
      <c r="H86" s="482">
        <v>1</v>
      </c>
      <c r="I86" s="476">
        <f t="shared" si="24"/>
        <v>9011.04</v>
      </c>
    </row>
    <row r="87" spans="2:9" ht="11.25">
      <c r="B87" s="485" t="s">
        <v>461</v>
      </c>
      <c r="C87" s="481" t="s">
        <v>644</v>
      </c>
      <c r="D87" s="476"/>
      <c r="E87" s="481"/>
      <c r="F87" s="481"/>
      <c r="G87" s="481">
        <v>227.18</v>
      </c>
      <c r="H87" s="482">
        <v>1</v>
      </c>
      <c r="I87" s="476">
        <f t="shared" si="24"/>
        <v>227.18</v>
      </c>
    </row>
    <row r="88" spans="2:9" ht="11.25">
      <c r="B88" s="485" t="s">
        <v>442</v>
      </c>
      <c r="C88" s="481" t="s">
        <v>1904</v>
      </c>
      <c r="D88" s="476"/>
      <c r="E88" s="481"/>
      <c r="F88" s="481"/>
      <c r="G88" s="481">
        <v>567.95</v>
      </c>
      <c r="H88" s="482">
        <v>1</v>
      </c>
      <c r="I88" s="476">
        <f t="shared" si="24"/>
        <v>567.95</v>
      </c>
    </row>
    <row r="89" spans="2:9" ht="11.25">
      <c r="B89" s="485" t="s">
        <v>1899</v>
      </c>
      <c r="C89" s="481" t="s">
        <v>1905</v>
      </c>
      <c r="D89" s="476"/>
      <c r="E89" s="481"/>
      <c r="F89" s="481"/>
      <c r="G89" s="481">
        <v>1135.9</v>
      </c>
      <c r="H89" s="482">
        <v>1</v>
      </c>
      <c r="I89" s="476">
        <f t="shared" si="24"/>
        <v>1135.9</v>
      </c>
    </row>
    <row r="90" spans="3:8" ht="11.25">
      <c r="C90" s="481"/>
      <c r="D90" s="476"/>
      <c r="E90" s="481"/>
      <c r="F90" s="481"/>
      <c r="G90" s="476"/>
      <c r="H90" s="481"/>
    </row>
    <row r="98" ht="12.75">
      <c r="C98" s="486"/>
    </row>
    <row r="99" ht="12.75">
      <c r="C99" s="486"/>
    </row>
    <row r="100" ht="12.75">
      <c r="C100" s="486"/>
    </row>
    <row r="101" ht="12.75">
      <c r="C101" s="486"/>
    </row>
    <row r="102" ht="12.75">
      <c r="C102" s="486"/>
    </row>
    <row r="103" ht="12.75">
      <c r="C103" s="486"/>
    </row>
  </sheetData>
  <sheetProtection password="9487" sheet="1" objects="1" scenarios="1"/>
  <printOptions/>
  <pageMargins left="0.75" right="0.75" top="1" bottom="1" header="0.5" footer="0.5"/>
  <pageSetup horizontalDpi="600" verticalDpi="600" orientation="landscape" paperSize="9" scale="83" r:id="rId1"/>
  <rowBreaks count="1" manualBreakCount="1">
    <brk id="48" max="8" man="1"/>
  </rowBreaks>
  <colBreaks count="1" manualBreakCount="1">
    <brk id="9" max="65535" man="1"/>
  </colBreaks>
</worksheet>
</file>

<file path=xl/worksheets/sheet9.xml><?xml version="1.0" encoding="utf-8"?>
<worksheet xmlns="http://schemas.openxmlformats.org/spreadsheetml/2006/main" xmlns:r="http://schemas.openxmlformats.org/officeDocument/2006/relationships">
  <dimension ref="A1:I243"/>
  <sheetViews>
    <sheetView workbookViewId="0" topLeftCell="A1">
      <selection activeCell="E39" sqref="E39"/>
    </sheetView>
  </sheetViews>
  <sheetFormatPr defaultColWidth="9.140625" defaultRowHeight="12.75"/>
  <cols>
    <col min="5" max="5" width="42.421875" style="0" bestFit="1" customWidth="1"/>
  </cols>
  <sheetData>
    <row r="1" spans="1:9" ht="12.75">
      <c r="A1" t="s">
        <v>249</v>
      </c>
      <c r="B1" t="s">
        <v>250</v>
      </c>
      <c r="C1" t="s">
        <v>251</v>
      </c>
      <c r="D1" t="s">
        <v>252</v>
      </c>
      <c r="E1" t="s">
        <v>253</v>
      </c>
      <c r="F1" t="s">
        <v>250</v>
      </c>
      <c r="G1" t="s">
        <v>251</v>
      </c>
      <c r="H1" t="s">
        <v>252</v>
      </c>
      <c r="I1" t="s">
        <v>253</v>
      </c>
    </row>
    <row r="2" spans="2:5" ht="12.75">
      <c r="B2">
        <v>903</v>
      </c>
      <c r="C2">
        <v>450</v>
      </c>
      <c r="D2" t="s">
        <v>1747</v>
      </c>
      <c r="E2" t="s">
        <v>1281</v>
      </c>
    </row>
    <row r="3" spans="1:5" ht="12.75">
      <c r="A3" t="s">
        <v>1685</v>
      </c>
      <c r="B3">
        <v>504</v>
      </c>
      <c r="C3">
        <v>450</v>
      </c>
      <c r="D3" t="s">
        <v>1747</v>
      </c>
      <c r="E3" t="s">
        <v>1282</v>
      </c>
    </row>
    <row r="4" spans="2:5" ht="12.75">
      <c r="B4">
        <v>1000</v>
      </c>
      <c r="C4">
        <v>450</v>
      </c>
      <c r="D4" t="s">
        <v>451</v>
      </c>
      <c r="E4" t="s">
        <v>493</v>
      </c>
    </row>
    <row r="5" spans="2:5" ht="12.75">
      <c r="B5">
        <v>1001</v>
      </c>
      <c r="C5">
        <v>450</v>
      </c>
      <c r="D5" t="s">
        <v>497</v>
      </c>
      <c r="E5" t="s">
        <v>467</v>
      </c>
    </row>
    <row r="6" spans="2:5" ht="12.75">
      <c r="B6">
        <v>1002</v>
      </c>
      <c r="C6">
        <v>450</v>
      </c>
      <c r="D6" t="s">
        <v>1921</v>
      </c>
      <c r="E6" t="s">
        <v>1922</v>
      </c>
    </row>
    <row r="7" spans="2:5" ht="12.75">
      <c r="B7">
        <v>1003</v>
      </c>
      <c r="C7">
        <v>450</v>
      </c>
      <c r="D7" t="s">
        <v>451</v>
      </c>
      <c r="E7" t="s">
        <v>1283</v>
      </c>
    </row>
    <row r="8" spans="2:5" ht="12.75">
      <c r="B8">
        <v>1004</v>
      </c>
      <c r="C8">
        <v>450</v>
      </c>
      <c r="D8" t="s">
        <v>451</v>
      </c>
      <c r="E8" t="s">
        <v>1923</v>
      </c>
    </row>
    <row r="9" spans="2:5" ht="12.75">
      <c r="B9">
        <v>1005</v>
      </c>
      <c r="C9">
        <v>450</v>
      </c>
      <c r="D9" t="s">
        <v>497</v>
      </c>
      <c r="E9" t="s">
        <v>294</v>
      </c>
    </row>
    <row r="10" spans="2:5" ht="12.75">
      <c r="B10">
        <v>1006</v>
      </c>
      <c r="C10">
        <v>450</v>
      </c>
      <c r="D10" t="s">
        <v>497</v>
      </c>
      <c r="E10" t="s">
        <v>1924</v>
      </c>
    </row>
    <row r="11" spans="2:5" ht="12.75">
      <c r="B11">
        <v>1007</v>
      </c>
      <c r="C11">
        <v>450</v>
      </c>
      <c r="D11" t="s">
        <v>497</v>
      </c>
      <c r="E11" t="s">
        <v>1585</v>
      </c>
    </row>
    <row r="12" spans="2:5" ht="12.75">
      <c r="B12">
        <v>1008</v>
      </c>
      <c r="C12">
        <v>450</v>
      </c>
      <c r="D12" t="s">
        <v>1921</v>
      </c>
      <c r="E12" t="s">
        <v>550</v>
      </c>
    </row>
    <row r="13" spans="2:5" ht="12.75">
      <c r="B13">
        <v>1009</v>
      </c>
      <c r="C13">
        <v>450</v>
      </c>
      <c r="D13" t="s">
        <v>451</v>
      </c>
      <c r="E13" t="s">
        <v>43</v>
      </c>
    </row>
    <row r="14" spans="2:5" ht="12.75">
      <c r="B14">
        <v>1010</v>
      </c>
      <c r="C14">
        <v>450</v>
      </c>
      <c r="D14" t="s">
        <v>451</v>
      </c>
      <c r="E14" t="s">
        <v>1896</v>
      </c>
    </row>
    <row r="15" spans="2:5" ht="12.75">
      <c r="B15">
        <v>1011</v>
      </c>
      <c r="C15">
        <v>450</v>
      </c>
      <c r="D15" t="s">
        <v>497</v>
      </c>
      <c r="E15" t="s">
        <v>662</v>
      </c>
    </row>
    <row r="16" spans="2:5" ht="12.75">
      <c r="B16">
        <v>1012</v>
      </c>
      <c r="C16">
        <v>450</v>
      </c>
      <c r="D16" t="s">
        <v>451</v>
      </c>
      <c r="E16" t="s">
        <v>453</v>
      </c>
    </row>
    <row r="17" spans="2:5" ht="12.75">
      <c r="B17">
        <v>1013</v>
      </c>
      <c r="C17">
        <v>450</v>
      </c>
      <c r="D17" t="s">
        <v>497</v>
      </c>
      <c r="E17" t="s">
        <v>1925</v>
      </c>
    </row>
    <row r="18" spans="2:5" ht="12.75">
      <c r="B18">
        <v>1015</v>
      </c>
      <c r="C18">
        <v>450</v>
      </c>
      <c r="D18" t="s">
        <v>497</v>
      </c>
      <c r="E18" t="s">
        <v>588</v>
      </c>
    </row>
    <row r="19" spans="2:5" ht="12.75">
      <c r="B19">
        <v>1016</v>
      </c>
      <c r="C19">
        <v>450</v>
      </c>
      <c r="D19" t="s">
        <v>1926</v>
      </c>
      <c r="E19" t="s">
        <v>283</v>
      </c>
    </row>
    <row r="20" spans="2:5" ht="12.75">
      <c r="B20">
        <v>1017</v>
      </c>
      <c r="C20">
        <v>450</v>
      </c>
      <c r="D20" t="s">
        <v>497</v>
      </c>
      <c r="E20" t="s">
        <v>1284</v>
      </c>
    </row>
    <row r="21" spans="2:5" ht="12.75">
      <c r="B21">
        <v>1018</v>
      </c>
      <c r="C21">
        <v>450</v>
      </c>
      <c r="D21" t="s">
        <v>451</v>
      </c>
      <c r="E21" t="s">
        <v>1285</v>
      </c>
    </row>
    <row r="22" spans="1:5" ht="12.75">
      <c r="A22" s="491"/>
      <c r="B22">
        <v>1019</v>
      </c>
      <c r="C22">
        <v>450</v>
      </c>
      <c r="D22" t="s">
        <v>451</v>
      </c>
      <c r="E22" t="s">
        <v>254</v>
      </c>
    </row>
    <row r="23" spans="2:5" ht="12.75">
      <c r="B23">
        <v>1021</v>
      </c>
      <c r="C23">
        <v>450</v>
      </c>
      <c r="D23" t="s">
        <v>1926</v>
      </c>
      <c r="E23" t="s">
        <v>303</v>
      </c>
    </row>
    <row r="24" spans="2:5" ht="12.75">
      <c r="B24">
        <v>1022</v>
      </c>
      <c r="C24">
        <v>450</v>
      </c>
      <c r="D24" t="s">
        <v>552</v>
      </c>
      <c r="E24" t="s">
        <v>480</v>
      </c>
    </row>
    <row r="25" spans="2:5" ht="12.75">
      <c r="B25">
        <v>1023</v>
      </c>
      <c r="C25">
        <v>450</v>
      </c>
      <c r="D25" t="s">
        <v>552</v>
      </c>
      <c r="E25" t="s">
        <v>428</v>
      </c>
    </row>
    <row r="26" spans="2:5" ht="12.75">
      <c r="B26">
        <v>1024</v>
      </c>
      <c r="C26">
        <v>450</v>
      </c>
      <c r="D26" t="s">
        <v>1921</v>
      </c>
      <c r="E26" t="s">
        <v>255</v>
      </c>
    </row>
    <row r="27" spans="2:5" ht="12.75">
      <c r="B27">
        <v>1025</v>
      </c>
      <c r="C27">
        <v>450</v>
      </c>
      <c r="D27" t="s">
        <v>497</v>
      </c>
      <c r="E27" t="s">
        <v>256</v>
      </c>
    </row>
    <row r="28" spans="2:5" ht="12.75">
      <c r="B28">
        <v>1026</v>
      </c>
      <c r="C28">
        <v>450</v>
      </c>
      <c r="D28" t="s">
        <v>497</v>
      </c>
      <c r="E28" t="s">
        <v>1927</v>
      </c>
    </row>
    <row r="29" spans="2:5" ht="12.75">
      <c r="B29">
        <v>1027</v>
      </c>
      <c r="C29">
        <v>450</v>
      </c>
      <c r="D29" t="s">
        <v>1921</v>
      </c>
      <c r="E29" t="s">
        <v>632</v>
      </c>
    </row>
    <row r="30" spans="2:5" ht="12.75">
      <c r="B30">
        <v>1029</v>
      </c>
      <c r="C30">
        <v>450</v>
      </c>
      <c r="D30" t="s">
        <v>497</v>
      </c>
      <c r="E30" t="s">
        <v>1587</v>
      </c>
    </row>
    <row r="31" spans="2:5" ht="12.75">
      <c r="B31">
        <v>1030</v>
      </c>
      <c r="C31">
        <v>450</v>
      </c>
      <c r="D31" t="s">
        <v>497</v>
      </c>
      <c r="E31" t="s">
        <v>258</v>
      </c>
    </row>
    <row r="32" spans="2:5" ht="12.75">
      <c r="B32">
        <v>1031</v>
      </c>
      <c r="C32">
        <v>450</v>
      </c>
      <c r="D32" t="s">
        <v>451</v>
      </c>
      <c r="E32" t="s">
        <v>597</v>
      </c>
    </row>
    <row r="33" spans="2:5" ht="12.75">
      <c r="B33">
        <v>1032</v>
      </c>
      <c r="C33">
        <v>450</v>
      </c>
      <c r="D33" t="s">
        <v>552</v>
      </c>
      <c r="E33" t="s">
        <v>1286</v>
      </c>
    </row>
    <row r="34" spans="2:5" ht="12.75">
      <c r="B34">
        <v>1033</v>
      </c>
      <c r="C34">
        <v>450</v>
      </c>
      <c r="D34" t="s">
        <v>451</v>
      </c>
      <c r="E34" t="s">
        <v>1578</v>
      </c>
    </row>
    <row r="35" spans="2:5" ht="12.75">
      <c r="B35">
        <v>1034</v>
      </c>
      <c r="C35">
        <v>450</v>
      </c>
      <c r="D35" t="s">
        <v>1926</v>
      </c>
      <c r="E35" t="s">
        <v>430</v>
      </c>
    </row>
    <row r="36" spans="2:5" ht="12.75">
      <c r="B36">
        <v>1035</v>
      </c>
      <c r="C36">
        <v>450</v>
      </c>
      <c r="D36" t="s">
        <v>552</v>
      </c>
      <c r="E36" t="s">
        <v>44</v>
      </c>
    </row>
    <row r="37" spans="2:5" ht="12.75">
      <c r="B37">
        <v>1036</v>
      </c>
      <c r="C37">
        <v>450</v>
      </c>
      <c r="D37" t="s">
        <v>451</v>
      </c>
      <c r="E37" t="s">
        <v>468</v>
      </c>
    </row>
    <row r="38" spans="2:5" ht="12.75">
      <c r="B38">
        <v>1037</v>
      </c>
      <c r="C38">
        <v>450</v>
      </c>
      <c r="D38" t="s">
        <v>1921</v>
      </c>
      <c r="E38" t="s">
        <v>1894</v>
      </c>
    </row>
    <row r="39" spans="2:5" ht="12.75">
      <c r="B39">
        <v>1038</v>
      </c>
      <c r="C39">
        <v>450</v>
      </c>
      <c r="D39" t="s">
        <v>451</v>
      </c>
      <c r="E39" t="s">
        <v>526</v>
      </c>
    </row>
    <row r="40" spans="2:5" ht="12.75">
      <c r="B40">
        <v>1039</v>
      </c>
      <c r="C40">
        <v>450</v>
      </c>
      <c r="D40" t="s">
        <v>451</v>
      </c>
      <c r="E40" t="s">
        <v>1502</v>
      </c>
    </row>
    <row r="41" spans="2:5" ht="12.75">
      <c r="B41">
        <v>1040</v>
      </c>
      <c r="C41">
        <v>450</v>
      </c>
      <c r="D41" t="s">
        <v>552</v>
      </c>
      <c r="E41" t="s">
        <v>27</v>
      </c>
    </row>
    <row r="42" spans="2:5" ht="12.75">
      <c r="B42">
        <v>1041</v>
      </c>
      <c r="C42">
        <v>450</v>
      </c>
      <c r="D42" t="s">
        <v>552</v>
      </c>
      <c r="E42" t="s">
        <v>1928</v>
      </c>
    </row>
    <row r="43" spans="2:5" ht="12.75">
      <c r="B43">
        <v>4005</v>
      </c>
      <c r="C43">
        <v>450</v>
      </c>
      <c r="D43" t="s">
        <v>497</v>
      </c>
      <c r="E43" t="s">
        <v>694</v>
      </c>
    </row>
    <row r="44" spans="2:5" ht="12.75">
      <c r="B44">
        <v>1042</v>
      </c>
      <c r="C44">
        <v>450</v>
      </c>
      <c r="D44" t="s">
        <v>552</v>
      </c>
      <c r="E44" t="s">
        <v>1255</v>
      </c>
    </row>
    <row r="45" spans="2:5" ht="12.75">
      <c r="B45">
        <v>1043</v>
      </c>
      <c r="C45">
        <v>450</v>
      </c>
      <c r="D45" t="s">
        <v>1926</v>
      </c>
      <c r="E45" t="s">
        <v>1929</v>
      </c>
    </row>
    <row r="46" spans="2:5" ht="12.75">
      <c r="B46">
        <v>1044</v>
      </c>
      <c r="C46">
        <v>450</v>
      </c>
      <c r="D46" t="s">
        <v>1926</v>
      </c>
      <c r="E46" t="s">
        <v>403</v>
      </c>
    </row>
    <row r="47" spans="2:5" ht="12.75">
      <c r="B47">
        <v>1047</v>
      </c>
      <c r="C47">
        <v>450</v>
      </c>
      <c r="D47" t="s">
        <v>451</v>
      </c>
      <c r="E47" t="s">
        <v>513</v>
      </c>
    </row>
    <row r="48" spans="1:5" ht="12.75">
      <c r="A48" s="491"/>
      <c r="B48">
        <v>1050</v>
      </c>
      <c r="C48">
        <v>450</v>
      </c>
      <c r="D48" t="s">
        <v>1921</v>
      </c>
      <c r="E48" t="s">
        <v>1254</v>
      </c>
    </row>
    <row r="49" spans="2:5" ht="12.75">
      <c r="B49">
        <v>1051</v>
      </c>
      <c r="C49">
        <v>450</v>
      </c>
      <c r="D49" t="s">
        <v>1921</v>
      </c>
      <c r="E49" t="s">
        <v>338</v>
      </c>
    </row>
    <row r="50" spans="1:5" ht="12.75">
      <c r="A50" s="491"/>
      <c r="B50">
        <v>1052</v>
      </c>
      <c r="C50">
        <v>450</v>
      </c>
      <c r="D50" t="s">
        <v>1921</v>
      </c>
      <c r="E50" t="s">
        <v>499</v>
      </c>
    </row>
    <row r="51" spans="2:5" ht="12.75">
      <c r="B51">
        <v>1053</v>
      </c>
      <c r="C51">
        <v>450</v>
      </c>
      <c r="D51" t="s">
        <v>497</v>
      </c>
      <c r="E51" t="s">
        <v>1256</v>
      </c>
    </row>
    <row r="52" spans="2:5" ht="12.75">
      <c r="B52">
        <v>4007</v>
      </c>
      <c r="C52">
        <v>450</v>
      </c>
      <c r="D52" t="s">
        <v>1921</v>
      </c>
      <c r="E52" t="s">
        <v>1930</v>
      </c>
    </row>
    <row r="53" spans="2:5" ht="12.75">
      <c r="B53">
        <v>1054</v>
      </c>
      <c r="C53">
        <v>450</v>
      </c>
      <c r="D53" t="s">
        <v>497</v>
      </c>
      <c r="E53" t="s">
        <v>1287</v>
      </c>
    </row>
    <row r="54" spans="2:5" ht="12.75">
      <c r="B54">
        <v>1056</v>
      </c>
      <c r="C54">
        <v>450</v>
      </c>
      <c r="D54" t="s">
        <v>497</v>
      </c>
      <c r="E54" t="s">
        <v>627</v>
      </c>
    </row>
    <row r="55" spans="2:5" ht="12.75">
      <c r="B55">
        <v>1057</v>
      </c>
      <c r="C55">
        <v>450</v>
      </c>
      <c r="D55" t="s">
        <v>497</v>
      </c>
      <c r="E55" t="s">
        <v>466</v>
      </c>
    </row>
    <row r="56" spans="2:5" ht="12.75">
      <c r="B56">
        <v>4008</v>
      </c>
      <c r="C56">
        <v>450</v>
      </c>
      <c r="D56" t="s">
        <v>451</v>
      </c>
      <c r="E56" t="s">
        <v>695</v>
      </c>
    </row>
    <row r="57" spans="2:5" ht="12.75">
      <c r="B57">
        <v>1058</v>
      </c>
      <c r="C57">
        <v>450</v>
      </c>
      <c r="D57" t="s">
        <v>497</v>
      </c>
      <c r="E57" t="s">
        <v>248</v>
      </c>
    </row>
    <row r="58" spans="2:5" ht="12.75">
      <c r="B58">
        <v>1060</v>
      </c>
      <c r="C58">
        <v>450</v>
      </c>
      <c r="D58" t="s">
        <v>497</v>
      </c>
      <c r="E58" t="s">
        <v>295</v>
      </c>
    </row>
    <row r="59" spans="2:5" ht="12.75">
      <c r="B59">
        <v>4009</v>
      </c>
      <c r="C59">
        <v>450</v>
      </c>
      <c r="D59" t="s">
        <v>1926</v>
      </c>
      <c r="E59" t="s">
        <v>1288</v>
      </c>
    </row>
    <row r="60" spans="2:5" ht="12.75">
      <c r="B60">
        <v>1061</v>
      </c>
      <c r="C60">
        <v>450</v>
      </c>
      <c r="D60" t="s">
        <v>497</v>
      </c>
      <c r="E60" t="s">
        <v>405</v>
      </c>
    </row>
    <row r="61" spans="2:5" ht="12.75">
      <c r="B61">
        <v>1062</v>
      </c>
      <c r="C61">
        <v>450</v>
      </c>
      <c r="D61" t="s">
        <v>1926</v>
      </c>
      <c r="E61" t="s">
        <v>243</v>
      </c>
    </row>
    <row r="62" spans="2:5" ht="12.75">
      <c r="B62">
        <v>4010</v>
      </c>
      <c r="C62">
        <v>450</v>
      </c>
      <c r="D62" t="s">
        <v>552</v>
      </c>
      <c r="E62" t="s">
        <v>1931</v>
      </c>
    </row>
    <row r="63" spans="2:5" ht="12.75">
      <c r="B63">
        <v>1063</v>
      </c>
      <c r="C63">
        <v>450</v>
      </c>
      <c r="D63" t="s">
        <v>1926</v>
      </c>
      <c r="E63" t="s">
        <v>244</v>
      </c>
    </row>
    <row r="64" spans="2:5" ht="12.75">
      <c r="B64">
        <v>1064</v>
      </c>
      <c r="C64">
        <v>450</v>
      </c>
      <c r="D64" t="s">
        <v>1921</v>
      </c>
      <c r="E64" t="s">
        <v>427</v>
      </c>
    </row>
    <row r="65" spans="2:5" ht="12.75">
      <c r="B65">
        <v>4011</v>
      </c>
      <c r="C65">
        <v>450</v>
      </c>
      <c r="D65" t="s">
        <v>1921</v>
      </c>
      <c r="E65" t="s">
        <v>696</v>
      </c>
    </row>
    <row r="66" spans="2:5" ht="12.75">
      <c r="B66">
        <v>1065</v>
      </c>
      <c r="C66">
        <v>450</v>
      </c>
      <c r="D66" t="s">
        <v>1921</v>
      </c>
      <c r="E66" t="s">
        <v>1253</v>
      </c>
    </row>
    <row r="67" spans="2:5" ht="12.75">
      <c r="B67">
        <v>1066</v>
      </c>
      <c r="C67">
        <v>450</v>
      </c>
      <c r="D67" t="s">
        <v>497</v>
      </c>
      <c r="E67" t="s">
        <v>1932</v>
      </c>
    </row>
    <row r="68" spans="2:5" ht="12.75">
      <c r="B68">
        <v>4013</v>
      </c>
      <c r="C68">
        <v>450</v>
      </c>
      <c r="D68" t="s">
        <v>497</v>
      </c>
      <c r="E68" t="s">
        <v>1933</v>
      </c>
    </row>
    <row r="69" spans="2:5" ht="12.75">
      <c r="B69">
        <v>1067</v>
      </c>
      <c r="C69">
        <v>450</v>
      </c>
      <c r="D69" t="s">
        <v>552</v>
      </c>
      <c r="E69" t="s">
        <v>1895</v>
      </c>
    </row>
    <row r="70" spans="2:5" ht="12.75">
      <c r="B70">
        <v>1068</v>
      </c>
      <c r="C70">
        <v>450</v>
      </c>
      <c r="D70" t="s">
        <v>1926</v>
      </c>
      <c r="E70" t="s">
        <v>518</v>
      </c>
    </row>
    <row r="71" spans="2:5" ht="12.75">
      <c r="B71">
        <v>1071</v>
      </c>
      <c r="C71">
        <v>450</v>
      </c>
      <c r="D71" t="s">
        <v>1926</v>
      </c>
      <c r="E71" t="s">
        <v>341</v>
      </c>
    </row>
    <row r="72" spans="2:5" ht="12.75">
      <c r="B72">
        <v>1072</v>
      </c>
      <c r="C72">
        <v>450</v>
      </c>
      <c r="D72" t="s">
        <v>552</v>
      </c>
      <c r="E72" t="s">
        <v>52</v>
      </c>
    </row>
    <row r="73" spans="2:5" ht="12.75">
      <c r="B73">
        <v>1073</v>
      </c>
      <c r="C73">
        <v>450</v>
      </c>
      <c r="D73" t="s">
        <v>1921</v>
      </c>
      <c r="E73" t="s">
        <v>541</v>
      </c>
    </row>
    <row r="74" spans="2:5" ht="12.75">
      <c r="B74">
        <v>1074</v>
      </c>
      <c r="C74">
        <v>450</v>
      </c>
      <c r="D74" t="s">
        <v>552</v>
      </c>
      <c r="E74" t="s">
        <v>663</v>
      </c>
    </row>
    <row r="75" spans="2:5" ht="12.75">
      <c r="B75">
        <v>1075</v>
      </c>
      <c r="C75">
        <v>450</v>
      </c>
      <c r="D75" t="s">
        <v>1926</v>
      </c>
      <c r="E75" t="s">
        <v>1934</v>
      </c>
    </row>
    <row r="76" spans="2:5" ht="12.75">
      <c r="B76">
        <v>1076</v>
      </c>
      <c r="C76">
        <v>450</v>
      </c>
      <c r="D76" t="s">
        <v>552</v>
      </c>
      <c r="E76" t="s">
        <v>548</v>
      </c>
    </row>
    <row r="77" spans="2:5" ht="12.75">
      <c r="B77">
        <v>4015</v>
      </c>
      <c r="C77">
        <v>450</v>
      </c>
      <c r="D77" t="s">
        <v>1921</v>
      </c>
      <c r="E77" t="s">
        <v>697</v>
      </c>
    </row>
    <row r="78" spans="2:5" ht="12.75">
      <c r="B78">
        <v>4016</v>
      </c>
      <c r="C78">
        <v>450</v>
      </c>
      <c r="D78" t="s">
        <v>451</v>
      </c>
      <c r="E78" t="s">
        <v>1289</v>
      </c>
    </row>
    <row r="79" spans="2:5" ht="12.75">
      <c r="B79">
        <v>1077</v>
      </c>
      <c r="C79">
        <v>450</v>
      </c>
      <c r="D79" t="s">
        <v>1926</v>
      </c>
      <c r="E79" t="s">
        <v>631</v>
      </c>
    </row>
    <row r="80" spans="2:5" ht="12.75">
      <c r="B80">
        <v>1078</v>
      </c>
      <c r="C80">
        <v>450</v>
      </c>
      <c r="D80" t="s">
        <v>1921</v>
      </c>
      <c r="E80" t="s">
        <v>664</v>
      </c>
    </row>
    <row r="81" spans="2:5" ht="12.75">
      <c r="B81">
        <v>1079</v>
      </c>
      <c r="C81">
        <v>450</v>
      </c>
      <c r="D81" t="s">
        <v>497</v>
      </c>
      <c r="E81" t="s">
        <v>665</v>
      </c>
    </row>
    <row r="82" spans="2:5" ht="12.75">
      <c r="B82">
        <v>1080</v>
      </c>
      <c r="C82">
        <v>450</v>
      </c>
      <c r="D82" t="s">
        <v>552</v>
      </c>
      <c r="E82" t="s">
        <v>666</v>
      </c>
    </row>
    <row r="83" spans="2:5" ht="12.75">
      <c r="B83">
        <v>1081</v>
      </c>
      <c r="C83">
        <v>450</v>
      </c>
      <c r="D83" t="s">
        <v>552</v>
      </c>
      <c r="E83" t="s">
        <v>667</v>
      </c>
    </row>
    <row r="84" spans="2:5" ht="12.75">
      <c r="B84">
        <v>1082</v>
      </c>
      <c r="C84">
        <v>450</v>
      </c>
      <c r="D84" t="s">
        <v>451</v>
      </c>
      <c r="E84" t="s">
        <v>668</v>
      </c>
    </row>
    <row r="85" spans="2:5" ht="12.75">
      <c r="B85">
        <v>1083</v>
      </c>
      <c r="C85">
        <v>450</v>
      </c>
      <c r="D85" t="s">
        <v>1926</v>
      </c>
      <c r="E85" t="s">
        <v>669</v>
      </c>
    </row>
    <row r="86" spans="2:5" ht="12.75">
      <c r="B86">
        <v>1084</v>
      </c>
      <c r="C86">
        <v>450</v>
      </c>
      <c r="D86" t="s">
        <v>1926</v>
      </c>
      <c r="E86" t="s">
        <v>670</v>
      </c>
    </row>
    <row r="87" spans="2:5" ht="12.75">
      <c r="B87">
        <v>1085</v>
      </c>
      <c r="C87">
        <v>450</v>
      </c>
      <c r="D87" t="s">
        <v>1926</v>
      </c>
      <c r="E87" t="s">
        <v>257</v>
      </c>
    </row>
    <row r="88" spans="2:5" ht="12.75">
      <c r="B88">
        <v>4018</v>
      </c>
      <c r="C88">
        <v>450</v>
      </c>
      <c r="D88" t="s">
        <v>552</v>
      </c>
      <c r="E88" t="s">
        <v>698</v>
      </c>
    </row>
    <row r="89" spans="2:5" ht="12.75">
      <c r="B89">
        <v>1086</v>
      </c>
      <c r="C89">
        <v>450</v>
      </c>
      <c r="D89" t="s">
        <v>1921</v>
      </c>
      <c r="E89" t="s">
        <v>317</v>
      </c>
    </row>
    <row r="90" spans="2:5" ht="12.75">
      <c r="B90">
        <v>1087</v>
      </c>
      <c r="C90">
        <v>450</v>
      </c>
      <c r="D90" t="s">
        <v>1926</v>
      </c>
      <c r="E90" t="s">
        <v>431</v>
      </c>
    </row>
    <row r="91" spans="2:5" ht="12.75">
      <c r="B91">
        <v>2000</v>
      </c>
      <c r="C91">
        <v>450</v>
      </c>
      <c r="D91" t="s">
        <v>1926</v>
      </c>
      <c r="E91" t="s">
        <v>1794</v>
      </c>
    </row>
    <row r="92" spans="2:5" ht="12.75">
      <c r="B92">
        <v>4022</v>
      </c>
      <c r="C92">
        <v>450</v>
      </c>
      <c r="D92" t="s">
        <v>451</v>
      </c>
      <c r="E92" t="s">
        <v>699</v>
      </c>
    </row>
    <row r="93" spans="2:5" ht="12.75">
      <c r="B93">
        <v>4023</v>
      </c>
      <c r="C93">
        <v>450</v>
      </c>
      <c r="D93" t="s">
        <v>1926</v>
      </c>
      <c r="E93" t="s">
        <v>700</v>
      </c>
    </row>
    <row r="94" spans="2:5" ht="12.75">
      <c r="B94">
        <v>2005</v>
      </c>
      <c r="C94">
        <v>450</v>
      </c>
      <c r="D94" t="s">
        <v>1921</v>
      </c>
      <c r="E94" t="s">
        <v>1290</v>
      </c>
    </row>
    <row r="95" spans="2:5" ht="12.75">
      <c r="B95">
        <v>4025</v>
      </c>
      <c r="C95">
        <v>450</v>
      </c>
      <c r="D95" t="s">
        <v>552</v>
      </c>
      <c r="E95" t="s">
        <v>701</v>
      </c>
    </row>
    <row r="96" spans="2:5" ht="12.75">
      <c r="B96">
        <v>2006</v>
      </c>
      <c r="C96">
        <v>450</v>
      </c>
      <c r="D96" t="s">
        <v>451</v>
      </c>
      <c r="E96" t="s">
        <v>46</v>
      </c>
    </row>
    <row r="97" spans="2:5" ht="12.75">
      <c r="B97">
        <v>2007</v>
      </c>
      <c r="C97">
        <v>450</v>
      </c>
      <c r="D97" t="s">
        <v>451</v>
      </c>
      <c r="E97" t="s">
        <v>47</v>
      </c>
    </row>
    <row r="98" spans="2:5" ht="12.75">
      <c r="B98">
        <v>2008</v>
      </c>
      <c r="C98">
        <v>450</v>
      </c>
      <c r="D98" t="s">
        <v>451</v>
      </c>
      <c r="E98" t="s">
        <v>48</v>
      </c>
    </row>
    <row r="99" spans="2:5" ht="12.75">
      <c r="B99">
        <v>2009</v>
      </c>
      <c r="C99">
        <v>450</v>
      </c>
      <c r="D99" t="s">
        <v>1921</v>
      </c>
      <c r="E99" t="s">
        <v>462</v>
      </c>
    </row>
    <row r="100" spans="2:5" ht="12.75">
      <c r="B100">
        <v>2010</v>
      </c>
      <c r="C100">
        <v>450</v>
      </c>
      <c r="D100" t="s">
        <v>497</v>
      </c>
      <c r="E100" t="s">
        <v>463</v>
      </c>
    </row>
    <row r="101" spans="2:5" ht="12.75">
      <c r="B101">
        <v>2011</v>
      </c>
      <c r="C101">
        <v>450</v>
      </c>
      <c r="D101" t="s">
        <v>451</v>
      </c>
      <c r="E101" t="s">
        <v>498</v>
      </c>
    </row>
    <row r="102" spans="2:5" ht="12.75">
      <c r="B102">
        <v>4028</v>
      </c>
      <c r="C102">
        <v>450</v>
      </c>
      <c r="D102" t="s">
        <v>1921</v>
      </c>
      <c r="E102" t="s">
        <v>702</v>
      </c>
    </row>
    <row r="103" spans="2:5" ht="12.75">
      <c r="B103">
        <v>2012</v>
      </c>
      <c r="C103">
        <v>450</v>
      </c>
      <c r="D103" t="s">
        <v>451</v>
      </c>
      <c r="E103" t="s">
        <v>649</v>
      </c>
    </row>
    <row r="104" spans="2:5" ht="12.75">
      <c r="B104">
        <v>2013</v>
      </c>
      <c r="C104">
        <v>450</v>
      </c>
      <c r="D104" t="s">
        <v>552</v>
      </c>
      <c r="E104" t="s">
        <v>342</v>
      </c>
    </row>
    <row r="105" spans="2:5" ht="12.75">
      <c r="B105">
        <v>2014</v>
      </c>
      <c r="C105">
        <v>450</v>
      </c>
      <c r="D105" t="s">
        <v>552</v>
      </c>
      <c r="E105" t="s">
        <v>1897</v>
      </c>
    </row>
    <row r="106" spans="2:5" ht="12.75">
      <c r="B106">
        <v>4029</v>
      </c>
      <c r="C106">
        <v>450</v>
      </c>
      <c r="D106" t="s">
        <v>451</v>
      </c>
      <c r="E106" t="s">
        <v>1935</v>
      </c>
    </row>
    <row r="107" spans="2:5" ht="12.75">
      <c r="B107">
        <v>2015</v>
      </c>
      <c r="C107">
        <v>450</v>
      </c>
      <c r="D107" t="s">
        <v>1921</v>
      </c>
      <c r="E107" t="s">
        <v>1898</v>
      </c>
    </row>
    <row r="108" spans="2:5" ht="12.75">
      <c r="B108">
        <v>4030</v>
      </c>
      <c r="C108">
        <v>450</v>
      </c>
      <c r="D108" t="s">
        <v>1926</v>
      </c>
      <c r="E108" t="s">
        <v>703</v>
      </c>
    </row>
    <row r="109" spans="2:5" ht="12.75">
      <c r="B109">
        <v>2016</v>
      </c>
      <c r="C109">
        <v>450</v>
      </c>
      <c r="D109" t="s">
        <v>451</v>
      </c>
      <c r="E109" t="s">
        <v>1886</v>
      </c>
    </row>
    <row r="110" spans="2:5" ht="12.75">
      <c r="B110">
        <v>2017</v>
      </c>
      <c r="C110">
        <v>450</v>
      </c>
      <c r="D110" t="s">
        <v>451</v>
      </c>
      <c r="E110" t="s">
        <v>1887</v>
      </c>
    </row>
    <row r="111" spans="2:5" ht="12.75">
      <c r="B111">
        <v>2018</v>
      </c>
      <c r="C111">
        <v>450</v>
      </c>
      <c r="D111" t="s">
        <v>451</v>
      </c>
      <c r="E111" t="s">
        <v>1888</v>
      </c>
    </row>
    <row r="112" spans="2:5" ht="12.75">
      <c r="B112">
        <v>4031</v>
      </c>
      <c r="C112">
        <v>450</v>
      </c>
      <c r="D112" t="s">
        <v>552</v>
      </c>
      <c r="E112" t="s">
        <v>704</v>
      </c>
    </row>
    <row r="113" spans="2:5" ht="12.75">
      <c r="B113">
        <v>2019</v>
      </c>
      <c r="C113">
        <v>450</v>
      </c>
      <c r="D113" t="s">
        <v>1921</v>
      </c>
      <c r="E113" t="s">
        <v>1889</v>
      </c>
    </row>
    <row r="114" spans="2:5" ht="12.75">
      <c r="B114">
        <v>2020</v>
      </c>
      <c r="C114">
        <v>450</v>
      </c>
      <c r="D114" t="s">
        <v>1926</v>
      </c>
      <c r="E114" t="s">
        <v>1890</v>
      </c>
    </row>
    <row r="115" spans="2:5" ht="12.75">
      <c r="B115">
        <v>2021</v>
      </c>
      <c r="C115">
        <v>450</v>
      </c>
      <c r="D115" t="s">
        <v>552</v>
      </c>
      <c r="E115" t="s">
        <v>1891</v>
      </c>
    </row>
    <row r="116" spans="2:5" ht="12.75">
      <c r="B116">
        <v>2022</v>
      </c>
      <c r="C116">
        <v>450</v>
      </c>
      <c r="D116" t="s">
        <v>552</v>
      </c>
      <c r="E116" t="s">
        <v>1892</v>
      </c>
    </row>
    <row r="117" spans="2:5" ht="12.75">
      <c r="B117">
        <v>2023</v>
      </c>
      <c r="C117">
        <v>450</v>
      </c>
      <c r="D117" t="s">
        <v>552</v>
      </c>
      <c r="E117" t="s">
        <v>671</v>
      </c>
    </row>
    <row r="118" spans="2:5" ht="12.75">
      <c r="B118">
        <v>2024</v>
      </c>
      <c r="C118">
        <v>450</v>
      </c>
      <c r="D118" t="s">
        <v>1921</v>
      </c>
      <c r="E118" t="s">
        <v>476</v>
      </c>
    </row>
    <row r="119" spans="2:5" ht="12.75">
      <c r="B119">
        <v>2025</v>
      </c>
      <c r="C119">
        <v>450</v>
      </c>
      <c r="D119" t="s">
        <v>497</v>
      </c>
      <c r="E119" t="s">
        <v>477</v>
      </c>
    </row>
    <row r="120" spans="2:5" ht="12.75">
      <c r="B120">
        <v>2026</v>
      </c>
      <c r="C120">
        <v>450</v>
      </c>
      <c r="D120" t="s">
        <v>451</v>
      </c>
      <c r="E120" t="s">
        <v>478</v>
      </c>
    </row>
    <row r="121" spans="2:5" ht="12.75">
      <c r="B121">
        <v>2027</v>
      </c>
      <c r="C121">
        <v>450</v>
      </c>
      <c r="D121" t="s">
        <v>451</v>
      </c>
      <c r="E121" t="s">
        <v>1936</v>
      </c>
    </row>
    <row r="122" spans="2:5" ht="12.75">
      <c r="B122">
        <v>2028</v>
      </c>
      <c r="C122">
        <v>450</v>
      </c>
      <c r="D122" t="s">
        <v>497</v>
      </c>
      <c r="E122" t="s">
        <v>479</v>
      </c>
    </row>
    <row r="123" spans="2:5" ht="12.75">
      <c r="B123">
        <v>2029</v>
      </c>
      <c r="C123">
        <v>450</v>
      </c>
      <c r="D123" t="s">
        <v>451</v>
      </c>
      <c r="E123" t="s">
        <v>590</v>
      </c>
    </row>
    <row r="124" spans="2:5" ht="12.75">
      <c r="B124">
        <v>2030</v>
      </c>
      <c r="C124">
        <v>450</v>
      </c>
      <c r="D124" t="s">
        <v>1921</v>
      </c>
      <c r="E124" t="s">
        <v>591</v>
      </c>
    </row>
    <row r="125" spans="2:5" ht="12.75">
      <c r="B125">
        <v>2031</v>
      </c>
      <c r="C125">
        <v>450</v>
      </c>
      <c r="D125" t="s">
        <v>1921</v>
      </c>
      <c r="E125" t="s">
        <v>592</v>
      </c>
    </row>
    <row r="126" spans="2:5" ht="12.75">
      <c r="B126">
        <v>2032</v>
      </c>
      <c r="C126">
        <v>450</v>
      </c>
      <c r="D126" t="s">
        <v>1926</v>
      </c>
      <c r="E126" t="s">
        <v>593</v>
      </c>
    </row>
    <row r="127" spans="2:5" ht="12.75">
      <c r="B127">
        <v>2033</v>
      </c>
      <c r="C127">
        <v>450</v>
      </c>
      <c r="D127" t="s">
        <v>1926</v>
      </c>
      <c r="E127" t="s">
        <v>1291</v>
      </c>
    </row>
    <row r="128" spans="2:5" ht="12.75">
      <c r="B128">
        <v>2034</v>
      </c>
      <c r="C128">
        <v>450</v>
      </c>
      <c r="D128" t="s">
        <v>552</v>
      </c>
      <c r="E128" t="s">
        <v>594</v>
      </c>
    </row>
    <row r="129" spans="2:5" ht="12.75">
      <c r="B129">
        <v>2035</v>
      </c>
      <c r="C129">
        <v>450</v>
      </c>
      <c r="D129" t="s">
        <v>1926</v>
      </c>
      <c r="E129" t="s">
        <v>672</v>
      </c>
    </row>
    <row r="130" spans="2:5" ht="12.75">
      <c r="B130">
        <v>2036</v>
      </c>
      <c r="C130">
        <v>450</v>
      </c>
      <c r="D130" t="s">
        <v>1926</v>
      </c>
      <c r="E130" t="s">
        <v>469</v>
      </c>
    </row>
    <row r="131" spans="2:5" ht="12.75">
      <c r="B131">
        <v>4036</v>
      </c>
      <c r="C131">
        <v>450</v>
      </c>
      <c r="D131" t="s">
        <v>1926</v>
      </c>
      <c r="E131" t="s">
        <v>705</v>
      </c>
    </row>
    <row r="132" spans="2:5" ht="12.75">
      <c r="B132">
        <v>2037</v>
      </c>
      <c r="C132">
        <v>450</v>
      </c>
      <c r="D132" t="s">
        <v>451</v>
      </c>
      <c r="E132" t="s">
        <v>595</v>
      </c>
    </row>
    <row r="133" spans="2:5" ht="12.75">
      <c r="B133">
        <v>4037</v>
      </c>
      <c r="C133">
        <v>450</v>
      </c>
      <c r="D133" t="s">
        <v>552</v>
      </c>
      <c r="E133" t="s">
        <v>1173</v>
      </c>
    </row>
    <row r="134" spans="2:5" ht="12.75">
      <c r="B134">
        <v>2039</v>
      </c>
      <c r="C134">
        <v>450</v>
      </c>
      <c r="D134" t="s">
        <v>1926</v>
      </c>
      <c r="E134" t="s">
        <v>596</v>
      </c>
    </row>
    <row r="135" spans="2:5" ht="12.75">
      <c r="B135">
        <v>2040</v>
      </c>
      <c r="C135">
        <v>450</v>
      </c>
      <c r="D135" t="s">
        <v>552</v>
      </c>
      <c r="E135" t="s">
        <v>339</v>
      </c>
    </row>
    <row r="136" spans="2:5" ht="12.75">
      <c r="B136">
        <v>4038</v>
      </c>
      <c r="C136">
        <v>450</v>
      </c>
      <c r="D136" t="s">
        <v>1921</v>
      </c>
      <c r="E136" t="s">
        <v>1174</v>
      </c>
    </row>
    <row r="137" spans="2:5" ht="12.75">
      <c r="B137">
        <v>2041</v>
      </c>
      <c r="C137">
        <v>450</v>
      </c>
      <c r="D137" t="s">
        <v>1921</v>
      </c>
      <c r="E137" t="s">
        <v>1937</v>
      </c>
    </row>
    <row r="138" spans="2:5" ht="12.75">
      <c r="B138">
        <v>2042</v>
      </c>
      <c r="C138">
        <v>450</v>
      </c>
      <c r="D138" t="s">
        <v>1921</v>
      </c>
      <c r="E138" t="s">
        <v>673</v>
      </c>
    </row>
    <row r="139" spans="2:5" ht="12.75">
      <c r="B139">
        <v>2043</v>
      </c>
      <c r="C139">
        <v>450</v>
      </c>
      <c r="D139" t="s">
        <v>451</v>
      </c>
      <c r="E139" t="s">
        <v>1292</v>
      </c>
    </row>
    <row r="140" spans="2:5" ht="12.75">
      <c r="B140">
        <v>4041</v>
      </c>
      <c r="C140">
        <v>450</v>
      </c>
      <c r="D140" t="s">
        <v>1921</v>
      </c>
      <c r="E140" t="s">
        <v>1938</v>
      </c>
    </row>
    <row r="141" spans="2:5" ht="12.75">
      <c r="B141">
        <v>2044</v>
      </c>
      <c r="C141">
        <v>450</v>
      </c>
      <c r="D141" t="s">
        <v>1921</v>
      </c>
      <c r="E141" t="s">
        <v>674</v>
      </c>
    </row>
    <row r="142" spans="2:5" ht="12.75">
      <c r="B142">
        <v>4042</v>
      </c>
      <c r="C142">
        <v>450</v>
      </c>
      <c r="D142" t="s">
        <v>451</v>
      </c>
      <c r="E142" t="s">
        <v>1175</v>
      </c>
    </row>
    <row r="143" spans="2:5" ht="12.75">
      <c r="B143">
        <v>4043</v>
      </c>
      <c r="C143">
        <v>450</v>
      </c>
      <c r="D143" t="s">
        <v>1926</v>
      </c>
      <c r="E143" t="s">
        <v>1939</v>
      </c>
    </row>
    <row r="144" spans="2:5" ht="12.75">
      <c r="B144">
        <v>2045</v>
      </c>
      <c r="C144">
        <v>450</v>
      </c>
      <c r="D144" t="s">
        <v>552</v>
      </c>
      <c r="E144" t="s">
        <v>675</v>
      </c>
    </row>
    <row r="145" spans="2:5" ht="12.75">
      <c r="B145">
        <v>2046</v>
      </c>
      <c r="C145">
        <v>450</v>
      </c>
      <c r="D145" t="s">
        <v>1921</v>
      </c>
      <c r="E145" t="s">
        <v>676</v>
      </c>
    </row>
    <row r="146" spans="2:5" ht="12.75">
      <c r="B146">
        <v>2047</v>
      </c>
      <c r="C146">
        <v>450</v>
      </c>
      <c r="D146" t="s">
        <v>451</v>
      </c>
      <c r="E146" t="s">
        <v>677</v>
      </c>
    </row>
    <row r="147" spans="2:5" ht="12.75">
      <c r="B147">
        <v>2048</v>
      </c>
      <c r="C147">
        <v>450</v>
      </c>
      <c r="D147" t="s">
        <v>1921</v>
      </c>
      <c r="E147" t="s">
        <v>678</v>
      </c>
    </row>
    <row r="148" spans="2:5" ht="12.75">
      <c r="B148">
        <v>2049</v>
      </c>
      <c r="C148">
        <v>450</v>
      </c>
      <c r="D148" t="s">
        <v>497</v>
      </c>
      <c r="E148" t="s">
        <v>679</v>
      </c>
    </row>
    <row r="149" spans="2:5" ht="12.75">
      <c r="B149">
        <v>2050</v>
      </c>
      <c r="C149">
        <v>450</v>
      </c>
      <c r="D149" t="s">
        <v>1926</v>
      </c>
      <c r="E149" t="s">
        <v>680</v>
      </c>
    </row>
    <row r="150" spans="2:5" ht="12.75">
      <c r="B150">
        <v>4044</v>
      </c>
      <c r="C150">
        <v>450</v>
      </c>
      <c r="D150" t="s">
        <v>552</v>
      </c>
      <c r="E150" t="s">
        <v>1176</v>
      </c>
    </row>
    <row r="151" spans="2:5" ht="12.75">
      <c r="B151">
        <v>4045</v>
      </c>
      <c r="C151">
        <v>450</v>
      </c>
      <c r="D151" t="s">
        <v>552</v>
      </c>
      <c r="E151" t="s">
        <v>1177</v>
      </c>
    </row>
    <row r="152" spans="2:5" ht="12.75">
      <c r="B152">
        <v>3001</v>
      </c>
      <c r="C152">
        <v>450</v>
      </c>
      <c r="D152" t="s">
        <v>451</v>
      </c>
      <c r="E152" t="s">
        <v>687</v>
      </c>
    </row>
    <row r="153" spans="2:5" ht="12.75">
      <c r="B153">
        <v>3002</v>
      </c>
      <c r="C153">
        <v>450</v>
      </c>
      <c r="D153" t="s">
        <v>1926</v>
      </c>
      <c r="E153" t="s">
        <v>1293</v>
      </c>
    </row>
    <row r="154" spans="2:5" ht="12.75">
      <c r="B154">
        <v>3003</v>
      </c>
      <c r="C154">
        <v>450</v>
      </c>
      <c r="D154" t="s">
        <v>1926</v>
      </c>
      <c r="E154" t="s">
        <v>688</v>
      </c>
    </row>
    <row r="155" spans="2:5" ht="12.75">
      <c r="B155">
        <v>3007</v>
      </c>
      <c r="C155">
        <v>450</v>
      </c>
      <c r="D155" t="s">
        <v>1926</v>
      </c>
      <c r="E155" t="s">
        <v>689</v>
      </c>
    </row>
    <row r="156" spans="2:5" ht="12.75">
      <c r="B156">
        <v>3009</v>
      </c>
      <c r="C156">
        <v>450</v>
      </c>
      <c r="D156" t="s">
        <v>497</v>
      </c>
      <c r="E156" t="s">
        <v>690</v>
      </c>
    </row>
    <row r="157" spans="2:5" ht="12.75">
      <c r="B157">
        <v>3010</v>
      </c>
      <c r="C157">
        <v>450</v>
      </c>
      <c r="D157" t="s">
        <v>1921</v>
      </c>
      <c r="E157" t="s">
        <v>691</v>
      </c>
    </row>
    <row r="158" spans="2:5" ht="12.75">
      <c r="B158">
        <v>3011</v>
      </c>
      <c r="C158">
        <v>450</v>
      </c>
      <c r="D158" t="s">
        <v>1921</v>
      </c>
      <c r="E158" t="s">
        <v>1940</v>
      </c>
    </row>
    <row r="159" spans="2:5" ht="12.75">
      <c r="B159">
        <v>3012</v>
      </c>
      <c r="C159">
        <v>450</v>
      </c>
      <c r="D159" t="s">
        <v>1926</v>
      </c>
      <c r="E159" t="s">
        <v>1941</v>
      </c>
    </row>
    <row r="160" spans="2:5" ht="12.75">
      <c r="B160">
        <v>4000</v>
      </c>
      <c r="C160">
        <v>450</v>
      </c>
      <c r="D160" t="s">
        <v>451</v>
      </c>
      <c r="E160" t="s">
        <v>692</v>
      </c>
    </row>
    <row r="161" spans="2:5" ht="12.75">
      <c r="B161">
        <v>4001</v>
      </c>
      <c r="C161">
        <v>450</v>
      </c>
      <c r="D161" t="s">
        <v>1926</v>
      </c>
      <c r="E161" t="s">
        <v>693</v>
      </c>
    </row>
    <row r="162" spans="2:5" ht="12.75">
      <c r="B162">
        <v>4048</v>
      </c>
      <c r="C162">
        <v>450</v>
      </c>
      <c r="D162" t="s">
        <v>1921</v>
      </c>
      <c r="E162" t="s">
        <v>1178</v>
      </c>
    </row>
    <row r="163" spans="2:5" ht="12.75">
      <c r="B163">
        <v>4049</v>
      </c>
      <c r="C163">
        <v>450</v>
      </c>
      <c r="D163" t="s">
        <v>451</v>
      </c>
      <c r="E163" t="s">
        <v>1942</v>
      </c>
    </row>
    <row r="164" spans="2:5" ht="12.75">
      <c r="B164">
        <v>4050</v>
      </c>
      <c r="C164">
        <v>450</v>
      </c>
      <c r="D164" t="s">
        <v>1926</v>
      </c>
      <c r="E164" t="s">
        <v>1179</v>
      </c>
    </row>
    <row r="165" spans="2:5" ht="12.75">
      <c r="B165">
        <v>4051</v>
      </c>
      <c r="C165">
        <v>450</v>
      </c>
      <c r="D165" t="s">
        <v>552</v>
      </c>
      <c r="E165" t="s">
        <v>1180</v>
      </c>
    </row>
    <row r="166" spans="2:5" ht="12.75">
      <c r="B166">
        <v>4052</v>
      </c>
      <c r="C166">
        <v>450</v>
      </c>
      <c r="D166" t="s">
        <v>552</v>
      </c>
      <c r="E166" t="s">
        <v>1181</v>
      </c>
    </row>
    <row r="167" spans="2:5" ht="12.75">
      <c r="B167">
        <v>4053</v>
      </c>
      <c r="C167">
        <v>450</v>
      </c>
      <c r="D167" t="s">
        <v>497</v>
      </c>
      <c r="E167" t="s">
        <v>1182</v>
      </c>
    </row>
    <row r="168" spans="2:5" ht="12.75">
      <c r="B168">
        <v>4054</v>
      </c>
      <c r="C168">
        <v>450</v>
      </c>
      <c r="D168" t="s">
        <v>1921</v>
      </c>
      <c r="E168" t="s">
        <v>1183</v>
      </c>
    </row>
    <row r="169" spans="2:5" ht="12.75">
      <c r="B169">
        <v>4055</v>
      </c>
      <c r="C169">
        <v>450</v>
      </c>
      <c r="D169" t="s">
        <v>451</v>
      </c>
      <c r="E169" t="s">
        <v>1184</v>
      </c>
    </row>
    <row r="170" spans="2:5" ht="12.75">
      <c r="B170">
        <v>4056</v>
      </c>
      <c r="C170">
        <v>450</v>
      </c>
      <c r="D170" t="s">
        <v>1926</v>
      </c>
      <c r="E170" t="s">
        <v>1185</v>
      </c>
    </row>
    <row r="171" spans="2:5" ht="12.75">
      <c r="B171">
        <v>4057</v>
      </c>
      <c r="C171">
        <v>450</v>
      </c>
      <c r="D171" t="s">
        <v>552</v>
      </c>
      <c r="E171" t="s">
        <v>1186</v>
      </c>
    </row>
    <row r="172" spans="2:5" ht="12.75">
      <c r="B172">
        <v>4058</v>
      </c>
      <c r="C172">
        <v>450</v>
      </c>
      <c r="D172" t="s">
        <v>552</v>
      </c>
      <c r="E172" t="s">
        <v>1294</v>
      </c>
    </row>
    <row r="173" spans="2:5" ht="12.75">
      <c r="B173">
        <v>4059</v>
      </c>
      <c r="C173">
        <v>450</v>
      </c>
      <c r="D173" t="s">
        <v>497</v>
      </c>
      <c r="E173" t="s">
        <v>1187</v>
      </c>
    </row>
    <row r="174" spans="2:5" ht="12.75">
      <c r="B174">
        <v>4060</v>
      </c>
      <c r="C174">
        <v>450</v>
      </c>
      <c r="D174" t="s">
        <v>1921</v>
      </c>
      <c r="E174" t="s">
        <v>1188</v>
      </c>
    </row>
    <row r="175" spans="2:5" ht="12.75">
      <c r="B175">
        <v>4061</v>
      </c>
      <c r="C175">
        <v>450</v>
      </c>
      <c r="D175" t="s">
        <v>451</v>
      </c>
      <c r="E175" t="s">
        <v>1189</v>
      </c>
    </row>
    <row r="176" spans="2:5" ht="12.75">
      <c r="B176">
        <v>4063</v>
      </c>
      <c r="C176">
        <v>450</v>
      </c>
      <c r="D176" t="s">
        <v>552</v>
      </c>
      <c r="E176" t="s">
        <v>1190</v>
      </c>
    </row>
    <row r="177" spans="2:5" ht="12.75">
      <c r="B177">
        <v>4065</v>
      </c>
      <c r="C177">
        <v>450</v>
      </c>
      <c r="D177" t="s">
        <v>552</v>
      </c>
      <c r="E177" t="s">
        <v>1191</v>
      </c>
    </row>
    <row r="178" spans="2:5" ht="12.75">
      <c r="B178">
        <v>4066</v>
      </c>
      <c r="C178">
        <v>450</v>
      </c>
      <c r="D178" t="s">
        <v>497</v>
      </c>
      <c r="E178" t="s">
        <v>1192</v>
      </c>
    </row>
    <row r="179" spans="2:5" ht="12.75">
      <c r="B179">
        <v>4067</v>
      </c>
      <c r="C179">
        <v>450</v>
      </c>
      <c r="D179" t="s">
        <v>1921</v>
      </c>
      <c r="E179" t="s">
        <v>1193</v>
      </c>
    </row>
    <row r="180" spans="2:5" ht="12.75">
      <c r="B180">
        <v>4068</v>
      </c>
      <c r="C180">
        <v>450</v>
      </c>
      <c r="D180" t="s">
        <v>451</v>
      </c>
      <c r="E180" t="s">
        <v>1194</v>
      </c>
    </row>
    <row r="181" spans="2:5" ht="12.75">
      <c r="B181">
        <v>4069</v>
      </c>
      <c r="C181">
        <v>450</v>
      </c>
      <c r="D181" t="s">
        <v>1926</v>
      </c>
      <c r="E181" t="s">
        <v>1195</v>
      </c>
    </row>
    <row r="182" spans="2:5" ht="12.75">
      <c r="B182">
        <v>4070</v>
      </c>
      <c r="C182">
        <v>450</v>
      </c>
      <c r="D182" t="s">
        <v>552</v>
      </c>
      <c r="E182" t="s">
        <v>1196</v>
      </c>
    </row>
    <row r="183" spans="2:5" ht="12.75">
      <c r="B183">
        <v>4071</v>
      </c>
      <c r="C183">
        <v>450</v>
      </c>
      <c r="D183" t="s">
        <v>552</v>
      </c>
      <c r="E183" t="s">
        <v>1197</v>
      </c>
    </row>
    <row r="184" spans="2:5" ht="12.75">
      <c r="B184">
        <v>4072</v>
      </c>
      <c r="C184">
        <v>450</v>
      </c>
      <c r="D184" t="s">
        <v>497</v>
      </c>
      <c r="E184" t="s">
        <v>1198</v>
      </c>
    </row>
    <row r="185" spans="2:5" ht="12.75">
      <c r="B185">
        <v>4074</v>
      </c>
      <c r="C185">
        <v>450</v>
      </c>
      <c r="D185" t="s">
        <v>451</v>
      </c>
      <c r="E185" t="s">
        <v>1199</v>
      </c>
    </row>
    <row r="186" spans="2:5" ht="12.75">
      <c r="B186">
        <v>4075</v>
      </c>
      <c r="C186">
        <v>450</v>
      </c>
      <c r="D186" t="s">
        <v>1926</v>
      </c>
      <c r="E186" t="s">
        <v>1200</v>
      </c>
    </row>
    <row r="187" spans="2:5" ht="12.75">
      <c r="B187">
        <v>4076</v>
      </c>
      <c r="C187">
        <v>450</v>
      </c>
      <c r="D187" t="s">
        <v>552</v>
      </c>
      <c r="E187" t="s">
        <v>1201</v>
      </c>
    </row>
    <row r="188" spans="2:5" ht="12.75">
      <c r="B188">
        <v>4078</v>
      </c>
      <c r="C188">
        <v>450</v>
      </c>
      <c r="D188" t="s">
        <v>497</v>
      </c>
      <c r="E188" t="s">
        <v>1202</v>
      </c>
    </row>
    <row r="189" spans="2:5" ht="12.75">
      <c r="B189">
        <v>4079</v>
      </c>
      <c r="C189">
        <v>450</v>
      </c>
      <c r="D189" t="s">
        <v>1921</v>
      </c>
      <c r="E189" t="s">
        <v>1203</v>
      </c>
    </row>
    <row r="190" spans="2:5" ht="12.75">
      <c r="B190">
        <v>4080</v>
      </c>
      <c r="C190">
        <v>450</v>
      </c>
      <c r="D190" t="s">
        <v>451</v>
      </c>
      <c r="E190" t="s">
        <v>1204</v>
      </c>
    </row>
    <row r="191" spans="2:5" ht="12.75">
      <c r="B191">
        <v>4081</v>
      </c>
      <c r="C191">
        <v>450</v>
      </c>
      <c r="D191" t="s">
        <v>552</v>
      </c>
      <c r="E191" t="s">
        <v>1205</v>
      </c>
    </row>
    <row r="192" spans="2:5" ht="12.75">
      <c r="B192">
        <v>1088</v>
      </c>
      <c r="C192">
        <v>450</v>
      </c>
      <c r="D192" t="s">
        <v>1926</v>
      </c>
      <c r="E192" t="s">
        <v>1943</v>
      </c>
    </row>
    <row r="193" spans="2:5" ht="12.75">
      <c r="B193">
        <v>1089</v>
      </c>
      <c r="C193">
        <v>450</v>
      </c>
      <c r="D193" t="s">
        <v>497</v>
      </c>
      <c r="E193" t="s">
        <v>1295</v>
      </c>
    </row>
    <row r="194" spans="2:5" ht="12.75">
      <c r="B194">
        <v>1090</v>
      </c>
      <c r="C194">
        <v>450</v>
      </c>
      <c r="D194" t="s">
        <v>497</v>
      </c>
      <c r="E194" t="s">
        <v>1944</v>
      </c>
    </row>
    <row r="195" spans="2:5" ht="12.75">
      <c r="B195">
        <v>1091</v>
      </c>
      <c r="C195">
        <v>450</v>
      </c>
      <c r="D195" t="s">
        <v>1926</v>
      </c>
      <c r="E195" t="s">
        <v>1945</v>
      </c>
    </row>
    <row r="196" spans="2:5" ht="12.75">
      <c r="B196">
        <v>1092</v>
      </c>
      <c r="C196">
        <v>450</v>
      </c>
      <c r="D196" t="s">
        <v>1921</v>
      </c>
      <c r="E196" t="s">
        <v>1946</v>
      </c>
    </row>
    <row r="197" spans="2:5" ht="12.75">
      <c r="B197">
        <v>4082</v>
      </c>
      <c r="C197">
        <v>450</v>
      </c>
      <c r="D197" t="s">
        <v>497</v>
      </c>
      <c r="E197" t="s">
        <v>1296</v>
      </c>
    </row>
    <row r="198" spans="2:5" ht="12.75">
      <c r="B198">
        <v>4083</v>
      </c>
      <c r="C198">
        <v>450</v>
      </c>
      <c r="D198" t="s">
        <v>1926</v>
      </c>
      <c r="E198" t="s">
        <v>1297</v>
      </c>
    </row>
    <row r="199" spans="2:5" ht="12.75">
      <c r="B199">
        <v>9999</v>
      </c>
      <c r="C199">
        <v>450</v>
      </c>
      <c r="E199" t="s">
        <v>1298</v>
      </c>
    </row>
    <row r="238" ht="12.75">
      <c r="A238" s="1"/>
    </row>
    <row r="239" ht="12.75">
      <c r="A239" s="1"/>
    </row>
    <row r="240" ht="12.75">
      <c r="A240" s="1"/>
    </row>
    <row r="241" ht="12.75">
      <c r="A241" s="1"/>
    </row>
    <row r="242" ht="12.75">
      <c r="A242" s="1"/>
    </row>
    <row r="243" ht="12.75">
      <c r="A243" s="1"/>
    </row>
  </sheetData>
  <sheetProtection password="9487"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 Booden</cp:lastModifiedBy>
  <cp:lastPrinted>2009-07-06T07:09:51Z</cp:lastPrinted>
  <dcterms:created xsi:type="dcterms:W3CDTF">2001-02-19T07:46:38Z</dcterms:created>
  <dcterms:modified xsi:type="dcterms:W3CDTF">2009-07-06T07:31:59Z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THRFR6N5WDQ4-17-3187</vt:lpwstr>
  </property>
  <property fmtid="{D5CDD505-2E9C-101B-9397-08002B2CF9AE}" pid="3" name="_dlc_DocIdItemGuid">
    <vt:lpwstr>24a9252d-19e9-48ec-ad5d-0dab69fc3adb</vt:lpwstr>
  </property>
  <property fmtid="{D5CDD505-2E9C-101B-9397-08002B2CF9AE}" pid="4" name="_dlc_DocIdUrl">
    <vt:lpwstr>http://kennisnet.nza.nl/publicaties/Aanleveren/_layouts/DocIdRedir.aspx?ID=THRFR6N5WDQ4-17-3187, THRFR6N5WDQ4-17-3187</vt:lpwstr>
  </property>
  <property fmtid="{D5CDD505-2E9C-101B-9397-08002B2CF9AE}" pid="5" name="WorkflowChangePath">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6" name="NZa-zoekwoordenMetadata">
    <vt:lpwstr/>
  </property>
  <property fmtid="{D5CDD505-2E9C-101B-9397-08002B2CF9AE}" pid="7" name="Sector(en)Metadata">
    <vt:lpwstr>Alle:Ziekenhuiszorg|1a957709-959b-40c0-9640-61f1bd5d07a0</vt:lpwstr>
  </property>
  <property fmtid="{D5CDD505-2E9C-101B-9397-08002B2CF9AE}" pid="8" name="VerzondenAanMetadata">
    <vt:lpwstr/>
  </property>
  <property fmtid="{D5CDD505-2E9C-101B-9397-08002B2CF9AE}" pid="9" name="DocumentTypeMetadata">
    <vt:lpwstr>Regels:Formulier|4bc40415-667d-4fea-816d-9688ca6ffa69</vt:lpwstr>
  </property>
  <property fmtid="{D5CDD505-2E9C-101B-9397-08002B2CF9AE}" pid="10" name="ExtraZoekwoordenMetadata">
    <vt:lpwstr/>
  </property>
  <property fmtid="{D5CDD505-2E9C-101B-9397-08002B2CF9AE}" pid="11" name="j85cec29e8c24b8a90feb8db203ff7e2">
    <vt:lpwstr>Ziekenhuiszorg|1a957709-959b-40c0-9640-61f1bd5d07a0</vt:lpwstr>
  </property>
  <property fmtid="{D5CDD505-2E9C-101B-9397-08002B2CF9AE}" pid="12" name="DocumentTypen">
    <vt:lpwstr>103;#Formulier|4bc40415-667d-4fea-816d-9688ca6ffa69</vt:lpwstr>
  </property>
  <property fmtid="{D5CDD505-2E9C-101B-9397-08002B2CF9AE}" pid="13" name="DocumentType">
    <vt:lpwstr/>
  </property>
  <property fmtid="{D5CDD505-2E9C-101B-9397-08002B2CF9AE}" pid="14" name="Sector(en)">
    <vt:lpwstr>134;#Ziekenhuiszorg|1a957709-959b-40c0-9640-61f1bd5d07a0</vt:lpwstr>
  </property>
  <property fmtid="{D5CDD505-2E9C-101B-9397-08002B2CF9AE}" pid="15" name="NZa-zoekwoorden">
    <vt:lpwstr/>
  </property>
  <property fmtid="{D5CDD505-2E9C-101B-9397-08002B2CF9AE}" pid="16" name="ff74c6b610ef44f49114c43de1676156">
    <vt:lpwstr/>
  </property>
  <property fmtid="{D5CDD505-2E9C-101B-9397-08002B2CF9AE}" pid="17" name="n407de7a4204433984b2eeeaba786d56">
    <vt:lpwstr/>
  </property>
  <property fmtid="{D5CDD505-2E9C-101B-9397-08002B2CF9AE}" pid="18" name="Extra zoekwoorden">
    <vt:lpwstr/>
  </property>
  <property fmtid="{D5CDD505-2E9C-101B-9397-08002B2CF9AE}" pid="19" name="l24ea505ea8d4be1bd84e8204c620c6c">
    <vt:lpwstr/>
  </property>
  <property fmtid="{D5CDD505-2E9C-101B-9397-08002B2CF9AE}" pid="20" name="me0f0aaf77cd4640acf557f58a1d2cc0">
    <vt:lpwstr>Formulier|4bc40415-667d-4fea-816d-9688ca6ffa69</vt:lpwstr>
  </property>
  <property fmtid="{D5CDD505-2E9C-101B-9397-08002B2CF9AE}" pid="21" name="TaxCatchAll">
    <vt:lpwstr>103;#Formulier|4bc40415-667d-4fea-816d-9688ca6ffa69;#134;#Ziekenhuiszorg|1a957709-959b-40c0-9640-61f1bd5d07a0</vt:lpwstr>
  </property>
</Properties>
</file>