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activeTab="0"/>
  </bookViews>
  <sheets>
    <sheet name="Rentecalc." sheetId="1" r:id="rId1"/>
    <sheet name="Inhoud" sheetId="2" r:id="rId2"/>
    <sheet name="instructie" sheetId="3" r:id="rId3"/>
    <sheet name="A-E" sheetId="4" r:id="rId4"/>
    <sheet name="F" sheetId="5" r:id="rId5"/>
    <sheet name="G-H" sheetId="6" r:id="rId6"/>
  </sheets>
  <externalReferences>
    <externalReference r:id="rId9"/>
  </externalReferences>
  <definedNames>
    <definedName name="__123Graph_C" hidden="1">'[1]I_03007'!#REF!</definedName>
    <definedName name="__123Graph_D" hidden="1">'[1]I_03007'!#REF!</definedName>
    <definedName name="__123Graph_E" hidden="1">'[1]I_03007'!#REF!</definedName>
    <definedName name="__123Graph_Z" hidden="1">'[1]I_03007'!#REF!</definedName>
    <definedName name="_Order1" hidden="1">255</definedName>
    <definedName name="_Order2" hidden="1">255</definedName>
    <definedName name="_xlnm.Print_Area" localSheetId="3">'A-E'!$A$1:$G$122</definedName>
    <definedName name="_xlnm.Print_Area" localSheetId="4">'F'!$A$1:$T$81</definedName>
    <definedName name="_xlnm.Print_Area" localSheetId="5">'G-H'!$A$1:$E$37</definedName>
    <definedName name="_xlnm.Print_Area" localSheetId="1">'Inhoud'!$A$1:$H$32</definedName>
    <definedName name="_xlnm.Print_Area" localSheetId="2">'instructie'!$A$1:$E$66</definedName>
    <definedName name="_xlnm.Print_Area" localSheetId="0">'Rentecalc.'!$A$1:$J$38</definedName>
    <definedName name="Afdruktitels_MI">'[1]I_03007'!$1:$5</definedName>
    <definedName name="Expl_">'[1]I_03007'!#REF!</definedName>
    <definedName name="Expl_522">'[1]I_03007'!#REF!</definedName>
    <definedName name="Expl_523">'[1]I_03007'!#REF!</definedName>
    <definedName name="Expl_524">'[1]I_03007'!#REF!</definedName>
    <definedName name="Expl_525">'[1]I_03007'!#REF!</definedName>
    <definedName name="Expl_526">'[1]I_03007'!#REF!</definedName>
    <definedName name="getal_data">#REF!</definedName>
    <definedName name="kolom_data">#REF!</definedName>
    <definedName name="naam">#REF!</definedName>
    <definedName name="tabblad">#REF!</definedName>
    <definedName name="totaal1996">'[1]I_03007'!$A$4:$D$43</definedName>
    <definedName name="totaal1997">'[1]I_03007'!$A$46:$D$85</definedName>
    <definedName name="totaal1998">'[1]I_03007'!$A$88:$D$127</definedName>
    <definedName name="totaal1999">'[1]I_03007'!$A$130:$D$169</definedName>
    <definedName name="totaal2000">'[1]I_03007'!$A$172:$D$211</definedName>
    <definedName name="Z_60683067_AF12_11D4_9642_08005ACCD915_.wvu.PrintArea" localSheetId="3" hidden="1">'A-E'!$A:$XFD</definedName>
    <definedName name="Z_60683067_AF12_11D4_9642_08005ACCD915_.wvu.PrintArea" localSheetId="4" hidden="1">'F'!$A:$XFD</definedName>
    <definedName name="Z_60683067_AF12_11D4_9642_08005ACCD915_.wvu.PrintArea" localSheetId="5" hidden="1">'G-H'!$A:$XFD</definedName>
    <definedName name="Z_60683067_AF12_11D4_9642_08005ACCD915_.wvu.PrintTitles" localSheetId="0" hidden="1">'Rentecalc.'!#REF!</definedName>
    <definedName name="Z_60683068_AF12_11D4_9642_08005ACCD915_.wvu.PrintTitles" localSheetId="3" hidden="1">'A-E'!#REF!</definedName>
    <definedName name="Z_60683068_AF12_11D4_9642_08005ACCD915_.wvu.PrintTitles" localSheetId="4" hidden="1">'F'!#REF!</definedName>
    <definedName name="Z_60683068_AF12_11D4_9642_08005ACCD915_.wvu.PrintTitles" localSheetId="5" hidden="1">'G-H'!#REF!</definedName>
    <definedName name="Z_60683068_AF12_11D4_9642_08005ACCD915_.wvu.PrintTitles" localSheetId="1" hidden="1">'Inhoud'!$2:$2</definedName>
    <definedName name="Z_60683068_AF12_11D4_9642_08005ACCD915_.wvu.PrintTitles" localSheetId="2" hidden="1">'instructie'!#REF!</definedName>
    <definedName name="Z_60683068_AF12_11D4_9642_08005ACCD915_.wvu.PrintTitles" localSheetId="0" hidden="1">'Rentecalc.'!#REF!</definedName>
    <definedName name="Z_60683068_AF12_11D4_9642_08005ACCD915_.wvu.Rows" localSheetId="1" hidden="1">'Inhoud'!#REF!,'Inhoud'!#REF!,'Inhoud'!#REF!</definedName>
    <definedName name="Z_60683068_AF12_11D4_9642_08005ACCD915_.wvu.Rows" localSheetId="2" hidden="1">'instructie'!#REF!,'instructie'!#REF!,'instructie'!#REF!</definedName>
    <definedName name="Z_60683068_AF12_11D4_9642_08005ACCD915_.wvu.Rows" localSheetId="0" hidden="1">'Rentecalc.'!#REF!,'Rentecalc.'!#REF!,'Rentecalc.'!#REF!,'Rentecalc.'!#REF!</definedName>
  </definedNames>
  <calcPr fullCalcOnLoad="1"/>
</workbook>
</file>

<file path=xl/sharedStrings.xml><?xml version="1.0" encoding="utf-8"?>
<sst xmlns="http://schemas.openxmlformats.org/spreadsheetml/2006/main" count="180" uniqueCount="165">
  <si>
    <t xml:space="preserve">Normatieve </t>
  </si>
  <si>
    <t xml:space="preserve">afschrijvingen* </t>
  </si>
  <si>
    <t xml:space="preserve">boekwaarde </t>
  </si>
  <si>
    <t>Einddatum</t>
  </si>
  <si>
    <t>Werk.</t>
  </si>
  <si>
    <t>Norm.</t>
  </si>
  <si>
    <t>N,W,</t>
  </si>
  <si>
    <t>of V</t>
  </si>
  <si>
    <t>rentebedrag</t>
  </si>
  <si>
    <t>Aanvaardbaar</t>
  </si>
  <si>
    <t>Algemeen</t>
  </si>
  <si>
    <t>4. Nadat de periode, waarin voor de berekening van de aanvaardbare rentekosten werd uitgegaan van het rentepercentage van de oude lening is verstreken, dient u in de kolom 'einddatum rentevastperiode' de einddatum van de vervangende lening te vermelden en in de kolom '%werkelijk' het werkelijke rentepercentage van de vervangende lening.</t>
  </si>
  <si>
    <t xml:space="preserve">5. In de kolom 'N, W of V' moet een 'W' worden vermeld voor bestaande leningen waarvoor de werkelijke rentekosten aanvaardbaar zijn.  U vermeldt een 'V' als sprake is van een na 31 december 2000 afgesloten lening waarvoor een normrente is vastgesteld en die in de plaats komt van een vervroegd afgeloste lening. U vermeldt een 'N' wanneer voor de lening een normatief percentage is vastgesteld en er geen sprake is van vervanging van een vervroegd afgeloste lening. </t>
  </si>
  <si>
    <t>7. Nieuwe leningen kunt u in dit overzicht opnemen door de storting te verwerken als een negatieve aflossing. Als op de nieuwe lening in hetzelfde jaar nog wordt afgelost, kunnen deze aflossingen op de volgende regel apart worden verwerkt.</t>
  </si>
  <si>
    <t>²</t>
  </si>
  <si>
    <t>Berekende</t>
  </si>
  <si>
    <t xml:space="preserve">rente </t>
  </si>
  <si>
    <t>Normatief</t>
  </si>
  <si>
    <t>Rentekosten langlopende leningen</t>
  </si>
  <si>
    <t>Afschrijving op tot en met 2000 betaalde boeterente van conversies (berekening bijvoegen)</t>
  </si>
  <si>
    <t xml:space="preserve">Gewogen schuld per periode (1 januari-data aflossingen-31 december) </t>
  </si>
  <si>
    <t>normrente</t>
  </si>
  <si>
    <t>schuld</t>
  </si>
  <si>
    <t>rentevastper.</t>
  </si>
  <si>
    <t>Pag.</t>
  </si>
  <si>
    <t>Werkelijke boekwaarde instandhoudingsinvesteringen (inclusief onderhanden werk)</t>
  </si>
  <si>
    <t>BIJLAGEN BIJ CALCULATIEMODEL RENTEKOSTEN</t>
  </si>
  <si>
    <t>Bijlagen bij calculatiemodel rentekosten</t>
  </si>
  <si>
    <t>Cirkelredenering</t>
  </si>
  <si>
    <t>Percentages ten behoeve van berekening rentekosten</t>
  </si>
  <si>
    <t>Berekening gewogen schuld en rentekosten</t>
  </si>
  <si>
    <t>Eigen vermogen RIAGG</t>
  </si>
  <si>
    <t>Eigen vermogen RIBW</t>
  </si>
  <si>
    <t>Correctiebedrag tbv aansluiting ak conform jaarrekening en ak conform nacalculatieformulier</t>
  </si>
  <si>
    <t>*) Inclusief niet collectief gefinancierd eigen vermogen behorend bij het bedrijfsonderdeel waar deze nacalculatie betrekking op heeft.</t>
  </si>
  <si>
    <t>Registratienummer NZa</t>
  </si>
  <si>
    <t>2. Het elektronische formulier is beveiligd met een wachtwoord. Dit betekent dat in het formulier geen veranderingen kunnen worden aangebracht.</t>
  </si>
  <si>
    <t>1. Dit formulier is van toepassing voor GGZ-instellingen waarvan de kapitaalslasten nagecalculeerd worden. Zelfstandige RIAGG's, RIBW's en PAAZ-en behoeven dit formulier niet in te vullen.</t>
  </si>
  <si>
    <r>
      <t>1</t>
    </r>
    <r>
      <rPr>
        <sz val="8"/>
        <rFont val="Verdana"/>
        <family val="2"/>
      </rPr>
      <t xml:space="preserve"> De voor het jaar geldende gemiddelde normatieve rentevoet wordt na afloop van het jaar door de NZa berekend en gepubliceerd. </t>
    </r>
  </si>
  <si>
    <t>Deze normatieve rentevoet is te vinden op de de website van de NZa (www.nza.nl), onder rentenormering -&gt; korte rente.</t>
  </si>
  <si>
    <r>
      <t>2</t>
    </r>
    <r>
      <rPr>
        <sz val="8"/>
        <rFont val="Verdana"/>
        <family val="2"/>
      </rPr>
      <t xml:space="preserve"> De inflatievergoeding over het eigen vermogen is gelijk aan de prijsstijging voor de materiële kosten.</t>
    </r>
  </si>
  <si>
    <t>Vrije regel voor annuïteitenleningen conform separate specificatie</t>
  </si>
  <si>
    <t>(Fictief) leningbedrag met betrekking tot huur/leasing van inventarissen</t>
  </si>
  <si>
    <t>Jaar van de nacalculatie</t>
  </si>
  <si>
    <t>Afschrijving *</t>
  </si>
  <si>
    <r>
      <t xml:space="preserve">rentebedrag </t>
    </r>
    <r>
      <rPr>
        <b/>
        <vertAlign val="superscript"/>
        <sz val="8"/>
        <rFont val="Verdana"/>
        <family val="2"/>
      </rPr>
      <t>1</t>
    </r>
  </si>
  <si>
    <r>
      <t xml:space="preserve">Normatieve rentepercentage kort krediet </t>
    </r>
    <r>
      <rPr>
        <vertAlign val="superscript"/>
        <sz val="9"/>
        <rFont val="Verdana"/>
        <family val="2"/>
      </rPr>
      <t>1</t>
    </r>
  </si>
  <si>
    <r>
      <t xml:space="preserve">Inflatievergoeding over eigen vermogen </t>
    </r>
    <r>
      <rPr>
        <vertAlign val="superscript"/>
        <sz val="9"/>
        <rFont val="Verdana"/>
        <family val="2"/>
      </rPr>
      <t>2</t>
    </r>
  </si>
  <si>
    <t>Te verklaren verschillen ¹</t>
  </si>
  <si>
    <t xml:space="preserve">Langlopende leningen (incl. langlopende leasecontracten) </t>
  </si>
  <si>
    <t>1) Voor oude leningen (w) in de kolom "aanvaardbaar rentebedrag" het werkelijke rentebedrag vermelden</t>
  </si>
  <si>
    <t>Is de instelling een PAAZ of een zelfstandige RIAGG / RIBW (beantwoorden met ja of nee)</t>
  </si>
  <si>
    <t>Mutaties januari</t>
  </si>
  <si>
    <t>Mutaties februari</t>
  </si>
  <si>
    <t>Mutaties maart</t>
  </si>
  <si>
    <t>Mutaties april</t>
  </si>
  <si>
    <t>Mutaties mei</t>
  </si>
  <si>
    <t>Mutaties juni</t>
  </si>
  <si>
    <t>Mutaties juli</t>
  </si>
  <si>
    <t>Mutaties augustus</t>
  </si>
  <si>
    <t>Mutaties september</t>
  </si>
  <si>
    <t>Mutaties oktober</t>
  </si>
  <si>
    <t>Mutaties november</t>
  </si>
  <si>
    <t>Mutaties december</t>
  </si>
  <si>
    <t>Factor kolom 1</t>
  </si>
  <si>
    <t>Factor kolom 2</t>
  </si>
  <si>
    <t>Gefactureerd in januari</t>
  </si>
  <si>
    <t>Gefactureerd in februari</t>
  </si>
  <si>
    <t>Gefactureerd in maart</t>
  </si>
  <si>
    <t>Gefactureerd in april</t>
  </si>
  <si>
    <t>Gefactureerd in mei</t>
  </si>
  <si>
    <t>Gefactureerd in juni</t>
  </si>
  <si>
    <t>Gefactureerd in juli</t>
  </si>
  <si>
    <t>Gefactureerd in augustus</t>
  </si>
  <si>
    <t>Gefactureerd in september</t>
  </si>
  <si>
    <t>Gefactureerd in oktober</t>
  </si>
  <si>
    <t>Gefactureerd in november</t>
  </si>
  <si>
    <t>Gefactureerd in december</t>
  </si>
  <si>
    <t>In aanvaardbare kosten te verwerken rentekosten</t>
  </si>
  <si>
    <t>E.</t>
  </si>
  <si>
    <t>Uitgevoerd en gefactureerd in januari</t>
  </si>
  <si>
    <t>Uitgevoerd en gefactureerd in februari</t>
  </si>
  <si>
    <t>Uitgevoerd en gefactureerd in maart</t>
  </si>
  <si>
    <t>Uitgevoerd en gefactureerd in april</t>
  </si>
  <si>
    <t>Uitgevoerd en gefactureerd in mei</t>
  </si>
  <si>
    <t>Uitgevoerd en gefactureerd in juni</t>
  </si>
  <si>
    <t>Uitgevoerd en gefactureerd in juli</t>
  </si>
  <si>
    <t>Uitgevoerd en gefactureerd in augustus</t>
  </si>
  <si>
    <t>Uitgevoerd en gefactureerd in september</t>
  </si>
  <si>
    <t>Uitgevoerd en gefactureerd in oktober</t>
  </si>
  <si>
    <t>Uitgevoerd en gefactureerd in november</t>
  </si>
  <si>
    <t>Uitgevoerd en gefactureerd in december</t>
  </si>
  <si>
    <t>Overig buiten beschouwing gebleven eigen vermogen (reden toelichten)</t>
  </si>
  <si>
    <t>Ruimte voor toelichting</t>
  </si>
  <si>
    <t>%</t>
  </si>
  <si>
    <t>Gewogen boekwaarde</t>
  </si>
  <si>
    <t>Factor</t>
  </si>
  <si>
    <t>Geldgever</t>
  </si>
  <si>
    <t xml:space="preserve">Saldo </t>
  </si>
  <si>
    <t>Kapitaal</t>
  </si>
  <si>
    <t>Algemene reserves</t>
  </si>
  <si>
    <t>Reserve aanvaardbare kosten</t>
  </si>
  <si>
    <t>Instandhoudingsreserve</t>
  </si>
  <si>
    <t>Reserve inventarissen</t>
  </si>
  <si>
    <t>Overige reserves</t>
  </si>
  <si>
    <t>Vernieuwingsfonds</t>
  </si>
  <si>
    <t>Egalisatievoorzienining  onderhoud</t>
  </si>
  <si>
    <t>Overige voorzieningen</t>
  </si>
  <si>
    <t>Fondsen en fundaties</t>
  </si>
  <si>
    <t>Saldo resultatenrekening</t>
  </si>
  <si>
    <t>Datum</t>
  </si>
  <si>
    <t>dag</t>
  </si>
  <si>
    <t>ma(a)nd(en)</t>
  </si>
  <si>
    <t>Egalisatierekening annuïteitenrente en nog te verrekenen (aanvaardbare) boeterente [(beginbalans + eindbalans) : 2]</t>
  </si>
  <si>
    <t xml:space="preserve">% </t>
  </si>
  <si>
    <t xml:space="preserve">Bedrag </t>
  </si>
  <si>
    <t xml:space="preserve">bedrag </t>
  </si>
  <si>
    <t>Afschrijving op geactiveerde rente van annuïteitenleningen</t>
  </si>
  <si>
    <t xml:space="preserve">Boekwaarde vergunningsplichtige investeringen zonder vergunning. </t>
  </si>
  <si>
    <t xml:space="preserve">Gewogen </t>
  </si>
  <si>
    <t xml:space="preserve">Factor </t>
  </si>
  <si>
    <t xml:space="preserve">Boekwaarde </t>
  </si>
  <si>
    <t xml:space="preserve"> </t>
  </si>
  <si>
    <t>Totaal</t>
  </si>
  <si>
    <t xml:space="preserve">Totaal </t>
  </si>
  <si>
    <t>Activa</t>
  </si>
  <si>
    <t>Passiva</t>
  </si>
  <si>
    <t xml:space="preserve">Aanschafwaarde </t>
  </si>
  <si>
    <t xml:space="preserve">Afschrijvingen </t>
  </si>
  <si>
    <t xml:space="preserve">A. </t>
  </si>
  <si>
    <t>B.</t>
  </si>
  <si>
    <t>Normatieve boekwaarde medische en overige inventarissen</t>
  </si>
  <si>
    <t xml:space="preserve">F. </t>
  </si>
  <si>
    <t>Normatief werkkapitaal</t>
  </si>
  <si>
    <t xml:space="preserve">G. </t>
  </si>
  <si>
    <t xml:space="preserve">H. </t>
  </si>
  <si>
    <t>Eigen vermogen</t>
  </si>
  <si>
    <t>TOELICHTING / INVULINSTRUCTIE</t>
  </si>
  <si>
    <t>Boekwaarde investeringen waarvoor vergunning is verleend</t>
  </si>
  <si>
    <t>INHOUDSOPGAVE</t>
  </si>
  <si>
    <t>januari</t>
  </si>
  <si>
    <t>februari</t>
  </si>
  <si>
    <t>maart</t>
  </si>
  <si>
    <t>april</t>
  </si>
  <si>
    <t>mei</t>
  </si>
  <si>
    <t>juni</t>
  </si>
  <si>
    <t>juli</t>
  </si>
  <si>
    <t>augustus</t>
  </si>
  <si>
    <t>september</t>
  </si>
  <si>
    <t>oktober</t>
  </si>
  <si>
    <t>november</t>
  </si>
  <si>
    <t>december</t>
  </si>
  <si>
    <t>2) Hier neemt u de langlopende leningen op waarvan de rente nacalculeerbaar is, hieronder vallen bijvoorbeeld langlopende leningen ten behoeve van investeringen die vallen onder de WZV of die zijn afgesloten ten behoeve van budgettair bouwen.</t>
  </si>
  <si>
    <t>Eventuele vordering vakantiegeldverplichting (volgens de balans per 1 januari van het jaar van invoering van het budgetsysteem)</t>
  </si>
  <si>
    <t>C.</t>
  </si>
  <si>
    <t>D.</t>
  </si>
  <si>
    <t>nr.</t>
  </si>
  <si>
    <t>cat.</t>
  </si>
  <si>
    <t>T.b.v. de renteberekening i.v.m. eventuele schrikkeljaren</t>
  </si>
  <si>
    <t xml:space="preserve">Rentedeel gehuurde instandhouding (45% van het kale huurbedrag) </t>
  </si>
  <si>
    <t>Onderhanden bouwprojecten waarvoor een vergunning is verleend</t>
  </si>
  <si>
    <t>Gefactureerde WTZi-investeringen</t>
  </si>
  <si>
    <t>Ingebruik genomen WTZi-investeringen</t>
  </si>
  <si>
    <t>1. Hier neemt u de langlopende leningen op waarvan de rente nacalculeerbaar is, hieronder vallen bijvoorbeeld langlopende leningen ten behoeve van investeringen die vallen onder de WZV/WTZi of die zijn afgesloten ten behoeve van budgettair bouwen.</t>
  </si>
  <si>
    <t>Versiedatum 25-02-09</t>
  </si>
</sst>
</file>

<file path=xl/styles.xml><?xml version="1.0" encoding="utf-8"?>
<styleSheet xmlns="http://schemas.openxmlformats.org/spreadsheetml/2006/main">
  <numFmts count="5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fl&quot;\ * #,##0_-;_-&quot;fl&quot;\ * #,##0\-;_-&quot;fl&quot;\ * &quot;-&quot;_-;_-@_-"/>
    <numFmt numFmtId="165" formatCode="_-&quot;fl&quot;\ * #,##0.00_-;_-&quot;fl&quot;\ * #,##0.00\-;_-&quot;fl&quot;\ * &quot;-&quot;??_-;_-@_-"/>
    <numFmt numFmtId="166" formatCode="0.0000"/>
    <numFmt numFmtId="167" formatCode="#,##0.0_-;#,##0.0\-"/>
    <numFmt numFmtId="168" formatCode="0.000"/>
    <numFmt numFmtId="169" formatCode="#,##0_ ;[Red]\-#,##0\ "/>
    <numFmt numFmtId="170" formatCode="#,##0.0"/>
    <numFmt numFmtId="171" formatCode="#,##0;\(#,##0\);"/>
    <numFmt numFmtId="172" formatCode="0.0"/>
    <numFmt numFmtId="173" formatCode="0.00000"/>
    <numFmt numFmtId="174" formatCode="#,##0.0000"/>
    <numFmt numFmtId="175" formatCode="dd/mm/yy"/>
    <numFmt numFmtId="176" formatCode="#,##0;\(#,##0_ \ \);"/>
    <numFmt numFmtId="177" formatCode="#,##0_ \ ;\(#,##0\)_ ;"/>
    <numFmt numFmtId="178" formatCode="#,##0\ ;\(#,##0;"/>
    <numFmt numFmtId="179" formatCode="#,##0\ ;\(#,##0\);"/>
    <numFmt numFmtId="180" formatCode="#,##0_ \ ;\(#,##0\)_ ;\ \ "/>
    <numFmt numFmtId="181" formatCode="#,##0_ ;\(#,##0\);"/>
    <numFmt numFmtId="182" formatCode="dd/mm/yy_ "/>
    <numFmt numFmtId="183" formatCode="\(#,##0\)_ ;#,##0_ \ ;\ \(* \)_ "/>
    <numFmt numFmtId="184" formatCode="#,##0_ ;\(#,##0\)_ ;"/>
    <numFmt numFmtId="185" formatCode="#,##0_ ;;"/>
    <numFmt numFmtId="186" formatCode="General\ "/>
    <numFmt numFmtId="187" formatCode="0\ ;"/>
    <numFmt numFmtId="188" formatCode="\(#,##0\);#,##0_ ;\ \(* \)_ "/>
    <numFmt numFmtId="189" formatCode="\ \ƒ* #,##0_ \ ;\ \ƒ* ;\ \ƒ* "/>
    <numFmt numFmtId="190" formatCode="\ \ \ \ 0"/>
    <numFmt numFmtId="191" formatCode="0_ "/>
    <numFmt numFmtId="192" formatCode="0;;"/>
    <numFmt numFmtId="193" formatCode="0%;\(0%\);\%"/>
    <numFmt numFmtId="194" formatCode="#,##0_ ;\(#,##0\);&quot;-/-&quot;* "/>
    <numFmt numFmtId="195" formatCode="\€* #,##0_ ;\€* \(#,##0\);\€* "/>
    <numFmt numFmtId="196" formatCode="#,##0.00_ ;\(#,##0.00\);"/>
    <numFmt numFmtId="197" formatCode="#,###.00_ ;\(#,##0.00\);"/>
    <numFmt numFmtId="198" formatCode="###0_-;###0\-"/>
    <numFmt numFmtId="199" formatCode="#,##0.00_ ;\(#,##0.0000000\);"/>
    <numFmt numFmtId="200" formatCode="0.0%"/>
    <numFmt numFmtId="201" formatCode="[$-413]dddd\ d\ mmmm\ yyyy"/>
    <numFmt numFmtId="202" formatCode="d/mm/yy;@"/>
    <numFmt numFmtId="203" formatCode="&quot;Ja&quot;;&quot;Ja&quot;;&quot;Nee&quot;"/>
    <numFmt numFmtId="204" formatCode="&quot;Waar&quot;;&quot;Waar&quot;;&quot;Niet waar&quot;"/>
    <numFmt numFmtId="205" formatCode="&quot;Aan&quot;;&quot;Aan&quot;;&quot;Uit&quot;"/>
    <numFmt numFmtId="206" formatCode="[$€-2]\ #.##000_);[Red]\([$€-2]\ #.##000\)"/>
    <numFmt numFmtId="207" formatCode="dd/mm/yy;@"/>
    <numFmt numFmtId="208" formatCode="#,##0_-;\(#,##0\)\-"/>
    <numFmt numFmtId="209" formatCode="#,##0_-;\(#,##0\)"/>
    <numFmt numFmtId="210" formatCode="dd/mm/yyyy_ "/>
  </numFmts>
  <fonts count="21">
    <font>
      <sz val="10"/>
      <name val="Arial"/>
      <family val="0"/>
    </font>
    <font>
      <sz val="9"/>
      <name val="Arial"/>
      <family val="2"/>
    </font>
    <font>
      <b/>
      <sz val="9"/>
      <name val="Arial"/>
      <family val="2"/>
    </font>
    <font>
      <sz val="10"/>
      <name val="Helv"/>
      <family val="0"/>
    </font>
    <font>
      <b/>
      <sz val="14"/>
      <name val="Helv"/>
      <family val="0"/>
    </font>
    <font>
      <sz val="24"/>
      <color indexed="13"/>
      <name val="Helv"/>
      <family val="0"/>
    </font>
    <font>
      <sz val="8"/>
      <name val="Tahoma"/>
      <family val="2"/>
    </font>
    <font>
      <u val="single"/>
      <sz val="10"/>
      <color indexed="12"/>
      <name val="Arial"/>
      <family val="0"/>
    </font>
    <font>
      <u val="single"/>
      <sz val="10"/>
      <color indexed="36"/>
      <name val="Arial"/>
      <family val="0"/>
    </font>
    <font>
      <b/>
      <sz val="9"/>
      <name val="Verdana"/>
      <family val="2"/>
    </font>
    <font>
      <sz val="9"/>
      <name val="Verdana"/>
      <family val="2"/>
    </font>
    <font>
      <b/>
      <sz val="9"/>
      <color indexed="9"/>
      <name val="Verdana"/>
      <family val="2"/>
    </font>
    <font>
      <sz val="9"/>
      <color indexed="9"/>
      <name val="Verdana"/>
      <family val="2"/>
    </font>
    <font>
      <vertAlign val="superscript"/>
      <sz val="9"/>
      <name val="Verdana"/>
      <family val="2"/>
    </font>
    <font>
      <b/>
      <sz val="9"/>
      <color indexed="8"/>
      <name val="Verdana"/>
      <family val="2"/>
    </font>
    <font>
      <b/>
      <sz val="8"/>
      <name val="Verdana"/>
      <family val="2"/>
    </font>
    <font>
      <vertAlign val="superscript"/>
      <sz val="8"/>
      <name val="Verdana"/>
      <family val="2"/>
    </font>
    <font>
      <sz val="8"/>
      <name val="Verdana"/>
      <family val="2"/>
    </font>
    <font>
      <b/>
      <vertAlign val="superscript"/>
      <sz val="8"/>
      <name val="Verdana"/>
      <family val="2"/>
    </font>
    <font>
      <b/>
      <sz val="12"/>
      <name val="Verdana"/>
      <family val="2"/>
    </font>
    <font>
      <b/>
      <sz val="14"/>
      <color indexed="9"/>
      <name val="Verdana"/>
      <family val="2"/>
    </font>
  </fonts>
  <fills count="6">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9"/>
        <bgColor indexed="64"/>
      </patternFill>
    </fill>
  </fills>
  <borders count="30">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style="thin"/>
    </border>
    <border>
      <left>
        <color indexed="63"/>
      </left>
      <right>
        <color indexed="63"/>
      </right>
      <top>
        <color indexed="63"/>
      </top>
      <bottom style="hair"/>
    </border>
    <border>
      <left style="thin"/>
      <right style="thin"/>
      <top style="thin"/>
      <bottom>
        <color indexed="63"/>
      </bottom>
    </border>
    <border>
      <left style="thin"/>
      <right style="thin"/>
      <top>
        <color indexed="63"/>
      </top>
      <bottom style="thin"/>
    </border>
    <border>
      <left>
        <color indexed="63"/>
      </left>
      <right style="hair"/>
      <top style="hair"/>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hair"/>
      <bottom>
        <color indexed="63"/>
      </bottom>
    </border>
    <border>
      <left>
        <color indexed="63"/>
      </left>
      <right style="thin"/>
      <top style="thin"/>
      <bottom style="thin"/>
    </border>
    <border>
      <left>
        <color indexed="63"/>
      </left>
      <right style="hair"/>
      <top>
        <color indexed="63"/>
      </top>
      <bottom style="hair"/>
    </border>
    <border>
      <left style="hair"/>
      <right>
        <color indexed="63"/>
      </right>
      <top>
        <color indexed="63"/>
      </top>
      <bottom style="hair"/>
    </border>
    <border>
      <left>
        <color indexed="63"/>
      </left>
      <right style="thin"/>
      <top style="thin"/>
      <bottom>
        <color indexed="63"/>
      </bottom>
    </border>
    <border>
      <left style="hair"/>
      <right>
        <color indexed="63"/>
      </right>
      <top style="hair"/>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hair"/>
      <right style="hair"/>
      <top>
        <color indexed="63"/>
      </top>
      <bottom style="hair"/>
    </border>
    <border>
      <left style="thin"/>
      <right>
        <color indexed="63"/>
      </right>
      <top>
        <color indexed="63"/>
      </top>
      <bottom>
        <color indexed="63"/>
      </bottom>
    </border>
    <border>
      <left>
        <color indexed="63"/>
      </left>
      <right style="thin"/>
      <top>
        <color indexed="63"/>
      </top>
      <bottom>
        <color indexed="63"/>
      </bottom>
    </border>
  </borders>
  <cellStyleXfs count="47">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3" fillId="0" borderId="1">
      <alignment/>
      <protection/>
    </xf>
    <xf numFmtId="0" fontId="8"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Protection="0">
      <alignment/>
    </xf>
    <xf numFmtId="0" fontId="4" fillId="2" borderId="1">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3" fillId="0" borderId="0">
      <alignment/>
      <protection/>
    </xf>
    <xf numFmtId="0" fontId="0" fillId="0" borderId="0">
      <alignment/>
      <protection/>
    </xf>
    <xf numFmtId="0" fontId="0" fillId="0" borderId="0">
      <alignment/>
      <protection/>
    </xf>
    <xf numFmtId="177" fontId="1" fillId="0" borderId="2" applyFill="0" applyBorder="0">
      <alignment/>
      <protection/>
    </xf>
    <xf numFmtId="189" fontId="1" fillId="0" borderId="2" applyFill="0" applyBorder="0">
      <alignment/>
      <protection/>
    </xf>
    <xf numFmtId="183" fontId="1" fillId="0" borderId="2" applyFill="0" applyBorder="0">
      <alignment/>
      <protection/>
    </xf>
    <xf numFmtId="177" fontId="2" fillId="3" borderId="3">
      <alignment/>
      <protection/>
    </xf>
    <xf numFmtId="183" fontId="2" fillId="3" borderId="3">
      <alignment/>
      <protection/>
    </xf>
    <xf numFmtId="177" fontId="2" fillId="3" borderId="3">
      <alignment/>
      <protection/>
    </xf>
    <xf numFmtId="177" fontId="1" fillId="0" borderId="2" applyFill="0" applyBorder="0">
      <alignment/>
      <protection/>
    </xf>
    <xf numFmtId="0" fontId="3" fillId="0" borderId="1">
      <alignment/>
      <protection/>
    </xf>
    <xf numFmtId="0" fontId="5" fillId="4" borderId="0">
      <alignment/>
      <protection/>
    </xf>
    <xf numFmtId="0" fontId="4" fillId="0" borderId="4">
      <alignment/>
      <protection/>
    </xf>
    <xf numFmtId="0" fontId="4" fillId="0" borderId="1">
      <alignment/>
      <protection/>
    </xf>
    <xf numFmtId="165" fontId="0" fillId="0" borderId="0" applyFont="0" applyFill="0" applyBorder="0" applyAlignment="0" applyProtection="0"/>
    <xf numFmtId="164" fontId="0" fillId="0" borderId="0" applyFont="0" applyFill="0" applyBorder="0" applyAlignment="0" applyProtection="0"/>
  </cellStyleXfs>
  <cellXfs count="422">
    <xf numFmtId="0" fontId="0" fillId="0" borderId="0" xfId="0" applyAlignment="1">
      <alignment/>
    </xf>
    <xf numFmtId="0" fontId="10" fillId="0" borderId="0" xfId="0" applyFont="1" applyAlignment="1" applyProtection="1">
      <alignment horizontal="justify" vertical="top" wrapText="1"/>
      <protection hidden="1"/>
    </xf>
    <xf numFmtId="0" fontId="10" fillId="0" borderId="0" xfId="0" applyNumberFormat="1" applyFont="1" applyAlignment="1" applyProtection="1">
      <alignment horizontal="justify" vertical="top" wrapText="1"/>
      <protection hidden="1"/>
    </xf>
    <xf numFmtId="0" fontId="10" fillId="0" borderId="0" xfId="0" applyFont="1" applyAlignment="1" applyProtection="1">
      <alignment horizontal="justify" wrapText="1"/>
      <protection hidden="1"/>
    </xf>
    <xf numFmtId="0" fontId="9" fillId="0" borderId="0" xfId="0" applyNumberFormat="1" applyFont="1" applyAlignment="1" applyProtection="1">
      <alignment/>
      <protection/>
    </xf>
    <xf numFmtId="0" fontId="10" fillId="0" borderId="0" xfId="0" applyFont="1" applyAlignment="1" applyProtection="1">
      <alignment horizontal="left"/>
      <protection/>
    </xf>
    <xf numFmtId="0" fontId="10" fillId="0" borderId="0" xfId="0" applyFont="1" applyAlignment="1" applyProtection="1">
      <alignment/>
      <protection/>
    </xf>
    <xf numFmtId="0" fontId="9" fillId="0" borderId="0" xfId="0" applyFont="1" applyBorder="1" applyAlignment="1" applyProtection="1">
      <alignment/>
      <protection/>
    </xf>
    <xf numFmtId="0" fontId="10" fillId="0" borderId="0" xfId="0" applyFont="1" applyAlignment="1" applyProtection="1">
      <alignment/>
      <protection/>
    </xf>
    <xf numFmtId="0" fontId="10" fillId="0" borderId="0" xfId="0" applyFont="1" applyBorder="1" applyAlignment="1" applyProtection="1">
      <alignment/>
      <protection/>
    </xf>
    <xf numFmtId="0" fontId="10" fillId="0" borderId="0" xfId="0" applyFont="1" applyBorder="1" applyAlignment="1" applyProtection="1">
      <alignment vertical="center"/>
      <protection/>
    </xf>
    <xf numFmtId="0" fontId="10" fillId="0" borderId="0" xfId="0" applyFont="1" applyAlignment="1" applyProtection="1">
      <alignment vertical="center"/>
      <protection/>
    </xf>
    <xf numFmtId="0" fontId="9" fillId="0" borderId="0" xfId="0" applyNumberFormat="1" applyFont="1" applyAlignment="1" applyProtection="1">
      <alignment horizontal="justify"/>
      <protection/>
    </xf>
    <xf numFmtId="0" fontId="10" fillId="0" borderId="0" xfId="0" applyFont="1" applyAlignment="1" applyProtection="1">
      <alignment horizontal="justify"/>
      <protection/>
    </xf>
    <xf numFmtId="0" fontId="9" fillId="0" borderId="0" xfId="0" applyFont="1" applyBorder="1" applyAlignment="1" applyProtection="1">
      <alignment horizontal="justify"/>
      <protection/>
    </xf>
    <xf numFmtId="170" fontId="10" fillId="0" borderId="0" xfId="0" applyNumberFormat="1" applyFont="1" applyAlignment="1" applyProtection="1">
      <alignment/>
      <protection/>
    </xf>
    <xf numFmtId="49" fontId="10" fillId="0" borderId="0" xfId="0" applyNumberFormat="1" applyFont="1" applyAlignment="1" applyProtection="1">
      <alignment horizontal="right"/>
      <protection/>
    </xf>
    <xf numFmtId="49" fontId="9" fillId="0" borderId="0" xfId="0" applyNumberFormat="1" applyFont="1" applyAlignment="1" applyProtection="1">
      <alignment horizontal="right"/>
      <protection/>
    </xf>
    <xf numFmtId="0" fontId="9" fillId="0" borderId="0" xfId="0" applyNumberFormat="1" applyFont="1" applyBorder="1" applyAlignment="1" applyProtection="1">
      <alignment horizontal="left"/>
      <protection hidden="1"/>
    </xf>
    <xf numFmtId="170" fontId="9" fillId="0" borderId="0" xfId="0" applyNumberFormat="1" applyFont="1" applyAlignment="1" applyProtection="1">
      <alignment/>
      <protection hidden="1"/>
    </xf>
    <xf numFmtId="37" fontId="9" fillId="0" borderId="0" xfId="0" applyNumberFormat="1" applyFont="1" applyAlignment="1" applyProtection="1">
      <alignment/>
      <protection hidden="1"/>
    </xf>
    <xf numFmtId="0" fontId="10" fillId="0" borderId="0" xfId="0" applyNumberFormat="1" applyFont="1" applyAlignment="1" applyProtection="1">
      <alignment horizontal="right"/>
      <protection hidden="1"/>
    </xf>
    <xf numFmtId="0" fontId="9" fillId="0" borderId="0" xfId="0" applyFont="1" applyAlignment="1" applyProtection="1">
      <alignment/>
      <protection/>
    </xf>
    <xf numFmtId="0" fontId="10" fillId="0" borderId="0" xfId="0" applyFont="1" applyAlignment="1" applyProtection="1">
      <alignment/>
      <protection hidden="1"/>
    </xf>
    <xf numFmtId="0" fontId="9" fillId="0" borderId="0" xfId="0" applyNumberFormat="1" applyFont="1" applyBorder="1" applyAlignment="1" applyProtection="1">
      <alignment horizontal="left"/>
      <protection/>
    </xf>
    <xf numFmtId="0" fontId="10" fillId="0" borderId="0" xfId="0" applyNumberFormat="1" applyFont="1" applyAlignment="1" applyProtection="1">
      <alignment/>
      <protection hidden="1"/>
    </xf>
    <xf numFmtId="170" fontId="10" fillId="0" borderId="0" xfId="0" applyNumberFormat="1" applyFont="1" applyAlignment="1" applyProtection="1">
      <alignment/>
      <protection hidden="1"/>
    </xf>
    <xf numFmtId="0" fontId="9" fillId="0" borderId="0" xfId="0" applyFont="1" applyAlignment="1" applyProtection="1">
      <alignment/>
      <protection hidden="1"/>
    </xf>
    <xf numFmtId="0" fontId="10" fillId="0" borderId="0" xfId="0" applyNumberFormat="1" applyFont="1" applyAlignment="1" applyProtection="1">
      <alignment horizontal="right" wrapText="1"/>
      <protection hidden="1"/>
    </xf>
    <xf numFmtId="0" fontId="10" fillId="0" borderId="0" xfId="0" applyFont="1" applyBorder="1" applyAlignment="1" applyProtection="1">
      <alignment horizontal="justify"/>
      <protection/>
    </xf>
    <xf numFmtId="0" fontId="10" fillId="0" borderId="0" xfId="0" applyNumberFormat="1" applyFont="1" applyAlignment="1" applyProtection="1">
      <alignment/>
      <protection/>
    </xf>
    <xf numFmtId="37" fontId="10" fillId="0" borderId="0" xfId="0" applyNumberFormat="1" applyFont="1" applyAlignment="1" applyProtection="1">
      <alignment horizontal="justify"/>
      <protection/>
    </xf>
    <xf numFmtId="0" fontId="10" fillId="0" borderId="0" xfId="0" applyFont="1" applyAlignment="1" applyProtection="1">
      <alignment horizontal="justify"/>
      <protection hidden="1"/>
    </xf>
    <xf numFmtId="0" fontId="10" fillId="0" borderId="0" xfId="0" applyNumberFormat="1" applyFont="1" applyAlignment="1" applyProtection="1">
      <alignment wrapText="1"/>
      <protection hidden="1"/>
    </xf>
    <xf numFmtId="37" fontId="9" fillId="0" borderId="0" xfId="0" applyNumberFormat="1" applyFont="1" applyAlignment="1" applyProtection="1">
      <alignment/>
      <protection/>
    </xf>
    <xf numFmtId="0" fontId="10" fillId="0" borderId="0" xfId="0" applyFont="1" applyAlignment="1" applyProtection="1">
      <alignment horizontal="justify"/>
      <protection locked="0"/>
    </xf>
    <xf numFmtId="49" fontId="10" fillId="0" borderId="0" xfId="0" applyNumberFormat="1" applyFont="1" applyAlignment="1" applyProtection="1">
      <alignment horizontal="justify"/>
      <protection locked="0"/>
    </xf>
    <xf numFmtId="0" fontId="10" fillId="0" borderId="0" xfId="0" applyNumberFormat="1" applyFont="1" applyAlignment="1" applyProtection="1">
      <alignment horizontal="right"/>
      <protection locked="0"/>
    </xf>
    <xf numFmtId="49" fontId="10" fillId="0" borderId="0" xfId="0" applyNumberFormat="1" applyFont="1" applyAlignment="1" applyProtection="1">
      <alignment horizontal="right"/>
      <protection locked="0"/>
    </xf>
    <xf numFmtId="0" fontId="10" fillId="0" borderId="0" xfId="0" applyFont="1" applyAlignment="1">
      <alignment/>
    </xf>
    <xf numFmtId="49" fontId="10" fillId="0" borderId="0" xfId="0" applyNumberFormat="1" applyFont="1" applyAlignment="1" applyProtection="1">
      <alignment/>
      <protection locked="0"/>
    </xf>
    <xf numFmtId="0" fontId="10" fillId="0" borderId="0" xfId="0" applyFont="1" applyAlignment="1" applyProtection="1">
      <alignment wrapText="1"/>
      <protection/>
    </xf>
    <xf numFmtId="49" fontId="10" fillId="0" borderId="0" xfId="0" applyNumberFormat="1" applyFont="1" applyAlignment="1" applyProtection="1">
      <alignment wrapText="1"/>
      <protection locked="0"/>
    </xf>
    <xf numFmtId="0" fontId="10" fillId="0" borderId="0" xfId="0" applyFont="1" applyAlignment="1" applyProtection="1">
      <alignment/>
      <protection hidden="1"/>
    </xf>
    <xf numFmtId="0" fontId="9" fillId="0" borderId="0" xfId="0" applyNumberFormat="1" applyFont="1" applyAlignment="1" applyProtection="1">
      <alignment/>
      <protection hidden="1"/>
    </xf>
    <xf numFmtId="170" fontId="10" fillId="0" borderId="0" xfId="0" applyNumberFormat="1" applyFont="1" applyAlignment="1" applyProtection="1">
      <alignment horizontal="justify"/>
      <protection/>
    </xf>
    <xf numFmtId="0" fontId="10" fillId="0" borderId="0" xfId="0" applyFont="1" applyBorder="1" applyAlignment="1" applyProtection="1">
      <alignment/>
      <protection/>
    </xf>
    <xf numFmtId="0" fontId="10" fillId="0" borderId="0" xfId="0" applyFont="1" applyAlignment="1" applyProtection="1" quotePrefix="1">
      <alignment/>
      <protection/>
    </xf>
    <xf numFmtId="0" fontId="10" fillId="0" borderId="0" xfId="0" applyFont="1" applyAlignment="1" applyProtection="1">
      <alignment horizontal="left" vertical="top" wrapText="1"/>
      <protection hidden="1"/>
    </xf>
    <xf numFmtId="0" fontId="10" fillId="0" borderId="0" xfId="0" applyFont="1" applyAlignment="1" applyProtection="1">
      <alignment horizontal="justify" vertical="top"/>
      <protection hidden="1"/>
    </xf>
    <xf numFmtId="0" fontId="11" fillId="0" borderId="0" xfId="0" applyNumberFormat="1" applyFont="1" applyBorder="1" applyAlignment="1" applyProtection="1">
      <alignment vertical="center"/>
      <protection hidden="1"/>
    </xf>
    <xf numFmtId="187" fontId="10" fillId="0" borderId="0" xfId="0" applyNumberFormat="1" applyFont="1" applyBorder="1" applyAlignment="1" applyProtection="1">
      <alignment horizontal="right" vertical="center"/>
      <protection hidden="1"/>
    </xf>
    <xf numFmtId="0" fontId="10" fillId="0" borderId="0" xfId="0" applyFont="1" applyAlignment="1">
      <alignment/>
    </xf>
    <xf numFmtId="0" fontId="10" fillId="0" borderId="0" xfId="0" applyFont="1" applyAlignment="1" applyProtection="1">
      <alignment wrapText="1"/>
      <protection hidden="1"/>
    </xf>
    <xf numFmtId="0" fontId="10" fillId="0" borderId="0" xfId="0" applyFont="1" applyAlignment="1" applyProtection="1">
      <alignment vertical="top" wrapText="1"/>
      <protection/>
    </xf>
    <xf numFmtId="0" fontId="10" fillId="0" borderId="0" xfId="0" applyFont="1" applyAlignment="1" applyProtection="1" quotePrefix="1">
      <alignment horizontal="justify" vertical="top"/>
      <protection hidden="1"/>
    </xf>
    <xf numFmtId="0" fontId="10" fillId="0" borderId="0" xfId="0" applyFont="1" applyAlignment="1" applyProtection="1" quotePrefix="1">
      <alignment horizontal="justify" vertical="top" wrapText="1"/>
      <protection hidden="1"/>
    </xf>
    <xf numFmtId="0" fontId="10" fillId="0" borderId="0" xfId="0" applyFont="1" applyBorder="1" applyAlignment="1" applyProtection="1">
      <alignment horizontal="left" vertical="center"/>
      <protection/>
    </xf>
    <xf numFmtId="0" fontId="9" fillId="0" borderId="0" xfId="0" applyNumberFormat="1" applyFont="1" applyBorder="1" applyAlignment="1" applyProtection="1">
      <alignment vertical="center"/>
      <protection/>
    </xf>
    <xf numFmtId="187" fontId="10" fillId="0" borderId="0" xfId="0" applyNumberFormat="1" applyFont="1" applyBorder="1" applyAlignment="1" applyProtection="1">
      <alignment horizontal="right" vertical="center"/>
      <protection/>
    </xf>
    <xf numFmtId="0" fontId="9" fillId="0" borderId="0" xfId="0" applyNumberFormat="1" applyFont="1" applyBorder="1" applyAlignment="1" applyProtection="1" quotePrefix="1">
      <alignment vertical="center"/>
      <protection hidden="1"/>
    </xf>
    <xf numFmtId="0" fontId="9" fillId="0" borderId="0" xfId="0" applyFont="1" applyBorder="1" applyAlignment="1" applyProtection="1">
      <alignment/>
      <protection hidden="1"/>
    </xf>
    <xf numFmtId="0" fontId="9" fillId="0" borderId="0" xfId="0" applyFont="1" applyAlignment="1" applyProtection="1">
      <alignment/>
      <protection/>
    </xf>
    <xf numFmtId="0" fontId="10" fillId="0" borderId="0" xfId="0" applyFont="1" applyBorder="1" applyAlignment="1" applyProtection="1">
      <alignment/>
      <protection hidden="1"/>
    </xf>
    <xf numFmtId="0" fontId="10" fillId="0" borderId="0" xfId="0" applyFont="1" applyBorder="1" applyAlignment="1" applyProtection="1">
      <alignment/>
      <protection hidden="1"/>
    </xf>
    <xf numFmtId="37" fontId="10" fillId="0" borderId="0" xfId="0" applyNumberFormat="1" applyFont="1" applyBorder="1" applyAlignment="1" applyProtection="1">
      <alignment/>
      <protection hidden="1"/>
    </xf>
    <xf numFmtId="0" fontId="9" fillId="0" borderId="5" xfId="33" applyFont="1" applyFill="1" applyBorder="1" applyAlignment="1" applyProtection="1">
      <alignment horizontal="center" vertical="center"/>
      <protection/>
    </xf>
    <xf numFmtId="0" fontId="9" fillId="0" borderId="6" xfId="33" applyFont="1" applyFill="1" applyBorder="1" applyAlignment="1" applyProtection="1">
      <alignment horizontal="center" vertical="center"/>
      <protection/>
    </xf>
    <xf numFmtId="0" fontId="10" fillId="0" borderId="7" xfId="33" applyFont="1" applyFill="1" applyBorder="1" applyAlignment="1" applyProtection="1">
      <alignment vertical="center"/>
      <protection/>
    </xf>
    <xf numFmtId="0" fontId="10" fillId="0" borderId="8" xfId="0" applyFont="1" applyBorder="1" applyAlignment="1" applyProtection="1">
      <alignment/>
      <protection hidden="1"/>
    </xf>
    <xf numFmtId="0" fontId="10" fillId="0" borderId="9" xfId="0" applyFont="1" applyBorder="1" applyAlignment="1" applyProtection="1">
      <alignment/>
      <protection hidden="1"/>
    </xf>
    <xf numFmtId="0" fontId="10" fillId="0" borderId="7" xfId="33" applyFont="1" applyFill="1" applyBorder="1" applyAlignment="1" applyProtection="1">
      <alignment horizontal="center" vertical="center"/>
      <protection/>
    </xf>
    <xf numFmtId="0" fontId="9" fillId="0" borderId="10" xfId="0" applyFont="1" applyBorder="1" applyAlignment="1" applyProtection="1">
      <alignment vertical="top"/>
      <protection/>
    </xf>
    <xf numFmtId="0" fontId="10" fillId="0" borderId="0" xfId="0" applyFont="1" applyFill="1" applyAlignment="1" applyProtection="1">
      <alignment/>
      <protection/>
    </xf>
    <xf numFmtId="177" fontId="10" fillId="0" borderId="5" xfId="34" applyFont="1" applyFill="1" applyBorder="1" applyProtection="1">
      <alignment/>
      <protection locked="0"/>
    </xf>
    <xf numFmtId="177" fontId="10" fillId="0" borderId="5" xfId="34" applyFont="1" applyFill="1" applyBorder="1" applyProtection="1">
      <alignment/>
      <protection/>
    </xf>
    <xf numFmtId="177" fontId="10" fillId="0" borderId="6" xfId="34" applyFont="1" applyFill="1" applyBorder="1" applyProtection="1">
      <alignment/>
      <protection locked="0"/>
    </xf>
    <xf numFmtId="177" fontId="10" fillId="0" borderId="6" xfId="34" applyFont="1" applyFill="1" applyBorder="1" applyProtection="1">
      <alignment/>
      <protection/>
    </xf>
    <xf numFmtId="177" fontId="9" fillId="3" borderId="5" xfId="37" applyFont="1" applyFill="1" applyBorder="1" applyProtection="1">
      <alignment/>
      <protection/>
    </xf>
    <xf numFmtId="0" fontId="10" fillId="0" borderId="7" xfId="0" applyFont="1" applyFill="1" applyBorder="1" applyAlignment="1" applyProtection="1">
      <alignment/>
      <protection hidden="1"/>
    </xf>
    <xf numFmtId="0" fontId="10" fillId="0" borderId="8" xfId="0" applyFont="1" applyFill="1" applyBorder="1" applyAlignment="1" applyProtection="1">
      <alignment/>
      <protection hidden="1"/>
    </xf>
    <xf numFmtId="0" fontId="10" fillId="0" borderId="11" xfId="0" applyFont="1" applyFill="1" applyBorder="1" applyAlignment="1" applyProtection="1">
      <alignment/>
      <protection hidden="1"/>
    </xf>
    <xf numFmtId="0" fontId="9" fillId="3" borderId="7" xfId="0" applyFont="1" applyFill="1" applyBorder="1" applyAlignment="1" applyProtection="1">
      <alignment/>
      <protection hidden="1"/>
    </xf>
    <xf numFmtId="0" fontId="10" fillId="0" borderId="9" xfId="0" applyFont="1" applyBorder="1" applyAlignment="1">
      <alignment/>
    </xf>
    <xf numFmtId="0" fontId="9" fillId="0" borderId="0" xfId="0" applyNumberFormat="1" applyFont="1" applyAlignment="1" applyProtection="1">
      <alignment/>
      <protection hidden="1"/>
    </xf>
    <xf numFmtId="37" fontId="9" fillId="3" borderId="12" xfId="0" applyNumberFormat="1" applyFont="1" applyFill="1" applyBorder="1" applyAlignment="1" applyProtection="1">
      <alignment horizontal="right" vertical="center"/>
      <protection hidden="1"/>
    </xf>
    <xf numFmtId="0" fontId="9" fillId="3" borderId="13" xfId="0" applyFont="1" applyFill="1" applyBorder="1" applyAlignment="1" applyProtection="1">
      <alignment horizontal="right" vertical="center"/>
      <protection hidden="1"/>
    </xf>
    <xf numFmtId="183" fontId="10" fillId="0" borderId="5" xfId="36" applyFont="1" applyFill="1" applyBorder="1" applyProtection="1">
      <alignment/>
      <protection locked="0"/>
    </xf>
    <xf numFmtId="37" fontId="10" fillId="0" borderId="9" xfId="0" applyNumberFormat="1" applyFont="1" applyFill="1" applyBorder="1" applyAlignment="1" applyProtection="1">
      <alignment/>
      <protection hidden="1"/>
    </xf>
    <xf numFmtId="37" fontId="10" fillId="0" borderId="14" xfId="0" applyNumberFormat="1" applyFont="1" applyFill="1" applyBorder="1" applyAlignment="1" applyProtection="1">
      <alignment/>
      <protection hidden="1"/>
    </xf>
    <xf numFmtId="183" fontId="10" fillId="0" borderId="6" xfId="36" applyFont="1" applyFill="1" applyBorder="1" applyProtection="1">
      <alignment/>
      <protection locked="0"/>
    </xf>
    <xf numFmtId="183" fontId="9" fillId="3" borderId="5" xfId="38" applyFont="1" applyBorder="1" applyProtection="1">
      <alignment/>
      <protection/>
    </xf>
    <xf numFmtId="177" fontId="9" fillId="3" borderId="5" xfId="37" applyFont="1" applyBorder="1" applyProtection="1">
      <alignment/>
      <protection/>
    </xf>
    <xf numFmtId="0" fontId="10" fillId="0" borderId="8" xfId="0" applyFont="1" applyFill="1" applyBorder="1" applyAlignment="1" applyProtection="1">
      <alignment/>
      <protection/>
    </xf>
    <xf numFmtId="0" fontId="10" fillId="0" borderId="0" xfId="0" applyFont="1" applyFill="1" applyAlignment="1" applyProtection="1">
      <alignment/>
      <protection/>
    </xf>
    <xf numFmtId="0" fontId="9" fillId="0" borderId="0" xfId="0" applyNumberFormat="1" applyFont="1" applyAlignment="1" applyProtection="1">
      <alignment/>
      <protection/>
    </xf>
    <xf numFmtId="0" fontId="10" fillId="3" borderId="15" xfId="0" applyFont="1" applyFill="1" applyBorder="1" applyAlignment="1" applyProtection="1">
      <alignment/>
      <protection hidden="1"/>
    </xf>
    <xf numFmtId="0" fontId="10" fillId="3" borderId="8" xfId="0" applyFont="1" applyFill="1" applyBorder="1" applyAlignment="1" applyProtection="1">
      <alignment/>
      <protection hidden="1"/>
    </xf>
    <xf numFmtId="171" fontId="9" fillId="3" borderId="5" xfId="37" applyNumberFormat="1" applyFont="1" applyBorder="1" applyProtection="1">
      <alignment/>
      <protection/>
    </xf>
    <xf numFmtId="0" fontId="9" fillId="3" borderId="5" xfId="32" applyFont="1" applyFill="1" applyBorder="1" applyProtection="1">
      <alignment/>
      <protection hidden="1"/>
    </xf>
    <xf numFmtId="37" fontId="9" fillId="0" borderId="0" xfId="0" applyNumberFormat="1" applyFont="1" applyAlignment="1" applyProtection="1">
      <alignment/>
      <protection hidden="1"/>
    </xf>
    <xf numFmtId="37" fontId="9" fillId="3" borderId="12" xfId="0" applyNumberFormat="1" applyFont="1" applyFill="1" applyBorder="1" applyAlignment="1" applyProtection="1">
      <alignment horizontal="center" vertical="center"/>
      <protection hidden="1"/>
    </xf>
    <xf numFmtId="0" fontId="10" fillId="0" borderId="0" xfId="0" applyFont="1" applyFill="1" applyAlignment="1" applyProtection="1">
      <alignment vertical="center"/>
      <protection/>
    </xf>
    <xf numFmtId="37" fontId="9" fillId="3" borderId="5" xfId="0" applyNumberFormat="1" applyFont="1" applyFill="1" applyBorder="1" applyAlignment="1" applyProtection="1">
      <alignment/>
      <protection hidden="1"/>
    </xf>
    <xf numFmtId="37" fontId="9" fillId="3" borderId="7" xfId="0" applyNumberFormat="1" applyFont="1" applyFill="1" applyBorder="1" applyAlignment="1" applyProtection="1">
      <alignment/>
      <protection hidden="1"/>
    </xf>
    <xf numFmtId="0" fontId="9" fillId="3" borderId="12" xfId="0" applyFont="1" applyFill="1" applyBorder="1" applyAlignment="1" applyProtection="1">
      <alignment horizontal="center" vertical="center"/>
      <protection hidden="1"/>
    </xf>
    <xf numFmtId="0" fontId="9" fillId="3" borderId="13" xfId="0" applyFont="1" applyFill="1" applyBorder="1" applyAlignment="1" applyProtection="1">
      <alignment horizontal="center" vertical="center"/>
      <protection hidden="1"/>
    </xf>
    <xf numFmtId="0" fontId="10" fillId="3" borderId="8" xfId="0" applyFont="1" applyFill="1" applyBorder="1" applyAlignment="1" applyProtection="1">
      <alignment/>
      <protection/>
    </xf>
    <xf numFmtId="0" fontId="10" fillId="3" borderId="9" xfId="0" applyFont="1" applyFill="1" applyBorder="1" applyAlignment="1" applyProtection="1">
      <alignment/>
      <protection/>
    </xf>
    <xf numFmtId="0" fontId="9" fillId="3" borderId="3" xfId="0" applyFont="1" applyFill="1" applyBorder="1" applyAlignment="1" applyProtection="1">
      <alignment horizontal="center" vertical="center"/>
      <protection hidden="1"/>
    </xf>
    <xf numFmtId="171" fontId="9" fillId="5" borderId="0" xfId="37" applyNumberFormat="1" applyFont="1" applyFill="1" applyBorder="1" applyAlignment="1" applyProtection="1">
      <alignment/>
      <protection/>
    </xf>
    <xf numFmtId="177" fontId="10" fillId="0" borderId="5" xfId="34" applyFont="1" applyBorder="1" applyProtection="1">
      <alignment/>
      <protection/>
    </xf>
    <xf numFmtId="0" fontId="9" fillId="0" borderId="0" xfId="0" applyNumberFormat="1" applyFont="1" applyFill="1" applyBorder="1" applyAlignment="1" applyProtection="1">
      <alignment horizontal="left"/>
      <protection hidden="1"/>
    </xf>
    <xf numFmtId="0" fontId="9" fillId="3" borderId="8" xfId="0" applyFont="1" applyFill="1" applyBorder="1" applyAlignment="1" applyProtection="1">
      <alignment/>
      <protection/>
    </xf>
    <xf numFmtId="0" fontId="9" fillId="3" borderId="9" xfId="0" applyFont="1" applyFill="1" applyBorder="1" applyAlignment="1" applyProtection="1">
      <alignment/>
      <protection/>
    </xf>
    <xf numFmtId="37" fontId="9" fillId="3" borderId="16" xfId="0" applyNumberFormat="1" applyFont="1" applyFill="1" applyBorder="1" applyAlignment="1" applyProtection="1">
      <alignment horizontal="center" vertical="center"/>
      <protection hidden="1"/>
    </xf>
    <xf numFmtId="0" fontId="9" fillId="3" borderId="7" xfId="32" applyFont="1" applyFill="1" applyBorder="1" applyAlignment="1" applyProtection="1">
      <alignment/>
      <protection hidden="1"/>
    </xf>
    <xf numFmtId="37" fontId="10" fillId="0" borderId="0" xfId="0" applyNumberFormat="1" applyFont="1" applyBorder="1" applyAlignment="1" applyProtection="1">
      <alignment/>
      <protection hidden="1"/>
    </xf>
    <xf numFmtId="0" fontId="9" fillId="0" borderId="0" xfId="0" applyNumberFormat="1" applyFont="1" applyBorder="1" applyAlignment="1" applyProtection="1">
      <alignment/>
      <protection hidden="1"/>
    </xf>
    <xf numFmtId="37" fontId="10" fillId="0" borderId="0" xfId="0" applyNumberFormat="1" applyFont="1" applyBorder="1" applyAlignment="1" applyProtection="1">
      <alignment horizontal="center"/>
      <protection hidden="1"/>
    </xf>
    <xf numFmtId="37" fontId="9" fillId="0" borderId="0" xfId="0" applyNumberFormat="1" applyFont="1" applyFill="1" applyBorder="1" applyAlignment="1" applyProtection="1">
      <alignment/>
      <protection hidden="1"/>
    </xf>
    <xf numFmtId="0" fontId="10" fillId="3" borderId="13" xfId="0" applyFont="1" applyFill="1" applyBorder="1" applyAlignment="1" applyProtection="1">
      <alignment/>
      <protection/>
    </xf>
    <xf numFmtId="37" fontId="9" fillId="3" borderId="13" xfId="0" applyNumberFormat="1" applyFont="1" applyFill="1" applyBorder="1" applyAlignment="1" applyProtection="1">
      <alignment horizontal="center" vertical="center"/>
      <protection hidden="1"/>
    </xf>
    <xf numFmtId="0" fontId="10" fillId="0" borderId="9" xfId="0" applyFont="1" applyFill="1" applyBorder="1" applyAlignment="1" applyProtection="1">
      <alignment/>
      <protection hidden="1"/>
    </xf>
    <xf numFmtId="177" fontId="10" fillId="0" borderId="7" xfId="34" applyFont="1" applyBorder="1" applyProtection="1">
      <alignment/>
      <protection/>
    </xf>
    <xf numFmtId="177" fontId="10" fillId="0" borderId="9" xfId="34" applyFont="1" applyFill="1" applyBorder="1" applyProtection="1">
      <alignment/>
      <protection locked="0"/>
    </xf>
    <xf numFmtId="0" fontId="10" fillId="0" borderId="8" xfId="0" applyNumberFormat="1" applyFont="1" applyFill="1" applyBorder="1" applyAlignment="1" applyProtection="1">
      <alignment horizontal="left"/>
      <protection hidden="1"/>
    </xf>
    <xf numFmtId="0" fontId="10" fillId="0" borderId="17" xfId="0" applyFont="1" applyFill="1" applyBorder="1" applyAlignment="1" applyProtection="1">
      <alignment/>
      <protection hidden="1"/>
    </xf>
    <xf numFmtId="177" fontId="9" fillId="3" borderId="5" xfId="37" applyFont="1" applyBorder="1" applyProtection="1" quotePrefix="1">
      <alignment/>
      <protection/>
    </xf>
    <xf numFmtId="0" fontId="10" fillId="0" borderId="8" xfId="0" applyFont="1" applyBorder="1" applyAlignment="1" applyProtection="1">
      <alignment/>
      <protection/>
    </xf>
    <xf numFmtId="49" fontId="10" fillId="0" borderId="0" xfId="0" applyNumberFormat="1" applyFont="1" applyBorder="1" applyAlignment="1" applyProtection="1">
      <alignment horizontal="center"/>
      <protection/>
    </xf>
    <xf numFmtId="37" fontId="10" fillId="0" borderId="0" xfId="0" applyNumberFormat="1" applyFont="1" applyBorder="1" applyAlignment="1" applyProtection="1">
      <alignment/>
      <protection/>
    </xf>
    <xf numFmtId="0" fontId="9" fillId="0" borderId="0" xfId="0" applyFont="1" applyAlignment="1" applyProtection="1">
      <alignment/>
      <protection hidden="1"/>
    </xf>
    <xf numFmtId="177" fontId="10" fillId="0" borderId="6" xfId="34" applyFont="1" applyBorder="1" applyProtection="1">
      <alignment/>
      <protection/>
    </xf>
    <xf numFmtId="0" fontId="10" fillId="0" borderId="0" xfId="0" applyFont="1" applyBorder="1" applyAlignment="1">
      <alignment/>
    </xf>
    <xf numFmtId="0" fontId="10" fillId="0" borderId="0" xfId="0" applyFont="1" applyFill="1" applyBorder="1" applyAlignment="1" applyProtection="1">
      <alignment/>
      <protection/>
    </xf>
    <xf numFmtId="0" fontId="9" fillId="0" borderId="0" xfId="0" applyFont="1" applyFill="1" applyBorder="1" applyAlignment="1" applyProtection="1">
      <alignment/>
      <protection/>
    </xf>
    <xf numFmtId="37" fontId="9" fillId="3" borderId="10" xfId="0" applyNumberFormat="1" applyFont="1" applyFill="1" applyBorder="1" applyAlignment="1" applyProtection="1">
      <alignment/>
      <protection hidden="1"/>
    </xf>
    <xf numFmtId="37" fontId="10" fillId="3" borderId="16" xfId="0" applyNumberFormat="1" applyFont="1" applyFill="1" applyBorder="1" applyAlignment="1" applyProtection="1">
      <alignment/>
      <protection hidden="1"/>
    </xf>
    <xf numFmtId="0" fontId="10" fillId="3" borderId="18" xfId="0" applyFont="1" applyFill="1" applyBorder="1" applyAlignment="1" applyProtection="1">
      <alignment/>
      <protection/>
    </xf>
    <xf numFmtId="37" fontId="9" fillId="3" borderId="3" xfId="0" applyNumberFormat="1" applyFont="1" applyFill="1" applyBorder="1" applyAlignment="1" applyProtection="1">
      <alignment horizontal="right"/>
      <protection/>
    </xf>
    <xf numFmtId="177" fontId="9" fillId="0" borderId="11" xfId="34" applyFont="1" applyFill="1" applyBorder="1" applyAlignment="1" applyProtection="1">
      <alignment horizontal="right"/>
      <protection hidden="1"/>
    </xf>
    <xf numFmtId="177" fontId="9" fillId="0" borderId="19" xfId="34" applyFont="1" applyFill="1" applyBorder="1" applyAlignment="1" applyProtection="1">
      <alignment horizontal="right"/>
      <protection hidden="1"/>
    </xf>
    <xf numFmtId="177" fontId="10" fillId="0" borderId="17" xfId="34" applyFont="1" applyFill="1" applyBorder="1" applyProtection="1">
      <alignment/>
      <protection hidden="1"/>
    </xf>
    <xf numFmtId="177" fontId="10" fillId="0" borderId="14" xfId="34" applyFont="1" applyFill="1" applyBorder="1" applyProtection="1">
      <alignment/>
      <protection hidden="1"/>
    </xf>
    <xf numFmtId="37" fontId="9" fillId="3" borderId="9" xfId="0" applyNumberFormat="1" applyFont="1" applyFill="1" applyBorder="1" applyAlignment="1" applyProtection="1">
      <alignment/>
      <protection hidden="1"/>
    </xf>
    <xf numFmtId="177" fontId="9" fillId="0" borderId="8" xfId="34" applyFont="1" applyFill="1" applyBorder="1" applyAlignment="1" applyProtection="1">
      <alignment horizontal="right"/>
      <protection hidden="1"/>
    </xf>
    <xf numFmtId="177" fontId="9" fillId="0" borderId="9" xfId="34" applyFont="1" applyFill="1" applyBorder="1" applyAlignment="1" applyProtection="1">
      <alignment horizontal="right"/>
      <protection hidden="1"/>
    </xf>
    <xf numFmtId="0" fontId="10" fillId="0" borderId="17" xfId="0" applyFont="1" applyFill="1" applyBorder="1" applyAlignment="1" applyProtection="1" quotePrefix="1">
      <alignment/>
      <protection hidden="1"/>
    </xf>
    <xf numFmtId="0" fontId="10" fillId="0" borderId="14" xfId="0" applyFont="1" applyFill="1" applyBorder="1" applyAlignment="1" applyProtection="1">
      <alignment/>
      <protection hidden="1"/>
    </xf>
    <xf numFmtId="0" fontId="9" fillId="3" borderId="7" xfId="32" applyFont="1" applyFill="1" applyBorder="1" applyProtection="1">
      <alignment/>
      <protection hidden="1"/>
    </xf>
    <xf numFmtId="37" fontId="9" fillId="3" borderId="8" xfId="0" applyNumberFormat="1" applyFont="1" applyFill="1" applyBorder="1" applyAlignment="1" applyProtection="1">
      <alignment/>
      <protection hidden="1"/>
    </xf>
    <xf numFmtId="177" fontId="10" fillId="0" borderId="6" xfId="34" applyFont="1" applyFill="1" applyBorder="1" applyProtection="1" quotePrefix="1">
      <alignment/>
      <protection/>
    </xf>
    <xf numFmtId="177" fontId="9" fillId="0" borderId="5" xfId="37" applyFont="1" applyFill="1" applyBorder="1" applyAlignment="1" applyProtection="1">
      <alignment horizontal="right"/>
      <protection locked="0"/>
    </xf>
    <xf numFmtId="0" fontId="9" fillId="3" borderId="10" xfId="0" applyFont="1" applyFill="1" applyBorder="1" applyAlignment="1" applyProtection="1">
      <alignment/>
      <protection/>
    </xf>
    <xf numFmtId="49" fontId="10" fillId="3" borderId="16" xfId="0" applyNumberFormat="1" applyFont="1" applyFill="1" applyBorder="1" applyAlignment="1" applyProtection="1">
      <alignment horizontal="center"/>
      <protection/>
    </xf>
    <xf numFmtId="0" fontId="9" fillId="3" borderId="3" xfId="0" applyFont="1" applyFill="1" applyBorder="1" applyAlignment="1" applyProtection="1" quotePrefix="1">
      <alignment horizontal="center"/>
      <protection/>
    </xf>
    <xf numFmtId="0" fontId="10" fillId="0" borderId="20" xfId="0" applyFont="1" applyBorder="1" applyAlignment="1" applyProtection="1">
      <alignment/>
      <protection/>
    </xf>
    <xf numFmtId="49" fontId="10" fillId="0" borderId="11" xfId="0" applyNumberFormat="1" applyFont="1" applyBorder="1" applyAlignment="1" applyProtection="1">
      <alignment horizontal="center"/>
      <protection/>
    </xf>
    <xf numFmtId="0" fontId="10" fillId="0" borderId="19" xfId="0" applyFont="1" applyBorder="1" applyAlignment="1" applyProtection="1">
      <alignment/>
      <protection/>
    </xf>
    <xf numFmtId="10" fontId="10" fillId="0" borderId="5" xfId="0" applyNumberFormat="1" applyFont="1" applyBorder="1" applyAlignment="1" applyProtection="1">
      <alignment horizontal="center"/>
      <protection/>
    </xf>
    <xf numFmtId="0" fontId="10" fillId="0" borderId="7" xfId="0" applyFont="1" applyBorder="1" applyAlignment="1" applyProtection="1">
      <alignment/>
      <protection/>
    </xf>
    <xf numFmtId="49" fontId="10" fillId="0" borderId="8" xfId="0" applyNumberFormat="1" applyFont="1" applyBorder="1" applyAlignment="1" applyProtection="1">
      <alignment horizontal="center"/>
      <protection/>
    </xf>
    <xf numFmtId="0" fontId="10" fillId="0" borderId="9" xfId="0" applyFont="1" applyBorder="1" applyAlignment="1" applyProtection="1">
      <alignment/>
      <protection/>
    </xf>
    <xf numFmtId="37" fontId="9" fillId="3" borderId="12" xfId="0" applyNumberFormat="1" applyFont="1" applyFill="1" applyBorder="1" applyAlignment="1" applyProtection="1">
      <alignment vertical="center"/>
      <protection hidden="1"/>
    </xf>
    <xf numFmtId="37" fontId="9" fillId="3" borderId="21" xfId="0" applyNumberFormat="1" applyFont="1" applyFill="1" applyBorder="1" applyAlignment="1" applyProtection="1">
      <alignment horizontal="center" vertical="center" wrapText="1"/>
      <protection hidden="1"/>
    </xf>
    <xf numFmtId="0" fontId="9" fillId="0" borderId="0" xfId="0" applyNumberFormat="1" applyFont="1" applyBorder="1" applyAlignment="1" applyProtection="1">
      <alignment/>
      <protection hidden="1"/>
    </xf>
    <xf numFmtId="37" fontId="9" fillId="3" borderId="13" xfId="0" applyNumberFormat="1" applyFont="1" applyFill="1" applyBorder="1" applyAlignment="1" applyProtection="1">
      <alignment/>
      <protection hidden="1"/>
    </xf>
    <xf numFmtId="37" fontId="9" fillId="3" borderId="10" xfId="0" applyNumberFormat="1" applyFont="1" applyFill="1" applyBorder="1" applyAlignment="1" applyProtection="1">
      <alignment horizontal="center" vertical="center"/>
      <protection hidden="1"/>
    </xf>
    <xf numFmtId="37" fontId="10" fillId="0" borderId="19" xfId="0" applyNumberFormat="1" applyFont="1" applyFill="1" applyBorder="1" applyAlignment="1" applyProtection="1">
      <alignment/>
      <protection hidden="1"/>
    </xf>
    <xf numFmtId="183" fontId="10" fillId="0" borderId="7" xfId="36" applyFont="1" applyFill="1" applyBorder="1" applyProtection="1">
      <alignment/>
      <protection locked="0"/>
    </xf>
    <xf numFmtId="177" fontId="10" fillId="0" borderId="7" xfId="34" applyFont="1" applyBorder="1" applyAlignment="1" applyProtection="1">
      <alignment/>
      <protection/>
    </xf>
    <xf numFmtId="174" fontId="10" fillId="0" borderId="7" xfId="34" applyNumberFormat="1" applyFont="1" applyBorder="1" applyAlignment="1" applyProtection="1">
      <alignment horizontal="center"/>
      <protection hidden="1"/>
    </xf>
    <xf numFmtId="170" fontId="10" fillId="0" borderId="7" xfId="34" applyNumberFormat="1" applyFont="1" applyBorder="1" applyAlignment="1" applyProtection="1">
      <alignment horizontal="center"/>
      <protection hidden="1"/>
    </xf>
    <xf numFmtId="177" fontId="10" fillId="0" borderId="14" xfId="34" applyFont="1" applyFill="1" applyBorder="1" applyProtection="1">
      <alignment/>
      <protection locked="0"/>
    </xf>
    <xf numFmtId="183" fontId="10" fillId="0" borderId="22" xfId="36" applyFont="1" applyFill="1" applyBorder="1" applyProtection="1">
      <alignment/>
      <protection locked="0"/>
    </xf>
    <xf numFmtId="177" fontId="10" fillId="0" borderId="22" xfId="34" applyFont="1" applyBorder="1" applyAlignment="1" applyProtection="1">
      <alignment/>
      <protection/>
    </xf>
    <xf numFmtId="174" fontId="10" fillId="0" borderId="22" xfId="34" applyNumberFormat="1" applyFont="1" applyBorder="1" applyAlignment="1" applyProtection="1">
      <alignment horizontal="center"/>
      <protection hidden="1"/>
    </xf>
    <xf numFmtId="177" fontId="9" fillId="3" borderId="5" xfId="34" applyFont="1" applyFill="1" applyBorder="1" applyProtection="1">
      <alignment/>
      <protection/>
    </xf>
    <xf numFmtId="183" fontId="9" fillId="3" borderId="5" xfId="37" applyNumberFormat="1" applyFont="1" applyFill="1" applyBorder="1" applyAlignment="1" applyProtection="1">
      <alignment/>
      <protection/>
    </xf>
    <xf numFmtId="177" fontId="9" fillId="3" borderId="5" xfId="37" applyFont="1" applyFill="1" applyBorder="1" applyAlignment="1" applyProtection="1">
      <alignment/>
      <protection/>
    </xf>
    <xf numFmtId="166" fontId="9" fillId="3" borderId="5" xfId="0" applyNumberFormat="1" applyFont="1" applyFill="1" applyBorder="1" applyAlignment="1" applyProtection="1">
      <alignment horizontal="center"/>
      <protection/>
    </xf>
    <xf numFmtId="171" fontId="14" fillId="3" borderId="5" xfId="37" applyNumberFormat="1" applyFont="1" applyBorder="1" applyAlignment="1" applyProtection="1">
      <alignment/>
      <protection/>
    </xf>
    <xf numFmtId="0" fontId="10" fillId="0" borderId="0" xfId="0" applyFont="1" applyAlignment="1" applyProtection="1">
      <alignment/>
      <protection locked="0"/>
    </xf>
    <xf numFmtId="0" fontId="10" fillId="0" borderId="0" xfId="0" applyFont="1" applyAlignment="1" applyProtection="1">
      <alignment/>
      <protection locked="0"/>
    </xf>
    <xf numFmtId="37" fontId="9" fillId="0" borderId="0" xfId="0" applyNumberFormat="1" applyFont="1" applyBorder="1" applyAlignment="1" applyProtection="1">
      <alignment/>
      <protection hidden="1"/>
    </xf>
    <xf numFmtId="0" fontId="10" fillId="0" borderId="15" xfId="0" applyFont="1" applyBorder="1" applyAlignment="1" applyProtection="1">
      <alignment/>
      <protection/>
    </xf>
    <xf numFmtId="37" fontId="9" fillId="3" borderId="2" xfId="0" applyNumberFormat="1" applyFont="1" applyFill="1" applyBorder="1" applyAlignment="1" applyProtection="1">
      <alignment/>
      <protection hidden="1"/>
    </xf>
    <xf numFmtId="174" fontId="10" fillId="0" borderId="7" xfId="34" applyNumberFormat="1" applyFont="1" applyFill="1" applyBorder="1" applyAlignment="1" applyProtection="1">
      <alignment horizontal="center"/>
      <protection hidden="1"/>
    </xf>
    <xf numFmtId="4" fontId="10" fillId="0" borderId="7" xfId="34" applyNumberFormat="1" applyFont="1" applyFill="1" applyBorder="1" applyAlignment="1" applyProtection="1">
      <alignment horizontal="center"/>
      <protection hidden="1"/>
    </xf>
    <xf numFmtId="166" fontId="10" fillId="0" borderId="5" xfId="0" applyNumberFormat="1" applyFont="1" applyBorder="1" applyAlignment="1" applyProtection="1">
      <alignment horizontal="center"/>
      <protection/>
    </xf>
    <xf numFmtId="177" fontId="9" fillId="5" borderId="5" xfId="37" applyFont="1" applyFill="1" applyBorder="1" applyProtection="1">
      <alignment/>
      <protection/>
    </xf>
    <xf numFmtId="171" fontId="14" fillId="5" borderId="5" xfId="37" applyNumberFormat="1" applyFont="1" applyFill="1" applyBorder="1" applyAlignment="1" applyProtection="1">
      <alignment/>
      <protection/>
    </xf>
    <xf numFmtId="0" fontId="9" fillId="3" borderId="12" xfId="0" applyFont="1" applyFill="1" applyBorder="1" applyAlignment="1" applyProtection="1">
      <alignment horizontal="left" vertical="top" wrapText="1"/>
      <protection hidden="1"/>
    </xf>
    <xf numFmtId="0" fontId="10" fillId="0" borderId="11" xfId="0" applyNumberFormat="1" applyFont="1" applyFill="1" applyBorder="1" applyAlignment="1" applyProtection="1">
      <alignment horizontal="left"/>
      <protection hidden="1"/>
    </xf>
    <xf numFmtId="167" fontId="10" fillId="0" borderId="5" xfId="0" applyNumberFormat="1" applyFont="1" applyFill="1" applyBorder="1" applyAlignment="1" applyProtection="1">
      <alignment horizontal="center"/>
      <protection/>
    </xf>
    <xf numFmtId="0" fontId="10" fillId="0" borderId="17" xfId="0" applyNumberFormat="1" applyFont="1" applyFill="1" applyBorder="1" applyAlignment="1" applyProtection="1">
      <alignment horizontal="left"/>
      <protection hidden="1"/>
    </xf>
    <xf numFmtId="167" fontId="10" fillId="0" borderId="6" xfId="0" applyNumberFormat="1" applyFont="1" applyFill="1" applyBorder="1" applyAlignment="1" applyProtection="1">
      <alignment horizontal="center"/>
      <protection/>
    </xf>
    <xf numFmtId="0" fontId="10" fillId="3" borderId="12" xfId="0" applyFont="1" applyFill="1" applyBorder="1" applyAlignment="1" applyProtection="1">
      <alignment/>
      <protection hidden="1"/>
    </xf>
    <xf numFmtId="0" fontId="9" fillId="3" borderId="23" xfId="0" applyFont="1" applyFill="1" applyBorder="1" applyAlignment="1" applyProtection="1">
      <alignment horizontal="right" vertical="center"/>
      <protection hidden="1"/>
    </xf>
    <xf numFmtId="174" fontId="10" fillId="0" borderId="5" xfId="34" applyNumberFormat="1" applyFont="1" applyFill="1" applyBorder="1" applyAlignment="1" applyProtection="1">
      <alignment horizontal="center"/>
      <protection hidden="1"/>
    </xf>
    <xf numFmtId="183" fontId="10" fillId="0" borderId="5" xfId="36" applyFont="1" applyFill="1" applyBorder="1" applyProtection="1">
      <alignment/>
      <protection/>
    </xf>
    <xf numFmtId="37" fontId="9" fillId="0" borderId="0" xfId="0" applyNumberFormat="1" applyFont="1" applyBorder="1" applyAlignment="1" applyProtection="1">
      <alignment horizontal="right" vertical="top"/>
      <protection/>
    </xf>
    <xf numFmtId="0" fontId="10" fillId="0" borderId="0" xfId="0" applyNumberFormat="1" applyFont="1" applyAlignment="1" applyProtection="1">
      <alignment/>
      <protection locked="0"/>
    </xf>
    <xf numFmtId="0" fontId="10" fillId="0" borderId="0" xfId="0" applyFont="1" applyFill="1" applyAlignment="1" applyProtection="1">
      <alignment/>
      <protection locked="0"/>
    </xf>
    <xf numFmtId="37" fontId="9" fillId="0" borderId="0" xfId="0" applyNumberFormat="1" applyFont="1" applyBorder="1" applyAlignment="1" applyProtection="1">
      <alignment/>
      <protection hidden="1"/>
    </xf>
    <xf numFmtId="0" fontId="10" fillId="0" borderId="8" xfId="0" applyFont="1" applyFill="1" applyBorder="1" applyAlignment="1" applyProtection="1">
      <alignment/>
      <protection hidden="1"/>
    </xf>
    <xf numFmtId="0" fontId="10" fillId="0" borderId="8" xfId="0" applyFont="1" applyFill="1" applyBorder="1" applyAlignment="1" applyProtection="1">
      <alignment wrapText="1"/>
      <protection hidden="1"/>
    </xf>
    <xf numFmtId="0" fontId="10" fillId="0" borderId="17" xfId="0" applyFont="1" applyFill="1" applyBorder="1" applyAlignment="1" applyProtection="1">
      <alignment/>
      <protection hidden="1"/>
    </xf>
    <xf numFmtId="0" fontId="10" fillId="0" borderId="17" xfId="0" applyFont="1" applyFill="1" applyBorder="1" applyAlignment="1" applyProtection="1">
      <alignment wrapText="1"/>
      <protection hidden="1"/>
    </xf>
    <xf numFmtId="0" fontId="10" fillId="0" borderId="17" xfId="0" applyFont="1" applyBorder="1" applyAlignment="1" applyProtection="1">
      <alignment/>
      <protection hidden="1"/>
    </xf>
    <xf numFmtId="0" fontId="10" fillId="0" borderId="14" xfId="0" applyFont="1" applyBorder="1" applyAlignment="1" applyProtection="1">
      <alignment/>
      <protection hidden="1"/>
    </xf>
    <xf numFmtId="0" fontId="9" fillId="0" borderId="7" xfId="0" applyFont="1" applyFill="1" applyBorder="1" applyAlignment="1" applyProtection="1">
      <alignment/>
      <protection hidden="1"/>
    </xf>
    <xf numFmtId="0" fontId="9" fillId="0" borderId="8" xfId="0" applyFont="1" applyFill="1" applyBorder="1" applyAlignment="1" applyProtection="1">
      <alignment wrapText="1"/>
      <protection hidden="1"/>
    </xf>
    <xf numFmtId="0" fontId="10" fillId="0" borderId="9" xfId="0" applyFont="1" applyFill="1" applyBorder="1" applyAlignment="1" applyProtection="1">
      <alignment/>
      <protection hidden="1"/>
    </xf>
    <xf numFmtId="177" fontId="9" fillId="3" borderId="5" xfId="37" applyFont="1" applyBorder="1" applyAlignment="1" applyProtection="1">
      <alignment/>
      <protection/>
    </xf>
    <xf numFmtId="0" fontId="10" fillId="0" borderId="0" xfId="0" applyNumberFormat="1" applyFont="1" applyAlignment="1" applyProtection="1">
      <alignment/>
      <protection/>
    </xf>
    <xf numFmtId="3" fontId="9" fillId="0" borderId="0" xfId="0" applyNumberFormat="1" applyFont="1" applyAlignment="1" applyProtection="1">
      <alignment/>
      <protection hidden="1"/>
    </xf>
    <xf numFmtId="0" fontId="10" fillId="0" borderId="0" xfId="0" applyFont="1" applyAlignment="1" applyProtection="1">
      <alignment horizontal="center"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right" vertical="center"/>
      <protection/>
    </xf>
    <xf numFmtId="49" fontId="10" fillId="0" borderId="19" xfId="0" applyNumberFormat="1" applyFont="1" applyFill="1" applyBorder="1" applyAlignment="1" applyProtection="1">
      <alignment horizontal="left"/>
      <protection locked="0"/>
    </xf>
    <xf numFmtId="14" fontId="10" fillId="0" borderId="5" xfId="0" applyNumberFormat="1" applyFont="1" applyFill="1" applyBorder="1" applyAlignment="1" applyProtection="1">
      <alignment horizontal="left"/>
      <protection locked="0"/>
    </xf>
    <xf numFmtId="168" fontId="10" fillId="0" borderId="5" xfId="0" applyNumberFormat="1" applyFont="1" applyFill="1" applyBorder="1" applyAlignment="1" applyProtection="1">
      <alignment/>
      <protection locked="0"/>
    </xf>
    <xf numFmtId="49" fontId="10" fillId="0" borderId="5" xfId="34" applyNumberFormat="1" applyFont="1" applyFill="1" applyBorder="1" applyAlignment="1" applyProtection="1">
      <alignment horizontal="center"/>
      <protection locked="0"/>
    </xf>
    <xf numFmtId="3" fontId="10" fillId="0" borderId="5" xfId="34" applyNumberFormat="1" applyFont="1" applyFill="1" applyBorder="1" applyProtection="1">
      <alignment/>
      <protection locked="0"/>
    </xf>
    <xf numFmtId="0" fontId="10" fillId="0" borderId="5" xfId="0" applyNumberFormat="1" applyFont="1" applyFill="1" applyBorder="1" applyAlignment="1" applyProtection="1">
      <alignment horizontal="center"/>
      <protection locked="0"/>
    </xf>
    <xf numFmtId="171" fontId="10" fillId="0" borderId="5" xfId="34" applyNumberFormat="1" applyFont="1" applyFill="1" applyBorder="1" applyProtection="1">
      <alignment/>
      <protection/>
    </xf>
    <xf numFmtId="171" fontId="10" fillId="0" borderId="5" xfId="34" applyNumberFormat="1" applyFont="1" applyFill="1" applyBorder="1" applyProtection="1">
      <alignment/>
      <protection locked="0"/>
    </xf>
    <xf numFmtId="171" fontId="10" fillId="0" borderId="0" xfId="0" applyNumberFormat="1" applyFont="1" applyBorder="1" applyAlignment="1" applyProtection="1">
      <alignment/>
      <protection/>
    </xf>
    <xf numFmtId="171" fontId="10" fillId="0" borderId="0" xfId="0" applyNumberFormat="1" applyFont="1" applyAlignment="1" applyProtection="1">
      <alignment/>
      <protection/>
    </xf>
    <xf numFmtId="49" fontId="10" fillId="0" borderId="9" xfId="0" applyNumberFormat="1" applyFont="1" applyFill="1" applyBorder="1" applyAlignment="1" applyProtection="1">
      <alignment horizontal="left"/>
      <protection locked="0"/>
    </xf>
    <xf numFmtId="49" fontId="10" fillId="0" borderId="7" xfId="0" applyNumberFormat="1" applyFont="1" applyFill="1" applyBorder="1" applyAlignment="1" applyProtection="1">
      <alignment horizontal="left"/>
      <protection/>
    </xf>
    <xf numFmtId="14" fontId="10" fillId="0" borderId="8" xfId="0" applyNumberFormat="1" applyFont="1" applyFill="1" applyBorder="1" applyAlignment="1" applyProtection="1">
      <alignment horizontal="left"/>
      <protection/>
    </xf>
    <xf numFmtId="168" fontId="10" fillId="0" borderId="8" xfId="0" applyNumberFormat="1" applyFont="1" applyFill="1" applyBorder="1" applyAlignment="1" applyProtection="1">
      <alignment/>
      <protection/>
    </xf>
    <xf numFmtId="168" fontId="10" fillId="0" borderId="8" xfId="34" applyNumberFormat="1" applyFont="1" applyFill="1" applyBorder="1" applyProtection="1">
      <alignment/>
      <protection/>
    </xf>
    <xf numFmtId="49" fontId="10" fillId="0" borderId="9" xfId="34"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protection/>
    </xf>
    <xf numFmtId="0" fontId="10" fillId="0" borderId="8"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protection/>
    </xf>
    <xf numFmtId="37" fontId="9" fillId="3" borderId="6" xfId="0" applyNumberFormat="1" applyFont="1" applyFill="1" applyBorder="1" applyAlignment="1" applyProtection="1">
      <alignment/>
      <protection hidden="1"/>
    </xf>
    <xf numFmtId="0" fontId="9" fillId="3" borderId="22" xfId="0" applyFont="1" applyFill="1" applyBorder="1" applyAlignment="1" applyProtection="1">
      <alignment/>
      <protection hidden="1"/>
    </xf>
    <xf numFmtId="0" fontId="9" fillId="3" borderId="8" xfId="0" applyFont="1" applyFill="1" applyBorder="1" applyAlignment="1" applyProtection="1">
      <alignment/>
      <protection hidden="1"/>
    </xf>
    <xf numFmtId="177" fontId="9" fillId="3" borderId="8" xfId="37" applyFont="1" applyBorder="1" applyProtection="1">
      <alignment/>
      <protection hidden="1"/>
    </xf>
    <xf numFmtId="177" fontId="9" fillId="3" borderId="9" xfId="37" applyFont="1" applyBorder="1" applyProtection="1">
      <alignment/>
      <protection hidden="1"/>
    </xf>
    <xf numFmtId="179" fontId="9" fillId="3" borderId="6" xfId="37" applyNumberFormat="1" applyFont="1" applyBorder="1" applyProtection="1">
      <alignment/>
      <protection/>
    </xf>
    <xf numFmtId="179" fontId="9" fillId="3" borderId="6" xfId="34" applyNumberFormat="1" applyFont="1" applyFill="1" applyBorder="1" applyProtection="1">
      <alignment/>
      <protection/>
    </xf>
    <xf numFmtId="181" fontId="9" fillId="0" borderId="22" xfId="34" applyNumberFormat="1" applyFont="1" applyFill="1" applyBorder="1" applyProtection="1">
      <alignment/>
      <protection/>
    </xf>
    <xf numFmtId="181" fontId="9" fillId="0" borderId="17" xfId="34" applyNumberFormat="1" applyFont="1" applyFill="1" applyBorder="1" applyProtection="1">
      <alignment/>
      <protection/>
    </xf>
    <xf numFmtId="181" fontId="9" fillId="0" borderId="14" xfId="34" applyNumberFormat="1" applyFont="1" applyFill="1" applyBorder="1" applyProtection="1">
      <alignment/>
      <protection/>
    </xf>
    <xf numFmtId="171" fontId="9" fillId="0" borderId="0" xfId="37" applyNumberFormat="1" applyFont="1" applyFill="1" applyBorder="1" applyProtection="1">
      <alignment/>
      <protection/>
    </xf>
    <xf numFmtId="0" fontId="10" fillId="3" borderId="7" xfId="0" applyFont="1" applyFill="1" applyBorder="1" applyAlignment="1" applyProtection="1">
      <alignment horizontal="left"/>
      <protection hidden="1"/>
    </xf>
    <xf numFmtId="0" fontId="10" fillId="3" borderId="8" xfId="0" applyFont="1" applyFill="1" applyBorder="1" applyAlignment="1" applyProtection="1">
      <alignment horizontal="left"/>
      <protection hidden="1"/>
    </xf>
    <xf numFmtId="0" fontId="10" fillId="3" borderId="8" xfId="0" applyFont="1" applyFill="1" applyBorder="1" applyAlignment="1" applyProtection="1">
      <alignment horizontal="left"/>
      <protection/>
    </xf>
    <xf numFmtId="0" fontId="10" fillId="3" borderId="9" xfId="0" applyFont="1" applyFill="1" applyBorder="1" applyAlignment="1" applyProtection="1">
      <alignment horizontal="left"/>
      <protection/>
    </xf>
    <xf numFmtId="171" fontId="10" fillId="3" borderId="5" xfId="0" applyNumberFormat="1" applyFont="1" applyFill="1" applyBorder="1" applyAlignment="1" applyProtection="1">
      <alignment horizontal="left"/>
      <protection/>
    </xf>
    <xf numFmtId="171" fontId="10" fillId="0" borderId="5" xfId="36" applyNumberFormat="1" applyFont="1" applyFill="1" applyBorder="1" applyProtection="1">
      <alignment/>
      <protection locked="0"/>
    </xf>
    <xf numFmtId="0" fontId="10" fillId="3" borderId="7" xfId="0" applyFont="1" applyFill="1" applyBorder="1" applyAlignment="1" applyProtection="1">
      <alignment/>
      <protection hidden="1"/>
    </xf>
    <xf numFmtId="171" fontId="10" fillId="3" borderId="5" xfId="0" applyNumberFormat="1" applyFont="1" applyFill="1" applyBorder="1" applyAlignment="1" applyProtection="1">
      <alignment/>
      <protection/>
    </xf>
    <xf numFmtId="0" fontId="9" fillId="3" borderId="8" xfId="0" applyFont="1" applyFill="1" applyBorder="1" applyAlignment="1" applyProtection="1">
      <alignment horizontal="left"/>
      <protection hidden="1"/>
    </xf>
    <xf numFmtId="0" fontId="9" fillId="3" borderId="8" xfId="0" applyFont="1" applyFill="1" applyBorder="1" applyAlignment="1" applyProtection="1">
      <alignment horizontal="left"/>
      <protection/>
    </xf>
    <xf numFmtId="0" fontId="9" fillId="3" borderId="9" xfId="0" applyFont="1" applyFill="1" applyBorder="1" applyAlignment="1" applyProtection="1">
      <alignment horizontal="left"/>
      <protection/>
    </xf>
    <xf numFmtId="171" fontId="9" fillId="3" borderId="5" xfId="0" applyNumberFormat="1" applyFont="1" applyFill="1" applyBorder="1" applyAlignment="1" applyProtection="1">
      <alignment horizontal="left"/>
      <protection/>
    </xf>
    <xf numFmtId="171" fontId="9" fillId="0" borderId="0" xfId="0" applyNumberFormat="1" applyFont="1" applyAlignment="1" applyProtection="1">
      <alignment/>
      <protection/>
    </xf>
    <xf numFmtId="3" fontId="10" fillId="0" borderId="0" xfId="0" applyNumberFormat="1" applyFont="1" applyBorder="1" applyAlignment="1" applyProtection="1">
      <alignment horizontal="center"/>
      <protection/>
    </xf>
    <xf numFmtId="37" fontId="9" fillId="0" borderId="0" xfId="0" applyNumberFormat="1" applyFont="1" applyBorder="1" applyAlignment="1" applyProtection="1">
      <alignment horizontal="right"/>
      <protection/>
    </xf>
    <xf numFmtId="0" fontId="9" fillId="3" borderId="24" xfId="0" applyFont="1" applyFill="1" applyBorder="1" applyAlignment="1" applyProtection="1">
      <alignment horizontal="left" vertical="center"/>
      <protection hidden="1"/>
    </xf>
    <xf numFmtId="0" fontId="9" fillId="3" borderId="25" xfId="0" applyFont="1" applyFill="1" applyBorder="1" applyAlignment="1" applyProtection="1">
      <alignment horizontal="left" vertical="center"/>
      <protection hidden="1"/>
    </xf>
    <xf numFmtId="0" fontId="10" fillId="3" borderId="25" xfId="0" applyFont="1" applyFill="1" applyBorder="1" applyAlignment="1" applyProtection="1">
      <alignment horizontal="left"/>
      <protection hidden="1"/>
    </xf>
    <xf numFmtId="0" fontId="10" fillId="3" borderId="25" xfId="0" applyFont="1" applyFill="1" applyBorder="1" applyAlignment="1" applyProtection="1">
      <alignment/>
      <protection hidden="1"/>
    </xf>
    <xf numFmtId="177" fontId="10" fillId="3" borderId="25" xfId="0" applyNumberFormat="1" applyFont="1" applyFill="1" applyBorder="1" applyAlignment="1" applyProtection="1">
      <alignment/>
      <protection hidden="1"/>
    </xf>
    <xf numFmtId="3" fontId="10" fillId="3" borderId="25" xfId="0" applyNumberFormat="1" applyFont="1" applyFill="1" applyBorder="1" applyAlignment="1" applyProtection="1">
      <alignment horizontal="center"/>
      <protection hidden="1"/>
    </xf>
    <xf numFmtId="3" fontId="10" fillId="3" borderId="21" xfId="0" applyNumberFormat="1" applyFont="1" applyFill="1" applyBorder="1" applyAlignment="1" applyProtection="1">
      <alignment horizontal="center"/>
      <protection hidden="1"/>
    </xf>
    <xf numFmtId="0" fontId="10" fillId="3" borderId="23" xfId="0" applyFont="1" applyFill="1" applyBorder="1" applyAlignment="1" applyProtection="1">
      <alignment/>
      <protection/>
    </xf>
    <xf numFmtId="0" fontId="9" fillId="3" borderId="15" xfId="0" applyFont="1" applyFill="1" applyBorder="1" applyAlignment="1" applyProtection="1">
      <alignment/>
      <protection hidden="1"/>
    </xf>
    <xf numFmtId="3" fontId="9" fillId="3" borderId="15" xfId="0" applyNumberFormat="1" applyFont="1" applyFill="1" applyBorder="1" applyAlignment="1" applyProtection="1">
      <alignment/>
      <protection hidden="1"/>
    </xf>
    <xf numFmtId="0" fontId="10" fillId="3" borderId="15" xfId="0" applyFont="1" applyFill="1" applyBorder="1" applyAlignment="1" applyProtection="1">
      <alignment horizontal="center"/>
      <protection hidden="1"/>
    </xf>
    <xf numFmtId="0" fontId="10" fillId="3" borderId="26" xfId="0" applyFont="1" applyFill="1" applyBorder="1" applyAlignment="1" applyProtection="1">
      <alignment horizontal="center"/>
      <protection hidden="1"/>
    </xf>
    <xf numFmtId="0" fontId="10" fillId="3" borderId="13" xfId="0" applyFont="1" applyFill="1" applyBorder="1" applyAlignment="1" applyProtection="1">
      <alignment horizontal="center"/>
      <protection hidden="1"/>
    </xf>
    <xf numFmtId="177" fontId="10" fillId="0" borderId="11" xfId="34" applyFont="1" applyFill="1" applyBorder="1" applyAlignment="1" applyProtection="1">
      <alignment horizontal="right"/>
      <protection/>
    </xf>
    <xf numFmtId="177" fontId="10" fillId="0" borderId="19" xfId="34" applyFont="1" applyFill="1" applyBorder="1" applyAlignment="1" applyProtection="1">
      <alignment horizontal="right"/>
      <protection/>
    </xf>
    <xf numFmtId="171" fontId="10" fillId="0" borderId="19" xfId="34" applyNumberFormat="1" applyFont="1" applyFill="1" applyBorder="1" applyAlignment="1" applyProtection="1">
      <alignment horizontal="right"/>
      <protection/>
    </xf>
    <xf numFmtId="171" fontId="10" fillId="0" borderId="27" xfId="34" applyNumberFormat="1" applyFont="1" applyFill="1" applyBorder="1" applyProtection="1">
      <alignment/>
      <protection/>
    </xf>
    <xf numFmtId="177" fontId="10" fillId="0" borderId="0" xfId="0" applyNumberFormat="1" applyFont="1" applyBorder="1" applyAlignment="1" applyProtection="1">
      <alignment/>
      <protection/>
    </xf>
    <xf numFmtId="177" fontId="10" fillId="3" borderId="7" xfId="34" applyFont="1" applyFill="1" applyBorder="1" applyAlignment="1" applyProtection="1">
      <alignment horizontal="right"/>
      <protection/>
    </xf>
    <xf numFmtId="177" fontId="10" fillId="3" borderId="8" xfId="34" applyFont="1" applyFill="1" applyBorder="1" applyAlignment="1" applyProtection="1">
      <alignment horizontal="right"/>
      <protection/>
    </xf>
    <xf numFmtId="177" fontId="10" fillId="3" borderId="9" xfId="34" applyFont="1" applyFill="1" applyBorder="1" applyAlignment="1" applyProtection="1">
      <alignment horizontal="right"/>
      <protection/>
    </xf>
    <xf numFmtId="0" fontId="9" fillId="0" borderId="0" xfId="0" applyNumberFormat="1" applyFont="1" applyAlignment="1" applyProtection="1">
      <alignment/>
      <protection locked="0"/>
    </xf>
    <xf numFmtId="0" fontId="9" fillId="0" borderId="11" xfId="0" applyFont="1" applyFill="1" applyBorder="1" applyAlignment="1" applyProtection="1">
      <alignment/>
      <protection locked="0"/>
    </xf>
    <xf numFmtId="0" fontId="9" fillId="0" borderId="0" xfId="0" applyFont="1" applyAlignment="1" applyProtection="1">
      <alignment horizontal="center"/>
      <protection locked="0"/>
    </xf>
    <xf numFmtId="0" fontId="10" fillId="0" borderId="7" xfId="0" applyFont="1" applyFill="1" applyBorder="1" applyAlignment="1" applyProtection="1">
      <alignment/>
      <protection/>
    </xf>
    <xf numFmtId="0" fontId="10" fillId="0" borderId="8" xfId="0" applyFont="1" applyFill="1" applyBorder="1" applyAlignment="1" applyProtection="1">
      <alignment/>
      <protection/>
    </xf>
    <xf numFmtId="0" fontId="10" fillId="0" borderId="8" xfId="0" applyFont="1" applyFill="1" applyBorder="1" applyAlignment="1" applyProtection="1">
      <alignment horizontal="left"/>
      <protection/>
    </xf>
    <xf numFmtId="0" fontId="10" fillId="0" borderId="8" xfId="0" applyFont="1" applyFill="1" applyBorder="1" applyAlignment="1" applyProtection="1">
      <alignment/>
      <protection locked="0"/>
    </xf>
    <xf numFmtId="0" fontId="10" fillId="0" borderId="5" xfId="0" applyFont="1" applyFill="1" applyBorder="1" applyAlignment="1" applyProtection="1">
      <alignment/>
      <protection locked="0"/>
    </xf>
    <xf numFmtId="3" fontId="10" fillId="0" borderId="0" xfId="0" applyNumberFormat="1" applyFont="1" applyBorder="1" applyAlignment="1" applyProtection="1">
      <alignment horizontal="center"/>
      <protection locked="0"/>
    </xf>
    <xf numFmtId="3" fontId="10" fillId="0" borderId="5" xfId="0" applyNumberFormat="1" applyFont="1" applyFill="1" applyBorder="1" applyAlignment="1" applyProtection="1">
      <alignment/>
      <protection/>
    </xf>
    <xf numFmtId="0" fontId="10" fillId="0" borderId="8" xfId="0" applyFont="1" applyFill="1" applyBorder="1" applyAlignment="1" applyProtection="1">
      <alignment horizontal="left"/>
      <protection locked="0"/>
    </xf>
    <xf numFmtId="3" fontId="10" fillId="0" borderId="5" xfId="0" applyNumberFormat="1" applyFont="1" applyFill="1" applyBorder="1" applyAlignment="1" applyProtection="1">
      <alignment/>
      <protection locked="0"/>
    </xf>
    <xf numFmtId="0" fontId="9" fillId="3" borderId="7" xfId="0" applyFont="1" applyFill="1" applyBorder="1" applyAlignment="1" applyProtection="1">
      <alignment/>
      <protection locked="0"/>
    </xf>
    <xf numFmtId="0" fontId="9" fillId="3" borderId="8" xfId="0" applyFont="1" applyFill="1" applyBorder="1" applyAlignment="1" applyProtection="1">
      <alignment/>
      <protection locked="0"/>
    </xf>
    <xf numFmtId="0" fontId="9" fillId="3" borderId="8" xfId="0" applyFont="1" applyFill="1" applyBorder="1" applyAlignment="1" applyProtection="1">
      <alignment horizontal="left"/>
      <protection locked="0"/>
    </xf>
    <xf numFmtId="0" fontId="10" fillId="0" borderId="0" xfId="0" applyFont="1" applyAlignment="1" applyProtection="1">
      <alignment horizontal="left"/>
      <protection locked="0"/>
    </xf>
    <xf numFmtId="0" fontId="10" fillId="3" borderId="3" xfId="0" applyFont="1" applyFill="1" applyBorder="1" applyAlignment="1" applyProtection="1">
      <alignment/>
      <protection/>
    </xf>
    <xf numFmtId="14" fontId="9" fillId="3" borderId="3" xfId="0" applyNumberFormat="1" applyFont="1" applyFill="1" applyBorder="1" applyAlignment="1" applyProtection="1">
      <alignment horizontal="right" vertical="center"/>
      <protection hidden="1"/>
    </xf>
    <xf numFmtId="0" fontId="10" fillId="0" borderId="19" xfId="0" applyFont="1" applyFill="1" applyBorder="1" applyAlignment="1" applyProtection="1">
      <alignment horizontal="left"/>
      <protection hidden="1"/>
    </xf>
    <xf numFmtId="0" fontId="10" fillId="0" borderId="9" xfId="0" applyFont="1" applyFill="1" applyBorder="1" applyAlignment="1" applyProtection="1">
      <alignment horizontal="left"/>
      <protection hidden="1"/>
    </xf>
    <xf numFmtId="0" fontId="10" fillId="0" borderId="8" xfId="0" applyFont="1" applyFill="1" applyBorder="1" applyAlignment="1" applyProtection="1">
      <alignment horizontal="left"/>
      <protection hidden="1"/>
    </xf>
    <xf numFmtId="177" fontId="10" fillId="0" borderId="9" xfId="34" applyFont="1" applyBorder="1" applyProtection="1">
      <alignment/>
      <protection/>
    </xf>
    <xf numFmtId="183" fontId="10" fillId="0" borderId="6" xfId="36" applyNumberFormat="1" applyFont="1" applyFill="1" applyBorder="1" applyProtection="1">
      <alignment/>
      <protection/>
    </xf>
    <xf numFmtId="0" fontId="10" fillId="0" borderId="14" xfId="0" applyFont="1" applyFill="1" applyBorder="1" applyAlignment="1" applyProtection="1">
      <alignment/>
      <protection hidden="1"/>
    </xf>
    <xf numFmtId="183" fontId="10" fillId="0" borderId="6" xfId="36" applyNumberFormat="1" applyFont="1" applyFill="1" applyBorder="1" applyProtection="1">
      <alignment/>
      <protection locked="0"/>
    </xf>
    <xf numFmtId="37" fontId="10" fillId="0" borderId="0" xfId="0" applyNumberFormat="1" applyFont="1" applyAlignment="1" applyProtection="1">
      <alignment/>
      <protection hidden="1"/>
    </xf>
    <xf numFmtId="37" fontId="10" fillId="0" borderId="0" xfId="0" applyNumberFormat="1" applyFont="1" applyAlignment="1" applyProtection="1">
      <alignment/>
      <protection/>
    </xf>
    <xf numFmtId="37" fontId="10" fillId="0" borderId="0" xfId="0" applyNumberFormat="1" applyFont="1" applyFill="1" applyAlignment="1" applyProtection="1">
      <alignment vertical="center"/>
      <protection/>
    </xf>
    <xf numFmtId="0" fontId="10" fillId="3" borderId="10" xfId="0" applyFont="1" applyFill="1" applyBorder="1" applyAlignment="1" applyProtection="1">
      <alignment/>
      <protection/>
    </xf>
    <xf numFmtId="37" fontId="10" fillId="3" borderId="16" xfId="0" applyNumberFormat="1" applyFont="1" applyFill="1" applyBorder="1" applyAlignment="1" applyProtection="1">
      <alignment/>
      <protection/>
    </xf>
    <xf numFmtId="0" fontId="10" fillId="3" borderId="18" xfId="0" applyFont="1" applyFill="1" applyBorder="1" applyAlignment="1" applyProtection="1">
      <alignment/>
      <protection/>
    </xf>
    <xf numFmtId="37" fontId="9" fillId="3" borderId="3" xfId="0" applyNumberFormat="1" applyFont="1" applyFill="1" applyBorder="1" applyAlignment="1" applyProtection="1">
      <alignment horizontal="right"/>
      <protection hidden="1"/>
    </xf>
    <xf numFmtId="3" fontId="10" fillId="0" borderId="11" xfId="0" applyNumberFormat="1" applyFont="1" applyFill="1" applyBorder="1" applyAlignment="1" applyProtection="1" quotePrefix="1">
      <alignment horizontal="left"/>
      <protection hidden="1"/>
    </xf>
    <xf numFmtId="0" fontId="10" fillId="0" borderId="11" xfId="0" applyFont="1" applyFill="1" applyBorder="1" applyAlignment="1" applyProtection="1">
      <alignment/>
      <protection/>
    </xf>
    <xf numFmtId="0" fontId="10" fillId="0" borderId="19" xfId="0" applyFont="1" applyFill="1" applyBorder="1" applyAlignment="1" applyProtection="1">
      <alignment/>
      <protection/>
    </xf>
    <xf numFmtId="0" fontId="10" fillId="0" borderId="9" xfId="0" applyFont="1" applyFill="1" applyBorder="1" applyAlignment="1" applyProtection="1">
      <alignment/>
      <protection/>
    </xf>
    <xf numFmtId="3" fontId="10" fillId="0" borderId="8" xfId="0" applyNumberFormat="1" applyFont="1" applyFill="1" applyBorder="1" applyAlignment="1" applyProtection="1">
      <alignment horizontal="left"/>
      <protection hidden="1"/>
    </xf>
    <xf numFmtId="3" fontId="10" fillId="0" borderId="17" xfId="0" applyNumberFormat="1" applyFont="1" applyFill="1" applyBorder="1" applyAlignment="1" applyProtection="1">
      <alignment horizontal="left"/>
      <protection hidden="1"/>
    </xf>
    <xf numFmtId="0" fontId="10" fillId="0" borderId="17" xfId="0" applyFont="1" applyFill="1" applyBorder="1" applyAlignment="1" applyProtection="1">
      <alignment/>
      <protection/>
    </xf>
    <xf numFmtId="0" fontId="10" fillId="0" borderId="14" xfId="0" applyFont="1" applyFill="1" applyBorder="1" applyAlignment="1" applyProtection="1">
      <alignment/>
      <protection/>
    </xf>
    <xf numFmtId="0" fontId="9" fillId="0" borderId="0" xfId="0" applyFont="1" applyBorder="1" applyAlignment="1" applyProtection="1">
      <alignment/>
      <protection locked="0"/>
    </xf>
    <xf numFmtId="0" fontId="10" fillId="0" borderId="0" xfId="0" applyFont="1" applyBorder="1" applyAlignment="1" applyProtection="1">
      <alignment/>
      <protection locked="0"/>
    </xf>
    <xf numFmtId="0" fontId="9" fillId="0" borderId="0" xfId="0" applyNumberFormat="1" applyFont="1" applyBorder="1" applyAlignment="1" applyProtection="1">
      <alignment/>
      <protection locked="0"/>
    </xf>
    <xf numFmtId="0" fontId="10" fillId="0" borderId="0" xfId="0" applyFont="1" applyBorder="1" applyAlignment="1" applyProtection="1">
      <alignment/>
      <protection locked="0"/>
    </xf>
    <xf numFmtId="0" fontId="10" fillId="0" borderId="17" xfId="0" applyFont="1" applyBorder="1" applyAlignment="1">
      <alignment/>
    </xf>
    <xf numFmtId="0" fontId="16" fillId="0" borderId="0" xfId="0" applyFont="1" applyAlignment="1" applyProtection="1">
      <alignment/>
      <protection/>
    </xf>
    <xf numFmtId="0" fontId="16" fillId="0" borderId="17" xfId="0" applyFont="1" applyBorder="1" applyAlignment="1" applyProtection="1">
      <alignment/>
      <protection/>
    </xf>
    <xf numFmtId="0" fontId="17" fillId="0" borderId="0" xfId="0" applyFont="1" applyAlignment="1">
      <alignment/>
    </xf>
    <xf numFmtId="0" fontId="17" fillId="0" borderId="0" xfId="0" applyFont="1" applyAlignment="1" applyProtection="1">
      <alignment/>
      <protection hidden="1"/>
    </xf>
    <xf numFmtId="0" fontId="17" fillId="0" borderId="0" xfId="0" applyNumberFormat="1" applyFont="1" applyBorder="1" applyAlignment="1" applyProtection="1">
      <alignment/>
      <protection hidden="1"/>
    </xf>
    <xf numFmtId="0" fontId="17" fillId="0" borderId="0" xfId="0" applyNumberFormat="1" applyFont="1" applyBorder="1" applyAlignment="1" applyProtection="1">
      <alignment/>
      <protection/>
    </xf>
    <xf numFmtId="37" fontId="15" fillId="5" borderId="0" xfId="0" applyNumberFormat="1" applyFont="1" applyFill="1" applyBorder="1" applyAlignment="1" applyProtection="1">
      <alignment/>
      <protection hidden="1"/>
    </xf>
    <xf numFmtId="0" fontId="15" fillId="5" borderId="0" xfId="0" applyFont="1" applyFill="1" applyBorder="1" applyAlignment="1" applyProtection="1">
      <alignment horizontal="left"/>
      <protection hidden="1"/>
    </xf>
    <xf numFmtId="0" fontId="15" fillId="5" borderId="0" xfId="0" applyFont="1" applyFill="1" applyBorder="1" applyAlignment="1" applyProtection="1">
      <alignment horizontal="left"/>
      <protection/>
    </xf>
    <xf numFmtId="171" fontId="15" fillId="5" borderId="0" xfId="0" applyNumberFormat="1" applyFont="1" applyFill="1" applyBorder="1" applyAlignment="1" applyProtection="1">
      <alignment horizontal="left"/>
      <protection/>
    </xf>
    <xf numFmtId="171" fontId="15" fillId="5" borderId="0" xfId="37" applyNumberFormat="1" applyFont="1" applyFill="1" applyBorder="1" applyProtection="1">
      <alignment/>
      <protection/>
    </xf>
    <xf numFmtId="3" fontId="15" fillId="3" borderId="12" xfId="0" applyNumberFormat="1" applyFont="1" applyFill="1" applyBorder="1" applyAlignment="1" applyProtection="1">
      <alignment horizontal="center" vertical="center"/>
      <protection hidden="1"/>
    </xf>
    <xf numFmtId="3" fontId="15" fillId="3" borderId="25" xfId="0" applyNumberFormat="1" applyFont="1" applyFill="1" applyBorder="1" applyAlignment="1" applyProtection="1">
      <alignment horizontal="center" vertical="center"/>
      <protection hidden="1"/>
    </xf>
    <xf numFmtId="3" fontId="15" fillId="3" borderId="24" xfId="0" applyNumberFormat="1" applyFont="1" applyFill="1" applyBorder="1" applyAlignment="1" applyProtection="1">
      <alignment horizontal="center" vertical="center"/>
      <protection hidden="1"/>
    </xf>
    <xf numFmtId="0" fontId="15" fillId="3" borderId="12" xfId="0" applyFont="1" applyFill="1" applyBorder="1" applyAlignment="1" applyProtection="1">
      <alignment horizontal="center" vertical="center"/>
      <protection hidden="1"/>
    </xf>
    <xf numFmtId="3" fontId="15" fillId="3" borderId="13" xfId="0" applyNumberFormat="1" applyFont="1" applyFill="1" applyBorder="1" applyAlignment="1" applyProtection="1">
      <alignment horizontal="left" vertical="center"/>
      <protection hidden="1"/>
    </xf>
    <xf numFmtId="3" fontId="15" fillId="3" borderId="15" xfId="0" applyNumberFormat="1" applyFont="1" applyFill="1" applyBorder="1" applyAlignment="1" applyProtection="1">
      <alignment horizontal="center" vertical="center"/>
      <protection hidden="1"/>
    </xf>
    <xf numFmtId="3" fontId="15" fillId="3" borderId="13" xfId="0" applyNumberFormat="1" applyFont="1" applyFill="1" applyBorder="1" applyAlignment="1" applyProtection="1">
      <alignment horizontal="center" vertical="center"/>
      <protection hidden="1"/>
    </xf>
    <xf numFmtId="2" fontId="15" fillId="3" borderId="13" xfId="0" applyNumberFormat="1" applyFont="1" applyFill="1" applyBorder="1" applyAlignment="1" applyProtection="1">
      <alignment horizontal="center" vertical="center"/>
      <protection hidden="1"/>
    </xf>
    <xf numFmtId="3" fontId="15" fillId="3" borderId="3" xfId="0" applyNumberFormat="1" applyFont="1" applyFill="1" applyBorder="1" applyAlignment="1" applyProtection="1">
      <alignment horizontal="center" vertical="center"/>
      <protection hidden="1"/>
    </xf>
    <xf numFmtId="0" fontId="15" fillId="3" borderId="13" xfId="0" applyFont="1" applyFill="1" applyBorder="1" applyAlignment="1" applyProtection="1">
      <alignment horizontal="center" vertical="center"/>
      <protection hidden="1"/>
    </xf>
    <xf numFmtId="0" fontId="10" fillId="0" borderId="11" xfId="0" applyFont="1" applyBorder="1" applyAlignment="1" applyProtection="1">
      <alignment/>
      <protection/>
    </xf>
    <xf numFmtId="0" fontId="9" fillId="3" borderId="8" xfId="0" applyFont="1" applyFill="1" applyBorder="1" applyAlignment="1" applyProtection="1">
      <alignment/>
      <protection hidden="1"/>
    </xf>
    <xf numFmtId="0" fontId="19" fillId="0" borderId="0" xfId="0" applyNumberFormat="1" applyFont="1" applyBorder="1" applyAlignment="1" applyProtection="1">
      <alignment horizontal="left"/>
      <protection hidden="1"/>
    </xf>
    <xf numFmtId="177" fontId="9" fillId="3" borderId="5" xfId="37" applyFont="1" applyBorder="1" applyAlignment="1" applyProtection="1">
      <alignment horizontal="right"/>
      <protection/>
    </xf>
    <xf numFmtId="37" fontId="9" fillId="3" borderId="16" xfId="0" applyNumberFormat="1" applyFont="1" applyFill="1" applyBorder="1" applyAlignment="1" applyProtection="1">
      <alignment/>
      <protection hidden="1"/>
    </xf>
    <xf numFmtId="0" fontId="9" fillId="3" borderId="8" xfId="32" applyFont="1" applyFill="1" applyBorder="1" applyProtection="1">
      <alignment/>
      <protection hidden="1"/>
    </xf>
    <xf numFmtId="0" fontId="9" fillId="3" borderId="8" xfId="32" applyFont="1" applyFill="1" applyBorder="1" applyAlignment="1" applyProtection="1">
      <alignment/>
      <protection hidden="1"/>
    </xf>
    <xf numFmtId="0" fontId="9" fillId="3" borderId="16" xfId="0" applyFont="1" applyFill="1" applyBorder="1" applyAlignment="1" applyProtection="1">
      <alignment/>
      <protection/>
    </xf>
    <xf numFmtId="0" fontId="10" fillId="0" borderId="18" xfId="0" applyFont="1" applyFill="1" applyBorder="1" applyAlignment="1" applyProtection="1">
      <alignment/>
      <protection/>
    </xf>
    <xf numFmtId="198" fontId="10" fillId="0" borderId="5" xfId="0" applyNumberFormat="1" applyFont="1" applyFill="1" applyBorder="1" applyAlignment="1" applyProtection="1">
      <alignment horizontal="center" vertical="center"/>
      <protection locked="0"/>
    </xf>
    <xf numFmtId="49" fontId="11" fillId="0" borderId="0" xfId="0" applyNumberFormat="1" applyFont="1" applyBorder="1" applyAlignment="1" applyProtection="1">
      <alignment vertical="center"/>
      <protection hidden="1"/>
    </xf>
    <xf numFmtId="49" fontId="11" fillId="0" borderId="15" xfId="0" applyNumberFormat="1" applyFont="1" applyBorder="1" applyAlignment="1" applyProtection="1">
      <alignment vertical="center"/>
      <protection hidden="1"/>
    </xf>
    <xf numFmtId="0" fontId="9" fillId="0" borderId="0" xfId="33" applyFont="1" applyFill="1" applyBorder="1" applyAlignment="1" applyProtection="1">
      <alignment horizontal="center" vertical="center"/>
      <protection/>
    </xf>
    <xf numFmtId="37" fontId="10" fillId="0" borderId="8" xfId="0" applyNumberFormat="1" applyFont="1" applyFill="1" applyBorder="1" applyAlignment="1" applyProtection="1">
      <alignment horizontal="left" vertical="center"/>
      <protection/>
    </xf>
    <xf numFmtId="177" fontId="10" fillId="0" borderId="6" xfId="34" applyFont="1" applyFill="1" applyBorder="1" applyProtection="1" quotePrefix="1">
      <alignment/>
      <protection locked="0"/>
    </xf>
    <xf numFmtId="0" fontId="20" fillId="0" borderId="0" xfId="0" applyFont="1" applyBorder="1" applyAlignment="1" applyProtection="1">
      <alignment/>
      <protection hidden="1"/>
    </xf>
    <xf numFmtId="0" fontId="17" fillId="0" borderId="0" xfId="0" applyFont="1" applyAlignment="1">
      <alignment horizontal="justify" vertical="top" wrapText="1"/>
    </xf>
    <xf numFmtId="0" fontId="9" fillId="3" borderId="5" xfId="0" applyNumberFormat="1" applyFont="1" applyFill="1" applyBorder="1" applyAlignment="1" applyProtection="1">
      <alignment horizontal="center"/>
      <protection hidden="1"/>
    </xf>
    <xf numFmtId="0" fontId="9" fillId="3" borderId="5" xfId="0" applyFont="1" applyFill="1" applyBorder="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alignment horizontal="center"/>
      <protection hidden="1"/>
    </xf>
    <xf numFmtId="0" fontId="9" fillId="0" borderId="0" xfId="0" applyNumberFormat="1" applyFont="1" applyAlignment="1" applyProtection="1">
      <alignment horizontal="center"/>
      <protection/>
    </xf>
    <xf numFmtId="0" fontId="9" fillId="0" borderId="0" xfId="0" applyNumberFormat="1" applyFont="1" applyBorder="1" applyAlignment="1" applyProtection="1">
      <alignment horizontal="center"/>
      <protection hidden="1"/>
    </xf>
    <xf numFmtId="0" fontId="9" fillId="0" borderId="0" xfId="0" applyNumberFormat="1" applyFont="1" applyBorder="1" applyAlignment="1" applyProtection="1">
      <alignment horizontal="center" vertical="center"/>
      <protection hidden="1"/>
    </xf>
    <xf numFmtId="0" fontId="10" fillId="0" borderId="0" xfId="0" applyFont="1" applyAlignment="1" applyProtection="1">
      <alignment horizontal="center"/>
      <protection/>
    </xf>
    <xf numFmtId="0" fontId="9" fillId="0" borderId="0" xfId="0" applyNumberFormat="1" applyFont="1" applyAlignment="1" applyProtection="1">
      <alignment horizontal="center"/>
      <protection hidden="1"/>
    </xf>
    <xf numFmtId="0" fontId="9" fillId="3" borderId="5" xfId="0" applyNumberFormat="1" applyFont="1" applyFill="1" applyBorder="1" applyAlignment="1" applyProtection="1">
      <alignment horizontal="center" wrapText="1"/>
      <protection hidden="1"/>
    </xf>
    <xf numFmtId="0" fontId="9" fillId="0" borderId="0" xfId="0" applyNumberFormat="1" applyFont="1" applyAlignment="1" applyProtection="1">
      <alignment horizontal="center" vertical="center"/>
      <protection hidden="1"/>
    </xf>
    <xf numFmtId="0" fontId="10" fillId="0" borderId="0" xfId="0" applyNumberFormat="1" applyFont="1" applyBorder="1" applyAlignment="1" applyProtection="1">
      <alignment horizontal="center"/>
      <protection/>
    </xf>
    <xf numFmtId="0" fontId="9" fillId="0" borderId="0" xfId="0" applyNumberFormat="1" applyFont="1" applyAlignment="1" applyProtection="1">
      <alignment horizontal="center"/>
      <protection locked="0"/>
    </xf>
    <xf numFmtId="49" fontId="12" fillId="0" borderId="0" xfId="0" applyNumberFormat="1" applyFont="1" applyFill="1" applyBorder="1" applyAlignment="1" applyProtection="1">
      <alignment horizontal="center"/>
      <protection locked="0"/>
    </xf>
    <xf numFmtId="10" fontId="10" fillId="0" borderId="5" xfId="0" applyNumberFormat="1" applyFont="1" applyFill="1" applyBorder="1" applyAlignment="1" applyProtection="1">
      <alignment horizontal="center"/>
      <protection/>
    </xf>
    <xf numFmtId="37" fontId="9" fillId="3" borderId="25" xfId="0" applyNumberFormat="1" applyFont="1" applyFill="1" applyBorder="1" applyAlignment="1" applyProtection="1">
      <alignment horizontal="center" vertical="center"/>
      <protection hidden="1"/>
    </xf>
    <xf numFmtId="37" fontId="9" fillId="3" borderId="21" xfId="0" applyNumberFormat="1" applyFont="1" applyFill="1" applyBorder="1" applyAlignment="1" applyProtection="1">
      <alignment horizontal="center" vertical="center"/>
      <protection hidden="1"/>
    </xf>
    <xf numFmtId="37" fontId="9" fillId="3" borderId="28" xfId="0" applyNumberFormat="1" applyFont="1" applyFill="1" applyBorder="1" applyAlignment="1" applyProtection="1">
      <alignment horizontal="center" vertical="center"/>
      <protection hidden="1"/>
    </xf>
    <xf numFmtId="37" fontId="9" fillId="3" borderId="0" xfId="0" applyNumberFormat="1" applyFont="1" applyFill="1" applyBorder="1" applyAlignment="1" applyProtection="1">
      <alignment horizontal="center" vertical="center"/>
      <protection hidden="1"/>
    </xf>
    <xf numFmtId="37" fontId="9" fillId="3" borderId="29" xfId="0" applyNumberFormat="1" applyFont="1" applyFill="1" applyBorder="1" applyAlignment="1" applyProtection="1">
      <alignment horizontal="center" vertical="center"/>
      <protection hidden="1"/>
    </xf>
    <xf numFmtId="0" fontId="9" fillId="0" borderId="11" xfId="33" applyFont="1" applyFill="1" applyBorder="1" applyAlignment="1" applyProtection="1">
      <alignment vertical="center"/>
      <protection/>
    </xf>
    <xf numFmtId="0" fontId="0" fillId="0" borderId="19" xfId="0" applyBorder="1" applyAlignment="1">
      <alignment/>
    </xf>
    <xf numFmtId="37" fontId="10" fillId="0" borderId="0" xfId="0" applyNumberFormat="1" applyFont="1" applyAlignment="1" applyProtection="1">
      <alignment vertical="center" wrapText="1"/>
      <protection hidden="1"/>
    </xf>
    <xf numFmtId="0" fontId="10" fillId="0" borderId="0" xfId="0" applyNumberFormat="1" applyFont="1" applyAlignment="1" applyProtection="1">
      <alignment vertical="center" wrapText="1"/>
      <protection hidden="1"/>
    </xf>
    <xf numFmtId="0" fontId="10" fillId="0" borderId="0" xfId="0" applyFont="1" applyAlignment="1" applyProtection="1">
      <alignment horizontal="justify" vertical="top"/>
      <protection hidden="1"/>
    </xf>
    <xf numFmtId="0" fontId="10" fillId="0" borderId="0" xfId="0" applyFont="1" applyAlignment="1" applyProtection="1">
      <alignment horizontal="justify" vertical="top" wrapText="1"/>
      <protection hidden="1"/>
    </xf>
    <xf numFmtId="0" fontId="10" fillId="0" borderId="0" xfId="0" applyFont="1" applyAlignment="1">
      <alignment horizontal="justify" vertical="top" wrapText="1"/>
    </xf>
    <xf numFmtId="0" fontId="10" fillId="0" borderId="0" xfId="0" applyFont="1" applyAlignment="1" applyProtection="1">
      <alignment horizontal="left" vertical="top" wrapText="1"/>
      <protection hidden="1"/>
    </xf>
    <xf numFmtId="0" fontId="10" fillId="0" borderId="0" xfId="0" applyNumberFormat="1" applyFont="1" applyAlignment="1" applyProtection="1">
      <alignment horizontal="justify" vertical="top" wrapText="1"/>
      <protection hidden="1"/>
    </xf>
    <xf numFmtId="0" fontId="10" fillId="0" borderId="0" xfId="0" applyFont="1" applyAlignment="1" applyProtection="1" quotePrefix="1">
      <alignment horizontal="justify" vertical="top" wrapText="1"/>
      <protection hidden="1"/>
    </xf>
    <xf numFmtId="0" fontId="10" fillId="0" borderId="0" xfId="0" applyFont="1" applyAlignment="1" applyProtection="1" quotePrefix="1">
      <alignment horizontal="justify" vertical="top"/>
      <protection hidden="1"/>
    </xf>
    <xf numFmtId="0" fontId="10" fillId="0" borderId="0" xfId="0" applyFont="1" applyAlignment="1" applyProtection="1" quotePrefix="1">
      <alignment horizontal="left" vertical="top" wrapText="1"/>
      <protection hidden="1"/>
    </xf>
    <xf numFmtId="37" fontId="9" fillId="3" borderId="24" xfId="0" applyNumberFormat="1" applyFont="1" applyFill="1" applyBorder="1" applyAlignment="1" applyProtection="1">
      <alignment horizontal="center" vertical="center" wrapText="1"/>
      <protection hidden="1"/>
    </xf>
    <xf numFmtId="0" fontId="10" fillId="3" borderId="21" xfId="0" applyFont="1" applyFill="1" applyBorder="1" applyAlignment="1" applyProtection="1">
      <alignment horizontal="center" vertical="center" wrapText="1"/>
      <protection hidden="1"/>
    </xf>
    <xf numFmtId="37" fontId="9" fillId="3" borderId="25" xfId="0" applyNumberFormat="1" applyFont="1" applyFill="1" applyBorder="1" applyAlignment="1" applyProtection="1">
      <alignment horizontal="center" vertical="center" wrapText="1"/>
      <protection hidden="1"/>
    </xf>
    <xf numFmtId="37" fontId="9" fillId="3" borderId="24" xfId="0" applyNumberFormat="1" applyFont="1" applyFill="1" applyBorder="1" applyAlignment="1" applyProtection="1">
      <alignment horizontal="center" vertical="center"/>
      <protection hidden="1"/>
    </xf>
    <xf numFmtId="37" fontId="9" fillId="3" borderId="12" xfId="0" applyNumberFormat="1" applyFont="1" applyFill="1" applyBorder="1" applyAlignment="1" applyProtection="1">
      <alignment horizontal="center" vertical="center" wrapText="1"/>
      <protection hidden="1"/>
    </xf>
    <xf numFmtId="0" fontId="10" fillId="0" borderId="2" xfId="0" applyFont="1" applyBorder="1" applyAlignment="1">
      <alignment horizontal="center" vertical="center" wrapText="1"/>
    </xf>
    <xf numFmtId="0" fontId="10" fillId="0" borderId="13" xfId="0" applyFont="1" applyBorder="1" applyAlignment="1">
      <alignment horizontal="center" vertical="center" wrapText="1"/>
    </xf>
    <xf numFmtId="0" fontId="17" fillId="0" borderId="0" xfId="0" applyFont="1" applyAlignment="1" applyProtection="1">
      <alignment horizontal="justify" vertical="top" wrapText="1"/>
      <protection hidden="1"/>
    </xf>
    <xf numFmtId="0" fontId="17" fillId="0" borderId="0" xfId="0" applyFont="1" applyAlignment="1">
      <alignment horizontal="justify" vertical="top" wrapText="1"/>
    </xf>
    <xf numFmtId="177" fontId="10" fillId="0" borderId="11" xfId="34" applyFont="1" applyFill="1" applyBorder="1" applyAlignment="1" applyProtection="1">
      <alignment horizontal="right"/>
      <protection/>
    </xf>
    <xf numFmtId="3" fontId="15" fillId="3" borderId="10" xfId="0" applyNumberFormat="1" applyFont="1" applyFill="1" applyBorder="1" applyAlignment="1" applyProtection="1">
      <alignment horizontal="center" vertical="center" wrapText="1"/>
      <protection hidden="1"/>
    </xf>
    <xf numFmtId="3" fontId="15" fillId="3" borderId="16" xfId="0" applyNumberFormat="1" applyFont="1" applyFill="1" applyBorder="1" applyAlignment="1" applyProtection="1">
      <alignment horizontal="center" vertical="center" wrapText="1"/>
      <protection hidden="1"/>
    </xf>
    <xf numFmtId="3" fontId="15" fillId="3" borderId="18" xfId="0" applyNumberFormat="1" applyFont="1" applyFill="1" applyBorder="1" applyAlignment="1" applyProtection="1">
      <alignment horizontal="center" vertical="center" wrapText="1"/>
      <protection hidden="1"/>
    </xf>
    <xf numFmtId="0" fontId="17" fillId="0" borderId="0" xfId="0" applyNumberFormat="1" applyFont="1" applyBorder="1" applyAlignment="1" applyProtection="1">
      <alignment horizontal="justify" vertical="top" wrapText="1"/>
      <protection/>
    </xf>
    <xf numFmtId="0" fontId="0" fillId="0" borderId="0" xfId="0" applyAlignment="1">
      <alignment horizontal="justify" vertical="top" wrapText="1"/>
    </xf>
    <xf numFmtId="0" fontId="17" fillId="3" borderId="16" xfId="0" applyFont="1" applyFill="1" applyBorder="1" applyAlignment="1" applyProtection="1">
      <alignment horizontal="center" vertical="center" wrapText="1"/>
      <protection hidden="1"/>
    </xf>
    <xf numFmtId="0" fontId="17" fillId="3" borderId="18" xfId="0" applyFont="1" applyFill="1" applyBorder="1" applyAlignment="1" applyProtection="1">
      <alignment horizontal="center" vertical="center" wrapText="1"/>
      <protection hidden="1"/>
    </xf>
    <xf numFmtId="0" fontId="10" fillId="3" borderId="15" xfId="0" applyFont="1" applyFill="1" applyBorder="1" applyAlignment="1" applyProtection="1">
      <alignment horizontal="center"/>
      <protection hidden="1"/>
    </xf>
    <xf numFmtId="0" fontId="10" fillId="3" borderId="15" xfId="0" applyFont="1" applyFill="1" applyBorder="1" applyAlignment="1" applyProtection="1">
      <alignment/>
      <protection hidden="1"/>
    </xf>
    <xf numFmtId="177" fontId="10" fillId="0" borderId="11" xfId="34" applyFont="1" applyFill="1" applyBorder="1" applyAlignment="1" applyProtection="1">
      <alignment/>
      <protection/>
    </xf>
  </cellXfs>
  <cellStyles count="33">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Standaard_APZ Nacalculatie1998" xfId="32"/>
    <cellStyle name="Standaard_Concept nac 2004 ent II" xfId="33"/>
    <cellStyle name="Tabelstandaard" xfId="34"/>
    <cellStyle name="Tabelstandaard financieel" xfId="35"/>
    <cellStyle name="Tabelstandaard negatief" xfId="36"/>
    <cellStyle name="Tabelstandaard Totaal" xfId="37"/>
    <cellStyle name="Tabelstandaard Totaal Negatief" xfId="38"/>
    <cellStyle name="Tabelstandaard Totaal_Afschrijvingen 2003 vzh" xfId="39"/>
    <cellStyle name="Tabelstandaard_Afschrijvingen 2003 vzh" xfId="40"/>
    <cellStyle name="Table  - Opmaakprofiel6" xfId="41"/>
    <cellStyle name="Title  - Opmaakprofiel1" xfId="42"/>
    <cellStyle name="TotCol - Opmaakprofiel5" xfId="43"/>
    <cellStyle name="TotRow - Opmaakprofiel4" xfId="44"/>
    <cellStyle name="Currency" xfId="45"/>
    <cellStyle name="Currency [0]" xfId="46"/>
  </cellStyles>
  <dxfs count="5">
    <dxf>
      <font>
        <color rgb="FFFFFFFF"/>
      </font>
      <fill>
        <patternFill>
          <bgColor rgb="FF0000FF"/>
        </patternFill>
      </fill>
      <border/>
    </dxf>
    <dxf>
      <fill>
        <patternFill>
          <bgColor rgb="FFFFFFCC"/>
        </patternFill>
      </fill>
      <border/>
    </dxf>
    <dxf>
      <fill>
        <patternFill>
          <bgColor rgb="FFD7DCEF"/>
        </patternFill>
      </fill>
      <border/>
    </dxf>
    <dxf>
      <font>
        <color auto="1"/>
      </font>
      <border/>
    </dxf>
    <dxf>
      <font>
        <color rgb="FFFFFFFF"/>
      </font>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7DCEF"/>
      <rgbColor rgb="00E2DCD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by\LOCALS~1\Temp\M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Blad12"/>
  <dimension ref="A1:N37"/>
  <sheetViews>
    <sheetView showGridLines="0" tabSelected="1" zoomScale="95" zoomScaleNormal="95" workbookViewId="0" topLeftCell="A1">
      <selection activeCell="D4" sqref="D4"/>
    </sheetView>
  </sheetViews>
  <sheetFormatPr defaultColWidth="9.140625" defaultRowHeight="12.75"/>
  <cols>
    <col min="1" max="1" width="5.7109375" style="95" customWidth="1"/>
    <col min="2" max="2" width="31.421875" style="8" customWidth="1"/>
    <col min="3" max="3" width="8.7109375" style="8" customWidth="1"/>
    <col min="4" max="4" width="10.28125" style="8" customWidth="1"/>
    <col min="5" max="5" width="11.7109375" style="8" customWidth="1"/>
    <col min="6" max="6" width="9.57421875" style="8" customWidth="1"/>
    <col min="7" max="7" width="11.57421875" style="8" customWidth="1"/>
    <col min="8" max="8" width="18.7109375" style="130" customWidth="1"/>
    <col min="9" max="9" width="16.7109375" style="6" customWidth="1"/>
    <col min="10" max="10" width="16.7109375" style="8" customWidth="1"/>
    <col min="11" max="11" width="12.421875" style="8" customWidth="1"/>
    <col min="12" max="12" width="12.140625" style="8" customWidth="1"/>
    <col min="13" max="13" width="3.421875" style="8" customWidth="1"/>
    <col min="14" max="14" width="9.00390625" style="62" bestFit="1" customWidth="1"/>
    <col min="15" max="16384" width="9.140625" style="8" customWidth="1"/>
  </cols>
  <sheetData>
    <row r="1" spans="1:14" ht="20.25" customHeight="1">
      <c r="A1" s="355" t="str">
        <f>CONCATENATE("GGZ CALCULATIEMODEL RENTEKOSTEN ",J1)</f>
        <v>GGZ CALCULATIEMODEL RENTEKOSTEN 2008</v>
      </c>
      <c r="B1" s="39"/>
      <c r="C1" s="39"/>
      <c r="D1" s="39"/>
      <c r="E1" s="39"/>
      <c r="F1" s="39"/>
      <c r="G1" s="39"/>
      <c r="H1" s="22" t="s">
        <v>164</v>
      </c>
      <c r="J1" s="368">
        <v>2008</v>
      </c>
      <c r="K1" s="39"/>
      <c r="L1" s="39"/>
      <c r="M1" s="135"/>
      <c r="N1" s="136"/>
    </row>
    <row r="2" spans="1:14" s="73" customFormat="1" ht="12.75" customHeight="1">
      <c r="A2" s="39"/>
      <c r="B2" s="39"/>
      <c r="C2" s="39"/>
      <c r="D2" s="39"/>
      <c r="E2" s="39"/>
      <c r="F2" s="39"/>
      <c r="G2" s="39"/>
      <c r="H2" s="39"/>
      <c r="I2" s="134"/>
      <c r="J2" s="39"/>
      <c r="K2" s="39"/>
      <c r="L2" s="39"/>
      <c r="M2" s="135"/>
      <c r="N2" s="136"/>
    </row>
    <row r="3" spans="1:14" s="73" customFormat="1" ht="12.75" customHeight="1">
      <c r="A3" s="390" t="str">
        <f>IF(OR('Rentecalc.'!$D4=0),"Vul hier het NZa-nummer in.","")</f>
        <v>Vul hier het NZa-nummer in.</v>
      </c>
      <c r="B3" s="391"/>
      <c r="C3" s="66" t="s">
        <v>157</v>
      </c>
      <c r="D3" s="67" t="s">
        <v>156</v>
      </c>
      <c r="E3" s="365"/>
      <c r="F3" s="365"/>
      <c r="G3" s="365"/>
      <c r="H3" s="8"/>
      <c r="I3" s="72" t="str">
        <f>IF(I4=TRUE,"      Invulvelden gearceerd","      Invulvelden niet gearceerd")</f>
        <v>      Invulvelden gearceerd</v>
      </c>
      <c r="J3" s="361"/>
      <c r="K3" s="39"/>
      <c r="L3" s="39"/>
      <c r="M3" s="135"/>
      <c r="N3" s="136"/>
    </row>
    <row r="4" spans="1:14" s="73" customFormat="1" ht="12.75" customHeight="1">
      <c r="A4" s="68" t="s">
        <v>35</v>
      </c>
      <c r="B4" s="83"/>
      <c r="C4" s="71">
        <v>120</v>
      </c>
      <c r="D4" s="362"/>
      <c r="E4" s="365"/>
      <c r="F4" s="365"/>
      <c r="G4" s="365"/>
      <c r="H4" s="39"/>
      <c r="I4" s="383" t="b">
        <v>1</v>
      </c>
      <c r="J4" s="39"/>
      <c r="K4" s="39"/>
      <c r="L4" s="39"/>
      <c r="M4" s="135"/>
      <c r="N4" s="136"/>
    </row>
    <row r="5" spans="1:14" s="73" customFormat="1" ht="12.75" customHeight="1">
      <c r="A5" s="39"/>
      <c r="B5" s="39"/>
      <c r="C5" s="39"/>
      <c r="D5" s="39"/>
      <c r="E5" s="39"/>
      <c r="F5" s="39"/>
      <c r="G5" s="39"/>
      <c r="H5" s="39"/>
      <c r="I5" s="134"/>
      <c r="J5" s="39"/>
      <c r="K5" s="39"/>
      <c r="L5" s="39"/>
      <c r="M5" s="135"/>
      <c r="N5" s="136"/>
    </row>
    <row r="6" spans="1:12" ht="12.75" customHeight="1">
      <c r="A6" s="118"/>
      <c r="B6" s="120"/>
      <c r="C6" s="120"/>
      <c r="D6" s="120"/>
      <c r="E6" s="120"/>
      <c r="F6" s="120"/>
      <c r="G6" s="120"/>
      <c r="H6" s="39"/>
      <c r="L6" s="39"/>
    </row>
    <row r="7" spans="1:12" ht="12.75" customHeight="1">
      <c r="A7" s="84"/>
      <c r="B7" s="137"/>
      <c r="C7" s="357"/>
      <c r="D7" s="357"/>
      <c r="E7" s="357"/>
      <c r="F7" s="357"/>
      <c r="G7" s="357"/>
      <c r="H7" s="138"/>
      <c r="I7" s="139"/>
      <c r="J7" s="140" t="s">
        <v>124</v>
      </c>
      <c r="K7" s="39"/>
      <c r="L7" s="39"/>
    </row>
    <row r="8" spans="1:12" ht="12.75" customHeight="1">
      <c r="A8" s="370">
        <v>101</v>
      </c>
      <c r="B8" s="81" t="str">
        <f>CONCATENATE('A-E'!B3," (regel ",'A-E'!A20," bijlage ",LEFT('A-E'!A3,1),")")</f>
        <v>Boekwaarde investeringen waarvoor vergunning is verleend (regel 615 bijlage A)</v>
      </c>
      <c r="C8" s="81"/>
      <c r="D8" s="81"/>
      <c r="E8" s="81"/>
      <c r="F8" s="81"/>
      <c r="G8" s="81"/>
      <c r="H8" s="141"/>
      <c r="I8" s="142" t="s">
        <v>125</v>
      </c>
      <c r="J8" s="75">
        <f>'A-E'!G20</f>
        <v>0</v>
      </c>
      <c r="K8" s="39"/>
      <c r="L8" s="39"/>
    </row>
    <row r="9" spans="1:12" ht="12.75" customHeight="1">
      <c r="A9" s="371">
        <f>A8+1</f>
        <v>102</v>
      </c>
      <c r="B9" s="80" t="str">
        <f>CONCATENATE('A-E'!B42," (regel ",'A-E'!A59," bijlage ",LEFT('A-E'!A42,1),")")</f>
        <v>Onderhanden bouwprojecten waarvoor een vergunning is verleend (regel 714 bijlage B)</v>
      </c>
      <c r="C9" s="80"/>
      <c r="D9" s="80"/>
      <c r="E9" s="80"/>
      <c r="F9" s="80"/>
      <c r="G9" s="80"/>
      <c r="H9" s="80"/>
      <c r="I9" s="123"/>
      <c r="J9" s="75">
        <f>'A-E'!G59</f>
        <v>0</v>
      </c>
      <c r="K9" s="39"/>
      <c r="L9" s="39"/>
    </row>
    <row r="10" spans="1:12" ht="12.75" customHeight="1">
      <c r="A10" s="371">
        <f>A9+1</f>
        <v>103</v>
      </c>
      <c r="B10" s="80" t="str">
        <f>CONCATENATE('A-E'!B66," (regel ",'A-E'!A79," bijlage ",LEFT('A-E'!A66,1),")")</f>
        <v>Normatieve boekwaarde medische en overige inventarissen (regel 728 bijlage C)</v>
      </c>
      <c r="C10" s="80"/>
      <c r="D10" s="80"/>
      <c r="E10" s="80"/>
      <c r="F10" s="80"/>
      <c r="G10" s="80"/>
      <c r="H10" s="80"/>
      <c r="I10" s="123"/>
      <c r="J10" s="75">
        <f>'A-E'!E79</f>
        <v>0</v>
      </c>
      <c r="K10" s="39"/>
      <c r="L10" s="39"/>
    </row>
    <row r="11" spans="1:12" ht="12.75" customHeight="1">
      <c r="A11" s="371">
        <f>A10+1</f>
        <v>104</v>
      </c>
      <c r="B11" s="80" t="str">
        <f>CONCATENATE('A-E'!B84," (regel ",'A-E'!A104," bijlage ",LEFT('A-E'!A84,1),")")</f>
        <v>Werkelijke boekwaarde instandhoudingsinvesteringen (inclusief onderhanden werk) (regel 818 bijlage D)</v>
      </c>
      <c r="C11" s="80"/>
      <c r="D11" s="80"/>
      <c r="E11" s="80"/>
      <c r="F11" s="80"/>
      <c r="G11" s="80"/>
      <c r="H11" s="80"/>
      <c r="I11" s="123"/>
      <c r="J11" s="75">
        <f>'A-E'!G104</f>
        <v>0</v>
      </c>
      <c r="K11" s="39"/>
      <c r="L11" s="39"/>
    </row>
    <row r="12" spans="1:12" ht="12.75" customHeight="1">
      <c r="A12" s="371">
        <f>A11+1</f>
        <v>105</v>
      </c>
      <c r="B12" s="127" t="str">
        <f>CONCATENATE('A-E'!B117," (regel ",'A-E'!A121," bijlage ",LEFT('A-E'!A117,1),")")</f>
        <v>Normatief werkkapitaal (regel 822 bijlage E)</v>
      </c>
      <c r="C12" s="127"/>
      <c r="D12" s="127"/>
      <c r="E12" s="127"/>
      <c r="F12" s="127"/>
      <c r="G12" s="127"/>
      <c r="H12" s="143"/>
      <c r="I12" s="144"/>
      <c r="J12" s="77">
        <f>'A-E'!G121</f>
        <v>0</v>
      </c>
      <c r="K12" s="39"/>
      <c r="L12" s="39"/>
    </row>
    <row r="13" spans="1:12" ht="12.75" customHeight="1">
      <c r="A13" s="371">
        <f>A12+1</f>
        <v>106</v>
      </c>
      <c r="B13" s="99" t="str">
        <f>CONCATENATE("Totaal in aanmerking te nemen activa (regel ",A8," t/m ",A12,")")</f>
        <v>Totaal in aanmerking te nemen activa (regel 101 t/m 105)</v>
      </c>
      <c r="C13" s="150"/>
      <c r="D13" s="150"/>
      <c r="E13" s="358"/>
      <c r="F13" s="358"/>
      <c r="G13" s="358"/>
      <c r="H13" s="151"/>
      <c r="I13" s="145"/>
      <c r="J13" s="92">
        <f>SUM(J8:J12)</f>
        <v>0</v>
      </c>
      <c r="K13" s="39"/>
      <c r="L13" s="39"/>
    </row>
    <row r="14" spans="1:12" ht="12.75" customHeight="1">
      <c r="A14" s="372"/>
      <c r="B14" s="63"/>
      <c r="C14" s="63"/>
      <c r="D14" s="63"/>
      <c r="E14" s="63"/>
      <c r="F14" s="63"/>
      <c r="G14" s="63"/>
      <c r="H14" s="65"/>
      <c r="I14" s="65"/>
      <c r="J14" s="131"/>
      <c r="K14" s="39"/>
      <c r="L14" s="39"/>
    </row>
    <row r="15" spans="1:12" ht="12.75" customHeight="1">
      <c r="A15" s="371">
        <f>A13+1</f>
        <v>107</v>
      </c>
      <c r="B15" s="80" t="str">
        <f>CONCATENATE(F!B1," (regel ",F!A36," bijlage ",LEFT(F!A1,1),")")</f>
        <v>Langlopende leningen (incl. langlopende leasecontracten)  (regel 933 bijlage F)</v>
      </c>
      <c r="C15" s="80"/>
      <c r="D15" s="80"/>
      <c r="E15" s="80"/>
      <c r="F15" s="80"/>
      <c r="G15" s="80"/>
      <c r="H15" s="146"/>
      <c r="I15" s="147" t="s">
        <v>126</v>
      </c>
      <c r="J15" s="75">
        <f>F!R36</f>
        <v>0</v>
      </c>
      <c r="K15" s="39"/>
      <c r="L15" s="39"/>
    </row>
    <row r="16" spans="1:12" ht="12.75" customHeight="1">
      <c r="A16" s="371">
        <f>A15+1</f>
        <v>108</v>
      </c>
      <c r="B16" s="148" t="str">
        <f>CONCATENATE('G-H'!B1," (regel ",'G-H'!A21," bijlage ",LEFT('G-H'!A1,1),")")</f>
        <v>Eigen vermogen (regel 1119 bijlage G)</v>
      </c>
      <c r="C16" s="148"/>
      <c r="D16" s="148"/>
      <c r="E16" s="148"/>
      <c r="F16" s="148"/>
      <c r="G16" s="148"/>
      <c r="H16" s="127"/>
      <c r="I16" s="149"/>
      <c r="J16" s="77">
        <f>'G-H'!E21</f>
        <v>0</v>
      </c>
      <c r="K16" s="39"/>
      <c r="L16" s="39"/>
    </row>
    <row r="17" spans="1:12" ht="12.75" customHeight="1">
      <c r="A17" s="371">
        <f>A16+1</f>
        <v>109</v>
      </c>
      <c r="B17" s="150" t="str">
        <f>CONCATENATE("Totaal in aanmerking te nemen passiva (regel ",A15," + ",A16,")")</f>
        <v>Totaal in aanmerking te nemen passiva (regel 107 + 108)</v>
      </c>
      <c r="C17" s="358"/>
      <c r="D17" s="358"/>
      <c r="E17" s="358"/>
      <c r="F17" s="358"/>
      <c r="G17" s="358"/>
      <c r="H17" s="151"/>
      <c r="I17" s="145"/>
      <c r="J17" s="78">
        <f>J15+J16</f>
        <v>0</v>
      </c>
      <c r="K17" s="39"/>
      <c r="L17" s="39"/>
    </row>
    <row r="18" spans="1:12" ht="12.75" customHeight="1">
      <c r="A18" s="372"/>
      <c r="B18" s="63"/>
      <c r="C18" s="63"/>
      <c r="D18" s="63"/>
      <c r="E18" s="63"/>
      <c r="F18" s="63"/>
      <c r="G18" s="63"/>
      <c r="H18" s="65"/>
      <c r="I18" s="65"/>
      <c r="J18" s="131"/>
      <c r="K18" s="39"/>
      <c r="L18" s="39"/>
    </row>
    <row r="19" spans="1:12" ht="12.75" customHeight="1">
      <c r="A19" s="371">
        <f>A17+1</f>
        <v>110</v>
      </c>
      <c r="B19" s="82" t="str">
        <f>CONCATENATE("Verschil tussen activa en passiva (regel ",A13," -/- ",A17,")")</f>
        <v>Verschil tussen activa en passiva (regel 106 -/- 109)</v>
      </c>
      <c r="C19" s="354"/>
      <c r="D19" s="354"/>
      <c r="E19" s="354"/>
      <c r="F19" s="354"/>
      <c r="G19" s="354"/>
      <c r="H19" s="151"/>
      <c r="I19" s="145"/>
      <c r="J19" s="92">
        <f>J13-J17</f>
        <v>0</v>
      </c>
      <c r="K19" s="39"/>
      <c r="L19" s="39"/>
    </row>
    <row r="20" spans="1:12" ht="11.25">
      <c r="A20" s="373"/>
      <c r="B20" s="43"/>
      <c r="C20" s="43"/>
      <c r="D20" s="43"/>
      <c r="E20" s="43"/>
      <c r="F20" s="43"/>
      <c r="G20" s="43"/>
      <c r="H20" s="63"/>
      <c r="I20" s="43"/>
      <c r="K20" s="39"/>
      <c r="L20" s="39"/>
    </row>
    <row r="21" spans="1:11" ht="11.25">
      <c r="A21" s="371">
        <f>A19+1</f>
        <v>111</v>
      </c>
      <c r="B21" s="80" t="str">
        <f>CONCATENATE('G-H'!B24," (regel ",'G-H'!A30," bijlage ",LEFT('G-H'!A24,1),")")</f>
        <v>Rentekosten langlopende leningen (regel 1124 bijlage H)</v>
      </c>
      <c r="C21" s="80"/>
      <c r="D21" s="80"/>
      <c r="E21" s="80"/>
      <c r="F21" s="80"/>
      <c r="G21" s="80"/>
      <c r="H21" s="146"/>
      <c r="I21" s="147" t="s">
        <v>123</v>
      </c>
      <c r="J21" s="75">
        <f>'G-H'!E30</f>
        <v>0</v>
      </c>
      <c r="K21" s="39"/>
    </row>
    <row r="22" spans="1:11" ht="11.25">
      <c r="A22" s="371">
        <f>A21+1</f>
        <v>112</v>
      </c>
      <c r="B22" s="80" t="str">
        <f>CONCATENATE("Normrente over verschil activa en passiva (",IF(J33=0,"---",J33*100),"% van regel ",A19,")")</f>
        <v>Normrente over verschil activa en passiva (5,03% van regel 110)</v>
      </c>
      <c r="C22" s="80"/>
      <c r="D22" s="80"/>
      <c r="E22" s="80"/>
      <c r="F22" s="80"/>
      <c r="G22" s="80"/>
      <c r="H22" s="80"/>
      <c r="I22" s="123"/>
      <c r="J22" s="75">
        <f>ROUND(J33*J19,0)</f>
        <v>0</v>
      </c>
      <c r="K22" s="39"/>
    </row>
    <row r="23" spans="1:11" ht="11.25">
      <c r="A23" s="371">
        <f>A22+1</f>
        <v>113</v>
      </c>
      <c r="B23" s="148" t="str">
        <f>CONCATENATE("Inflatievergoeding over eigen vermogen ",J34*100,"% over regel ",'G-H'!A21," bijlage ",LEFT('G-H'!A1,1)," (exclusief instandhoudingsreserve)")</f>
        <v>Inflatievergoeding over eigen vermogen 2,68% over regel 1119 bijlage G (exclusief instandhoudingsreserve)</v>
      </c>
      <c r="C23" s="148"/>
      <c r="D23" s="148"/>
      <c r="E23" s="148"/>
      <c r="F23" s="148"/>
      <c r="G23" s="148"/>
      <c r="H23" s="127"/>
      <c r="I23" s="149"/>
      <c r="J23" s="152">
        <f>ROUND(IF(('G-H'!E21-'G-H'!E6)&gt;0,J34*('G-H'!E21-'G-H'!E6),0),0)</f>
        <v>0</v>
      </c>
      <c r="K23" s="39"/>
    </row>
    <row r="24" spans="1:11" ht="11.25">
      <c r="A24" s="371">
        <f>A23+1</f>
        <v>114</v>
      </c>
      <c r="B24" s="366" t="s">
        <v>159</v>
      </c>
      <c r="C24" s="148"/>
      <c r="D24" s="148"/>
      <c r="E24" s="148"/>
      <c r="F24" s="148"/>
      <c r="G24" s="148"/>
      <c r="H24" s="127"/>
      <c r="I24" s="149"/>
      <c r="J24" s="367"/>
      <c r="K24" s="39"/>
    </row>
    <row r="25" spans="1:11" ht="11.25">
      <c r="A25" s="371">
        <f>A24+1</f>
        <v>115</v>
      </c>
      <c r="B25" s="150" t="str">
        <f>CONCATENATE("Totaal aanvaardbare rentekosten (regel ",A21," tot en met ",A24,")")</f>
        <v>Totaal aanvaardbare rentekosten (regel 111 tot en met 114)</v>
      </c>
      <c r="C25" s="358"/>
      <c r="D25" s="358"/>
      <c r="E25" s="358"/>
      <c r="F25" s="358"/>
      <c r="G25" s="358"/>
      <c r="H25" s="151"/>
      <c r="I25" s="145"/>
      <c r="J25" s="92">
        <f>SUM(J21:J24)</f>
        <v>0</v>
      </c>
      <c r="K25" s="39"/>
    </row>
    <row r="26" spans="1:11" ht="11.25">
      <c r="A26" s="374"/>
      <c r="K26" s="39"/>
    </row>
    <row r="27" spans="1:11" ht="11.25">
      <c r="A27" s="371">
        <f>A25+1</f>
        <v>116</v>
      </c>
      <c r="B27" s="150" t="s">
        <v>51</v>
      </c>
      <c r="C27" s="358"/>
      <c r="D27" s="358"/>
      <c r="E27" s="358"/>
      <c r="F27" s="358"/>
      <c r="G27" s="358"/>
      <c r="H27" s="151"/>
      <c r="I27" s="145"/>
      <c r="J27" s="153"/>
      <c r="K27" s="39"/>
    </row>
    <row r="28" spans="1:11" ht="11.25">
      <c r="A28" s="374"/>
      <c r="K28" s="39"/>
    </row>
    <row r="29" spans="1:11" ht="11.25">
      <c r="A29" s="371">
        <f>A27+1</f>
        <v>117</v>
      </c>
      <c r="B29" s="116" t="s">
        <v>78</v>
      </c>
      <c r="C29" s="359"/>
      <c r="D29" s="359"/>
      <c r="E29" s="359"/>
      <c r="F29" s="359"/>
      <c r="G29" s="359"/>
      <c r="H29" s="151"/>
      <c r="I29" s="145"/>
      <c r="J29" s="356">
        <f>IF(J27="ja","N.V.T.",J25)</f>
        <v>0</v>
      </c>
      <c r="K29" s="39"/>
    </row>
    <row r="30" ht="11.25">
      <c r="A30" s="374"/>
    </row>
    <row r="31" spans="1:7" ht="11.25">
      <c r="A31" s="374"/>
      <c r="B31" s="62" t="s">
        <v>29</v>
      </c>
      <c r="C31" s="62"/>
      <c r="D31" s="62"/>
      <c r="E31" s="62"/>
      <c r="F31" s="62"/>
      <c r="G31" s="62"/>
    </row>
    <row r="32" spans="1:10" ht="11.25">
      <c r="A32" s="374"/>
      <c r="B32" s="154"/>
      <c r="C32" s="360"/>
      <c r="D32" s="360"/>
      <c r="E32" s="360"/>
      <c r="F32" s="360"/>
      <c r="G32" s="360"/>
      <c r="H32" s="155"/>
      <c r="I32" s="139"/>
      <c r="J32" s="156" t="s">
        <v>94</v>
      </c>
    </row>
    <row r="33" spans="1:10" ht="12.75">
      <c r="A33" s="371">
        <f>A29+1</f>
        <v>118</v>
      </c>
      <c r="B33" s="157" t="s">
        <v>46</v>
      </c>
      <c r="C33" s="353"/>
      <c r="D33" s="353"/>
      <c r="E33" s="353"/>
      <c r="F33" s="353"/>
      <c r="G33" s="353"/>
      <c r="H33" s="158"/>
      <c r="I33" s="159"/>
      <c r="J33" s="384">
        <v>0.0503</v>
      </c>
    </row>
    <row r="34" spans="1:10" ht="12.75">
      <c r="A34" s="371">
        <f>A33+1</f>
        <v>119</v>
      </c>
      <c r="B34" s="161" t="s">
        <v>47</v>
      </c>
      <c r="C34" s="129"/>
      <c r="D34" s="129"/>
      <c r="E34" s="129"/>
      <c r="F34" s="129"/>
      <c r="G34" s="129"/>
      <c r="H34" s="162"/>
      <c r="I34" s="163"/>
      <c r="J34" s="160">
        <v>0.0268</v>
      </c>
    </row>
    <row r="35" spans="2:11" ht="11.25">
      <c r="B35" s="333" t="s">
        <v>38</v>
      </c>
      <c r="C35" s="333"/>
      <c r="D35" s="333"/>
      <c r="E35" s="333"/>
      <c r="F35" s="333"/>
      <c r="G35" s="333"/>
      <c r="H35" s="331"/>
      <c r="I35" s="331"/>
      <c r="J35" s="331"/>
      <c r="K35" s="52"/>
    </row>
    <row r="36" spans="2:11" ht="11.25">
      <c r="B36" s="334" t="s">
        <v>39</v>
      </c>
      <c r="C36" s="334"/>
      <c r="D36" s="334"/>
      <c r="E36" s="334"/>
      <c r="F36" s="334"/>
      <c r="G36" s="334"/>
      <c r="H36" s="52"/>
      <c r="I36" s="52"/>
      <c r="J36" s="52"/>
      <c r="K36" s="52"/>
    </row>
    <row r="37" spans="2:11" ht="11.25">
      <c r="B37" s="332" t="s">
        <v>40</v>
      </c>
      <c r="C37" s="332"/>
      <c r="D37" s="332"/>
      <c r="E37" s="332"/>
      <c r="F37" s="332"/>
      <c r="G37" s="332"/>
      <c r="J37" s="6"/>
      <c r="K37" s="52"/>
    </row>
  </sheetData>
  <sheetProtection password="E296" sheet="1" objects="1" scenarios="1"/>
  <mergeCells count="1">
    <mergeCell ref="A3:B3"/>
  </mergeCells>
  <conditionalFormatting sqref="A3">
    <cfRule type="expression" priority="1" dxfId="0" stopIfTrue="1">
      <formula>$A3&lt;&gt;""</formula>
    </cfRule>
  </conditionalFormatting>
  <conditionalFormatting sqref="M7:M11">
    <cfRule type="expression" priority="2" dxfId="1" stopIfTrue="1">
      <formula>#REF!=TRUE</formula>
    </cfRule>
  </conditionalFormatting>
  <conditionalFormatting sqref="J27 I3:J3 D4 J24">
    <cfRule type="expression" priority="3" dxfId="2" stopIfTrue="1">
      <formula>$I$4=TRUE</formula>
    </cfRule>
  </conditionalFormatting>
  <dataValidations count="2">
    <dataValidation type="whole" allowBlank="1" showInputMessage="1" showErrorMessage="1" errorTitle="Onjuiste invoer:" error="- de invoer moet het juiste nummer zijn" sqref="D4">
      <formula1>$U4</formula1>
      <formula2>$V4</formula2>
    </dataValidation>
    <dataValidation type="list" allowBlank="1" showInputMessage="1" showErrorMessage="1" sqref="J27">
      <formula1>"ja,nee,"</formula1>
    </dataValidation>
  </dataValidations>
  <printOptions/>
  <pageMargins left="0.3937007874015748" right="0.3937007874015748" top="0.7874015748031497" bottom="0.3937007874015748" header="0.5118110236220472" footer="0.5118110236220472"/>
  <pageSetup firstPageNumber="1" useFirstPageNumber="1" horizontalDpi="300" verticalDpi="300" orientation="landscape" paperSize="9" scale="95" r:id="rId3"/>
  <headerFooter alignWithMargins="0">
    <oddHeader>&amp;R&amp;G</oddHeader>
    <oddFooter>&amp;C&amp;"Arial,Vet"&amp;8
&amp;R&amp;P</oddFooter>
  </headerFooter>
  <legacyDrawing r:id="rId1"/>
  <legacyDrawingHF r:id="rId2"/>
</worksheet>
</file>

<file path=xl/worksheets/sheet2.xml><?xml version="1.0" encoding="utf-8"?>
<worksheet xmlns="http://schemas.openxmlformats.org/spreadsheetml/2006/main" xmlns:r="http://schemas.openxmlformats.org/officeDocument/2006/relationships">
  <sheetPr codeName="Blad3"/>
  <dimension ref="A1:M105"/>
  <sheetViews>
    <sheetView showGridLines="0" zoomScale="95" zoomScaleNormal="95" workbookViewId="0" topLeftCell="A1">
      <selection activeCell="A1" sqref="A1"/>
    </sheetView>
  </sheetViews>
  <sheetFormatPr defaultColWidth="9.140625" defaultRowHeight="12.75"/>
  <cols>
    <col min="1" max="1" width="2.7109375" style="12" customWidth="1"/>
    <col min="2" max="2" width="5.57421875" style="45" customWidth="1"/>
    <col min="3" max="3" width="60.8515625" style="13" customWidth="1"/>
    <col min="4" max="4" width="5.7109375" style="13" customWidth="1"/>
    <col min="5" max="5" width="14.28125" style="13" customWidth="1"/>
    <col min="6" max="6" width="2.8515625" style="13" customWidth="1"/>
    <col min="7" max="7" width="3.28125" style="13" customWidth="1"/>
    <col min="8" max="8" width="50.7109375" style="13" customWidth="1"/>
    <col min="9" max="9" width="6.28125" style="13" customWidth="1"/>
    <col min="10" max="16384" width="9.140625" style="13" customWidth="1"/>
  </cols>
  <sheetData>
    <row r="1" spans="1:10" s="8" customFormat="1" ht="15.75" customHeight="1">
      <c r="A1" s="4"/>
      <c r="B1" s="5"/>
      <c r="C1" s="6"/>
      <c r="D1" s="7"/>
      <c r="E1" s="7"/>
      <c r="F1" s="4"/>
      <c r="G1" s="6"/>
      <c r="H1" s="6"/>
      <c r="J1" s="9"/>
    </row>
    <row r="2" spans="1:10" s="11" customFormat="1" ht="15.75" customHeight="1">
      <c r="A2" s="60"/>
      <c r="B2" s="57"/>
      <c r="C2" s="58"/>
      <c r="D2" s="58"/>
      <c r="E2" s="58"/>
      <c r="F2" s="58"/>
      <c r="G2" s="10"/>
      <c r="H2" s="10"/>
      <c r="I2" s="59"/>
      <c r="J2" s="10"/>
    </row>
    <row r="3" spans="2:6" ht="11.25">
      <c r="B3" s="13"/>
      <c r="D3" s="14"/>
      <c r="E3" s="14"/>
      <c r="F3" s="12"/>
    </row>
    <row r="4" spans="2:9" s="6" customFormat="1" ht="11.25">
      <c r="B4" s="15"/>
      <c r="C4" s="4" t="s">
        <v>139</v>
      </c>
      <c r="D4" s="16" t="s">
        <v>24</v>
      </c>
      <c r="I4" s="16"/>
    </row>
    <row r="5" spans="1:9" s="6" customFormat="1" ht="11.25">
      <c r="A5" s="4"/>
      <c r="B5" s="4"/>
      <c r="C5" s="4"/>
      <c r="D5" s="17"/>
      <c r="E5" s="4"/>
      <c r="F5" s="4"/>
      <c r="G5" s="4"/>
      <c r="H5" s="4"/>
      <c r="I5" s="17"/>
    </row>
    <row r="6" spans="1:9" s="22" customFormat="1" ht="11.25">
      <c r="A6" s="18"/>
      <c r="B6" s="19"/>
      <c r="C6" s="20" t="s">
        <v>137</v>
      </c>
      <c r="D6" s="21">
        <v>3</v>
      </c>
      <c r="H6" s="27"/>
      <c r="I6" s="21"/>
    </row>
    <row r="7" s="6" customFormat="1" ht="11.25">
      <c r="I7" s="28"/>
    </row>
    <row r="8" spans="1:9" s="6" customFormat="1" ht="12" customHeight="1">
      <c r="A8" s="18"/>
      <c r="B8" s="19"/>
      <c r="C8" s="18" t="s">
        <v>27</v>
      </c>
      <c r="D8" s="21"/>
      <c r="I8" s="23"/>
    </row>
    <row r="9" spans="1:9" s="6" customFormat="1" ht="12" customHeight="1">
      <c r="A9" s="23"/>
      <c r="B9" s="25" t="str">
        <f>'A-E'!A3</f>
        <v>A. </v>
      </c>
      <c r="C9" s="25" t="str">
        <f>'A-E'!B3</f>
        <v>Boekwaarde investeringen waarvoor vergunning is verleend</v>
      </c>
      <c r="D9" s="21">
        <v>6</v>
      </c>
      <c r="I9" s="28"/>
    </row>
    <row r="10" spans="1:9" s="6" customFormat="1" ht="12" customHeight="1">
      <c r="A10" s="23"/>
      <c r="B10" s="25" t="str">
        <f>'A-E'!A42</f>
        <v>B.</v>
      </c>
      <c r="C10" s="392" t="str">
        <f>'A-E'!B42</f>
        <v>Onderhanden bouwprojecten waarvoor een vergunning is verleend</v>
      </c>
      <c r="D10" s="21">
        <v>7</v>
      </c>
      <c r="I10" s="23"/>
    </row>
    <row r="11" spans="1:9" s="6" customFormat="1" ht="12" customHeight="1">
      <c r="A11" s="23"/>
      <c r="B11" s="23"/>
      <c r="C11" s="392"/>
      <c r="D11" s="21"/>
      <c r="I11" s="21"/>
    </row>
    <row r="12" spans="1:9" s="6" customFormat="1" ht="11.25">
      <c r="A12" s="18"/>
      <c r="B12" s="25" t="str">
        <f>'A-E'!A66</f>
        <v>C.</v>
      </c>
      <c r="C12" s="25" t="str">
        <f>'A-E'!B66</f>
        <v>Normatieve boekwaarde medische en overige inventarissen</v>
      </c>
      <c r="D12" s="21">
        <v>7</v>
      </c>
      <c r="I12" s="21"/>
    </row>
    <row r="13" spans="1:9" s="6" customFormat="1" ht="11.25" customHeight="1">
      <c r="A13" s="23"/>
      <c r="B13" s="25" t="str">
        <f>'A-E'!A84</f>
        <v>D.</v>
      </c>
      <c r="C13" s="393" t="str">
        <f>'A-E'!B84</f>
        <v>Werkelijke boekwaarde instandhoudingsinvesteringen (inclusief onderhanden werk)</v>
      </c>
      <c r="D13" s="21">
        <v>8</v>
      </c>
      <c r="I13" s="28"/>
    </row>
    <row r="14" spans="1:13" ht="11.25" customHeight="1">
      <c r="A14" s="32"/>
      <c r="B14" s="23"/>
      <c r="C14" s="393"/>
      <c r="D14" s="21"/>
      <c r="F14" s="6"/>
      <c r="I14" s="21"/>
      <c r="J14" s="29"/>
      <c r="K14" s="29"/>
      <c r="L14" s="29"/>
      <c r="M14" s="29"/>
    </row>
    <row r="15" spans="1:13" ht="11.25" customHeight="1">
      <c r="A15" s="32"/>
      <c r="B15" s="25" t="str">
        <f>'A-E'!A117</f>
        <v>E.</v>
      </c>
      <c r="C15" s="25" t="str">
        <f>'A-E'!B117</f>
        <v>Normatief werkkapitaal</v>
      </c>
      <c r="D15" s="21">
        <v>8</v>
      </c>
      <c r="F15" s="6"/>
      <c r="I15" s="21"/>
      <c r="J15" s="29"/>
      <c r="K15" s="29"/>
      <c r="L15" s="29"/>
      <c r="M15" s="29"/>
    </row>
    <row r="16" spans="1:9" s="22" customFormat="1" ht="11.25" customHeight="1">
      <c r="A16" s="23"/>
      <c r="B16" s="25" t="str">
        <f>F!A1</f>
        <v>F. </v>
      </c>
      <c r="C16" s="33" t="str">
        <f>F!B1</f>
        <v>Langlopende leningen (incl. langlopende leasecontracten) </v>
      </c>
      <c r="D16" s="21">
        <v>9</v>
      </c>
      <c r="F16" s="30"/>
      <c r="I16" s="21"/>
    </row>
    <row r="17" spans="1:9" s="6" customFormat="1" ht="11.25">
      <c r="A17" s="22"/>
      <c r="B17" s="25" t="str">
        <f>'G-H'!A1</f>
        <v>G. </v>
      </c>
      <c r="C17" s="25" t="str">
        <f>'G-H'!B1</f>
        <v>Eigen vermogen</v>
      </c>
      <c r="D17" s="6">
        <v>11</v>
      </c>
      <c r="F17" s="13"/>
      <c r="G17" s="13"/>
      <c r="H17" s="13"/>
      <c r="I17" s="13"/>
    </row>
    <row r="18" spans="1:6" ht="11.25">
      <c r="A18" s="22"/>
      <c r="B18" s="25" t="str">
        <f>'G-H'!A24</f>
        <v>H. </v>
      </c>
      <c r="C18" s="25" t="str">
        <f>'G-H'!B24</f>
        <v>Rentekosten langlopende leningen</v>
      </c>
      <c r="D18" s="6">
        <v>11</v>
      </c>
      <c r="F18" s="24"/>
    </row>
    <row r="19" spans="4:9" ht="11.25">
      <c r="D19" s="6"/>
      <c r="F19" s="6"/>
      <c r="G19" s="22"/>
      <c r="H19" s="22"/>
      <c r="I19" s="22"/>
    </row>
    <row r="20" spans="4:9" ht="11.25" customHeight="1">
      <c r="D20" s="6"/>
      <c r="F20" s="6"/>
      <c r="G20" s="22"/>
      <c r="H20" s="22"/>
      <c r="I20" s="22"/>
    </row>
    <row r="21" spans="1:9" ht="11.25" customHeight="1">
      <c r="A21" s="32"/>
      <c r="B21" s="25"/>
      <c r="C21" s="25"/>
      <c r="D21" s="21"/>
      <c r="F21" s="31"/>
      <c r="G21" s="22"/>
      <c r="H21" s="22"/>
      <c r="I21" s="22"/>
    </row>
    <row r="22" spans="1:9" ht="11.25">
      <c r="A22" s="32"/>
      <c r="B22" s="25"/>
      <c r="C22" s="25"/>
      <c r="D22" s="21"/>
      <c r="F22" s="31"/>
      <c r="G22" s="22"/>
      <c r="H22" s="22"/>
      <c r="I22" s="22"/>
    </row>
    <row r="23" spans="1:9" ht="11.25">
      <c r="A23" s="32"/>
      <c r="F23" s="31"/>
      <c r="G23" s="22"/>
      <c r="H23" s="22"/>
      <c r="I23" s="22"/>
    </row>
    <row r="24" spans="1:6" ht="11.25">
      <c r="A24" s="32"/>
      <c r="F24" s="31"/>
    </row>
    <row r="25" spans="1:4" ht="11.25">
      <c r="A25" s="32"/>
      <c r="B25" s="43"/>
      <c r="C25" s="25"/>
      <c r="D25" s="21"/>
    </row>
    <row r="26" spans="1:6" s="22" customFormat="1" ht="11.25">
      <c r="A26" s="32"/>
      <c r="B26" s="45"/>
      <c r="C26" s="13"/>
      <c r="D26" s="13"/>
      <c r="F26" s="34"/>
    </row>
    <row r="27" spans="1:4" ht="11.25">
      <c r="A27" s="18"/>
      <c r="B27" s="22"/>
      <c r="C27" s="19"/>
      <c r="D27" s="21"/>
    </row>
    <row r="28" spans="1:6" s="22" customFormat="1" ht="11.25">
      <c r="A28" s="24"/>
      <c r="B28" s="25"/>
      <c r="C28" s="25"/>
      <c r="D28" s="21"/>
      <c r="F28" s="34"/>
    </row>
    <row r="29" spans="1:4" ht="11.25">
      <c r="A29" s="24"/>
      <c r="B29" s="25"/>
      <c r="C29" s="25"/>
      <c r="D29" s="21"/>
    </row>
    <row r="30" spans="1:9" ht="11.25">
      <c r="A30" s="6"/>
      <c r="B30" s="25"/>
      <c r="C30" s="25"/>
      <c r="D30" s="21"/>
      <c r="G30" s="35"/>
      <c r="H30" s="36"/>
      <c r="I30" s="37"/>
    </row>
    <row r="31" spans="4:9" ht="11.25">
      <c r="D31" s="21"/>
      <c r="G31" s="35"/>
      <c r="H31" s="36"/>
      <c r="I31" s="37"/>
    </row>
    <row r="32" spans="7:9" ht="11.25">
      <c r="G32" s="35"/>
      <c r="H32" s="36"/>
      <c r="I32" s="37"/>
    </row>
    <row r="33" spans="7:9" ht="11.25">
      <c r="G33" s="36"/>
      <c r="H33" s="36"/>
      <c r="I33" s="37"/>
    </row>
    <row r="34" spans="7:9" ht="11.25">
      <c r="G34" s="36"/>
      <c r="H34" s="36"/>
      <c r="I34" s="37"/>
    </row>
    <row r="35" spans="7:9" ht="11.25">
      <c r="G35" s="36"/>
      <c r="H35" s="36"/>
      <c r="I35" s="38"/>
    </row>
    <row r="36" spans="5:9" s="6" customFormat="1" ht="11.25">
      <c r="E36" s="39"/>
      <c r="G36" s="40"/>
      <c r="H36" s="40"/>
      <c r="I36" s="38"/>
    </row>
    <row r="37" spans="5:9" s="22" customFormat="1" ht="11.25">
      <c r="E37" s="39"/>
      <c r="F37" s="34"/>
      <c r="G37" s="40"/>
      <c r="H37" s="40"/>
      <c r="I37" s="38"/>
    </row>
    <row r="38" spans="5:9" s="6" customFormat="1" ht="11.25">
      <c r="E38" s="39"/>
      <c r="F38" s="41"/>
      <c r="G38" s="42"/>
      <c r="H38" s="42"/>
      <c r="I38" s="38"/>
    </row>
    <row r="39" spans="5:9" s="6" customFormat="1" ht="11.25">
      <c r="E39" s="39"/>
      <c r="G39" s="40"/>
      <c r="H39" s="40"/>
      <c r="I39" s="38"/>
    </row>
    <row r="40" spans="5:9" s="6" customFormat="1" ht="11.25">
      <c r="E40" s="39"/>
      <c r="G40" s="40"/>
      <c r="H40" s="40"/>
      <c r="I40" s="38"/>
    </row>
    <row r="41" s="6" customFormat="1" ht="11.25"/>
    <row r="42" s="6" customFormat="1" ht="11.25"/>
    <row r="43" s="6" customFormat="1" ht="11.25"/>
    <row r="44" s="6" customFormat="1" ht="11.25"/>
    <row r="45" s="6" customFormat="1" ht="11.25"/>
    <row r="46" spans="2:4" s="6" customFormat="1" ht="11.25">
      <c r="B46" s="26"/>
      <c r="C46" s="23"/>
      <c r="D46" s="23"/>
    </row>
    <row r="47" spans="2:4" s="6" customFormat="1" ht="11.25">
      <c r="B47" s="26"/>
      <c r="C47" s="23"/>
      <c r="D47" s="23"/>
    </row>
    <row r="48" spans="1:2" s="6" customFormat="1" ht="146.25" customHeight="1">
      <c r="A48" s="44"/>
      <c r="B48" s="15"/>
    </row>
    <row r="49" spans="1:2" s="6" customFormat="1" ht="11.25">
      <c r="A49" s="44"/>
      <c r="B49" s="15"/>
    </row>
    <row r="50" spans="1:2" s="6" customFormat="1" ht="11.25">
      <c r="A50" s="4"/>
      <c r="B50" s="15"/>
    </row>
    <row r="51" spans="1:2" s="6" customFormat="1" ht="11.25">
      <c r="A51" s="4"/>
      <c r="B51" s="15"/>
    </row>
    <row r="52" spans="1:2" s="6" customFormat="1" ht="11.25">
      <c r="A52" s="4"/>
      <c r="B52" s="15"/>
    </row>
    <row r="53" spans="1:2" s="6" customFormat="1" ht="11.25">
      <c r="A53" s="4"/>
      <c r="B53" s="15"/>
    </row>
    <row r="54" spans="1:2" s="6" customFormat="1" ht="11.25">
      <c r="A54" s="4"/>
      <c r="B54" s="15"/>
    </row>
    <row r="55" spans="1:2" s="6" customFormat="1" ht="11.25">
      <c r="A55" s="4"/>
      <c r="B55" s="15"/>
    </row>
    <row r="56" spans="1:2" s="6" customFormat="1" ht="11.25">
      <c r="A56" s="4"/>
      <c r="B56" s="15"/>
    </row>
    <row r="57" spans="1:2" s="6" customFormat="1" ht="11.25">
      <c r="A57" s="4"/>
      <c r="B57" s="15"/>
    </row>
    <row r="58" spans="1:2" s="6" customFormat="1" ht="11.25">
      <c r="A58" s="4"/>
      <c r="B58" s="15"/>
    </row>
    <row r="59" spans="1:2" s="6" customFormat="1" ht="11.25">
      <c r="A59" s="4"/>
      <c r="B59" s="15"/>
    </row>
    <row r="60" spans="1:2" s="6" customFormat="1" ht="11.25">
      <c r="A60" s="4"/>
      <c r="B60" s="15"/>
    </row>
    <row r="61" spans="1:2" s="6" customFormat="1" ht="11.25">
      <c r="A61" s="4"/>
      <c r="B61" s="15"/>
    </row>
    <row r="62" spans="1:2" s="6" customFormat="1" ht="11.25">
      <c r="A62" s="4"/>
      <c r="B62" s="15"/>
    </row>
    <row r="63" spans="1:2" s="6" customFormat="1" ht="11.25">
      <c r="A63" s="4"/>
      <c r="B63" s="15"/>
    </row>
    <row r="64" spans="1:2" s="6" customFormat="1" ht="11.25">
      <c r="A64" s="4"/>
      <c r="B64" s="15"/>
    </row>
    <row r="65" spans="1:2" s="6" customFormat="1" ht="11.25">
      <c r="A65" s="4"/>
      <c r="B65" s="15"/>
    </row>
    <row r="66" spans="1:2" s="6" customFormat="1" ht="11.25">
      <c r="A66" s="4"/>
      <c r="B66" s="15"/>
    </row>
    <row r="67" spans="1:2" s="6" customFormat="1" ht="11.25">
      <c r="A67" s="4"/>
      <c r="B67" s="15"/>
    </row>
    <row r="68" spans="1:2" s="6" customFormat="1" ht="11.25">
      <c r="A68" s="4"/>
      <c r="B68" s="15"/>
    </row>
    <row r="69" spans="1:2" s="6" customFormat="1" ht="11.25">
      <c r="A69" s="4"/>
      <c r="B69" s="15"/>
    </row>
    <row r="70" spans="1:2" s="6" customFormat="1" ht="11.25">
      <c r="A70" s="4"/>
      <c r="B70" s="15"/>
    </row>
    <row r="71" spans="1:2" s="6" customFormat="1" ht="11.25">
      <c r="A71" s="4"/>
      <c r="B71" s="15"/>
    </row>
    <row r="72" spans="1:2" s="6" customFormat="1" ht="11.25">
      <c r="A72" s="4"/>
      <c r="B72" s="15"/>
    </row>
    <row r="73" spans="1:2" s="6" customFormat="1" ht="11.25">
      <c r="A73" s="4"/>
      <c r="B73" s="15"/>
    </row>
    <row r="74" spans="1:2" s="6" customFormat="1" ht="11.25">
      <c r="A74" s="4"/>
      <c r="B74" s="15"/>
    </row>
    <row r="75" spans="1:2" s="6" customFormat="1" ht="11.25">
      <c r="A75" s="4"/>
      <c r="B75" s="15"/>
    </row>
    <row r="76" spans="1:2" s="6" customFormat="1" ht="11.25">
      <c r="A76" s="4"/>
      <c r="B76" s="15"/>
    </row>
    <row r="77" spans="1:2" s="6" customFormat="1" ht="11.25">
      <c r="A77" s="4"/>
      <c r="B77" s="15"/>
    </row>
    <row r="78" spans="1:2" s="6" customFormat="1" ht="11.25">
      <c r="A78" s="4"/>
      <c r="B78" s="15"/>
    </row>
    <row r="79" spans="1:2" s="6" customFormat="1" ht="11.25">
      <c r="A79" s="4"/>
      <c r="B79" s="15"/>
    </row>
    <row r="80" spans="1:2" s="6" customFormat="1" ht="11.25">
      <c r="A80" s="4"/>
      <c r="B80" s="15"/>
    </row>
    <row r="81" spans="1:2" s="6" customFormat="1" ht="11.25">
      <c r="A81" s="4"/>
      <c r="B81" s="15"/>
    </row>
    <row r="82" spans="1:2" s="6" customFormat="1" ht="11.25">
      <c r="A82" s="4"/>
      <c r="B82" s="15"/>
    </row>
    <row r="83" spans="1:2" s="6" customFormat="1" ht="11.25">
      <c r="A83" s="4"/>
      <c r="B83" s="15"/>
    </row>
    <row r="84" spans="1:2" s="6" customFormat="1" ht="11.25">
      <c r="A84" s="4"/>
      <c r="B84" s="15"/>
    </row>
    <row r="85" spans="1:2" s="6" customFormat="1" ht="11.25">
      <c r="A85" s="4"/>
      <c r="B85" s="15"/>
    </row>
    <row r="86" spans="1:2" s="6" customFormat="1" ht="11.25">
      <c r="A86" s="4"/>
      <c r="B86" s="15"/>
    </row>
    <row r="87" spans="1:2" s="6" customFormat="1" ht="11.25">
      <c r="A87" s="4"/>
      <c r="B87" s="15"/>
    </row>
    <row r="88" spans="1:2" s="6" customFormat="1" ht="11.25">
      <c r="A88" s="4"/>
      <c r="B88" s="15"/>
    </row>
    <row r="89" spans="1:2" s="6" customFormat="1" ht="11.25">
      <c r="A89" s="4"/>
      <c r="B89" s="15"/>
    </row>
    <row r="90" spans="1:2" s="6" customFormat="1" ht="11.25">
      <c r="A90" s="4"/>
      <c r="B90" s="15"/>
    </row>
    <row r="91" spans="1:2" s="6" customFormat="1" ht="11.25">
      <c r="A91" s="4"/>
      <c r="B91" s="15"/>
    </row>
    <row r="92" spans="1:2" s="6" customFormat="1" ht="11.25">
      <c r="A92" s="4"/>
      <c r="B92" s="15"/>
    </row>
    <row r="93" spans="1:2" s="6" customFormat="1" ht="11.25">
      <c r="A93" s="4"/>
      <c r="B93" s="15"/>
    </row>
    <row r="94" spans="1:2" s="6" customFormat="1" ht="11.25">
      <c r="A94" s="4"/>
      <c r="B94" s="15"/>
    </row>
    <row r="95" spans="1:2" s="6" customFormat="1" ht="11.25">
      <c r="A95" s="4"/>
      <c r="B95" s="15"/>
    </row>
    <row r="96" spans="1:2" s="6" customFormat="1" ht="11.25">
      <c r="A96" s="4"/>
      <c r="B96" s="15"/>
    </row>
    <row r="97" spans="1:2" s="6" customFormat="1" ht="11.25">
      <c r="A97" s="4"/>
      <c r="B97" s="15"/>
    </row>
    <row r="98" spans="1:2" s="6" customFormat="1" ht="11.25">
      <c r="A98" s="4"/>
      <c r="B98" s="15"/>
    </row>
    <row r="99" spans="1:2" s="6" customFormat="1" ht="11.25">
      <c r="A99" s="4"/>
      <c r="B99" s="15"/>
    </row>
    <row r="100" spans="1:2" s="6" customFormat="1" ht="11.25">
      <c r="A100" s="4"/>
      <c r="B100" s="15"/>
    </row>
    <row r="101" spans="1:2" s="6" customFormat="1" ht="11.25">
      <c r="A101" s="4"/>
      <c r="B101" s="15"/>
    </row>
    <row r="102" spans="1:2" s="6" customFormat="1" ht="11.25">
      <c r="A102" s="4"/>
      <c r="B102" s="15"/>
    </row>
    <row r="103" spans="1:2" s="6" customFormat="1" ht="11.25">
      <c r="A103" s="4"/>
      <c r="B103" s="15"/>
    </row>
    <row r="104" ht="11.25">
      <c r="A104" s="4"/>
    </row>
    <row r="105" ht="11.25">
      <c r="A105" s="4"/>
    </row>
  </sheetData>
  <sheetProtection password="E296" sheet="1" objects="1" scenarios="1"/>
  <mergeCells count="2">
    <mergeCell ref="C10:C11"/>
    <mergeCell ref="C13:C14"/>
  </mergeCells>
  <printOptions/>
  <pageMargins left="0.3937007874015748" right="0.3937007874015748" top="0.3937007874015748" bottom="0.3937007874015748" header="0.5118110236220472" footer="0.5118110236220472"/>
  <pageSetup firstPageNumber="2" useFirstPageNumber="1" horizontalDpi="300" verticalDpi="300" orientation="landscape" paperSize="9" scale="95" r:id="rId2"/>
  <headerFooter alignWithMargins="0">
    <oddHeader>&amp;LGGZ CALCULATIEMODEL RENTEKOSTEN&amp;R&amp;G</oddHeader>
    <oddFooter>&amp;R&amp;P</oddFooter>
  </headerFooter>
  <legacyDrawingHF r:id="rId1"/>
</worksheet>
</file>

<file path=xl/worksheets/sheet3.xml><?xml version="1.0" encoding="utf-8"?>
<worksheet xmlns="http://schemas.openxmlformats.org/spreadsheetml/2006/main" xmlns:r="http://schemas.openxmlformats.org/officeDocument/2006/relationships">
  <sheetPr codeName="Blad4"/>
  <dimension ref="A1:G66"/>
  <sheetViews>
    <sheetView showGridLines="0" zoomScale="95" zoomScaleNormal="95" zoomScaleSheetLayoutView="86" workbookViewId="0" topLeftCell="A1">
      <selection activeCell="A1" sqref="A1"/>
    </sheetView>
  </sheetViews>
  <sheetFormatPr defaultColWidth="9.140625" defaultRowHeight="12.75"/>
  <cols>
    <col min="1" max="1" width="7.28125" style="12" customWidth="1"/>
    <col min="2" max="2" width="100.140625" style="13" customWidth="1"/>
    <col min="3" max="3" width="21.421875" style="13" customWidth="1"/>
    <col min="4" max="4" width="7.7109375" style="13" customWidth="1"/>
    <col min="5" max="5" width="6.8515625" style="13" customWidth="1"/>
    <col min="6" max="16384" width="9.140625" style="13" customWidth="1"/>
  </cols>
  <sheetData>
    <row r="1" spans="1:5" s="6" customFormat="1" ht="12.75" customHeight="1">
      <c r="A1" s="44" t="s">
        <v>137</v>
      </c>
      <c r="B1" s="23"/>
      <c r="C1" s="23"/>
      <c r="D1" s="23"/>
      <c r="E1" s="23"/>
    </row>
    <row r="2" spans="1:5" s="6" customFormat="1" ht="12.75" customHeight="1">
      <c r="A2" s="44"/>
      <c r="B2" s="23"/>
      <c r="C2" s="23"/>
      <c r="D2" s="23"/>
      <c r="E2" s="23"/>
    </row>
    <row r="3" spans="1:5" s="6" customFormat="1" ht="12.75" customHeight="1">
      <c r="A3" s="44"/>
      <c r="B3" s="27" t="s">
        <v>10</v>
      </c>
      <c r="C3" s="23"/>
      <c r="D3" s="23"/>
      <c r="E3" s="23"/>
    </row>
    <row r="4" spans="1:7" s="6" customFormat="1" ht="24.75" customHeight="1">
      <c r="A4" s="395" t="s">
        <v>37</v>
      </c>
      <c r="B4" s="395"/>
      <c r="C4" s="395"/>
      <c r="D4" s="395"/>
      <c r="E4" s="395"/>
      <c r="F4" s="47"/>
      <c r="G4" s="47"/>
    </row>
    <row r="5" spans="1:5" s="6" customFormat="1" ht="15" customHeight="1">
      <c r="A5" s="397" t="s">
        <v>36</v>
      </c>
      <c r="B5" s="397"/>
      <c r="C5" s="397"/>
      <c r="D5" s="397"/>
      <c r="E5" s="397"/>
    </row>
    <row r="6" spans="1:5" s="6" customFormat="1" ht="12.75" customHeight="1">
      <c r="A6" s="48"/>
      <c r="B6" s="48"/>
      <c r="C6" s="48"/>
      <c r="D6" s="48"/>
      <c r="E6" s="48"/>
    </row>
    <row r="7" spans="1:5" s="11" customFormat="1" ht="12.75" customHeight="1">
      <c r="A7" s="44"/>
      <c r="B7" s="44" t="str">
        <f>'Rentecalc.'!A1</f>
        <v>GGZ CALCULATIEMODEL RENTEKOSTEN 2008</v>
      </c>
      <c r="C7" s="50"/>
      <c r="D7" s="50"/>
      <c r="E7" s="51"/>
    </row>
    <row r="8" spans="1:5" s="11" customFormat="1" ht="12.75" customHeight="1">
      <c r="A8" s="44" t="str">
        <f>'A-E'!A3</f>
        <v>A. </v>
      </c>
      <c r="B8" s="44" t="str">
        <f>'A-E'!B3</f>
        <v>Boekwaarde investeringen waarvoor vergunning is verleend</v>
      </c>
      <c r="C8" s="32"/>
      <c r="D8" s="32"/>
      <c r="E8" s="32"/>
    </row>
    <row r="9" spans="1:5" s="11" customFormat="1" ht="51" customHeight="1">
      <c r="A9" s="398" t="str">
        <f>CONCATENATE("Op regel ",'A-E'!A6," dient u de samenstelling van de boekwaarde per 31 december  ",'Rentecalc.'!J1-1," volgens de jaarrekening op te nemen. Deze gegevens zijn exclusief de kosten voor onderhanden projecten van normale WZV-procedures. Op regel ",'A-E'!A8," t/m ",'A-E'!A19," vermeldt u in de eerste kolom de aanschafwaarde van (des)investeringen die in ",'Rentecalc.'!J1," in gebruik zijn genomen c.q. buiten gebruik zijn gesteld. In de tweede kolom dient u de maandelijkse nacalculeerbare afschrijvingskosten te vermelden."," Bij desinvesteringen vermeldt u in deze kolom ook de bedragen die tot dan toe in totaal op deze investeringen zijn afgeschreven.")</f>
        <v>Op regel 601 dient u de samenstelling van de boekwaarde per 31 december  2007 volgens de jaarrekening op te nemen. Deze gegevens zijn exclusief de kosten voor onderhanden projecten van normale WZV-procedures. Op regel 603 t/m 614 vermeldt u in de eerste kolom de aanschafwaarde van (des)investeringen die in 2008 in gebruik zijn genomen c.q. buiten gebruik zijn gesteld. In de tweede kolom dient u de maandelijkse nacalculeerbare afschrijvingskosten te vermelden. Bij desinvesteringen vermeldt u in deze kolom ook de bedragen die tot dan toe in totaal op deze investeringen zijn afgeschreven.</v>
      </c>
      <c r="B9" s="395"/>
      <c r="C9" s="395"/>
      <c r="D9" s="395"/>
      <c r="E9" s="395"/>
    </row>
    <row r="10" spans="1:5" s="11" customFormat="1" ht="12.75" customHeight="1">
      <c r="A10" s="2"/>
      <c r="B10" s="1"/>
      <c r="C10" s="1"/>
      <c r="D10" s="1"/>
      <c r="E10" s="1"/>
    </row>
    <row r="11" spans="1:5" s="11" customFormat="1" ht="12.75" customHeight="1">
      <c r="A11" s="44" t="str">
        <f>'A-E'!A42</f>
        <v>B.</v>
      </c>
      <c r="B11" s="20" t="str">
        <f>'A-E'!B42</f>
        <v>Onderhanden bouwprojecten waarvoor een vergunning is verleend</v>
      </c>
      <c r="C11" s="53"/>
      <c r="D11" s="53"/>
      <c r="E11" s="23"/>
    </row>
    <row r="12" spans="1:5" s="11" customFormat="1" ht="38.25" customHeight="1">
      <c r="A12" s="395" t="str">
        <f>CONCATENATE("Op regel ",'A-E'!A46," dient u in de eerste kolom de kosten voor onderhanden projecten van WTZi/WZV-vergunningen per 31 december ",'Rentecalc.'!J1-1," volgens de jaarrekening op te nemen. U kunt de bedragen vermelden in de maand waarin het uitgevoerde werk is gefactureerd."," In de factor wordt rekening gehouden met een betalingstermijn van 1 maand. In de tweede kolom vult u de onderhanden WTZi/WZV-investeringen in die in ",'Rentecalc.'!J1," in gebruik zijn genomen. ")</f>
        <v>Op regel 701 dient u in de eerste kolom de kosten voor onderhanden projecten van WTZi/WZV-vergunningen per 31 december 2007 volgens de jaarrekening op te nemen. U kunt de bedragen vermelden in de maand waarin het uitgevoerde werk is gefactureerd. In de factor wordt rekening gehouden met een betalingstermijn van 1 maand. In de tweede kolom vult u de onderhanden WTZi/WZV-investeringen in die in 2008 in gebruik zijn genomen. </v>
      </c>
      <c r="B12" s="395"/>
      <c r="C12" s="395"/>
      <c r="D12" s="395"/>
      <c r="E12" s="395"/>
    </row>
    <row r="13" spans="1:5" s="11" customFormat="1" ht="12.75" customHeight="1">
      <c r="A13" s="1"/>
      <c r="B13" s="1"/>
      <c r="C13" s="1"/>
      <c r="D13" s="1"/>
      <c r="E13" s="1"/>
    </row>
    <row r="14" spans="1:5" ht="12.75" customHeight="1">
      <c r="A14" s="44" t="str">
        <f>'A-E'!A66</f>
        <v>C.</v>
      </c>
      <c r="B14" s="44" t="str">
        <f>'A-E'!B66</f>
        <v>Normatieve boekwaarde medische en overige inventarissen</v>
      </c>
      <c r="C14" s="48"/>
      <c r="D14" s="48"/>
      <c r="E14" s="48"/>
    </row>
    <row r="15" spans="1:5" ht="25.5" customHeight="1">
      <c r="A15" s="395" t="str">
        <f>CONCATENATE("U dient hier de afschrijvingen volgens de laatste rekenstaat ",'Rentecalc.'!J1," in te vullen en deze vervolgens te vermenigvuldigen met de aangegeven factor. Het resultaat is de normatieve boekwaarde van medische en overige inventarissen. ")</f>
        <v>U dient hier de afschrijvingen volgens de laatste rekenstaat 2008 in te vullen en deze vervolgens te vermenigvuldigen met de aangegeven factor. Het resultaat is de normatieve boekwaarde van medische en overige inventarissen. </v>
      </c>
      <c r="B15" s="395"/>
      <c r="C15" s="395"/>
      <c r="D15" s="395"/>
      <c r="E15" s="395"/>
    </row>
    <row r="16" spans="1:5" ht="12.75" customHeight="1">
      <c r="A16" s="1"/>
      <c r="B16" s="1"/>
      <c r="C16" s="1"/>
      <c r="D16" s="1"/>
      <c r="E16" s="1"/>
    </row>
    <row r="17" spans="1:5" ht="12.75" customHeight="1">
      <c r="A17" s="44" t="str">
        <f>'A-E'!A84</f>
        <v>D.</v>
      </c>
      <c r="B17" s="44" t="str">
        <f>'A-E'!B84</f>
        <v>Werkelijke boekwaarde instandhoudingsinvesteringen (inclusief onderhanden werk)</v>
      </c>
      <c r="C17" s="53"/>
      <c r="D17" s="53"/>
      <c r="E17" s="23"/>
    </row>
    <row r="18" spans="1:5" ht="51" customHeight="1">
      <c r="A18" s="401" t="str">
        <f>CONCATENATE("Op regel ",'A-E'!A87," dient u de samenstelling van de boekwaarde per 31 december ",'Rentecalc.'!J1-1," volgens de jaarrekening op te nemen. Voor instandhoudingsinvesteringen in uitvoering zijn twee varianten mogelijk."," U kunt er voor kiezen de investeringskosten aan het eind van het jaar direct te activeren en de afschrijving daarop in ",'Rentecalc.'!J1," te starten. U kunt er ook voor kiezen de investeringskosten te boeken op onderhanden werk. Alleen als u kiest voor de laatste variant dienen de regels ",'A-E'!A89," en ",'A-E'!A103," te worden ingevuld. Evenals in overzicht B wordt ook hier in de toegepaste factoren rekening gehouden met een betalingstermijn van één maand.")</f>
        <v>Op regel 801 dient u de samenstelling van de boekwaarde per 31 december 2007 volgens de jaarrekening op te nemen. Voor instandhoudingsinvesteringen in uitvoering zijn twee varianten mogelijk. U kunt er voor kiezen de investeringskosten aan het eind van het jaar direct te activeren en de afschrijving daarop in 2008 te starten. U kunt er ook voor kiezen de investeringskosten te boeken op onderhanden werk. Alleen als u kiest voor de laatste variant dienen de regels 803 en 817 te worden ingevuld. Evenals in overzicht B wordt ook hier in de toegepaste factoren rekening gehouden met een betalingstermijn van één maand.</v>
      </c>
      <c r="B18" s="397"/>
      <c r="C18" s="397"/>
      <c r="D18" s="397"/>
      <c r="E18" s="397"/>
    </row>
    <row r="19" s="6" customFormat="1" ht="11.25" hidden="1">
      <c r="A19" s="4" t="s">
        <v>140</v>
      </c>
    </row>
    <row r="20" s="6" customFormat="1" ht="11.25" hidden="1">
      <c r="A20" s="4" t="s">
        <v>141</v>
      </c>
    </row>
    <row r="21" s="6" customFormat="1" ht="11.25" hidden="1">
      <c r="A21" s="4" t="s">
        <v>142</v>
      </c>
    </row>
    <row r="22" s="6" customFormat="1" ht="11.25" hidden="1">
      <c r="A22" s="4" t="s">
        <v>143</v>
      </c>
    </row>
    <row r="23" s="6" customFormat="1" ht="11.25" hidden="1">
      <c r="A23" s="4" t="s">
        <v>144</v>
      </c>
    </row>
    <row r="24" s="6" customFormat="1" ht="11.25" hidden="1">
      <c r="A24" s="4" t="s">
        <v>145</v>
      </c>
    </row>
    <row r="25" s="6" customFormat="1" ht="11.25" hidden="1">
      <c r="A25" s="4" t="s">
        <v>146</v>
      </c>
    </row>
    <row r="26" s="6" customFormat="1" ht="11.25" hidden="1">
      <c r="A26" s="4" t="s">
        <v>147</v>
      </c>
    </row>
    <row r="27" s="6" customFormat="1" ht="11.25" hidden="1">
      <c r="A27" s="4" t="s">
        <v>148</v>
      </c>
    </row>
    <row r="28" s="6" customFormat="1" ht="11.25" hidden="1">
      <c r="A28" s="4" t="s">
        <v>149</v>
      </c>
    </row>
    <row r="29" s="6" customFormat="1" ht="11.25" hidden="1">
      <c r="A29" s="4" t="s">
        <v>150</v>
      </c>
    </row>
    <row r="30" s="6" customFormat="1" ht="11.25" hidden="1">
      <c r="A30" s="4" t="s">
        <v>151</v>
      </c>
    </row>
    <row r="31" s="6" customFormat="1" ht="12.75" customHeight="1">
      <c r="A31" s="4"/>
    </row>
    <row r="32" spans="1:5" ht="12.75" customHeight="1">
      <c r="A32" s="44" t="str">
        <f>'A-E'!A117</f>
        <v>E.</v>
      </c>
      <c r="B32" s="44" t="str">
        <f>'A-E'!B117</f>
        <v>Normatief werkkapitaal</v>
      </c>
      <c r="C32" s="48"/>
      <c r="D32" s="48"/>
      <c r="E32" s="48"/>
    </row>
    <row r="33" spans="1:5" ht="14.25" customHeight="1">
      <c r="A33" s="397" t="str">
        <f>CONCATENATE("Op regel ",'A-E'!A118," de totale aanvaardbare kosten van de AWBZ rekenstaat (120 cat.) én de Zvw rekenstaat (450 cat.) vermelden.")</f>
        <v>Op regel 819 de totale aanvaardbare kosten van de AWBZ rekenstaat (120 cat.) én de Zvw rekenstaat (450 cat.) vermelden.</v>
      </c>
      <c r="B33" s="397"/>
      <c r="C33" s="397"/>
      <c r="D33" s="397"/>
      <c r="E33" s="397"/>
    </row>
    <row r="34" spans="1:5" ht="13.5" customHeight="1">
      <c r="A34" s="397" t="str">
        <f>CONCATENATE("Op regel ",'A-E'!A119," de onderdelen vermelden die niet onder de reikwijdte van de WTZi vallen, zoals extramurale zorg en kleinschalig wonen.")</f>
        <v>Op regel 820 de onderdelen vermelden die niet onder de reikwijdte van de WTZi vallen, zoals extramurale zorg en kleinschalig wonen.</v>
      </c>
      <c r="B34" s="397"/>
      <c r="C34" s="397"/>
      <c r="D34" s="397"/>
      <c r="E34" s="397"/>
    </row>
    <row r="35" spans="1:5" ht="35.25" customHeight="1">
      <c r="A35" s="397" t="str">
        <f>CONCATENATE("Regel ",'A-E'!A120," is alleen van toepassing op instellingen die als bestendige gedragslijn aan het einde van het jaar tegenover (een deel van) de vakantiegeldverplichting een vordering op de AWBZ in de balans opnemen."," Het in te vullen bedrag is in beginsel gelijk aan de reservering in het jaar voorafgaande aan het jaar waarin de budgettering werd ingevoerd.")</f>
        <v>Regel 821 is alleen van toepassing op instellingen die als bestendige gedragslijn aan het einde van het jaar tegenover (een deel van) de vakantiegeldverplichting een vordering op de AWBZ in de balans opnemen. Het in te vullen bedrag is in beginsel gelijk aan de reservering in het jaar voorafgaande aan het jaar waarin de budgettering werd ingevoerd.</v>
      </c>
      <c r="B35" s="397"/>
      <c r="C35" s="397"/>
      <c r="D35" s="397"/>
      <c r="E35" s="397"/>
    </row>
    <row r="36" spans="1:5" ht="12.75" customHeight="1">
      <c r="A36" s="48"/>
      <c r="B36" s="48"/>
      <c r="C36" s="48"/>
      <c r="D36" s="48"/>
      <c r="E36" s="48"/>
    </row>
    <row r="37" spans="1:5" s="6" customFormat="1" ht="12.75" customHeight="1">
      <c r="A37" s="44" t="str">
        <f>F!A1</f>
        <v>F. </v>
      </c>
      <c r="B37" s="44" t="str">
        <f>F!B1</f>
        <v>Langlopende leningen (incl. langlopende leasecontracten) </v>
      </c>
      <c r="C37" s="3"/>
      <c r="D37" s="3"/>
      <c r="E37" s="23"/>
    </row>
    <row r="38" spans="1:5" s="54" customFormat="1" ht="12.75" customHeight="1">
      <c r="A38" s="395"/>
      <c r="B38" s="396"/>
      <c r="C38" s="396"/>
      <c r="D38" s="396"/>
      <c r="E38" s="396"/>
    </row>
    <row r="39" spans="1:5" s="54" customFormat="1" ht="12.75" customHeight="1">
      <c r="A39" s="395" t="s">
        <v>163</v>
      </c>
      <c r="B39" s="396"/>
      <c r="C39" s="396"/>
      <c r="D39" s="396"/>
      <c r="E39" s="396"/>
    </row>
    <row r="40" spans="1:5" s="54" customFormat="1" ht="12.75" customHeight="1">
      <c r="A40" s="396"/>
      <c r="B40" s="396"/>
      <c r="C40" s="396"/>
      <c r="D40" s="396"/>
      <c r="E40" s="396"/>
    </row>
    <row r="41" spans="1:5" s="54" customFormat="1" ht="6.75" customHeight="1">
      <c r="A41" s="396"/>
      <c r="B41" s="396"/>
      <c r="C41" s="396"/>
      <c r="D41" s="396"/>
      <c r="E41" s="396"/>
    </row>
    <row r="42" spans="1:5" s="6" customFormat="1" ht="25.5" customHeight="1">
      <c r="A42" s="395" t="str">
        <f>CONCATENATE("2. In de kolom 'Datum normrente' moet voor leningen die in ",'Rentecalc.'!J1," zijn afgesloten de datum worden vermeld waarop het berekende normpercentage is vastgesteld. Dit is de datum waarop de leningsovereenkomst tot stand is gekomen.")</f>
        <v>2. In de kolom 'Datum normrente' moet voor leningen die in 2008 zijn afgesloten de datum worden vermeld waarop het berekende normpercentage is vastgesteld. Dit is de datum waarop de leningsovereenkomst tot stand is gekomen.</v>
      </c>
      <c r="B42" s="395"/>
      <c r="C42" s="395"/>
      <c r="D42" s="395"/>
      <c r="E42" s="395"/>
    </row>
    <row r="43" spans="1:5" s="6" customFormat="1" ht="6.75" customHeight="1">
      <c r="A43" s="1"/>
      <c r="B43" s="1"/>
      <c r="C43" s="1"/>
      <c r="D43" s="1"/>
      <c r="E43" s="1"/>
    </row>
    <row r="44" spans="1:5" s="6" customFormat="1" ht="57" customHeight="1">
      <c r="A44" s="395" t="str">
        <f>CONCATENATE("3. In de kolom 'einddatum rentevastperiode' dient de datum worden opgenomen waarop het huidige rentepercentage expireert. Als een bestaande lening in ",'Rentecalc.'!J1," vervroegd is afgelost kunt u bij de vervangende lening in deze kolom de datum vermelden waarop de oorspronkelijke rentevastperiode zou aflopen, echter met een maximum van vijf jaar na datum afsluiten vervangende lening."," Gedurende de periode dat de oude lening nog zou zijn doorgelopen heeft de instelling recht op een rentevergoeding  conform het oude rentepercentage."," In de kolom '% werkelijk' dient u in dat geval het werkelijke rentepercentage van de oude lening te vermelden.")</f>
        <v>3. In de kolom 'einddatum rentevastperiode' dient de datum worden opgenomen waarop het huidige rentepercentage expireert. Als een bestaande lening in 2008 vervroegd is afgelost kunt u bij de vervangende lening in deze kolom de datum vermelden waarop de oorspronkelijke rentevastperiode zou aflopen, echter met een maximum van vijf jaar na datum afsluiten vervangende lening. Gedurende de periode dat de oude lening nog zou zijn doorgelopen heeft de instelling recht op een rentevergoeding  conform het oude rentepercentage. In de kolom '% werkelijk' dient u in dat geval het werkelijke rentepercentage van de oude lening te vermelden.</v>
      </c>
      <c r="B44" s="395"/>
      <c r="C44" s="395"/>
      <c r="D44" s="395"/>
      <c r="E44" s="395"/>
    </row>
    <row r="45" spans="1:5" s="6" customFormat="1" ht="6.75" customHeight="1">
      <c r="A45" s="1"/>
      <c r="B45" s="1"/>
      <c r="C45" s="1"/>
      <c r="D45" s="1"/>
      <c r="E45" s="1"/>
    </row>
    <row r="46" spans="1:5" s="6" customFormat="1" ht="35.25" customHeight="1">
      <c r="A46" s="395" t="s">
        <v>11</v>
      </c>
      <c r="B46" s="395"/>
      <c r="C46" s="395"/>
      <c r="D46" s="395"/>
      <c r="E46" s="395"/>
    </row>
    <row r="47" spans="1:5" s="6" customFormat="1" ht="6.75" customHeight="1">
      <c r="A47" s="1"/>
      <c r="B47" s="1"/>
      <c r="C47" s="1"/>
      <c r="D47" s="1"/>
      <c r="E47" s="1"/>
    </row>
    <row r="48" spans="1:5" s="6" customFormat="1" ht="38.25" customHeight="1">
      <c r="A48" s="395" t="s">
        <v>12</v>
      </c>
      <c r="B48" s="395"/>
      <c r="C48" s="395"/>
      <c r="D48" s="395"/>
      <c r="E48" s="395"/>
    </row>
    <row r="49" spans="1:5" s="6" customFormat="1" ht="6.75" customHeight="1">
      <c r="A49" s="1"/>
      <c r="B49" s="1"/>
      <c r="C49" s="1"/>
      <c r="D49" s="1"/>
      <c r="E49" s="1"/>
    </row>
    <row r="50" spans="1:5" s="6" customFormat="1" ht="45" customHeight="1">
      <c r="A50" s="400" t="str">
        <f>CONCATENATE("6. In de kolommen van 'Storting/Aflossing ",'Rentecalc.'!J1,"' dient u het aflossingsbedrag, de dag en de maand(en) van aflossing aan te geven."," Aan de hand van deze gegevens wordt de gewogen schuld berekend. Indien deze berekening voor een specifieke situatie niet tot de juiste uitkomst leidt, kan het bedrag van de gewogen schuld worden aangepast."," Ook de berekende aanvaardbare rentekosten kunnen worden aangepast voor afwijkingen in de werkelijke rentekosten als het gaat om oude leningen.")</f>
        <v>6. In de kolommen van 'Storting/Aflossing 2008' dient u het aflossingsbedrag, de dag en de maand(en) van aflossing aan te geven. Aan de hand van deze gegevens wordt de gewogen schuld berekend. Indien deze berekening voor een specifieke situatie niet tot de juiste uitkomst leidt, kan het bedrag van de gewogen schuld worden aangepast. Ook de berekende aanvaardbare rentekosten kunnen worden aangepast voor afwijkingen in de werkelijke rentekosten als het gaat om oude leningen.</v>
      </c>
      <c r="B50" s="394"/>
      <c r="C50" s="394"/>
      <c r="D50" s="394"/>
      <c r="E50" s="394"/>
    </row>
    <row r="51" spans="1:5" s="6" customFormat="1" ht="6.75" customHeight="1">
      <c r="A51" s="55"/>
      <c r="B51" s="49"/>
      <c r="C51" s="49"/>
      <c r="D51" s="49"/>
      <c r="E51" s="49"/>
    </row>
    <row r="52" spans="1:5" s="6" customFormat="1" ht="25.5" customHeight="1">
      <c r="A52" s="394" t="s">
        <v>13</v>
      </c>
      <c r="B52" s="394"/>
      <c r="C52" s="394"/>
      <c r="D52" s="394"/>
      <c r="E52" s="394"/>
    </row>
    <row r="53" spans="1:5" s="6" customFormat="1" ht="6.75" customHeight="1">
      <c r="A53" s="395"/>
      <c r="B53" s="395"/>
      <c r="C53" s="395"/>
      <c r="D53" s="395"/>
      <c r="E53" s="395"/>
    </row>
    <row r="54" spans="1:5" s="6" customFormat="1" ht="12.75" customHeight="1">
      <c r="A54" s="44" t="str">
        <f>'G-H'!A1</f>
        <v>G. </v>
      </c>
      <c r="B54" s="44" t="str">
        <f>'G-H'!B1</f>
        <v>Eigen vermogen</v>
      </c>
      <c r="C54" s="49"/>
      <c r="D54" s="49"/>
      <c r="E54" s="49"/>
    </row>
    <row r="55" spans="1:5" s="6" customFormat="1" ht="51" customHeight="1">
      <c r="A55" s="399" t="str">
        <f>CONCATENATE("Op regel ",'G-H'!A17," kan de boekwaarde van vergunningsplichtige investeringen zonder vergunning in mindering worden gebracht. Dit betreft investeringen waarvoor, om voor nacalculatie in aanmerking te komen, een vergunning is vereist, maar ","welke niet is afgegeven. Het kan ook gaan om een overschrijding van een vergunning. De investeringen zijn gedaan ten behoeve van de instelling en er is geen titel om de daarmee samenhangende kapitaalslasten door te berekenen aan derden. ","Deze regel is niet bedoeld voor investeringen waarvan de kosten  uit andere hoofde moeten worden gedekt. Zoals bijvoorbeeld bij gebouwen van RIAGG's / RIBW's.")</f>
        <v>Op regel 1115 kan de boekwaarde van vergunningsplichtige investeringen zonder vergunning in mindering worden gebracht. Dit betreft investeringen waarvoor, om voor nacalculatie in aanmerking te komen, een vergunning is vereist, maar welke niet is afgegeven. Het kan ook gaan om een overschrijding van een vergunning. De investeringen zijn gedaan ten behoeve van de instelling en er is geen titel om de daarmee samenhangende kapitaalslasten door te berekenen aan derden. Deze regel is niet bedoeld voor investeringen waarvan de kosten  uit andere hoofde moeten worden gedekt. Zoals bijvoorbeeld bij gebouwen van RIAGG's / RIBW's.</v>
      </c>
      <c r="B55" s="395"/>
      <c r="C55" s="395"/>
      <c r="D55" s="395"/>
      <c r="E55" s="395"/>
    </row>
    <row r="56" spans="1:5" s="6" customFormat="1" ht="6.75" customHeight="1">
      <c r="A56" s="56"/>
      <c r="B56" s="1"/>
      <c r="C56" s="1"/>
      <c r="D56" s="1"/>
      <c r="E56" s="1"/>
    </row>
    <row r="57" spans="2:5" s="6" customFormat="1" ht="12.75" customHeight="1">
      <c r="B57" s="22" t="s">
        <v>28</v>
      </c>
      <c r="C57" s="23"/>
      <c r="D57" s="23"/>
      <c r="E57" s="23"/>
    </row>
    <row r="58" spans="1:5" s="6" customFormat="1" ht="25.5" customHeight="1">
      <c r="A58" s="400" t="str">
        <f>CONCATENATE("In de berekening van de aanvaardbare kosten door middel van het nacalculatieformulier zit een cirkelredenering, die (indien gewenst) met behulp van regel ",'G-H'!A16," kan worden voorkomen. U gaat als volgt te werk:")</f>
        <v>In de berekening van de aanvaardbare kosten door middel van het nacalculatieformulier zit een cirkelredenering, die (indien gewenst) met behulp van regel 1114 kan worden voorkomen. U gaat als volgt te werk:</v>
      </c>
      <c r="B58" s="394"/>
      <c r="C58" s="394"/>
      <c r="D58" s="394"/>
      <c r="E58" s="394"/>
    </row>
    <row r="59" spans="1:5" s="6" customFormat="1" ht="38.25" customHeight="1">
      <c r="A59" s="394" t="str">
        <f>CONCATENATE("Stap 1. Vul het nacalculatieformulier volledig in met uitzondering van regel ",'G-H'!A5," , kolom ",'G-H'!D2,". Neem op deze regel het bedrag van kolom ",'G-H'!C2," over. Er wordt hierbij van uitgegaan dat alle overige mutaties op de onderdelen van het eigen vermogen slaan."," Deze berekening levert een voorlopig bedrag aanvaardbare kosten op, waaruit vervolgens een voorlopige mutatie van de Reserve aanvaardbare kosten kan worden afgeleid.")</f>
        <v>Stap 1. Vul het nacalculatieformulier volledig in met uitzondering van regel 1103 , kolom 31-12-2008 . Neem op deze regel het bedrag van kolom 31-12-2007  over. Er wordt hierbij van uitgegaan dat alle overige mutaties op de onderdelen van het eigen vermogen slaan. Deze berekening levert een voorlopig bedrag aanvaardbare kosten op, waaruit vervolgens een voorlopige mutatie van de Reserve aanvaardbare kosten kan worden afgeleid.</v>
      </c>
      <c r="B59" s="394"/>
      <c r="C59" s="394"/>
      <c r="D59" s="394"/>
      <c r="E59" s="394"/>
    </row>
    <row r="60" spans="1:5" s="6" customFormat="1" ht="25.5" customHeight="1">
      <c r="A60" s="394" t="str">
        <f>CONCATENATE("Stap 2. Verwerk de voorlopige mutatie van de Reserve aanvaardbare kosten op regel ",'G-H'!A5," , kolom ",'G-H'!D2,". Hieruit volgt de berekening van het definitieve bedrag aanvaardbare kosten en dus ook de definitieve mutatie van de Reserve aanvaardbare kosten.")</f>
        <v>Stap 2. Verwerk de voorlopige mutatie van de Reserve aanvaardbare kosten op regel 1103 , kolom 31-12-2008 . Hieruit volgt de berekening van het definitieve bedrag aanvaardbare kosten en dus ook de definitieve mutatie van de Reserve aanvaardbare kosten.</v>
      </c>
      <c r="B60" s="394"/>
      <c r="C60" s="394"/>
      <c r="D60" s="394"/>
      <c r="E60" s="394"/>
    </row>
    <row r="61" spans="1:5" s="6" customFormat="1" ht="34.5" customHeight="1">
      <c r="A61" s="394" t="str">
        <f>CONCATENATE("Stap 3. Verwerk de definitieve mutatie van de Reserve aanvaardbare kosten op regel ",'G-H'!A5," , kolom ",'G-H'!D2," en vul op regel ",'G-H'!A16," het verschil in tussen de voorlopige en de definitieve mutatie Reserve aanvaardbare kosten. De aanvaardbare kosten volgens de jaarrekening sluiten nu aan bij de aanvaardbare kosten volgens het nacalculatieformulier.")</f>
        <v>Stap 3. Verwerk de definitieve mutatie van de Reserve aanvaardbare kosten op regel 1103 , kolom 31-12-2008  en vul op regel 1114 het verschil in tussen de voorlopige en de definitieve mutatie Reserve aanvaardbare kosten. De aanvaardbare kosten volgens de jaarrekening sluiten nu aan bij de aanvaardbare kosten volgens het nacalculatieformulier.</v>
      </c>
      <c r="B61" s="394"/>
      <c r="C61" s="394"/>
      <c r="D61" s="394"/>
      <c r="E61" s="394"/>
    </row>
    <row r="62" spans="1:5" s="6" customFormat="1" ht="34.5" customHeight="1">
      <c r="A62" s="394" t="str">
        <f>CONCATENATE("Opmerking: Als na het vaststellen van de jaarrekening nog veranderingen worden aangebracht in de gegevens van het nacalculatieformulier, ","sluit het bedrag van de aanvaardbare kosten confom het nacalculatieformulier niet langer aan bij de aanvaardbare kosten volgens de jaarrekening. In dat geval hoeft regel ",'G-H'!A16," niet ingevuld te worden.")</f>
        <v>Opmerking: Als na het vaststellen van de jaarrekening nog veranderingen worden aangebracht in de gegevens van het nacalculatieformulier, sluit het bedrag van de aanvaardbare kosten confom het nacalculatieformulier niet langer aan bij de aanvaardbare kosten volgens de jaarrekening. In dat geval hoeft regel 1114 niet ingevuld te worden.</v>
      </c>
      <c r="B62" s="394"/>
      <c r="C62" s="394"/>
      <c r="D62" s="394"/>
      <c r="E62" s="394"/>
    </row>
    <row r="63" spans="1:5" s="6" customFormat="1" ht="6.75" customHeight="1">
      <c r="A63" s="49"/>
      <c r="B63" s="49"/>
      <c r="C63" s="49"/>
      <c r="D63" s="49"/>
      <c r="E63" s="49"/>
    </row>
    <row r="64" spans="1:5" ht="12.75" customHeight="1">
      <c r="A64" s="44" t="str">
        <f>'G-H'!A24</f>
        <v>H. </v>
      </c>
      <c r="B64" s="44" t="str">
        <f>'G-H'!B24</f>
        <v>Rentekosten langlopende leningen</v>
      </c>
      <c r="C64" s="23"/>
      <c r="D64" s="23"/>
      <c r="E64" s="23"/>
    </row>
    <row r="65" spans="1:5" ht="25.5" customHeight="1">
      <c r="A65" s="399" t="str">
        <f>CONCATENATE("De rente van langlopende leningen op regel ",'G-H'!A26," dient te corresponderen met de leningen die in het overzicht onder F zijn vermeld. Als op regel ",'G-H'!A29," rentekosten zijn vermeld van leasecontracten dient op regel ",F!A35," het daarmee corresponderende leningbedrag te worden vermeld.")</f>
        <v>De rente van langlopende leningen op regel 1120 dient te corresponderen met de leningen die in het overzicht onder F zijn vermeld. Als op regel 1123 rentekosten zijn vermeld van leasecontracten dient op regel 932 het daarmee corresponderende leningbedrag te worden vermeld.</v>
      </c>
      <c r="B65" s="395"/>
      <c r="C65" s="395"/>
      <c r="D65" s="395"/>
      <c r="E65" s="395"/>
    </row>
    <row r="66" spans="1:5" ht="6.75" customHeight="1">
      <c r="A66" s="56"/>
      <c r="B66" s="1"/>
      <c r="C66" s="1"/>
      <c r="D66" s="1"/>
      <c r="E66" s="1"/>
    </row>
  </sheetData>
  <sheetProtection password="E296" sheet="1" objects="1" scenarios="1"/>
  <mergeCells count="25">
    <mergeCell ref="A34:E34"/>
    <mergeCell ref="A65:E65"/>
    <mergeCell ref="A58:E58"/>
    <mergeCell ref="A18:E18"/>
    <mergeCell ref="A50:E50"/>
    <mergeCell ref="A35:E35"/>
    <mergeCell ref="A61:E61"/>
    <mergeCell ref="A62:E62"/>
    <mergeCell ref="A52:E52"/>
    <mergeCell ref="A59:E59"/>
    <mergeCell ref="A55:E55"/>
    <mergeCell ref="A4:E4"/>
    <mergeCell ref="A5:E5"/>
    <mergeCell ref="A9:E9"/>
    <mergeCell ref="A15:E15"/>
    <mergeCell ref="A60:E60"/>
    <mergeCell ref="A53:E53"/>
    <mergeCell ref="A44:E44"/>
    <mergeCell ref="A12:E12"/>
    <mergeCell ref="A48:E48"/>
    <mergeCell ref="A38:E38"/>
    <mergeCell ref="A39:E41"/>
    <mergeCell ref="A46:E46"/>
    <mergeCell ref="A42:E42"/>
    <mergeCell ref="A33:E33"/>
  </mergeCells>
  <printOptions/>
  <pageMargins left="0.3937007874015748" right="0.3937007874015748" top="0.7874015748031497" bottom="0.3937007874015748" header="0.5118110236220472" footer="0.5118110236220472"/>
  <pageSetup firstPageNumber="3" useFirstPageNumber="1" fitToHeight="3" horizontalDpi="300" verticalDpi="300" orientation="landscape" paperSize="9" scale="95" r:id="rId2"/>
  <headerFooter alignWithMargins="0">
    <oddHeader>&amp;LGGZ CALCULATIEMODEL RENTEKOSTEN&amp;R&amp;G</oddHeader>
    <oddFooter>&amp;R&amp;P</oddFooter>
  </headerFooter>
  <rowBreaks count="2" manualBreakCount="2">
    <brk id="36" max="4" man="1"/>
    <brk id="56" max="4" man="1"/>
  </rowBreaks>
  <legacyDrawingHF r:id="rId1"/>
</worksheet>
</file>

<file path=xl/worksheets/sheet4.xml><?xml version="1.0" encoding="utf-8"?>
<worksheet xmlns="http://schemas.openxmlformats.org/spreadsheetml/2006/main" xmlns:r="http://schemas.openxmlformats.org/officeDocument/2006/relationships">
  <sheetPr codeName="Blad13"/>
  <dimension ref="A1:J151"/>
  <sheetViews>
    <sheetView showGridLines="0" zoomScale="95" zoomScaleNormal="95" workbookViewId="0" topLeftCell="A1">
      <selection activeCell="C6" sqref="C6"/>
    </sheetView>
  </sheetViews>
  <sheetFormatPr defaultColWidth="9.140625" defaultRowHeight="12.75"/>
  <cols>
    <col min="1" max="1" width="5.7109375" style="95" customWidth="1"/>
    <col min="2" max="2" width="46.7109375" style="8" customWidth="1"/>
    <col min="3" max="6" width="17.7109375" style="6" customWidth="1"/>
    <col min="7" max="7" width="17.7109375" style="8" customWidth="1"/>
    <col min="8" max="8" width="13.00390625" style="8" customWidth="1"/>
    <col min="9" max="9" width="10.7109375" style="8" customWidth="1"/>
    <col min="10" max="10" width="10.7109375" style="9" customWidth="1"/>
    <col min="11" max="15" width="10.7109375" style="8" customWidth="1"/>
    <col min="16" max="23" width="9.140625" style="8" customWidth="1"/>
    <col min="24" max="24" width="1.7109375" style="8" customWidth="1"/>
    <col min="25" max="16384" width="9.140625" style="8" customWidth="1"/>
  </cols>
  <sheetData>
    <row r="1" spans="1:7" ht="12.75" customHeight="1">
      <c r="A1" s="18" t="s">
        <v>26</v>
      </c>
      <c r="B1" s="43"/>
      <c r="C1" s="64"/>
      <c r="D1" s="64"/>
      <c r="E1" s="363" t="b">
        <f>'Rentecalc.'!I4</f>
        <v>1</v>
      </c>
      <c r="F1" s="64"/>
      <c r="G1" s="63"/>
    </row>
    <row r="2" spans="1:7" ht="12.75" customHeight="1">
      <c r="A2" s="84"/>
      <c r="B2" s="43"/>
      <c r="C2" s="64"/>
      <c r="D2" s="64"/>
      <c r="E2" s="64"/>
      <c r="F2" s="64"/>
      <c r="G2" s="63"/>
    </row>
    <row r="3" spans="1:2" s="11" customFormat="1" ht="12.75" customHeight="1">
      <c r="A3" s="375" t="s">
        <v>129</v>
      </c>
      <c r="B3" s="100" t="s">
        <v>138</v>
      </c>
    </row>
    <row r="4" spans="1:7" s="11" customFormat="1" ht="12" customHeight="1">
      <c r="A4" s="376"/>
      <c r="B4" s="164"/>
      <c r="C4" s="85" t="s">
        <v>127</v>
      </c>
      <c r="D4" s="165" t="s">
        <v>44</v>
      </c>
      <c r="E4" s="101" t="s">
        <v>121</v>
      </c>
      <c r="F4" s="402" t="s">
        <v>95</v>
      </c>
      <c r="G4" s="403"/>
    </row>
    <row r="5" spans="1:7" s="9" customFormat="1" ht="12" customHeight="1">
      <c r="A5" s="375"/>
      <c r="B5" s="167"/>
      <c r="C5" s="86"/>
      <c r="D5" s="86"/>
      <c r="E5" s="86"/>
      <c r="F5" s="168" t="s">
        <v>120</v>
      </c>
      <c r="G5" s="109" t="s">
        <v>115</v>
      </c>
    </row>
    <row r="6" spans="1:10" ht="12" customHeight="1">
      <c r="A6" s="370">
        <v>601</v>
      </c>
      <c r="B6" s="169" t="str">
        <f>CONCATENATE("Stand per 31-12-",'Rentecalc.'!J1-1)</f>
        <v>Stand per 31-12-2007</v>
      </c>
      <c r="C6" s="125"/>
      <c r="D6" s="170">
        <v>0</v>
      </c>
      <c r="E6" s="171">
        <f>C6-D6</f>
        <v>0</v>
      </c>
      <c r="F6" s="172">
        <v>1</v>
      </c>
      <c r="G6" s="111">
        <f>E6*F6</f>
        <v>0</v>
      </c>
      <c r="J6" s="8"/>
    </row>
    <row r="7" spans="1:10" ht="12" customHeight="1">
      <c r="A7" s="370">
        <f aca="true" t="shared" si="0" ref="A7:A20">A6+1</f>
        <v>602</v>
      </c>
      <c r="B7" s="88" t="str">
        <f>CONCATENATE("Geheel afgeschreven in ",'Rentecalc.'!J1-1)</f>
        <v>Geheel afgeschreven in 2007</v>
      </c>
      <c r="C7" s="87"/>
      <c r="D7" s="125"/>
      <c r="E7" s="171">
        <f>C7-D7</f>
        <v>0</v>
      </c>
      <c r="F7" s="173"/>
      <c r="G7" s="111"/>
      <c r="J7" s="8"/>
    </row>
    <row r="8" spans="1:10" ht="12" customHeight="1">
      <c r="A8" s="370">
        <f t="shared" si="0"/>
        <v>603</v>
      </c>
      <c r="B8" s="88" t="s">
        <v>52</v>
      </c>
      <c r="C8" s="125"/>
      <c r="D8" s="170">
        <v>0</v>
      </c>
      <c r="E8" s="171">
        <f aca="true" t="shared" si="1" ref="E8:E19">C8-D8</f>
        <v>0</v>
      </c>
      <c r="F8" s="172">
        <v>0.9583</v>
      </c>
      <c r="G8" s="111">
        <f aca="true" t="shared" si="2" ref="G8:G19">E8*F8</f>
        <v>0</v>
      </c>
      <c r="J8" s="8"/>
    </row>
    <row r="9" spans="1:10" ht="12" customHeight="1">
      <c r="A9" s="370">
        <f t="shared" si="0"/>
        <v>604</v>
      </c>
      <c r="B9" s="88" t="s">
        <v>53</v>
      </c>
      <c r="C9" s="125"/>
      <c r="D9" s="170">
        <v>0</v>
      </c>
      <c r="E9" s="171">
        <f t="shared" si="1"/>
        <v>0</v>
      </c>
      <c r="F9" s="172">
        <v>0.875</v>
      </c>
      <c r="G9" s="111">
        <f t="shared" si="2"/>
        <v>0</v>
      </c>
      <c r="J9" s="8"/>
    </row>
    <row r="10" spans="1:10" ht="12" customHeight="1">
      <c r="A10" s="370">
        <f t="shared" si="0"/>
        <v>605</v>
      </c>
      <c r="B10" s="88" t="s">
        <v>54</v>
      </c>
      <c r="C10" s="125"/>
      <c r="D10" s="170">
        <v>0</v>
      </c>
      <c r="E10" s="171">
        <f t="shared" si="1"/>
        <v>0</v>
      </c>
      <c r="F10" s="172">
        <v>0.7917</v>
      </c>
      <c r="G10" s="111">
        <f t="shared" si="2"/>
        <v>0</v>
      </c>
      <c r="J10" s="8"/>
    </row>
    <row r="11" spans="1:10" ht="12" customHeight="1">
      <c r="A11" s="370">
        <f t="shared" si="0"/>
        <v>606</v>
      </c>
      <c r="B11" s="88" t="s">
        <v>55</v>
      </c>
      <c r="C11" s="125"/>
      <c r="D11" s="170">
        <v>0</v>
      </c>
      <c r="E11" s="171">
        <f t="shared" si="1"/>
        <v>0</v>
      </c>
      <c r="F11" s="172">
        <v>0.7083</v>
      </c>
      <c r="G11" s="111">
        <f t="shared" si="2"/>
        <v>0</v>
      </c>
      <c r="J11" s="8"/>
    </row>
    <row r="12" spans="1:10" ht="12" customHeight="1">
      <c r="A12" s="370">
        <f t="shared" si="0"/>
        <v>607</v>
      </c>
      <c r="B12" s="88" t="s">
        <v>56</v>
      </c>
      <c r="C12" s="125"/>
      <c r="D12" s="170">
        <v>0</v>
      </c>
      <c r="E12" s="171">
        <f t="shared" si="1"/>
        <v>0</v>
      </c>
      <c r="F12" s="172">
        <v>0.625</v>
      </c>
      <c r="G12" s="111">
        <f t="shared" si="2"/>
        <v>0</v>
      </c>
      <c r="J12" s="8"/>
    </row>
    <row r="13" spans="1:10" ht="12" customHeight="1">
      <c r="A13" s="370">
        <f t="shared" si="0"/>
        <v>608</v>
      </c>
      <c r="B13" s="88" t="s">
        <v>57</v>
      </c>
      <c r="C13" s="125"/>
      <c r="D13" s="170">
        <v>0</v>
      </c>
      <c r="E13" s="171">
        <f t="shared" si="1"/>
        <v>0</v>
      </c>
      <c r="F13" s="172">
        <v>0.5417</v>
      </c>
      <c r="G13" s="111">
        <f t="shared" si="2"/>
        <v>0</v>
      </c>
      <c r="J13" s="8"/>
    </row>
    <row r="14" spans="1:10" ht="12" customHeight="1">
      <c r="A14" s="370">
        <f t="shared" si="0"/>
        <v>609</v>
      </c>
      <c r="B14" s="88" t="s">
        <v>58</v>
      </c>
      <c r="C14" s="125"/>
      <c r="D14" s="170">
        <v>0</v>
      </c>
      <c r="E14" s="171">
        <f t="shared" si="1"/>
        <v>0</v>
      </c>
      <c r="F14" s="172">
        <v>0.4583</v>
      </c>
      <c r="G14" s="111">
        <f t="shared" si="2"/>
        <v>0</v>
      </c>
      <c r="J14" s="8"/>
    </row>
    <row r="15" spans="1:10" ht="12" customHeight="1">
      <c r="A15" s="370">
        <f t="shared" si="0"/>
        <v>610</v>
      </c>
      <c r="B15" s="88" t="s">
        <v>59</v>
      </c>
      <c r="C15" s="125"/>
      <c r="D15" s="170">
        <v>0</v>
      </c>
      <c r="E15" s="171">
        <f t="shared" si="1"/>
        <v>0</v>
      </c>
      <c r="F15" s="172">
        <v>0.375</v>
      </c>
      <c r="G15" s="111">
        <f t="shared" si="2"/>
        <v>0</v>
      </c>
      <c r="J15" s="8"/>
    </row>
    <row r="16" spans="1:10" ht="12" customHeight="1">
      <c r="A16" s="370">
        <f t="shared" si="0"/>
        <v>611</v>
      </c>
      <c r="B16" s="88" t="s">
        <v>60</v>
      </c>
      <c r="C16" s="125"/>
      <c r="D16" s="170">
        <v>0</v>
      </c>
      <c r="E16" s="171">
        <f t="shared" si="1"/>
        <v>0</v>
      </c>
      <c r="F16" s="172">
        <v>0.2917</v>
      </c>
      <c r="G16" s="111">
        <f t="shared" si="2"/>
        <v>0</v>
      </c>
      <c r="J16" s="8"/>
    </row>
    <row r="17" spans="1:10" ht="12" customHeight="1">
      <c r="A17" s="370">
        <f t="shared" si="0"/>
        <v>612</v>
      </c>
      <c r="B17" s="88" t="s">
        <v>61</v>
      </c>
      <c r="C17" s="125"/>
      <c r="D17" s="170">
        <v>0</v>
      </c>
      <c r="E17" s="171">
        <f t="shared" si="1"/>
        <v>0</v>
      </c>
      <c r="F17" s="172">
        <v>0.2083</v>
      </c>
      <c r="G17" s="111">
        <f t="shared" si="2"/>
        <v>0</v>
      </c>
      <c r="J17" s="8"/>
    </row>
    <row r="18" spans="1:10" ht="12" customHeight="1">
      <c r="A18" s="370">
        <f t="shared" si="0"/>
        <v>613</v>
      </c>
      <c r="B18" s="88" t="s">
        <v>62</v>
      </c>
      <c r="C18" s="125"/>
      <c r="D18" s="170">
        <v>0</v>
      </c>
      <c r="E18" s="171">
        <f t="shared" si="1"/>
        <v>0</v>
      </c>
      <c r="F18" s="172">
        <v>0.125</v>
      </c>
      <c r="G18" s="111">
        <f t="shared" si="2"/>
        <v>0</v>
      </c>
      <c r="J18" s="8"/>
    </row>
    <row r="19" spans="1:10" ht="12" customHeight="1">
      <c r="A19" s="370">
        <f t="shared" si="0"/>
        <v>614</v>
      </c>
      <c r="B19" s="89" t="s">
        <v>63</v>
      </c>
      <c r="C19" s="174"/>
      <c r="D19" s="175">
        <v>0</v>
      </c>
      <c r="E19" s="176">
        <f t="shared" si="1"/>
        <v>0</v>
      </c>
      <c r="F19" s="177">
        <v>0.0417</v>
      </c>
      <c r="G19" s="133">
        <f t="shared" si="2"/>
        <v>0</v>
      </c>
      <c r="J19" s="8"/>
    </row>
    <row r="20" spans="1:7" ht="12" customHeight="1">
      <c r="A20" s="370">
        <f t="shared" si="0"/>
        <v>615</v>
      </c>
      <c r="B20" s="103" t="str">
        <f>CONCATENATE("Stand per 31-12-",'Rentecalc.'!$J$1," (",A6," t/m ",A19,")")</f>
        <v>Stand per 31-12-2008 (601 t/m 614)</v>
      </c>
      <c r="C20" s="178">
        <f>C6-C7+SUM(C8:C19)</f>
        <v>0</v>
      </c>
      <c r="D20" s="179">
        <f>D6-D7+SUM(D8:D19)</f>
        <v>0</v>
      </c>
      <c r="E20" s="180">
        <f>SUM(E6:E19)</f>
        <v>0</v>
      </c>
      <c r="F20" s="181"/>
      <c r="G20" s="78">
        <f>SUM(G6:G19)</f>
        <v>0</v>
      </c>
    </row>
    <row r="21" spans="2:7" ht="11.25">
      <c r="B21" s="335" t="str">
        <f>CONCATENATE("* Afschrijvingen ",'Rentecalc.'!J1," exclusief niet-nacalculeerbare afschrijvingen ")</f>
        <v>* Afschrijvingen 2008 exclusief niet-nacalculeerbare afschrijvingen </v>
      </c>
      <c r="F21" s="183"/>
      <c r="G21" s="184"/>
    </row>
    <row r="22" spans="1:7" ht="11.25">
      <c r="A22" s="43"/>
      <c r="F22" s="183"/>
      <c r="G22" s="184"/>
    </row>
    <row r="23" spans="1:7" ht="11.25">
      <c r="A23" s="132" t="s">
        <v>93</v>
      </c>
      <c r="F23" s="183"/>
      <c r="G23" s="184"/>
    </row>
    <row r="24" spans="1:8" ht="11.25">
      <c r="A24" s="184"/>
      <c r="B24" s="184"/>
      <c r="C24" s="183"/>
      <c r="D24" s="183"/>
      <c r="E24" s="183"/>
      <c r="F24" s="183"/>
      <c r="G24" s="184"/>
      <c r="H24" s="184"/>
    </row>
    <row r="25" spans="1:8" ht="11.25">
      <c r="A25" s="184"/>
      <c r="B25" s="184"/>
      <c r="C25" s="183"/>
      <c r="D25" s="183"/>
      <c r="E25" s="183"/>
      <c r="F25" s="183"/>
      <c r="G25" s="184"/>
      <c r="H25" s="184"/>
    </row>
    <row r="26" spans="1:8" ht="11.25">
      <c r="A26" s="184"/>
      <c r="B26" s="184"/>
      <c r="C26" s="183"/>
      <c r="D26" s="183"/>
      <c r="E26" s="183"/>
      <c r="F26" s="183"/>
      <c r="G26" s="184"/>
      <c r="H26" s="184"/>
    </row>
    <row r="27" spans="1:8" ht="11.25">
      <c r="A27" s="184"/>
      <c r="B27" s="184"/>
      <c r="C27" s="183"/>
      <c r="D27" s="183"/>
      <c r="E27" s="183"/>
      <c r="F27" s="183"/>
      <c r="G27" s="184"/>
      <c r="H27" s="184"/>
    </row>
    <row r="28" spans="1:8" ht="11.25">
      <c r="A28" s="184"/>
      <c r="B28" s="184"/>
      <c r="C28" s="183"/>
      <c r="D28" s="183"/>
      <c r="E28" s="183"/>
      <c r="F28" s="183"/>
      <c r="G28" s="184"/>
      <c r="H28" s="184"/>
    </row>
    <row r="29" spans="1:8" ht="11.25">
      <c r="A29" s="184"/>
      <c r="B29" s="184"/>
      <c r="C29" s="183"/>
      <c r="D29" s="183"/>
      <c r="E29" s="183"/>
      <c r="F29" s="183"/>
      <c r="G29" s="184"/>
      <c r="H29" s="184"/>
    </row>
    <row r="30" spans="1:8" ht="11.25">
      <c r="A30" s="184"/>
      <c r="B30" s="184"/>
      <c r="C30" s="183"/>
      <c r="D30" s="183"/>
      <c r="E30" s="183"/>
      <c r="F30" s="183"/>
      <c r="G30" s="184"/>
      <c r="H30" s="184"/>
    </row>
    <row r="31" spans="1:8" ht="11.25">
      <c r="A31" s="184"/>
      <c r="B31" s="184"/>
      <c r="C31" s="183"/>
      <c r="D31" s="183"/>
      <c r="E31" s="183"/>
      <c r="F31" s="183"/>
      <c r="G31" s="184"/>
      <c r="H31" s="184"/>
    </row>
    <row r="32" spans="1:8" ht="11.25">
      <c r="A32" s="184"/>
      <c r="B32" s="184"/>
      <c r="C32" s="183"/>
      <c r="D32" s="183"/>
      <c r="E32" s="183"/>
      <c r="F32" s="183"/>
      <c r="G32" s="184"/>
      <c r="H32" s="184"/>
    </row>
    <row r="33" spans="1:8" ht="11.25">
      <c r="A33" s="184"/>
      <c r="B33" s="184"/>
      <c r="C33" s="183"/>
      <c r="D33" s="183"/>
      <c r="E33" s="183"/>
      <c r="F33" s="183"/>
      <c r="G33" s="184"/>
      <c r="H33" s="184"/>
    </row>
    <row r="34" spans="1:8" ht="11.25">
      <c r="A34" s="184"/>
      <c r="B34" s="184"/>
      <c r="C34" s="183"/>
      <c r="D34" s="183"/>
      <c r="E34" s="183"/>
      <c r="F34" s="183"/>
      <c r="G34" s="184"/>
      <c r="H34" s="184"/>
    </row>
    <row r="35" spans="1:8" ht="11.25">
      <c r="A35" s="184"/>
      <c r="B35" s="184"/>
      <c r="C35" s="183"/>
      <c r="D35" s="183"/>
      <c r="E35" s="183"/>
      <c r="F35" s="183"/>
      <c r="G35" s="184"/>
      <c r="H35" s="184"/>
    </row>
    <row r="36" spans="1:8" ht="11.25">
      <c r="A36" s="184"/>
      <c r="B36" s="184"/>
      <c r="C36" s="183"/>
      <c r="D36" s="183"/>
      <c r="E36" s="183"/>
      <c r="F36" s="183"/>
      <c r="G36" s="184"/>
      <c r="H36" s="184"/>
    </row>
    <row r="37" spans="1:8" ht="11.25">
      <c r="A37" s="184"/>
      <c r="B37" s="184"/>
      <c r="C37" s="183"/>
      <c r="D37" s="183"/>
      <c r="E37" s="183"/>
      <c r="F37" s="183"/>
      <c r="G37" s="184"/>
      <c r="H37" s="184"/>
    </row>
    <row r="38" spans="1:8" ht="11.25">
      <c r="A38" s="184"/>
      <c r="B38" s="184"/>
      <c r="C38" s="183"/>
      <c r="D38" s="183"/>
      <c r="E38" s="183"/>
      <c r="F38" s="183"/>
      <c r="G38" s="184"/>
      <c r="H38" s="184"/>
    </row>
    <row r="39" spans="1:8" ht="11.25">
      <c r="A39" s="184"/>
      <c r="B39" s="184"/>
      <c r="C39" s="183"/>
      <c r="D39" s="183"/>
      <c r="E39" s="183"/>
      <c r="F39" s="183"/>
      <c r="G39" s="184"/>
      <c r="H39" s="184"/>
    </row>
    <row r="40" spans="1:8" ht="11.25">
      <c r="A40" s="184"/>
      <c r="B40" s="184"/>
      <c r="C40" s="183"/>
      <c r="D40" s="183"/>
      <c r="E40" s="183"/>
      <c r="F40" s="183"/>
      <c r="G40" s="184"/>
      <c r="H40" s="184"/>
    </row>
    <row r="41" spans="1:7" ht="11.25">
      <c r="A41" s="43"/>
      <c r="F41" s="183"/>
      <c r="G41" s="184"/>
    </row>
    <row r="42" spans="1:3" ht="12" customHeight="1">
      <c r="A42" s="375" t="s">
        <v>130</v>
      </c>
      <c r="B42" s="185" t="s">
        <v>160</v>
      </c>
      <c r="C42" s="186"/>
    </row>
    <row r="43" spans="1:7" ht="12" customHeight="1">
      <c r="A43" s="376"/>
      <c r="B43" s="164"/>
      <c r="C43" s="406" t="s">
        <v>161</v>
      </c>
      <c r="D43" s="406" t="s">
        <v>162</v>
      </c>
      <c r="E43" s="405" t="s">
        <v>98</v>
      </c>
      <c r="F43" s="385"/>
      <c r="G43" s="386"/>
    </row>
    <row r="44" spans="1:7" ht="12" customHeight="1">
      <c r="A44" s="375"/>
      <c r="B44" s="187"/>
      <c r="C44" s="407"/>
      <c r="D44" s="407"/>
      <c r="E44" s="387"/>
      <c r="F44" s="388"/>
      <c r="G44" s="389"/>
    </row>
    <row r="45" spans="1:7" ht="12" customHeight="1">
      <c r="A45" s="375"/>
      <c r="B45" s="167"/>
      <c r="C45" s="408"/>
      <c r="D45" s="408"/>
      <c r="E45" s="168" t="s">
        <v>64</v>
      </c>
      <c r="F45" s="168" t="s">
        <v>65</v>
      </c>
      <c r="G45" s="109" t="s">
        <v>115</v>
      </c>
    </row>
    <row r="46" spans="1:7" ht="12" customHeight="1">
      <c r="A46" s="370">
        <v>701</v>
      </c>
      <c r="B46" s="169" t="str">
        <f>CONCATENATE("Stand per 31-12-",'Rentecalc.'!J1-1)</f>
        <v>Stand per 31-12-2007</v>
      </c>
      <c r="C46" s="125"/>
      <c r="D46" s="39"/>
      <c r="E46" s="188">
        <v>1</v>
      </c>
      <c r="F46" s="189"/>
      <c r="G46" s="111">
        <f>C46*E46</f>
        <v>0</v>
      </c>
    </row>
    <row r="47" spans="1:7" ht="12" customHeight="1">
      <c r="A47" s="370">
        <f>A46+1</f>
        <v>702</v>
      </c>
      <c r="B47" s="88" t="s">
        <v>66</v>
      </c>
      <c r="C47" s="125"/>
      <c r="D47" s="170">
        <v>0</v>
      </c>
      <c r="E47" s="188">
        <f>10.5/12</f>
        <v>0.875</v>
      </c>
      <c r="F47" s="188">
        <v>0.9583</v>
      </c>
      <c r="G47" s="111">
        <f>C47*E47-D47*F47</f>
        <v>0</v>
      </c>
    </row>
    <row r="48" spans="1:7" ht="12" customHeight="1">
      <c r="A48" s="370">
        <f aca="true" t="shared" si="3" ref="A48:A59">A47+1</f>
        <v>703</v>
      </c>
      <c r="B48" s="88" t="s">
        <v>67</v>
      </c>
      <c r="C48" s="125"/>
      <c r="D48" s="170">
        <v>0</v>
      </c>
      <c r="E48" s="188">
        <f>9.5/12</f>
        <v>0.7916666666666666</v>
      </c>
      <c r="F48" s="188">
        <v>0.875</v>
      </c>
      <c r="G48" s="111">
        <f aca="true" t="shared" si="4" ref="G48:G58">C48*E48-D48*F48</f>
        <v>0</v>
      </c>
    </row>
    <row r="49" spans="1:7" ht="12" customHeight="1">
      <c r="A49" s="370">
        <f t="shared" si="3"/>
        <v>704</v>
      </c>
      <c r="B49" s="88" t="s">
        <v>68</v>
      </c>
      <c r="C49" s="125"/>
      <c r="D49" s="170">
        <v>0</v>
      </c>
      <c r="E49" s="188">
        <f>8.5/12</f>
        <v>0.7083333333333334</v>
      </c>
      <c r="F49" s="188">
        <v>0.7917</v>
      </c>
      <c r="G49" s="111">
        <f t="shared" si="4"/>
        <v>0</v>
      </c>
    </row>
    <row r="50" spans="1:7" ht="12" customHeight="1">
      <c r="A50" s="370">
        <f t="shared" si="3"/>
        <v>705</v>
      </c>
      <c r="B50" s="88" t="s">
        <v>69</v>
      </c>
      <c r="C50" s="125"/>
      <c r="D50" s="170">
        <v>0</v>
      </c>
      <c r="E50" s="188">
        <f>7.5/12</f>
        <v>0.625</v>
      </c>
      <c r="F50" s="188">
        <v>0.7083</v>
      </c>
      <c r="G50" s="111">
        <f t="shared" si="4"/>
        <v>0</v>
      </c>
    </row>
    <row r="51" spans="1:7" ht="12" customHeight="1">
      <c r="A51" s="370">
        <f t="shared" si="3"/>
        <v>706</v>
      </c>
      <c r="B51" s="88" t="s">
        <v>70</v>
      </c>
      <c r="C51" s="125"/>
      <c r="D51" s="170">
        <v>0</v>
      </c>
      <c r="E51" s="188">
        <f>6.5/12</f>
        <v>0.5416666666666666</v>
      </c>
      <c r="F51" s="188">
        <v>0.625</v>
      </c>
      <c r="G51" s="111">
        <f t="shared" si="4"/>
        <v>0</v>
      </c>
    </row>
    <row r="52" spans="1:7" ht="12" customHeight="1">
      <c r="A52" s="370">
        <f t="shared" si="3"/>
        <v>707</v>
      </c>
      <c r="B52" s="88" t="s">
        <v>71</v>
      </c>
      <c r="C52" s="125"/>
      <c r="D52" s="170">
        <v>0</v>
      </c>
      <c r="E52" s="188">
        <f>5.5/12</f>
        <v>0.4583333333333333</v>
      </c>
      <c r="F52" s="188">
        <v>0.5417</v>
      </c>
      <c r="G52" s="111">
        <f t="shared" si="4"/>
        <v>0</v>
      </c>
    </row>
    <row r="53" spans="1:7" ht="12" customHeight="1">
      <c r="A53" s="370">
        <f t="shared" si="3"/>
        <v>708</v>
      </c>
      <c r="B53" s="88" t="s">
        <v>72</v>
      </c>
      <c r="C53" s="125"/>
      <c r="D53" s="170">
        <v>0</v>
      </c>
      <c r="E53" s="188">
        <f>4.5/12</f>
        <v>0.375</v>
      </c>
      <c r="F53" s="188">
        <v>0.4583</v>
      </c>
      <c r="G53" s="111">
        <f t="shared" si="4"/>
        <v>0</v>
      </c>
    </row>
    <row r="54" spans="1:7" ht="12" customHeight="1">
      <c r="A54" s="370">
        <f t="shared" si="3"/>
        <v>709</v>
      </c>
      <c r="B54" s="88" t="s">
        <v>73</v>
      </c>
      <c r="C54" s="125"/>
      <c r="D54" s="170">
        <v>0</v>
      </c>
      <c r="E54" s="188">
        <f>3.5/12</f>
        <v>0.2916666666666667</v>
      </c>
      <c r="F54" s="188">
        <v>0.375</v>
      </c>
      <c r="G54" s="111">
        <f t="shared" si="4"/>
        <v>0</v>
      </c>
    </row>
    <row r="55" spans="1:7" ht="12" customHeight="1">
      <c r="A55" s="370">
        <f t="shared" si="3"/>
        <v>710</v>
      </c>
      <c r="B55" s="88" t="s">
        <v>74</v>
      </c>
      <c r="C55" s="125"/>
      <c r="D55" s="170">
        <v>0</v>
      </c>
      <c r="E55" s="188">
        <f>2.5/12</f>
        <v>0.20833333333333334</v>
      </c>
      <c r="F55" s="188">
        <v>0.2917</v>
      </c>
      <c r="G55" s="111">
        <f t="shared" si="4"/>
        <v>0</v>
      </c>
    </row>
    <row r="56" spans="1:7" ht="12" customHeight="1">
      <c r="A56" s="370">
        <f t="shared" si="3"/>
        <v>711</v>
      </c>
      <c r="B56" s="88" t="s">
        <v>75</v>
      </c>
      <c r="C56" s="125"/>
      <c r="D56" s="170">
        <v>0</v>
      </c>
      <c r="E56" s="188">
        <f>1.5/12</f>
        <v>0.125</v>
      </c>
      <c r="F56" s="188">
        <v>0.2083</v>
      </c>
      <c r="G56" s="111">
        <f t="shared" si="4"/>
        <v>0</v>
      </c>
    </row>
    <row r="57" spans="1:7" ht="12" customHeight="1">
      <c r="A57" s="370">
        <f t="shared" si="3"/>
        <v>712</v>
      </c>
      <c r="B57" s="88" t="s">
        <v>76</v>
      </c>
      <c r="C57" s="125"/>
      <c r="D57" s="170">
        <v>0</v>
      </c>
      <c r="E57" s="188">
        <f>0.5/12</f>
        <v>0.041666666666666664</v>
      </c>
      <c r="F57" s="188">
        <v>0.125</v>
      </c>
      <c r="G57" s="111">
        <f t="shared" si="4"/>
        <v>0</v>
      </c>
    </row>
    <row r="58" spans="1:7" ht="12" customHeight="1">
      <c r="A58" s="370">
        <f t="shared" si="3"/>
        <v>713</v>
      </c>
      <c r="B58" s="88" t="s">
        <v>77</v>
      </c>
      <c r="C58" s="125"/>
      <c r="D58" s="170">
        <v>0</v>
      </c>
      <c r="E58" s="190">
        <f>-0.5/12</f>
        <v>-0.041666666666666664</v>
      </c>
      <c r="F58" s="188">
        <v>0.0417</v>
      </c>
      <c r="G58" s="111">
        <f t="shared" si="4"/>
        <v>0</v>
      </c>
    </row>
    <row r="59" spans="1:7" ht="12" customHeight="1">
      <c r="A59" s="370">
        <f t="shared" si="3"/>
        <v>714</v>
      </c>
      <c r="B59" s="103" t="str">
        <f>CONCATENATE("Stand per 31-12-",'Rentecalc.'!$J$1," (",A46," t/m ",A58,")")</f>
        <v>Stand per 31-12-2008 (701 t/m 713)</v>
      </c>
      <c r="C59" s="92">
        <f>SUM(C46:C58)</f>
        <v>0</v>
      </c>
      <c r="D59" s="179">
        <f>SUM(D47:D58)</f>
        <v>0</v>
      </c>
      <c r="E59" s="39"/>
      <c r="F59" s="39"/>
      <c r="G59" s="92">
        <f>SUM(G46:G58)</f>
        <v>0</v>
      </c>
    </row>
    <row r="60" spans="1:5" ht="12" customHeight="1">
      <c r="A60" s="370">
        <f>A59+1</f>
        <v>715</v>
      </c>
      <c r="B60" s="103" t="str">
        <f>CONCATENATE("Saldo per 31-12-",'Rentecalc.'!$J$1,)</f>
        <v>Saldo per 31-12-2008</v>
      </c>
      <c r="C60" s="92">
        <f>C59-D59</f>
        <v>0</v>
      </c>
      <c r="D60" s="39"/>
      <c r="E60" s="46"/>
    </row>
    <row r="61" spans="1:5" ht="12" customHeight="1">
      <c r="A61" s="370">
        <f>A60+1</f>
        <v>716</v>
      </c>
      <c r="B61" s="103" t="str">
        <f>CONCATENATE("Totaal regel ",A8," t/m ",A19," (onderdeel A)")</f>
        <v>Totaal regel 603 t/m 614 (onderdeel A)</v>
      </c>
      <c r="C61" s="191"/>
      <c r="D61" s="92">
        <f>SUM(C8:C19)</f>
        <v>0</v>
      </c>
      <c r="E61" s="46"/>
    </row>
    <row r="62" spans="1:5" ht="11.25">
      <c r="A62" s="370">
        <f>A61+1</f>
        <v>717</v>
      </c>
      <c r="B62" s="103" t="s">
        <v>48</v>
      </c>
      <c r="C62" s="192"/>
      <c r="D62" s="182">
        <f>D59-D61</f>
        <v>0</v>
      </c>
      <c r="E62" s="110">
        <f>E59-E60</f>
        <v>0</v>
      </c>
    </row>
    <row r="63" spans="1:7" ht="11.25" customHeight="1">
      <c r="A63" s="377"/>
      <c r="B63" s="409" t="str">
        <f>CONCATENATE("¹ Het totaal van de ingebruikgenomen WTZi-investeringen van regel ",A59," moet gelijk zijn aan het totaal van ingebruikgenomen WTZi-investeringen van regel ",A8," t/m ",A19," onderdeel A")</f>
        <v>¹ Het totaal van de ingebruikgenomen WTZi-investeringen van regel 714 moet gelijk zijn aan het totaal van ingebruikgenomen WTZi-investeringen van regel 603 t/m 614 onderdeel A</v>
      </c>
      <c r="C63" s="410"/>
      <c r="D63" s="410"/>
      <c r="E63" s="410"/>
      <c r="F63" s="410"/>
      <c r="G63" s="410"/>
    </row>
    <row r="64" spans="1:7" ht="11.25" customHeight="1">
      <c r="A64" s="377"/>
      <c r="B64" s="410"/>
      <c r="C64" s="410"/>
      <c r="D64" s="410"/>
      <c r="E64" s="410"/>
      <c r="F64" s="410"/>
      <c r="G64" s="410"/>
    </row>
    <row r="65" spans="1:6" ht="12" customHeight="1">
      <c r="A65" s="376"/>
      <c r="B65" s="43"/>
      <c r="F65" s="8"/>
    </row>
    <row r="66" spans="1:6" ht="12" customHeight="1">
      <c r="A66" s="378" t="s">
        <v>154</v>
      </c>
      <c r="B66" s="27" t="s">
        <v>131</v>
      </c>
      <c r="F66" s="8"/>
    </row>
    <row r="67" spans="1:6" ht="12" customHeight="1">
      <c r="A67" s="375"/>
      <c r="B67" s="193"/>
      <c r="C67" s="101" t="s">
        <v>0</v>
      </c>
      <c r="D67" s="101" t="s">
        <v>96</v>
      </c>
      <c r="E67" s="101" t="s">
        <v>0</v>
      </c>
      <c r="F67" s="8"/>
    </row>
    <row r="68" spans="1:6" ht="12" customHeight="1">
      <c r="A68" s="374"/>
      <c r="B68" s="121"/>
      <c r="C68" s="122" t="s">
        <v>1</v>
      </c>
      <c r="D68" s="122"/>
      <c r="E68" s="122" t="s">
        <v>2</v>
      </c>
      <c r="F68" s="8"/>
    </row>
    <row r="69" spans="1:6" ht="12" customHeight="1">
      <c r="A69" s="370">
        <f>A62+1</f>
        <v>718</v>
      </c>
      <c r="B69" s="194">
        <f>'Rentecalc.'!J$1</f>
        <v>2008</v>
      </c>
      <c r="C69" s="74"/>
      <c r="D69" s="195">
        <v>9.5</v>
      </c>
      <c r="E69" s="111">
        <f aca="true" t="shared" si="5" ref="E69:E78">C69*D69</f>
        <v>0</v>
      </c>
      <c r="F69" s="8"/>
    </row>
    <row r="70" spans="1:6" ht="12" customHeight="1">
      <c r="A70" s="370">
        <f>A69+1</f>
        <v>719</v>
      </c>
      <c r="B70" s="126">
        <f>'Rentecalc.'!J$1-1</f>
        <v>2007</v>
      </c>
      <c r="C70" s="74"/>
      <c r="D70" s="195">
        <v>8.5</v>
      </c>
      <c r="E70" s="111">
        <f t="shared" si="5"/>
        <v>0</v>
      </c>
      <c r="F70" s="8"/>
    </row>
    <row r="71" spans="1:6" ht="12" customHeight="1">
      <c r="A71" s="370">
        <f>A70+1</f>
        <v>720</v>
      </c>
      <c r="B71" s="126">
        <f>'Rentecalc.'!J$1-2</f>
        <v>2006</v>
      </c>
      <c r="C71" s="74"/>
      <c r="D71" s="195">
        <v>7.5</v>
      </c>
      <c r="E71" s="111">
        <f t="shared" si="5"/>
        <v>0</v>
      </c>
      <c r="F71" s="8"/>
    </row>
    <row r="72" spans="1:6" ht="12" customHeight="1">
      <c r="A72" s="370">
        <f>A71+1</f>
        <v>721</v>
      </c>
      <c r="B72" s="126">
        <f>'Rentecalc.'!J$1-3</f>
        <v>2005</v>
      </c>
      <c r="C72" s="74"/>
      <c r="D72" s="195">
        <v>6.5</v>
      </c>
      <c r="E72" s="111">
        <f t="shared" si="5"/>
        <v>0</v>
      </c>
      <c r="F72" s="8"/>
    </row>
    <row r="73" spans="1:6" ht="12" customHeight="1">
      <c r="A73" s="370">
        <f aca="true" t="shared" si="6" ref="A73:A78">A72+1</f>
        <v>722</v>
      </c>
      <c r="B73" s="126">
        <f>'Rentecalc.'!J$1-4</f>
        <v>2004</v>
      </c>
      <c r="C73" s="74"/>
      <c r="D73" s="195">
        <v>5.5</v>
      </c>
      <c r="E73" s="111">
        <f t="shared" si="5"/>
        <v>0</v>
      </c>
      <c r="F73" s="8"/>
    </row>
    <row r="74" spans="1:6" ht="12" customHeight="1">
      <c r="A74" s="370">
        <f t="shared" si="6"/>
        <v>723</v>
      </c>
      <c r="B74" s="126">
        <f>'Rentecalc.'!J$1-5</f>
        <v>2003</v>
      </c>
      <c r="C74" s="74"/>
      <c r="D74" s="195">
        <v>4.5</v>
      </c>
      <c r="E74" s="111">
        <f t="shared" si="5"/>
        <v>0</v>
      </c>
      <c r="F74" s="8"/>
    </row>
    <row r="75" spans="1:6" ht="12" customHeight="1">
      <c r="A75" s="370">
        <f t="shared" si="6"/>
        <v>724</v>
      </c>
      <c r="B75" s="126">
        <f>'Rentecalc.'!J$1-6</f>
        <v>2002</v>
      </c>
      <c r="C75" s="74"/>
      <c r="D75" s="195">
        <v>3.5</v>
      </c>
      <c r="E75" s="111">
        <f t="shared" si="5"/>
        <v>0</v>
      </c>
      <c r="F75" s="8"/>
    </row>
    <row r="76" spans="1:6" ht="12" customHeight="1">
      <c r="A76" s="370">
        <f t="shared" si="6"/>
        <v>725</v>
      </c>
      <c r="B76" s="126">
        <f>'Rentecalc.'!J$1-7</f>
        <v>2001</v>
      </c>
      <c r="C76" s="74"/>
      <c r="D76" s="195">
        <v>2.5</v>
      </c>
      <c r="E76" s="111">
        <f t="shared" si="5"/>
        <v>0</v>
      </c>
      <c r="F76" s="8"/>
    </row>
    <row r="77" spans="1:6" ht="12" customHeight="1">
      <c r="A77" s="370">
        <f t="shared" si="6"/>
        <v>726</v>
      </c>
      <c r="B77" s="126">
        <f>'Rentecalc.'!J$1-8</f>
        <v>2000</v>
      </c>
      <c r="C77" s="74"/>
      <c r="D77" s="195">
        <v>1.5</v>
      </c>
      <c r="E77" s="111">
        <f t="shared" si="5"/>
        <v>0</v>
      </c>
      <c r="F77" s="8"/>
    </row>
    <row r="78" spans="1:6" ht="12" customHeight="1">
      <c r="A78" s="370">
        <f t="shared" si="6"/>
        <v>727</v>
      </c>
      <c r="B78" s="196">
        <f>'Rentecalc.'!J$1-9</f>
        <v>1999</v>
      </c>
      <c r="C78" s="76"/>
      <c r="D78" s="197">
        <v>0.5</v>
      </c>
      <c r="E78" s="133">
        <f t="shared" si="5"/>
        <v>0</v>
      </c>
      <c r="F78" s="8"/>
    </row>
    <row r="79" spans="1:6" ht="12" customHeight="1">
      <c r="A79" s="370">
        <f>A78+1</f>
        <v>728</v>
      </c>
      <c r="B79" s="103" t="str">
        <f>CONCATENATE("Totaal (regel ",A69," t/m ",A78,")")</f>
        <v>Totaal (regel 718 t/m 727)</v>
      </c>
      <c r="C79" s="92">
        <f>SUM(C69:C78)</f>
        <v>0</v>
      </c>
      <c r="D79" s="92"/>
      <c r="E79" s="92">
        <f>SUM(E69:E78)</f>
        <v>0</v>
      </c>
      <c r="F79" s="8"/>
    </row>
    <row r="80" spans="1:6" ht="12" customHeight="1">
      <c r="A80" s="377"/>
      <c r="B80" s="336" t="str">
        <f>CONCATENATE("* Zie onderbouwing regel 62 laatste rekenstaat ",'Rentecalc.'!J1,)</f>
        <v>* Zie onderbouwing regel 62 laatste rekenstaat 2008</v>
      </c>
      <c r="C80" s="8"/>
      <c r="D80" s="8"/>
      <c r="E80" s="8"/>
      <c r="F80" s="8"/>
    </row>
    <row r="81" spans="1:6" ht="12" customHeight="1">
      <c r="A81" s="374"/>
      <c r="C81" s="8"/>
      <c r="D81" s="8"/>
      <c r="E81" s="8"/>
      <c r="F81" s="8"/>
    </row>
    <row r="82" spans="1:6" ht="12" customHeight="1">
      <c r="A82" s="377"/>
      <c r="C82" s="8"/>
      <c r="D82" s="8"/>
      <c r="E82" s="8"/>
      <c r="F82" s="8"/>
    </row>
    <row r="83" spans="1:6" ht="12" customHeight="1">
      <c r="A83" s="377"/>
      <c r="C83" s="8"/>
      <c r="D83" s="8"/>
      <c r="E83" s="8"/>
      <c r="F83" s="8"/>
    </row>
    <row r="84" spans="1:3" ht="11.25">
      <c r="A84" s="375" t="s">
        <v>155</v>
      </c>
      <c r="B84" s="100" t="s">
        <v>25</v>
      </c>
      <c r="C84" s="186"/>
    </row>
    <row r="85" spans="1:7" ht="11.25">
      <c r="A85" s="375"/>
      <c r="B85" s="198"/>
      <c r="C85" s="101" t="s">
        <v>127</v>
      </c>
      <c r="D85" s="101" t="s">
        <v>128</v>
      </c>
      <c r="E85" s="105" t="s">
        <v>121</v>
      </c>
      <c r="F85" s="404" t="s">
        <v>95</v>
      </c>
      <c r="G85" s="403"/>
    </row>
    <row r="86" spans="1:7" ht="11.25">
      <c r="A86" s="374"/>
      <c r="B86" s="121"/>
      <c r="C86" s="86"/>
      <c r="D86" s="199"/>
      <c r="E86" s="86"/>
      <c r="F86" s="115" t="s">
        <v>120</v>
      </c>
      <c r="G86" s="109" t="s">
        <v>115</v>
      </c>
    </row>
    <row r="87" spans="1:7" ht="12" customHeight="1">
      <c r="A87" s="370">
        <v>801</v>
      </c>
      <c r="B87" s="169" t="str">
        <f>CONCATENATE("Stand per 31-12-",'Rentecalc.'!J1-1)</f>
        <v>Stand per 31-12-2007</v>
      </c>
      <c r="C87" s="125"/>
      <c r="D87" s="87">
        <v>0</v>
      </c>
      <c r="E87" s="124">
        <f>C87-D87</f>
        <v>0</v>
      </c>
      <c r="F87" s="200">
        <v>1</v>
      </c>
      <c r="G87" s="111">
        <f>E87*F87</f>
        <v>0</v>
      </c>
    </row>
    <row r="88" spans="1:7" ht="12" customHeight="1">
      <c r="A88" s="370">
        <f aca="true" t="shared" si="7" ref="A88:A104">A87+1</f>
        <v>802</v>
      </c>
      <c r="B88" s="88" t="str">
        <f>CONCATENATE("Geheel afgeschreven in ",'Rentecalc.'!J1-1)</f>
        <v>Geheel afgeschreven in 2007</v>
      </c>
      <c r="C88" s="87">
        <v>0</v>
      </c>
      <c r="D88" s="125"/>
      <c r="E88" s="171">
        <f>C88-D88</f>
        <v>0</v>
      </c>
      <c r="F88" s="200"/>
      <c r="G88" s="111"/>
    </row>
    <row r="89" spans="1:7" ht="12" customHeight="1">
      <c r="A89" s="370">
        <f t="shared" si="7"/>
        <v>803</v>
      </c>
      <c r="B89" s="88" t="str">
        <f>CONCATENATE("Onderhanden werk per  31-12-",'Rentecalc.'!J1-1)</f>
        <v>Onderhanden werk per  31-12-2007</v>
      </c>
      <c r="C89" s="125"/>
      <c r="D89" s="39"/>
      <c r="E89" s="124">
        <f>C89</f>
        <v>0</v>
      </c>
      <c r="F89" s="200">
        <v>1</v>
      </c>
      <c r="G89" s="111">
        <f>E89*F89</f>
        <v>0</v>
      </c>
    </row>
    <row r="90" spans="1:7" ht="12" customHeight="1">
      <c r="A90" s="370">
        <f t="shared" si="7"/>
        <v>804</v>
      </c>
      <c r="B90" s="88" t="s">
        <v>80</v>
      </c>
      <c r="C90" s="125"/>
      <c r="D90" s="39"/>
      <c r="E90" s="124">
        <f aca="true" t="shared" si="8" ref="E90:E100">C90</f>
        <v>0</v>
      </c>
      <c r="F90" s="188">
        <f>10.5/12</f>
        <v>0.875</v>
      </c>
      <c r="G90" s="111">
        <f aca="true" t="shared" si="9" ref="G90:G101">E90*F90</f>
        <v>0</v>
      </c>
    </row>
    <row r="91" spans="1:7" ht="12" customHeight="1">
      <c r="A91" s="370">
        <f t="shared" si="7"/>
        <v>805</v>
      </c>
      <c r="B91" s="88" t="s">
        <v>81</v>
      </c>
      <c r="C91" s="125"/>
      <c r="D91" s="39"/>
      <c r="E91" s="124">
        <f t="shared" si="8"/>
        <v>0</v>
      </c>
      <c r="F91" s="188">
        <f>9.5/12</f>
        <v>0.7916666666666666</v>
      </c>
      <c r="G91" s="111">
        <f t="shared" si="9"/>
        <v>0</v>
      </c>
    </row>
    <row r="92" spans="1:7" ht="12" customHeight="1">
      <c r="A92" s="370">
        <f t="shared" si="7"/>
        <v>806</v>
      </c>
      <c r="B92" s="88" t="s">
        <v>82</v>
      </c>
      <c r="C92" s="125"/>
      <c r="D92" s="39"/>
      <c r="E92" s="124">
        <f t="shared" si="8"/>
        <v>0</v>
      </c>
      <c r="F92" s="188">
        <f>8.5/12</f>
        <v>0.7083333333333334</v>
      </c>
      <c r="G92" s="111">
        <f t="shared" si="9"/>
        <v>0</v>
      </c>
    </row>
    <row r="93" spans="1:7" ht="12" customHeight="1">
      <c r="A93" s="370">
        <f t="shared" si="7"/>
        <v>807</v>
      </c>
      <c r="B93" s="88" t="s">
        <v>83</v>
      </c>
      <c r="C93" s="125"/>
      <c r="D93" s="39"/>
      <c r="E93" s="124">
        <f t="shared" si="8"/>
        <v>0</v>
      </c>
      <c r="F93" s="188">
        <f>7.5/12</f>
        <v>0.625</v>
      </c>
      <c r="G93" s="111">
        <f t="shared" si="9"/>
        <v>0</v>
      </c>
    </row>
    <row r="94" spans="1:7" ht="12" customHeight="1">
      <c r="A94" s="370">
        <f t="shared" si="7"/>
        <v>808</v>
      </c>
      <c r="B94" s="88" t="s">
        <v>84</v>
      </c>
      <c r="C94" s="125"/>
      <c r="D94" s="39"/>
      <c r="E94" s="124">
        <f t="shared" si="8"/>
        <v>0</v>
      </c>
      <c r="F94" s="188">
        <f>6.5/12</f>
        <v>0.5416666666666666</v>
      </c>
      <c r="G94" s="111">
        <f t="shared" si="9"/>
        <v>0</v>
      </c>
    </row>
    <row r="95" spans="1:7" ht="12" customHeight="1">
      <c r="A95" s="370">
        <f t="shared" si="7"/>
        <v>809</v>
      </c>
      <c r="B95" s="88" t="s">
        <v>85</v>
      </c>
      <c r="C95" s="125"/>
      <c r="D95" s="39"/>
      <c r="E95" s="124">
        <f t="shared" si="8"/>
        <v>0</v>
      </c>
      <c r="F95" s="188">
        <f>5.5/12</f>
        <v>0.4583333333333333</v>
      </c>
      <c r="G95" s="111">
        <f t="shared" si="9"/>
        <v>0</v>
      </c>
    </row>
    <row r="96" spans="1:7" ht="12" customHeight="1">
      <c r="A96" s="370">
        <f t="shared" si="7"/>
        <v>810</v>
      </c>
      <c r="B96" s="88" t="s">
        <v>86</v>
      </c>
      <c r="C96" s="125"/>
      <c r="D96" s="39"/>
      <c r="E96" s="124">
        <f t="shared" si="8"/>
        <v>0</v>
      </c>
      <c r="F96" s="188">
        <f>4.5/12</f>
        <v>0.375</v>
      </c>
      <c r="G96" s="111">
        <f t="shared" si="9"/>
        <v>0</v>
      </c>
    </row>
    <row r="97" spans="1:7" ht="12" customHeight="1">
      <c r="A97" s="370">
        <f t="shared" si="7"/>
        <v>811</v>
      </c>
      <c r="B97" s="88" t="s">
        <v>87</v>
      </c>
      <c r="C97" s="125"/>
      <c r="D97" s="39"/>
      <c r="E97" s="124">
        <f t="shared" si="8"/>
        <v>0</v>
      </c>
      <c r="F97" s="188">
        <f>3.5/12</f>
        <v>0.2916666666666667</v>
      </c>
      <c r="G97" s="111">
        <f t="shared" si="9"/>
        <v>0</v>
      </c>
    </row>
    <row r="98" spans="1:7" ht="12" customHeight="1">
      <c r="A98" s="370">
        <f t="shared" si="7"/>
        <v>812</v>
      </c>
      <c r="B98" s="88" t="s">
        <v>88</v>
      </c>
      <c r="C98" s="125"/>
      <c r="D98" s="39"/>
      <c r="E98" s="124">
        <f t="shared" si="8"/>
        <v>0</v>
      </c>
      <c r="F98" s="188">
        <f>2.5/12</f>
        <v>0.20833333333333334</v>
      </c>
      <c r="G98" s="111">
        <f t="shared" si="9"/>
        <v>0</v>
      </c>
    </row>
    <row r="99" spans="1:7" ht="12" customHeight="1">
      <c r="A99" s="370">
        <f t="shared" si="7"/>
        <v>813</v>
      </c>
      <c r="B99" s="88" t="s">
        <v>89</v>
      </c>
      <c r="C99" s="125"/>
      <c r="D99" s="39"/>
      <c r="E99" s="124">
        <f t="shared" si="8"/>
        <v>0</v>
      </c>
      <c r="F99" s="188">
        <f>1.5/12</f>
        <v>0.125</v>
      </c>
      <c r="G99" s="111">
        <f t="shared" si="9"/>
        <v>0</v>
      </c>
    </row>
    <row r="100" spans="1:10" ht="11.25">
      <c r="A100" s="370">
        <f t="shared" si="7"/>
        <v>814</v>
      </c>
      <c r="B100" s="88" t="s">
        <v>90</v>
      </c>
      <c r="C100" s="125"/>
      <c r="D100" s="39"/>
      <c r="E100" s="124">
        <f t="shared" si="8"/>
        <v>0</v>
      </c>
      <c r="F100" s="188">
        <f>0.5/12</f>
        <v>0.041666666666666664</v>
      </c>
      <c r="G100" s="111">
        <f t="shared" si="9"/>
        <v>0</v>
      </c>
      <c r="I100" s="9"/>
      <c r="J100" s="8"/>
    </row>
    <row r="101" spans="1:10" ht="11.25">
      <c r="A101" s="370">
        <f t="shared" si="7"/>
        <v>815</v>
      </c>
      <c r="B101" s="88" t="s">
        <v>91</v>
      </c>
      <c r="C101" s="125"/>
      <c r="D101" s="39"/>
      <c r="E101" s="124">
        <f>C101</f>
        <v>0</v>
      </c>
      <c r="F101" s="190">
        <f>-0.5/12</f>
        <v>-0.041666666666666664</v>
      </c>
      <c r="G101" s="111">
        <f t="shared" si="9"/>
        <v>0</v>
      </c>
      <c r="I101" s="39"/>
      <c r="J101" s="39"/>
    </row>
    <row r="102" spans="1:10" ht="11.25">
      <c r="A102" s="370">
        <f t="shared" si="7"/>
        <v>816</v>
      </c>
      <c r="B102" s="88" t="str">
        <f>CONCATENATE("Afschrijving ",'Rentecalc.'!J1)</f>
        <v>Afschrijving 2008</v>
      </c>
      <c r="C102" s="39"/>
      <c r="D102" s="87">
        <v>0</v>
      </c>
      <c r="E102" s="201">
        <f>D102</f>
        <v>0</v>
      </c>
      <c r="F102" s="200">
        <v>0.5</v>
      </c>
      <c r="G102" s="201">
        <f>E102*F102</f>
        <v>0</v>
      </c>
      <c r="I102" s="39"/>
      <c r="J102" s="39"/>
    </row>
    <row r="103" spans="1:10" ht="11.25">
      <c r="A103" s="370">
        <f t="shared" si="7"/>
        <v>817</v>
      </c>
      <c r="B103" s="88" t="str">
        <f>CONCATENATE("Onderhanden werk per  31-12-",'Rentecalc.'!J1)</f>
        <v>Onderhanden werk per  31-12-2008</v>
      </c>
      <c r="C103" s="87">
        <v>0</v>
      </c>
      <c r="D103" s="39"/>
      <c r="E103" s="201">
        <f>C103</f>
        <v>0</v>
      </c>
      <c r="F103" s="39"/>
      <c r="G103" s="39"/>
      <c r="J103" s="202"/>
    </row>
    <row r="104" spans="1:10" ht="11.25">
      <c r="A104" s="370">
        <f t="shared" si="7"/>
        <v>818</v>
      </c>
      <c r="B104" s="103" t="str">
        <f>CONCATENATE("Geactiveerd per 31-12-",'Rentecalc.'!J1," (",A87," t/m ",A103,")")</f>
        <v>Geactiveerd per 31-12-2008 (801 t/m 817)</v>
      </c>
      <c r="C104" s="92">
        <f>C87-C88+SUM(C89:C101)-C103</f>
        <v>0</v>
      </c>
      <c r="D104" s="91">
        <f>D87-D88+D102</f>
        <v>0</v>
      </c>
      <c r="E104" s="92">
        <f>E87+SUM(E89:E101)-E102-E103</f>
        <v>0</v>
      </c>
      <c r="F104" s="39"/>
      <c r="G104" s="92">
        <f>SUM(G87:G101)-G102</f>
        <v>0</v>
      </c>
      <c r="I104" s="6"/>
      <c r="J104" s="6"/>
    </row>
    <row r="105" spans="1:7" ht="12" customHeight="1">
      <c r="A105" s="203"/>
      <c r="B105" s="184"/>
      <c r="C105" s="183"/>
      <c r="D105" s="183"/>
      <c r="E105" s="183"/>
      <c r="F105" s="183"/>
      <c r="G105" s="184"/>
    </row>
    <row r="106" spans="1:6" ht="12" customHeight="1">
      <c r="A106" s="62" t="s">
        <v>93</v>
      </c>
      <c r="C106" s="8"/>
      <c r="D106" s="8"/>
      <c r="E106" s="8"/>
      <c r="F106" s="8"/>
    </row>
    <row r="107" spans="1:7" ht="12" customHeight="1">
      <c r="A107" s="184"/>
      <c r="B107" s="184"/>
      <c r="C107" s="184"/>
      <c r="D107" s="184"/>
      <c r="E107" s="184"/>
      <c r="F107" s="184"/>
      <c r="G107" s="184"/>
    </row>
    <row r="108" spans="1:7" ht="12" customHeight="1">
      <c r="A108" s="184"/>
      <c r="B108" s="184"/>
      <c r="C108" s="184"/>
      <c r="D108" s="184"/>
      <c r="E108" s="184"/>
      <c r="F108" s="184"/>
      <c r="G108" s="184"/>
    </row>
    <row r="109" spans="1:10" ht="11.25">
      <c r="A109" s="184"/>
      <c r="B109" s="184"/>
      <c r="C109" s="184"/>
      <c r="D109" s="184"/>
      <c r="E109" s="184"/>
      <c r="F109" s="204"/>
      <c r="G109" s="204"/>
      <c r="H109" s="94"/>
      <c r="I109" s="73"/>
      <c r="J109" s="8"/>
    </row>
    <row r="110" spans="1:10" ht="11.25">
      <c r="A110" s="184"/>
      <c r="B110" s="184"/>
      <c r="C110" s="184"/>
      <c r="D110" s="184"/>
      <c r="E110" s="184"/>
      <c r="F110" s="204"/>
      <c r="G110" s="204"/>
      <c r="H110" s="94"/>
      <c r="I110" s="73"/>
      <c r="J110" s="8"/>
    </row>
    <row r="111" spans="1:10" ht="11.25">
      <c r="A111" s="184"/>
      <c r="B111" s="184"/>
      <c r="C111" s="184"/>
      <c r="D111" s="184"/>
      <c r="E111" s="184"/>
      <c r="F111" s="183"/>
      <c r="G111" s="184"/>
      <c r="I111" s="9"/>
      <c r="J111" s="8"/>
    </row>
    <row r="112" spans="1:10" ht="11.25">
      <c r="A112" s="184"/>
      <c r="B112" s="184"/>
      <c r="C112" s="184"/>
      <c r="D112" s="184"/>
      <c r="E112" s="184"/>
      <c r="F112" s="183"/>
      <c r="G112" s="184"/>
      <c r="H112" s="6"/>
      <c r="I112" s="46"/>
      <c r="J112" s="6"/>
    </row>
    <row r="113" spans="1:10" ht="11.25">
      <c r="A113" s="184"/>
      <c r="B113" s="184"/>
      <c r="C113" s="184"/>
      <c r="D113" s="184"/>
      <c r="E113" s="184"/>
      <c r="F113" s="183"/>
      <c r="G113" s="184"/>
      <c r="H113" s="6"/>
      <c r="I113" s="46"/>
      <c r="J113" s="6"/>
    </row>
    <row r="114" spans="1:10" ht="11.25">
      <c r="A114" s="184"/>
      <c r="B114" s="184"/>
      <c r="C114" s="183"/>
      <c r="D114" s="183"/>
      <c r="E114" s="183"/>
      <c r="F114" s="183"/>
      <c r="G114" s="184"/>
      <c r="I114" s="9"/>
      <c r="J114" s="8"/>
    </row>
    <row r="115" spans="1:10" ht="11.25" customHeight="1">
      <c r="A115" s="203"/>
      <c r="B115" s="184"/>
      <c r="C115" s="183"/>
      <c r="D115" s="183"/>
      <c r="E115" s="183"/>
      <c r="F115" s="183"/>
      <c r="G115" s="184"/>
      <c r="I115" s="9"/>
      <c r="J115" s="8"/>
    </row>
    <row r="116" spans="1:7" ht="11.25" customHeight="1">
      <c r="A116" s="203"/>
      <c r="B116" s="184"/>
      <c r="C116" s="183"/>
      <c r="D116" s="183"/>
      <c r="E116" s="183"/>
      <c r="F116" s="39"/>
      <c r="G116" s="184"/>
    </row>
    <row r="117" spans="1:5" ht="12" customHeight="1">
      <c r="A117" s="378" t="s">
        <v>79</v>
      </c>
      <c r="B117" s="205" t="s">
        <v>133</v>
      </c>
      <c r="C117" s="119"/>
      <c r="D117" s="117"/>
      <c r="E117" s="117"/>
    </row>
    <row r="118" spans="1:7" ht="11.25">
      <c r="A118" s="370">
        <f>A104+1</f>
        <v>819</v>
      </c>
      <c r="B118" s="79" t="str">
        <f>CONCATENATE("Aanvaardbare kosten op kasbasis volgens rekenstaten ",'Rentecalc.'!$J$1," AWBZ én Zvw")</f>
        <v>Aanvaardbare kosten op kasbasis volgens rekenstaten 2008 AWBZ én Zvw</v>
      </c>
      <c r="C118" s="207"/>
      <c r="D118" s="207"/>
      <c r="E118" s="69"/>
      <c r="F118" s="70"/>
      <c r="G118" s="76"/>
    </row>
    <row r="119" spans="1:7" ht="11.25">
      <c r="A119" s="379">
        <f>A118+1</f>
        <v>820</v>
      </c>
      <c r="B119" s="366" t="str">
        <f>CONCATENATE("Totaal aanvaardbare kosten ",'Rentecalc.'!J1," van de onderdelen die NIET onder de reikwijdte van de WTZi vallen")</f>
        <v>Totaal aanvaardbare kosten 2008 van de onderdelen die NIET onder de reikwijdte van de WTZi vallen</v>
      </c>
      <c r="C119" s="209"/>
      <c r="D119" s="209"/>
      <c r="E119" s="209"/>
      <c r="F119" s="209"/>
      <c r="G119" s="87"/>
    </row>
    <row r="120" spans="1:7" ht="11.25">
      <c r="A120" s="379">
        <f>A119+1</f>
        <v>821</v>
      </c>
      <c r="B120" s="208" t="s">
        <v>153</v>
      </c>
      <c r="C120" s="209"/>
      <c r="D120" s="209"/>
      <c r="E120" s="210"/>
      <c r="F120" s="211"/>
      <c r="G120" s="76"/>
    </row>
    <row r="121" spans="1:7" ht="11.25">
      <c r="A121" s="379">
        <f>A120+1</f>
        <v>822</v>
      </c>
      <c r="B121" s="212" t="str">
        <f>CONCATENATE("Normatief werkkapitaal ((-/- 7,7% van (regel ",A118," + regel ",A119,")) + regel ",A120,")")</f>
        <v>Normatief werkkapitaal ((-/- 7,7% van (regel 819 + regel 820)) + regel 821)</v>
      </c>
      <c r="C121" s="213"/>
      <c r="D121" s="213"/>
      <c r="E121" s="206"/>
      <c r="F121" s="214"/>
      <c r="G121" s="215">
        <f>(-0.077*(G118-G119))+G120</f>
        <v>0</v>
      </c>
    </row>
    <row r="122" spans="1:6" ht="11.25">
      <c r="A122" s="8"/>
      <c r="C122" s="8"/>
      <c r="D122" s="8"/>
      <c r="E122" s="8"/>
      <c r="F122" s="8"/>
    </row>
    <row r="123" ht="11.25">
      <c r="A123" s="216"/>
    </row>
    <row r="124" ht="11.25">
      <c r="A124" s="216"/>
    </row>
    <row r="125" ht="11.25">
      <c r="A125" s="216"/>
    </row>
    <row r="126" ht="11.25">
      <c r="A126" s="216"/>
    </row>
    <row r="127" spans="1:6" ht="11.25">
      <c r="A127" s="8"/>
      <c r="C127" s="8"/>
      <c r="D127" s="8"/>
      <c r="E127" s="8"/>
      <c r="F127" s="8"/>
    </row>
    <row r="128" spans="1:6" ht="11.25">
      <c r="A128" s="8"/>
      <c r="C128" s="8"/>
      <c r="D128" s="8"/>
      <c r="E128" s="8"/>
      <c r="F128" s="8"/>
    </row>
    <row r="129" spans="1:6" ht="11.25">
      <c r="A129" s="8"/>
      <c r="C129" s="8"/>
      <c r="D129" s="8"/>
      <c r="E129" s="8"/>
      <c r="F129" s="8"/>
    </row>
    <row r="130" spans="1:6" ht="11.25">
      <c r="A130" s="8"/>
      <c r="C130" s="8"/>
      <c r="D130" s="8"/>
      <c r="E130" s="8"/>
      <c r="F130" s="8"/>
    </row>
    <row r="131" spans="1:6" ht="11.25">
      <c r="A131" s="8"/>
      <c r="C131" s="8"/>
      <c r="D131" s="8"/>
      <c r="E131" s="8"/>
      <c r="F131" s="8"/>
    </row>
    <row r="132" spans="1:6" ht="11.25">
      <c r="A132" s="8"/>
      <c r="C132" s="8"/>
      <c r="D132" s="8"/>
      <c r="E132" s="8"/>
      <c r="F132" s="8"/>
    </row>
    <row r="133" spans="1:6" ht="11.25">
      <c r="A133" s="8"/>
      <c r="C133" s="8"/>
      <c r="D133" s="8"/>
      <c r="E133" s="8"/>
      <c r="F133" s="8"/>
    </row>
    <row r="134" spans="1:6" ht="11.25">
      <c r="A134" s="8"/>
      <c r="C134" s="8"/>
      <c r="D134" s="8"/>
      <c r="E134" s="8"/>
      <c r="F134" s="8"/>
    </row>
    <row r="135" spans="1:6" ht="11.25">
      <c r="A135" s="8"/>
      <c r="C135" s="8"/>
      <c r="D135" s="8"/>
      <c r="E135" s="8"/>
      <c r="F135" s="8"/>
    </row>
    <row r="136" spans="1:6" ht="11.25">
      <c r="A136" s="8"/>
      <c r="C136" s="8"/>
      <c r="D136" s="8"/>
      <c r="E136" s="8"/>
      <c r="F136" s="8"/>
    </row>
    <row r="137" spans="1:6" ht="11.25">
      <c r="A137" s="8"/>
      <c r="C137" s="8"/>
      <c r="D137" s="8"/>
      <c r="E137" s="8"/>
      <c r="F137" s="8"/>
    </row>
    <row r="138" spans="1:6" ht="11.25">
      <c r="A138" s="8"/>
      <c r="C138" s="8"/>
      <c r="D138" s="8"/>
      <c r="E138" s="8"/>
      <c r="F138" s="8"/>
    </row>
    <row r="139" spans="1:6" ht="11.25">
      <c r="A139" s="8"/>
      <c r="C139" s="8"/>
      <c r="D139" s="8"/>
      <c r="E139" s="8"/>
      <c r="F139" s="8"/>
    </row>
    <row r="140" spans="1:6" ht="11.25">
      <c r="A140" s="8"/>
      <c r="C140" s="8"/>
      <c r="D140" s="8"/>
      <c r="E140" s="8"/>
      <c r="F140" s="8"/>
    </row>
    <row r="141" spans="1:6" ht="11.25">
      <c r="A141" s="8"/>
      <c r="C141" s="8"/>
      <c r="D141" s="8"/>
      <c r="E141" s="8"/>
      <c r="F141" s="8"/>
    </row>
    <row r="142" spans="1:6" ht="11.25">
      <c r="A142" s="8"/>
      <c r="C142" s="8"/>
      <c r="D142" s="8"/>
      <c r="E142" s="8"/>
      <c r="F142" s="8"/>
    </row>
    <row r="143" spans="1:6" ht="11.25">
      <c r="A143" s="8"/>
      <c r="C143" s="8"/>
      <c r="D143" s="8"/>
      <c r="E143" s="8"/>
      <c r="F143" s="8"/>
    </row>
    <row r="144" spans="1:6" ht="11.25">
      <c r="A144" s="8"/>
      <c r="C144" s="8"/>
      <c r="D144" s="8"/>
      <c r="E144" s="8"/>
      <c r="F144" s="8"/>
    </row>
    <row r="145" spans="1:6" ht="11.25">
      <c r="A145" s="8"/>
      <c r="C145" s="8"/>
      <c r="D145" s="8"/>
      <c r="E145" s="8"/>
      <c r="F145" s="8"/>
    </row>
    <row r="146" spans="1:6" ht="11.25">
      <c r="A146" s="8"/>
      <c r="C146" s="8"/>
      <c r="D146" s="8"/>
      <c r="E146" s="8"/>
      <c r="F146" s="8"/>
    </row>
    <row r="147" spans="1:6" ht="11.25">
      <c r="A147" s="8"/>
      <c r="C147" s="8"/>
      <c r="D147" s="8"/>
      <c r="E147" s="8"/>
      <c r="F147" s="8"/>
    </row>
    <row r="148" spans="1:6" ht="11.25">
      <c r="A148" s="8"/>
      <c r="C148" s="8"/>
      <c r="D148" s="8"/>
      <c r="E148" s="8"/>
      <c r="F148" s="8"/>
    </row>
    <row r="149" spans="1:6" ht="11.25">
      <c r="A149" s="8"/>
      <c r="C149" s="8"/>
      <c r="D149" s="8"/>
      <c r="E149" s="8"/>
      <c r="F149" s="8"/>
    </row>
    <row r="150" spans="1:6" ht="11.25">
      <c r="A150" s="8"/>
      <c r="C150" s="8"/>
      <c r="D150" s="8"/>
      <c r="E150" s="8"/>
      <c r="F150" s="8"/>
    </row>
    <row r="151" spans="1:6" ht="11.25">
      <c r="A151" s="8"/>
      <c r="C151" s="8"/>
      <c r="D151" s="8"/>
      <c r="E151" s="8"/>
      <c r="F151" s="8"/>
    </row>
  </sheetData>
  <sheetProtection password="E296" sheet="1" objects="1" scenarios="1"/>
  <mergeCells count="6">
    <mergeCell ref="F4:G4"/>
    <mergeCell ref="F85:G85"/>
    <mergeCell ref="E43:G44"/>
    <mergeCell ref="C43:C45"/>
    <mergeCell ref="D43:D45"/>
    <mergeCell ref="B63:G64"/>
  </mergeCells>
  <conditionalFormatting sqref="G118:G120 C87:C101 C103 D87:D88 D102 C69:C78 C46:C58 D47:D58 C6:D19">
    <cfRule type="expression" priority="1" dxfId="2" stopIfTrue="1">
      <formula>$E$1=TRUE</formula>
    </cfRule>
  </conditionalFormatting>
  <conditionalFormatting sqref="C62:E62">
    <cfRule type="cellIs" priority="2" dxfId="3" operator="notEqual" stopIfTrue="1">
      <formula>0</formula>
    </cfRule>
  </conditionalFormatting>
  <printOptions/>
  <pageMargins left="0.3937007874015748" right="0.3937007874015748" top="0.7874015748031497" bottom="0.3937007874015748" header="0.5118110236220472" footer="0.5118110236220472"/>
  <pageSetup firstPageNumber="6" useFirstPageNumber="1" horizontalDpi="300" verticalDpi="300" orientation="landscape" paperSize="9" scale="95" r:id="rId2"/>
  <headerFooter alignWithMargins="0">
    <oddHeader>&amp;LGGZ CALCULATIEMODEL RENTEKOSTEN&amp;R&amp;G</oddHeader>
    <oddFooter>&amp;R&amp;P</oddFooter>
  </headerFooter>
  <rowBreaks count="2" manualBreakCount="2">
    <brk id="41" max="6" man="1"/>
    <brk id="83" max="6" man="1"/>
  </rowBreaks>
  <legacyDrawingHF r:id="rId1"/>
</worksheet>
</file>

<file path=xl/worksheets/sheet5.xml><?xml version="1.0" encoding="utf-8"?>
<worksheet xmlns="http://schemas.openxmlformats.org/spreadsheetml/2006/main" xmlns:r="http://schemas.openxmlformats.org/officeDocument/2006/relationships">
  <sheetPr codeName="Blad14"/>
  <dimension ref="A1:AN82"/>
  <sheetViews>
    <sheetView showGridLines="0" zoomScale="95" zoomScaleNormal="95" workbookViewId="0" topLeftCell="A1">
      <selection activeCell="B4" sqref="B4"/>
    </sheetView>
  </sheetViews>
  <sheetFormatPr defaultColWidth="9.140625" defaultRowHeight="12.75"/>
  <cols>
    <col min="1" max="1" width="5.7109375" style="95" customWidth="1"/>
    <col min="2" max="2" width="18.28125" style="8" customWidth="1"/>
    <col min="3" max="3" width="9.7109375" style="8" customWidth="1"/>
    <col min="4" max="4" width="9.7109375" style="5" customWidth="1"/>
    <col min="5" max="7" width="5.8515625" style="8" customWidth="1"/>
    <col min="8" max="8" width="11.28125" style="6" customWidth="1"/>
    <col min="9" max="9" width="10.7109375" style="6" customWidth="1"/>
    <col min="10" max="10" width="3.7109375" style="6" customWidth="1"/>
    <col min="11" max="16" width="2.7109375" style="6" customWidth="1"/>
    <col min="17" max="18" width="11.28125" style="6" customWidth="1"/>
    <col min="19" max="19" width="10.28125" style="8" customWidth="1"/>
    <col min="20" max="20" width="12.140625" style="8" customWidth="1"/>
    <col min="21" max="21" width="9.00390625" style="8" hidden="1" customWidth="1"/>
    <col min="22" max="22" width="18.421875" style="8" hidden="1" customWidth="1"/>
    <col min="23" max="25" width="5.28125" style="8" hidden="1" customWidth="1"/>
    <col min="26" max="28" width="7.57421875" style="8" hidden="1" customWidth="1"/>
    <col min="29" max="29" width="7.57421875" style="8" customWidth="1"/>
    <col min="30" max="30" width="13.7109375" style="8" customWidth="1"/>
    <col min="31" max="31" width="12.8515625" style="8" customWidth="1"/>
    <col min="32" max="32" width="13.28125" style="8" customWidth="1"/>
    <col min="33" max="33" width="12.421875" style="8" customWidth="1"/>
    <col min="34" max="34" width="12.8515625" style="8" customWidth="1"/>
    <col min="35" max="35" width="11.8515625" style="8" customWidth="1"/>
    <col min="36" max="40" width="10.28125" style="8" customWidth="1"/>
    <col min="41" max="16384" width="9.140625" style="8" customWidth="1"/>
  </cols>
  <sheetData>
    <row r="1" spans="1:39" s="218" customFormat="1" ht="12.75" customHeight="1">
      <c r="A1" s="378" t="s">
        <v>132</v>
      </c>
      <c r="B1" s="217" t="s">
        <v>49</v>
      </c>
      <c r="H1" s="219" t="s">
        <v>14</v>
      </c>
      <c r="Q1" s="364" t="b">
        <f>'Rentecalc.'!I4</f>
        <v>1</v>
      </c>
      <c r="U1" s="220"/>
      <c r="V1" s="220"/>
      <c r="W1" s="220"/>
      <c r="X1" s="220"/>
      <c r="Y1" s="220"/>
      <c r="Z1" s="220"/>
      <c r="AA1" s="220"/>
      <c r="AB1" s="220"/>
      <c r="AC1" s="220"/>
      <c r="AD1" s="220"/>
      <c r="AE1" s="220"/>
      <c r="AF1" s="220"/>
      <c r="AG1" s="220"/>
      <c r="AH1" s="220"/>
      <c r="AI1" s="220"/>
      <c r="AJ1" s="220"/>
      <c r="AK1" s="220"/>
      <c r="AL1" s="220"/>
      <c r="AM1" s="220"/>
    </row>
    <row r="2" spans="1:20" s="11" customFormat="1" ht="12.75" customHeight="1">
      <c r="A2" s="380"/>
      <c r="B2" s="343" t="s">
        <v>97</v>
      </c>
      <c r="C2" s="344" t="s">
        <v>110</v>
      </c>
      <c r="D2" s="343" t="s">
        <v>3</v>
      </c>
      <c r="E2" s="343" t="s">
        <v>114</v>
      </c>
      <c r="F2" s="343" t="s">
        <v>94</v>
      </c>
      <c r="G2" s="343" t="s">
        <v>6</v>
      </c>
      <c r="H2" s="343" t="s">
        <v>98</v>
      </c>
      <c r="I2" s="412" t="str">
        <f>CONCATENATE("Storting/Aflossing ",'Rentecalc.'!J1)</f>
        <v>Storting/Aflossing 2008</v>
      </c>
      <c r="J2" s="417"/>
      <c r="K2" s="417"/>
      <c r="L2" s="417"/>
      <c r="M2" s="417"/>
      <c r="N2" s="417"/>
      <c r="O2" s="417"/>
      <c r="P2" s="418"/>
      <c r="Q2" s="345" t="s">
        <v>98</v>
      </c>
      <c r="R2" s="343" t="s">
        <v>119</v>
      </c>
      <c r="S2" s="343" t="s">
        <v>17</v>
      </c>
      <c r="T2" s="346" t="s">
        <v>9</v>
      </c>
    </row>
    <row r="3" spans="1:20" ht="12.75" customHeight="1">
      <c r="A3" s="377"/>
      <c r="B3" s="347"/>
      <c r="C3" s="348" t="s">
        <v>21</v>
      </c>
      <c r="D3" s="349" t="s">
        <v>23</v>
      </c>
      <c r="E3" s="349" t="s">
        <v>4</v>
      </c>
      <c r="F3" s="349" t="s">
        <v>5</v>
      </c>
      <c r="G3" s="349" t="s">
        <v>7</v>
      </c>
      <c r="H3" s="350" t="str">
        <f>CONCATENATE("31-12-",'Rentecalc.'!J1-1," ")</f>
        <v>31-12-2007 </v>
      </c>
      <c r="I3" s="348" t="s">
        <v>116</v>
      </c>
      <c r="J3" s="351" t="s">
        <v>111</v>
      </c>
      <c r="K3" s="412" t="s">
        <v>112</v>
      </c>
      <c r="L3" s="413"/>
      <c r="M3" s="413"/>
      <c r="N3" s="413"/>
      <c r="O3" s="413"/>
      <c r="P3" s="414"/>
      <c r="Q3" s="350" t="str">
        <f>CONCATENATE("31-12-",'Rentecalc.'!J1," ")</f>
        <v>31-12-2008 </v>
      </c>
      <c r="R3" s="352" t="s">
        <v>22</v>
      </c>
      <c r="S3" s="352" t="s">
        <v>8</v>
      </c>
      <c r="T3" s="352" t="s">
        <v>45</v>
      </c>
    </row>
    <row r="4" spans="1:39" ht="12.75" customHeight="1">
      <c r="A4" s="370">
        <v>901</v>
      </c>
      <c r="B4" s="221"/>
      <c r="C4" s="222"/>
      <c r="D4" s="222"/>
      <c r="E4" s="223"/>
      <c r="F4" s="223"/>
      <c r="G4" s="224"/>
      <c r="H4" s="225"/>
      <c r="I4" s="225"/>
      <c r="J4" s="226"/>
      <c r="K4" s="226"/>
      <c r="L4" s="226"/>
      <c r="M4" s="226"/>
      <c r="N4" s="226"/>
      <c r="O4" s="226"/>
      <c r="P4" s="226"/>
      <c r="Q4" s="227">
        <f>H4-AB4</f>
        <v>0</v>
      </c>
      <c r="R4" s="228">
        <f>R46</f>
        <v>0</v>
      </c>
      <c r="S4" s="227">
        <f>R4*F4/100</f>
        <v>0</v>
      </c>
      <c r="T4" s="228">
        <f>IF(G4="n",S4,E4/100*R4)</f>
        <v>0</v>
      </c>
      <c r="U4" s="229">
        <f aca="true" t="shared" si="0" ref="U4:Z4">IF(K4&gt;0,1,0)</f>
        <v>0</v>
      </c>
      <c r="V4" s="229">
        <f t="shared" si="0"/>
        <v>0</v>
      </c>
      <c r="W4" s="229">
        <f t="shared" si="0"/>
        <v>0</v>
      </c>
      <c r="X4" s="229">
        <f t="shared" si="0"/>
        <v>0</v>
      </c>
      <c r="Y4" s="229">
        <f t="shared" si="0"/>
        <v>0</v>
      </c>
      <c r="Z4" s="229">
        <f t="shared" si="0"/>
        <v>0</v>
      </c>
      <c r="AA4" s="229">
        <f>SUM(U4:Z4)</f>
        <v>0</v>
      </c>
      <c r="AB4" s="229">
        <f>AA4*I4</f>
        <v>0</v>
      </c>
      <c r="AC4" s="39"/>
      <c r="AD4" s="39"/>
      <c r="AE4" s="39"/>
      <c r="AF4" s="39"/>
      <c r="AG4" s="39"/>
      <c r="AH4" s="39"/>
      <c r="AI4" s="39"/>
      <c r="AJ4" s="230"/>
      <c r="AK4" s="230"/>
      <c r="AL4" s="230"/>
      <c r="AM4" s="230"/>
    </row>
    <row r="5" spans="1:39" ht="12.75" customHeight="1">
      <c r="A5" s="370">
        <f>A4+1</f>
        <v>902</v>
      </c>
      <c r="B5" s="231"/>
      <c r="C5" s="222"/>
      <c r="D5" s="222"/>
      <c r="E5" s="223"/>
      <c r="F5" s="223"/>
      <c r="G5" s="224"/>
      <c r="H5" s="225"/>
      <c r="I5" s="225"/>
      <c r="J5" s="226"/>
      <c r="K5" s="226"/>
      <c r="L5" s="226"/>
      <c r="M5" s="226"/>
      <c r="N5" s="226"/>
      <c r="O5" s="226"/>
      <c r="P5" s="226"/>
      <c r="Q5" s="227">
        <f aca="true" t="shared" si="1" ref="Q5:Q31">H5-AB5</f>
        <v>0</v>
      </c>
      <c r="R5" s="228">
        <f>R47</f>
        <v>0</v>
      </c>
      <c r="S5" s="227">
        <f>R5*F5/100</f>
        <v>0</v>
      </c>
      <c r="T5" s="228">
        <f aca="true" t="shared" si="2" ref="T5:T31">IF(G5="n",S5,E5/100*R5)</f>
        <v>0</v>
      </c>
      <c r="U5" s="229">
        <f aca="true" t="shared" si="3" ref="U5:Z7">IF(K5&gt;0,1,0)</f>
        <v>0</v>
      </c>
      <c r="V5" s="229">
        <f t="shared" si="3"/>
        <v>0</v>
      </c>
      <c r="W5" s="229">
        <f t="shared" si="3"/>
        <v>0</v>
      </c>
      <c r="X5" s="229">
        <f t="shared" si="3"/>
        <v>0</v>
      </c>
      <c r="Y5" s="229">
        <f t="shared" si="3"/>
        <v>0</v>
      </c>
      <c r="Z5" s="229">
        <f t="shared" si="3"/>
        <v>0</v>
      </c>
      <c r="AA5" s="229">
        <f>SUM(U5:Z5)</f>
        <v>0</v>
      </c>
      <c r="AB5" s="229">
        <f>AA5*I5</f>
        <v>0</v>
      </c>
      <c r="AC5" s="39"/>
      <c r="AD5" s="39"/>
      <c r="AE5" s="39"/>
      <c r="AF5" s="39"/>
      <c r="AG5" s="39"/>
      <c r="AH5" s="39"/>
      <c r="AI5" s="39"/>
      <c r="AJ5" s="230"/>
      <c r="AK5" s="230"/>
      <c r="AL5" s="230"/>
      <c r="AM5" s="230"/>
    </row>
    <row r="6" spans="1:39" ht="12.75" customHeight="1">
      <c r="A6" s="370">
        <f aca="true" t="shared" si="4" ref="A6:A36">A5+1</f>
        <v>903</v>
      </c>
      <c r="B6" s="231"/>
      <c r="C6" s="222"/>
      <c r="D6" s="222"/>
      <c r="E6" s="223"/>
      <c r="F6" s="223"/>
      <c r="G6" s="224"/>
      <c r="H6" s="225"/>
      <c r="I6" s="225"/>
      <c r="J6" s="226"/>
      <c r="K6" s="226"/>
      <c r="L6" s="226"/>
      <c r="M6" s="226"/>
      <c r="N6" s="226"/>
      <c r="O6" s="226"/>
      <c r="P6" s="226"/>
      <c r="Q6" s="227">
        <f t="shared" si="1"/>
        <v>0</v>
      </c>
      <c r="R6" s="228">
        <f>R48</f>
        <v>0</v>
      </c>
      <c r="S6" s="227">
        <f aca="true" t="shared" si="5" ref="S6:S31">R6*F6/100</f>
        <v>0</v>
      </c>
      <c r="T6" s="228">
        <f t="shared" si="2"/>
        <v>0</v>
      </c>
      <c r="U6" s="229">
        <f t="shared" si="3"/>
        <v>0</v>
      </c>
      <c r="V6" s="229">
        <f t="shared" si="3"/>
        <v>0</v>
      </c>
      <c r="W6" s="229">
        <f t="shared" si="3"/>
        <v>0</v>
      </c>
      <c r="X6" s="229">
        <f t="shared" si="3"/>
        <v>0</v>
      </c>
      <c r="Y6" s="229">
        <f t="shared" si="3"/>
        <v>0</v>
      </c>
      <c r="Z6" s="229">
        <f t="shared" si="3"/>
        <v>0</v>
      </c>
      <c r="AA6" s="229">
        <f>SUM(U6:Z6)</f>
        <v>0</v>
      </c>
      <c r="AB6" s="229">
        <f>AA6*I6</f>
        <v>0</v>
      </c>
      <c r="AC6" s="39"/>
      <c r="AD6" s="39"/>
      <c r="AE6" s="39"/>
      <c r="AF6" s="39"/>
      <c r="AG6" s="39"/>
      <c r="AH6" s="39"/>
      <c r="AI6" s="39"/>
      <c r="AJ6" s="230"/>
      <c r="AK6" s="230"/>
      <c r="AL6" s="230"/>
      <c r="AM6" s="230"/>
    </row>
    <row r="7" spans="1:39" ht="12.75" customHeight="1">
      <c r="A7" s="370">
        <f t="shared" si="4"/>
        <v>904</v>
      </c>
      <c r="B7" s="231"/>
      <c r="C7" s="222"/>
      <c r="D7" s="222"/>
      <c r="E7" s="223"/>
      <c r="F7" s="223"/>
      <c r="G7" s="224"/>
      <c r="H7" s="225"/>
      <c r="I7" s="225"/>
      <c r="J7" s="226"/>
      <c r="K7" s="226"/>
      <c r="L7" s="226"/>
      <c r="M7" s="226"/>
      <c r="N7" s="226"/>
      <c r="O7" s="226"/>
      <c r="P7" s="226"/>
      <c r="Q7" s="227">
        <f t="shared" si="1"/>
        <v>0</v>
      </c>
      <c r="R7" s="228">
        <f>R49</f>
        <v>0</v>
      </c>
      <c r="S7" s="227">
        <f t="shared" si="5"/>
        <v>0</v>
      </c>
      <c r="T7" s="228">
        <f t="shared" si="2"/>
        <v>0</v>
      </c>
      <c r="U7" s="229">
        <f t="shared" si="3"/>
        <v>0</v>
      </c>
      <c r="V7" s="229">
        <f t="shared" si="3"/>
        <v>0</v>
      </c>
      <c r="W7" s="229">
        <f t="shared" si="3"/>
        <v>0</v>
      </c>
      <c r="X7" s="229">
        <f t="shared" si="3"/>
        <v>0</v>
      </c>
      <c r="Y7" s="229">
        <f t="shared" si="3"/>
        <v>0</v>
      </c>
      <c r="Z7" s="229">
        <f t="shared" si="3"/>
        <v>0</v>
      </c>
      <c r="AA7" s="229">
        <f>SUM(U7:Z7)</f>
        <v>0</v>
      </c>
      <c r="AB7" s="229">
        <f>AA7*I7</f>
        <v>0</v>
      </c>
      <c r="AC7" s="39"/>
      <c r="AD7" s="39"/>
      <c r="AE7" s="39"/>
      <c r="AF7" s="39"/>
      <c r="AG7" s="39"/>
      <c r="AH7" s="39"/>
      <c r="AI7" s="39"/>
      <c r="AJ7" s="230"/>
      <c r="AK7" s="230"/>
      <c r="AL7" s="230"/>
      <c r="AM7" s="230"/>
    </row>
    <row r="8" spans="1:39" ht="12.75" customHeight="1">
      <c r="A8" s="370">
        <f t="shared" si="4"/>
        <v>905</v>
      </c>
      <c r="B8" s="231"/>
      <c r="C8" s="222"/>
      <c r="D8" s="222"/>
      <c r="E8" s="223"/>
      <c r="F8" s="223"/>
      <c r="G8" s="224"/>
      <c r="H8" s="225"/>
      <c r="I8" s="225"/>
      <c r="J8" s="226"/>
      <c r="K8" s="226"/>
      <c r="L8" s="226"/>
      <c r="M8" s="226"/>
      <c r="N8" s="226"/>
      <c r="O8" s="226"/>
      <c r="P8" s="226"/>
      <c r="Q8" s="227">
        <f t="shared" si="1"/>
        <v>0</v>
      </c>
      <c r="R8" s="228">
        <f>R50</f>
        <v>0</v>
      </c>
      <c r="S8" s="227">
        <f t="shared" si="5"/>
        <v>0</v>
      </c>
      <c r="T8" s="228">
        <f t="shared" si="2"/>
        <v>0</v>
      </c>
      <c r="U8" s="229">
        <f aca="true" t="shared" si="6" ref="U8:U32">IF(K8&gt;0,1,0)</f>
        <v>0</v>
      </c>
      <c r="V8" s="229">
        <f aca="true" t="shared" si="7" ref="V8:V32">IF(L8&gt;0,1,0)</f>
        <v>0</v>
      </c>
      <c r="W8" s="229">
        <f aca="true" t="shared" si="8" ref="W8:W32">IF(M8&gt;0,1,0)</f>
        <v>0</v>
      </c>
      <c r="X8" s="229">
        <f aca="true" t="shared" si="9" ref="X8:X32">IF(N8&gt;0,1,0)</f>
        <v>0</v>
      </c>
      <c r="Y8" s="229">
        <f aca="true" t="shared" si="10" ref="Y8:Y32">IF(O8&gt;0,1,0)</f>
        <v>0</v>
      </c>
      <c r="Z8" s="229">
        <f aca="true" t="shared" si="11" ref="Z8:Z32">IF(P8&gt;0,1,0)</f>
        <v>0</v>
      </c>
      <c r="AA8" s="229">
        <f aca="true" t="shared" si="12" ref="AA8:AA32">SUM(U8:Z8)</f>
        <v>0</v>
      </c>
      <c r="AB8" s="229">
        <f aca="true" t="shared" si="13" ref="AB8:AB32">AA8*I8</f>
        <v>0</v>
      </c>
      <c r="AC8" s="39"/>
      <c r="AD8" s="39"/>
      <c r="AE8" s="39"/>
      <c r="AF8" s="39"/>
      <c r="AG8" s="39"/>
      <c r="AH8" s="39"/>
      <c r="AI8" s="39"/>
      <c r="AJ8" s="230"/>
      <c r="AK8" s="230"/>
      <c r="AL8" s="230"/>
      <c r="AM8" s="230"/>
    </row>
    <row r="9" spans="1:39" ht="12.75" customHeight="1">
      <c r="A9" s="370">
        <f t="shared" si="4"/>
        <v>906</v>
      </c>
      <c r="B9" s="231"/>
      <c r="C9" s="222"/>
      <c r="D9" s="222"/>
      <c r="E9" s="223"/>
      <c r="F9" s="223"/>
      <c r="G9" s="224"/>
      <c r="H9" s="225"/>
      <c r="I9" s="225"/>
      <c r="J9" s="226"/>
      <c r="K9" s="226"/>
      <c r="L9" s="226"/>
      <c r="M9" s="226"/>
      <c r="N9" s="226"/>
      <c r="O9" s="226"/>
      <c r="P9" s="226"/>
      <c r="Q9" s="227">
        <f t="shared" si="1"/>
        <v>0</v>
      </c>
      <c r="R9" s="228">
        <f aca="true" t="shared" si="14" ref="R9:R31">R51</f>
        <v>0</v>
      </c>
      <c r="S9" s="227">
        <f t="shared" si="5"/>
        <v>0</v>
      </c>
      <c r="T9" s="228">
        <f t="shared" si="2"/>
        <v>0</v>
      </c>
      <c r="U9" s="229">
        <f t="shared" si="6"/>
        <v>0</v>
      </c>
      <c r="V9" s="229">
        <f t="shared" si="7"/>
        <v>0</v>
      </c>
      <c r="W9" s="229">
        <f t="shared" si="8"/>
        <v>0</v>
      </c>
      <c r="X9" s="229">
        <f t="shared" si="9"/>
        <v>0</v>
      </c>
      <c r="Y9" s="229">
        <f t="shared" si="10"/>
        <v>0</v>
      </c>
      <c r="Z9" s="229">
        <f t="shared" si="11"/>
        <v>0</v>
      </c>
      <c r="AA9" s="229">
        <f t="shared" si="12"/>
        <v>0</v>
      </c>
      <c r="AB9" s="229">
        <f t="shared" si="13"/>
        <v>0</v>
      </c>
      <c r="AC9" s="39"/>
      <c r="AD9" s="39"/>
      <c r="AE9" s="39"/>
      <c r="AF9" s="39"/>
      <c r="AG9" s="39"/>
      <c r="AH9" s="39"/>
      <c r="AI9" s="39"/>
      <c r="AJ9" s="230"/>
      <c r="AK9" s="230"/>
      <c r="AL9" s="230"/>
      <c r="AM9" s="230"/>
    </row>
    <row r="10" spans="1:39" ht="12.75" customHeight="1">
      <c r="A10" s="370">
        <f t="shared" si="4"/>
        <v>907</v>
      </c>
      <c r="B10" s="231"/>
      <c r="C10" s="222"/>
      <c r="D10" s="222"/>
      <c r="E10" s="223"/>
      <c r="F10" s="223"/>
      <c r="G10" s="224"/>
      <c r="H10" s="225"/>
      <c r="I10" s="225"/>
      <c r="J10" s="226"/>
      <c r="K10" s="226"/>
      <c r="L10" s="226"/>
      <c r="M10" s="226"/>
      <c r="N10" s="226"/>
      <c r="O10" s="226"/>
      <c r="P10" s="226"/>
      <c r="Q10" s="227">
        <f t="shared" si="1"/>
        <v>0</v>
      </c>
      <c r="R10" s="228">
        <f t="shared" si="14"/>
        <v>0</v>
      </c>
      <c r="S10" s="227">
        <f t="shared" si="5"/>
        <v>0</v>
      </c>
      <c r="T10" s="228">
        <f t="shared" si="2"/>
        <v>0</v>
      </c>
      <c r="U10" s="229">
        <f t="shared" si="6"/>
        <v>0</v>
      </c>
      <c r="V10" s="229">
        <f t="shared" si="7"/>
        <v>0</v>
      </c>
      <c r="W10" s="229">
        <f t="shared" si="8"/>
        <v>0</v>
      </c>
      <c r="X10" s="229">
        <f t="shared" si="9"/>
        <v>0</v>
      </c>
      <c r="Y10" s="229">
        <f t="shared" si="10"/>
        <v>0</v>
      </c>
      <c r="Z10" s="229">
        <f t="shared" si="11"/>
        <v>0</v>
      </c>
      <c r="AA10" s="229">
        <f t="shared" si="12"/>
        <v>0</v>
      </c>
      <c r="AB10" s="229">
        <f t="shared" si="13"/>
        <v>0</v>
      </c>
      <c r="AC10" s="39"/>
      <c r="AD10" s="39"/>
      <c r="AE10" s="39"/>
      <c r="AF10" s="39"/>
      <c r="AG10" s="39"/>
      <c r="AH10" s="39"/>
      <c r="AI10" s="39"/>
      <c r="AJ10" s="230"/>
      <c r="AK10" s="230"/>
      <c r="AL10" s="230"/>
      <c r="AM10" s="230"/>
    </row>
    <row r="11" spans="1:39" ht="12.75" customHeight="1">
      <c r="A11" s="370">
        <f t="shared" si="4"/>
        <v>908</v>
      </c>
      <c r="B11" s="231"/>
      <c r="C11" s="222"/>
      <c r="D11" s="222"/>
      <c r="E11" s="223"/>
      <c r="F11" s="223"/>
      <c r="G11" s="224"/>
      <c r="H11" s="225"/>
      <c r="I11" s="225"/>
      <c r="J11" s="226"/>
      <c r="K11" s="226"/>
      <c r="L11" s="226"/>
      <c r="M11" s="226"/>
      <c r="N11" s="226"/>
      <c r="O11" s="226"/>
      <c r="P11" s="226"/>
      <c r="Q11" s="227">
        <f t="shared" si="1"/>
        <v>0</v>
      </c>
      <c r="R11" s="228">
        <f t="shared" si="14"/>
        <v>0</v>
      </c>
      <c r="S11" s="227">
        <f t="shared" si="5"/>
        <v>0</v>
      </c>
      <c r="T11" s="228">
        <f t="shared" si="2"/>
        <v>0</v>
      </c>
      <c r="U11" s="229">
        <f t="shared" si="6"/>
        <v>0</v>
      </c>
      <c r="V11" s="229">
        <f t="shared" si="7"/>
        <v>0</v>
      </c>
      <c r="W11" s="229">
        <f t="shared" si="8"/>
        <v>0</v>
      </c>
      <c r="X11" s="229">
        <f t="shared" si="9"/>
        <v>0</v>
      </c>
      <c r="Y11" s="229">
        <f t="shared" si="10"/>
        <v>0</v>
      </c>
      <c r="Z11" s="229">
        <f t="shared" si="11"/>
        <v>0</v>
      </c>
      <c r="AA11" s="229">
        <f t="shared" si="12"/>
        <v>0</v>
      </c>
      <c r="AB11" s="229">
        <f t="shared" si="13"/>
        <v>0</v>
      </c>
      <c r="AC11" s="39"/>
      <c r="AD11" s="39"/>
      <c r="AE11" s="39"/>
      <c r="AF11" s="39"/>
      <c r="AG11" s="39"/>
      <c r="AH11" s="39"/>
      <c r="AI11" s="39"/>
      <c r="AJ11" s="230"/>
      <c r="AK11" s="230"/>
      <c r="AL11" s="230"/>
      <c r="AM11" s="230"/>
    </row>
    <row r="12" spans="1:39" ht="12.75" customHeight="1">
      <c r="A12" s="370">
        <f t="shared" si="4"/>
        <v>909</v>
      </c>
      <c r="B12" s="231"/>
      <c r="C12" s="222"/>
      <c r="D12" s="222"/>
      <c r="E12" s="223"/>
      <c r="F12" s="223"/>
      <c r="G12" s="224"/>
      <c r="H12" s="225"/>
      <c r="I12" s="225"/>
      <c r="J12" s="226"/>
      <c r="K12" s="226"/>
      <c r="L12" s="226"/>
      <c r="M12" s="226"/>
      <c r="N12" s="226"/>
      <c r="O12" s="226"/>
      <c r="P12" s="226"/>
      <c r="Q12" s="227">
        <f t="shared" si="1"/>
        <v>0</v>
      </c>
      <c r="R12" s="228">
        <f t="shared" si="14"/>
        <v>0</v>
      </c>
      <c r="S12" s="227">
        <f t="shared" si="5"/>
        <v>0</v>
      </c>
      <c r="T12" s="228">
        <f t="shared" si="2"/>
        <v>0</v>
      </c>
      <c r="U12" s="229">
        <f t="shared" si="6"/>
        <v>0</v>
      </c>
      <c r="V12" s="229">
        <f t="shared" si="7"/>
        <v>0</v>
      </c>
      <c r="W12" s="229">
        <f t="shared" si="8"/>
        <v>0</v>
      </c>
      <c r="X12" s="229">
        <f t="shared" si="9"/>
        <v>0</v>
      </c>
      <c r="Y12" s="229">
        <f t="shared" si="10"/>
        <v>0</v>
      </c>
      <c r="Z12" s="229">
        <f t="shared" si="11"/>
        <v>0</v>
      </c>
      <c r="AA12" s="229">
        <f t="shared" si="12"/>
        <v>0</v>
      </c>
      <c r="AB12" s="229">
        <f t="shared" si="13"/>
        <v>0</v>
      </c>
      <c r="AC12" s="39"/>
      <c r="AD12" s="39"/>
      <c r="AE12" s="39"/>
      <c r="AF12" s="39"/>
      <c r="AG12" s="39"/>
      <c r="AH12" s="39"/>
      <c r="AI12" s="39"/>
      <c r="AJ12" s="230"/>
      <c r="AK12" s="230"/>
      <c r="AL12" s="230"/>
      <c r="AM12" s="230"/>
    </row>
    <row r="13" spans="1:39" ht="12.75" customHeight="1">
      <c r="A13" s="370">
        <f t="shared" si="4"/>
        <v>910</v>
      </c>
      <c r="B13" s="231"/>
      <c r="C13" s="222"/>
      <c r="D13" s="222"/>
      <c r="E13" s="223"/>
      <c r="F13" s="223"/>
      <c r="G13" s="224"/>
      <c r="H13" s="225"/>
      <c r="I13" s="225"/>
      <c r="J13" s="226"/>
      <c r="K13" s="226"/>
      <c r="L13" s="226"/>
      <c r="M13" s="226"/>
      <c r="N13" s="226"/>
      <c r="O13" s="226"/>
      <c r="P13" s="226"/>
      <c r="Q13" s="227">
        <f t="shared" si="1"/>
        <v>0</v>
      </c>
      <c r="R13" s="228">
        <f t="shared" si="14"/>
        <v>0</v>
      </c>
      <c r="S13" s="227">
        <f t="shared" si="5"/>
        <v>0</v>
      </c>
      <c r="T13" s="228">
        <f t="shared" si="2"/>
        <v>0</v>
      </c>
      <c r="U13" s="229">
        <f t="shared" si="6"/>
        <v>0</v>
      </c>
      <c r="V13" s="229">
        <f t="shared" si="7"/>
        <v>0</v>
      </c>
      <c r="W13" s="229">
        <f t="shared" si="8"/>
        <v>0</v>
      </c>
      <c r="X13" s="229">
        <f t="shared" si="9"/>
        <v>0</v>
      </c>
      <c r="Y13" s="229">
        <f t="shared" si="10"/>
        <v>0</v>
      </c>
      <c r="Z13" s="229">
        <f t="shared" si="11"/>
        <v>0</v>
      </c>
      <c r="AA13" s="229">
        <f t="shared" si="12"/>
        <v>0</v>
      </c>
      <c r="AB13" s="229">
        <f t="shared" si="13"/>
        <v>0</v>
      </c>
      <c r="AC13" s="39"/>
      <c r="AD13" s="39"/>
      <c r="AE13" s="39"/>
      <c r="AF13" s="39"/>
      <c r="AG13" s="39"/>
      <c r="AH13" s="39"/>
      <c r="AI13" s="39"/>
      <c r="AJ13" s="230"/>
      <c r="AK13" s="230"/>
      <c r="AL13" s="230"/>
      <c r="AM13" s="230"/>
    </row>
    <row r="14" spans="1:39" ht="12.75" customHeight="1">
      <c r="A14" s="370">
        <f t="shared" si="4"/>
        <v>911</v>
      </c>
      <c r="B14" s="231"/>
      <c r="C14" s="222"/>
      <c r="D14" s="222"/>
      <c r="E14" s="223"/>
      <c r="F14" s="223"/>
      <c r="G14" s="224"/>
      <c r="H14" s="225"/>
      <c r="I14" s="225"/>
      <c r="J14" s="226"/>
      <c r="K14" s="226"/>
      <c r="L14" s="226"/>
      <c r="M14" s="226"/>
      <c r="N14" s="226"/>
      <c r="O14" s="226"/>
      <c r="P14" s="226"/>
      <c r="Q14" s="227">
        <f t="shared" si="1"/>
        <v>0</v>
      </c>
      <c r="R14" s="228">
        <f t="shared" si="14"/>
        <v>0</v>
      </c>
      <c r="S14" s="227">
        <f t="shared" si="5"/>
        <v>0</v>
      </c>
      <c r="T14" s="228">
        <f t="shared" si="2"/>
        <v>0</v>
      </c>
      <c r="U14" s="229">
        <f t="shared" si="6"/>
        <v>0</v>
      </c>
      <c r="V14" s="229">
        <f t="shared" si="7"/>
        <v>0</v>
      </c>
      <c r="W14" s="229">
        <f t="shared" si="8"/>
        <v>0</v>
      </c>
      <c r="X14" s="229">
        <f t="shared" si="9"/>
        <v>0</v>
      </c>
      <c r="Y14" s="229">
        <f t="shared" si="10"/>
        <v>0</v>
      </c>
      <c r="Z14" s="229">
        <f t="shared" si="11"/>
        <v>0</v>
      </c>
      <c r="AA14" s="229">
        <f t="shared" si="12"/>
        <v>0</v>
      </c>
      <c r="AB14" s="229">
        <f t="shared" si="13"/>
        <v>0</v>
      </c>
      <c r="AC14" s="39"/>
      <c r="AD14" s="39"/>
      <c r="AE14" s="39"/>
      <c r="AF14" s="39"/>
      <c r="AG14" s="39"/>
      <c r="AH14" s="39"/>
      <c r="AI14" s="39"/>
      <c r="AJ14" s="230"/>
      <c r="AK14" s="230"/>
      <c r="AL14" s="230"/>
      <c r="AM14" s="230"/>
    </row>
    <row r="15" spans="1:39" ht="12.75" customHeight="1">
      <c r="A15" s="370">
        <f t="shared" si="4"/>
        <v>912</v>
      </c>
      <c r="B15" s="231"/>
      <c r="C15" s="222"/>
      <c r="D15" s="222"/>
      <c r="E15" s="223"/>
      <c r="F15" s="223"/>
      <c r="G15" s="224"/>
      <c r="H15" s="225"/>
      <c r="I15" s="225"/>
      <c r="J15" s="226"/>
      <c r="K15" s="226"/>
      <c r="L15" s="226"/>
      <c r="M15" s="226"/>
      <c r="N15" s="226"/>
      <c r="O15" s="226"/>
      <c r="P15" s="226"/>
      <c r="Q15" s="227">
        <f t="shared" si="1"/>
        <v>0</v>
      </c>
      <c r="R15" s="228">
        <f t="shared" si="14"/>
        <v>0</v>
      </c>
      <c r="S15" s="227">
        <f t="shared" si="5"/>
        <v>0</v>
      </c>
      <c r="T15" s="228">
        <f t="shared" si="2"/>
        <v>0</v>
      </c>
      <c r="U15" s="229">
        <f t="shared" si="6"/>
        <v>0</v>
      </c>
      <c r="V15" s="229">
        <f t="shared" si="7"/>
        <v>0</v>
      </c>
      <c r="W15" s="229">
        <f t="shared" si="8"/>
        <v>0</v>
      </c>
      <c r="X15" s="229">
        <f t="shared" si="9"/>
        <v>0</v>
      </c>
      <c r="Y15" s="229">
        <f t="shared" si="10"/>
        <v>0</v>
      </c>
      <c r="Z15" s="229">
        <f t="shared" si="11"/>
        <v>0</v>
      </c>
      <c r="AA15" s="229">
        <f t="shared" si="12"/>
        <v>0</v>
      </c>
      <c r="AB15" s="229">
        <f t="shared" si="13"/>
        <v>0</v>
      </c>
      <c r="AC15" s="39"/>
      <c r="AD15" s="39"/>
      <c r="AE15" s="39"/>
      <c r="AF15" s="39"/>
      <c r="AG15" s="39"/>
      <c r="AH15" s="39"/>
      <c r="AI15" s="39"/>
      <c r="AJ15" s="230"/>
      <c r="AK15" s="230"/>
      <c r="AL15" s="230"/>
      <c r="AM15" s="230"/>
    </row>
    <row r="16" spans="1:39" ht="12.75" customHeight="1">
      <c r="A16" s="370">
        <f t="shared" si="4"/>
        <v>913</v>
      </c>
      <c r="B16" s="231"/>
      <c r="C16" s="222"/>
      <c r="D16" s="222"/>
      <c r="E16" s="223"/>
      <c r="F16" s="223"/>
      <c r="G16" s="224"/>
      <c r="H16" s="225"/>
      <c r="I16" s="225"/>
      <c r="J16" s="226"/>
      <c r="K16" s="226"/>
      <c r="L16" s="226"/>
      <c r="M16" s="226"/>
      <c r="N16" s="226"/>
      <c r="O16" s="226"/>
      <c r="P16" s="226"/>
      <c r="Q16" s="227">
        <f t="shared" si="1"/>
        <v>0</v>
      </c>
      <c r="R16" s="228">
        <f t="shared" si="14"/>
        <v>0</v>
      </c>
      <c r="S16" s="227">
        <f t="shared" si="5"/>
        <v>0</v>
      </c>
      <c r="T16" s="228">
        <f t="shared" si="2"/>
        <v>0</v>
      </c>
      <c r="U16" s="229">
        <f t="shared" si="6"/>
        <v>0</v>
      </c>
      <c r="V16" s="229">
        <f t="shared" si="7"/>
        <v>0</v>
      </c>
      <c r="W16" s="229">
        <f t="shared" si="8"/>
        <v>0</v>
      </c>
      <c r="X16" s="229">
        <f t="shared" si="9"/>
        <v>0</v>
      </c>
      <c r="Y16" s="229">
        <f t="shared" si="10"/>
        <v>0</v>
      </c>
      <c r="Z16" s="229">
        <f t="shared" si="11"/>
        <v>0</v>
      </c>
      <c r="AA16" s="229">
        <f t="shared" si="12"/>
        <v>0</v>
      </c>
      <c r="AB16" s="229">
        <f t="shared" si="13"/>
        <v>0</v>
      </c>
      <c r="AC16" s="39"/>
      <c r="AD16" s="39"/>
      <c r="AE16" s="39"/>
      <c r="AF16" s="39"/>
      <c r="AG16" s="39"/>
      <c r="AH16" s="39"/>
      <c r="AI16" s="39"/>
      <c r="AJ16" s="230"/>
      <c r="AK16" s="230"/>
      <c r="AL16" s="230"/>
      <c r="AM16" s="230"/>
    </row>
    <row r="17" spans="1:39" ht="12.75" customHeight="1">
      <c r="A17" s="370">
        <f t="shared" si="4"/>
        <v>914</v>
      </c>
      <c r="B17" s="231"/>
      <c r="C17" s="222"/>
      <c r="D17" s="222"/>
      <c r="E17" s="223"/>
      <c r="F17" s="223"/>
      <c r="G17" s="224"/>
      <c r="H17" s="225"/>
      <c r="I17" s="225"/>
      <c r="J17" s="226"/>
      <c r="K17" s="226"/>
      <c r="L17" s="226"/>
      <c r="M17" s="226"/>
      <c r="N17" s="226"/>
      <c r="O17" s="226"/>
      <c r="P17" s="226"/>
      <c r="Q17" s="227">
        <f t="shared" si="1"/>
        <v>0</v>
      </c>
      <c r="R17" s="228">
        <f t="shared" si="14"/>
        <v>0</v>
      </c>
      <c r="S17" s="227">
        <f t="shared" si="5"/>
        <v>0</v>
      </c>
      <c r="T17" s="228">
        <f t="shared" si="2"/>
        <v>0</v>
      </c>
      <c r="U17" s="229">
        <f t="shared" si="6"/>
        <v>0</v>
      </c>
      <c r="V17" s="229">
        <f t="shared" si="7"/>
        <v>0</v>
      </c>
      <c r="W17" s="229">
        <f t="shared" si="8"/>
        <v>0</v>
      </c>
      <c r="X17" s="229">
        <f t="shared" si="9"/>
        <v>0</v>
      </c>
      <c r="Y17" s="229">
        <f t="shared" si="10"/>
        <v>0</v>
      </c>
      <c r="Z17" s="229">
        <f t="shared" si="11"/>
        <v>0</v>
      </c>
      <c r="AA17" s="229">
        <f t="shared" si="12"/>
        <v>0</v>
      </c>
      <c r="AB17" s="229">
        <f t="shared" si="13"/>
        <v>0</v>
      </c>
      <c r="AC17" s="39"/>
      <c r="AD17" s="39"/>
      <c r="AE17" s="39"/>
      <c r="AF17" s="39"/>
      <c r="AG17" s="39"/>
      <c r="AH17" s="39"/>
      <c r="AI17" s="39"/>
      <c r="AJ17" s="230"/>
      <c r="AK17" s="230"/>
      <c r="AL17" s="230"/>
      <c r="AM17" s="230"/>
    </row>
    <row r="18" spans="1:39" ht="12.75" customHeight="1">
      <c r="A18" s="370">
        <f t="shared" si="4"/>
        <v>915</v>
      </c>
      <c r="B18" s="231"/>
      <c r="C18" s="222"/>
      <c r="D18" s="222"/>
      <c r="E18" s="223"/>
      <c r="F18" s="223"/>
      <c r="G18" s="224"/>
      <c r="H18" s="225"/>
      <c r="I18" s="225"/>
      <c r="J18" s="226"/>
      <c r="K18" s="226"/>
      <c r="L18" s="226"/>
      <c r="M18" s="226"/>
      <c r="N18" s="226"/>
      <c r="O18" s="226"/>
      <c r="P18" s="226"/>
      <c r="Q18" s="227">
        <f>H18-AB18</f>
        <v>0</v>
      </c>
      <c r="R18" s="228">
        <f t="shared" si="14"/>
        <v>0</v>
      </c>
      <c r="S18" s="227">
        <f>R18*F18/100</f>
        <v>0</v>
      </c>
      <c r="T18" s="228">
        <f>IF(G18="n",S18,E18/100*R18)</f>
        <v>0</v>
      </c>
      <c r="U18" s="229">
        <f t="shared" si="6"/>
        <v>0</v>
      </c>
      <c r="V18" s="229">
        <f t="shared" si="7"/>
        <v>0</v>
      </c>
      <c r="W18" s="229">
        <f t="shared" si="8"/>
        <v>0</v>
      </c>
      <c r="X18" s="229">
        <f t="shared" si="9"/>
        <v>0</v>
      </c>
      <c r="Y18" s="229">
        <f t="shared" si="10"/>
        <v>0</v>
      </c>
      <c r="Z18" s="229">
        <f t="shared" si="11"/>
        <v>0</v>
      </c>
      <c r="AA18" s="229">
        <f t="shared" si="12"/>
        <v>0</v>
      </c>
      <c r="AB18" s="229">
        <f t="shared" si="13"/>
        <v>0</v>
      </c>
      <c r="AC18" s="39"/>
      <c r="AD18" s="39"/>
      <c r="AE18" s="39"/>
      <c r="AF18" s="39"/>
      <c r="AG18" s="39"/>
      <c r="AH18" s="39"/>
      <c r="AI18" s="39"/>
      <c r="AJ18" s="230"/>
      <c r="AK18" s="230"/>
      <c r="AL18" s="230"/>
      <c r="AM18" s="230"/>
    </row>
    <row r="19" spans="1:39" ht="12.75" customHeight="1">
      <c r="A19" s="370">
        <f t="shared" si="4"/>
        <v>916</v>
      </c>
      <c r="B19" s="231"/>
      <c r="C19" s="222"/>
      <c r="D19" s="222"/>
      <c r="E19" s="223"/>
      <c r="F19" s="223"/>
      <c r="G19" s="224"/>
      <c r="H19" s="225"/>
      <c r="I19" s="225"/>
      <c r="J19" s="226"/>
      <c r="K19" s="226"/>
      <c r="L19" s="226"/>
      <c r="M19" s="226"/>
      <c r="N19" s="226"/>
      <c r="O19" s="226"/>
      <c r="P19" s="226"/>
      <c r="Q19" s="227">
        <f>H19-AB19</f>
        <v>0</v>
      </c>
      <c r="R19" s="228">
        <f t="shared" si="14"/>
        <v>0</v>
      </c>
      <c r="S19" s="227">
        <f>R19*F19/100</f>
        <v>0</v>
      </c>
      <c r="T19" s="228">
        <f>IF(G19="n",S19,E19/100*R19)</f>
        <v>0</v>
      </c>
      <c r="U19" s="229">
        <f t="shared" si="6"/>
        <v>0</v>
      </c>
      <c r="V19" s="229">
        <f t="shared" si="7"/>
        <v>0</v>
      </c>
      <c r="W19" s="229">
        <f t="shared" si="8"/>
        <v>0</v>
      </c>
      <c r="X19" s="229">
        <f t="shared" si="9"/>
        <v>0</v>
      </c>
      <c r="Y19" s="229">
        <f t="shared" si="10"/>
        <v>0</v>
      </c>
      <c r="Z19" s="229">
        <f t="shared" si="11"/>
        <v>0</v>
      </c>
      <c r="AA19" s="229">
        <f t="shared" si="12"/>
        <v>0</v>
      </c>
      <c r="AB19" s="229">
        <f t="shared" si="13"/>
        <v>0</v>
      </c>
      <c r="AC19" s="39"/>
      <c r="AD19" s="39"/>
      <c r="AE19" s="39"/>
      <c r="AF19" s="39"/>
      <c r="AG19" s="39"/>
      <c r="AH19" s="39"/>
      <c r="AI19" s="39"/>
      <c r="AJ19" s="230"/>
      <c r="AK19" s="230"/>
      <c r="AL19" s="230"/>
      <c r="AM19" s="230"/>
    </row>
    <row r="20" spans="1:39" ht="12.75" customHeight="1">
      <c r="A20" s="370">
        <f t="shared" si="4"/>
        <v>917</v>
      </c>
      <c r="B20" s="231"/>
      <c r="C20" s="222"/>
      <c r="D20" s="222"/>
      <c r="E20" s="223"/>
      <c r="F20" s="223"/>
      <c r="G20" s="224"/>
      <c r="H20" s="225"/>
      <c r="I20" s="225"/>
      <c r="J20" s="226"/>
      <c r="K20" s="226"/>
      <c r="L20" s="226"/>
      <c r="M20" s="226"/>
      <c r="N20" s="226"/>
      <c r="O20" s="226"/>
      <c r="P20" s="226"/>
      <c r="Q20" s="227">
        <f>H20-AB20</f>
        <v>0</v>
      </c>
      <c r="R20" s="228">
        <f t="shared" si="14"/>
        <v>0</v>
      </c>
      <c r="S20" s="227">
        <f>R20*F20/100</f>
        <v>0</v>
      </c>
      <c r="T20" s="228">
        <f>IF(G20="n",S20,E20/100*R20)</f>
        <v>0</v>
      </c>
      <c r="U20" s="229">
        <f t="shared" si="6"/>
        <v>0</v>
      </c>
      <c r="V20" s="229">
        <f t="shared" si="7"/>
        <v>0</v>
      </c>
      <c r="W20" s="229">
        <f t="shared" si="8"/>
        <v>0</v>
      </c>
      <c r="X20" s="229">
        <f t="shared" si="9"/>
        <v>0</v>
      </c>
      <c r="Y20" s="229">
        <f t="shared" si="10"/>
        <v>0</v>
      </c>
      <c r="Z20" s="229">
        <f t="shared" si="11"/>
        <v>0</v>
      </c>
      <c r="AA20" s="229">
        <f t="shared" si="12"/>
        <v>0</v>
      </c>
      <c r="AB20" s="229">
        <f t="shared" si="13"/>
        <v>0</v>
      </c>
      <c r="AC20" s="39"/>
      <c r="AD20" s="39"/>
      <c r="AE20" s="39"/>
      <c r="AF20" s="39"/>
      <c r="AG20" s="39"/>
      <c r="AH20" s="39"/>
      <c r="AI20" s="39"/>
      <c r="AJ20" s="230"/>
      <c r="AK20" s="230"/>
      <c r="AL20" s="230"/>
      <c r="AM20" s="230"/>
    </row>
    <row r="21" spans="1:39" ht="12.75" customHeight="1">
      <c r="A21" s="370">
        <f t="shared" si="4"/>
        <v>918</v>
      </c>
      <c r="B21" s="231"/>
      <c r="C21" s="222"/>
      <c r="D21" s="222"/>
      <c r="E21" s="223"/>
      <c r="F21" s="223"/>
      <c r="G21" s="224"/>
      <c r="H21" s="225"/>
      <c r="I21" s="225"/>
      <c r="J21" s="226"/>
      <c r="K21" s="226"/>
      <c r="L21" s="226"/>
      <c r="M21" s="226"/>
      <c r="N21" s="226"/>
      <c r="O21" s="226"/>
      <c r="P21" s="226"/>
      <c r="Q21" s="227">
        <f>H21-AB21</f>
        <v>0</v>
      </c>
      <c r="R21" s="228">
        <f t="shared" si="14"/>
        <v>0</v>
      </c>
      <c r="S21" s="227">
        <f>R21*F21/100</f>
        <v>0</v>
      </c>
      <c r="T21" s="228">
        <f>IF(G21="n",S21,E21/100*R21)</f>
        <v>0</v>
      </c>
      <c r="U21" s="229">
        <f t="shared" si="6"/>
        <v>0</v>
      </c>
      <c r="V21" s="229">
        <f t="shared" si="7"/>
        <v>0</v>
      </c>
      <c r="W21" s="229">
        <f t="shared" si="8"/>
        <v>0</v>
      </c>
      <c r="X21" s="229">
        <f t="shared" si="9"/>
        <v>0</v>
      </c>
      <c r="Y21" s="229">
        <f t="shared" si="10"/>
        <v>0</v>
      </c>
      <c r="Z21" s="229">
        <f t="shared" si="11"/>
        <v>0</v>
      </c>
      <c r="AA21" s="229">
        <f t="shared" si="12"/>
        <v>0</v>
      </c>
      <c r="AB21" s="229">
        <f t="shared" si="13"/>
        <v>0</v>
      </c>
      <c r="AC21" s="39"/>
      <c r="AD21" s="39"/>
      <c r="AE21" s="39"/>
      <c r="AF21" s="39"/>
      <c r="AG21" s="39"/>
      <c r="AH21" s="39"/>
      <c r="AI21" s="39"/>
      <c r="AJ21" s="230"/>
      <c r="AK21" s="230"/>
      <c r="AL21" s="230"/>
      <c r="AM21" s="230"/>
    </row>
    <row r="22" spans="1:39" ht="12.75" customHeight="1">
      <c r="A22" s="370">
        <f t="shared" si="4"/>
        <v>919</v>
      </c>
      <c r="B22" s="231"/>
      <c r="C22" s="222"/>
      <c r="D22" s="222"/>
      <c r="E22" s="223"/>
      <c r="F22" s="223"/>
      <c r="G22" s="224"/>
      <c r="H22" s="225"/>
      <c r="I22" s="225"/>
      <c r="J22" s="226"/>
      <c r="K22" s="226"/>
      <c r="L22" s="226"/>
      <c r="M22" s="226"/>
      <c r="N22" s="226"/>
      <c r="O22" s="226"/>
      <c r="P22" s="226"/>
      <c r="Q22" s="227">
        <f>H22-AB22</f>
        <v>0</v>
      </c>
      <c r="R22" s="228">
        <f t="shared" si="14"/>
        <v>0</v>
      </c>
      <c r="S22" s="227">
        <f>R22*F22/100</f>
        <v>0</v>
      </c>
      <c r="T22" s="228">
        <f>IF(G22="n",S22,E22/100*R22)</f>
        <v>0</v>
      </c>
      <c r="U22" s="229">
        <f t="shared" si="6"/>
        <v>0</v>
      </c>
      <c r="V22" s="229">
        <f t="shared" si="7"/>
        <v>0</v>
      </c>
      <c r="W22" s="229">
        <f t="shared" si="8"/>
        <v>0</v>
      </c>
      <c r="X22" s="229">
        <f t="shared" si="9"/>
        <v>0</v>
      </c>
      <c r="Y22" s="229">
        <f t="shared" si="10"/>
        <v>0</v>
      </c>
      <c r="Z22" s="229">
        <f t="shared" si="11"/>
        <v>0</v>
      </c>
      <c r="AA22" s="229">
        <f t="shared" si="12"/>
        <v>0</v>
      </c>
      <c r="AB22" s="229">
        <f t="shared" si="13"/>
        <v>0</v>
      </c>
      <c r="AC22" s="39"/>
      <c r="AD22" s="39"/>
      <c r="AE22" s="39"/>
      <c r="AF22" s="39"/>
      <c r="AG22" s="39"/>
      <c r="AH22" s="39"/>
      <c r="AI22" s="39"/>
      <c r="AJ22" s="230"/>
      <c r="AK22" s="230"/>
      <c r="AL22" s="230"/>
      <c r="AM22" s="230"/>
    </row>
    <row r="23" spans="1:39" ht="12.75" customHeight="1">
      <c r="A23" s="370">
        <f t="shared" si="4"/>
        <v>920</v>
      </c>
      <c r="B23" s="231"/>
      <c r="C23" s="222"/>
      <c r="D23" s="222"/>
      <c r="E23" s="223"/>
      <c r="F23" s="223"/>
      <c r="G23" s="224"/>
      <c r="H23" s="225"/>
      <c r="I23" s="225"/>
      <c r="J23" s="226"/>
      <c r="K23" s="226"/>
      <c r="L23" s="226"/>
      <c r="M23" s="226"/>
      <c r="N23" s="226"/>
      <c r="O23" s="226"/>
      <c r="P23" s="226"/>
      <c r="Q23" s="227">
        <f t="shared" si="1"/>
        <v>0</v>
      </c>
      <c r="R23" s="228">
        <f t="shared" si="14"/>
        <v>0</v>
      </c>
      <c r="S23" s="227">
        <f t="shared" si="5"/>
        <v>0</v>
      </c>
      <c r="T23" s="228">
        <f t="shared" si="2"/>
        <v>0</v>
      </c>
      <c r="U23" s="229">
        <f t="shared" si="6"/>
        <v>0</v>
      </c>
      <c r="V23" s="229">
        <f t="shared" si="7"/>
        <v>0</v>
      </c>
      <c r="W23" s="229">
        <f t="shared" si="8"/>
        <v>0</v>
      </c>
      <c r="X23" s="229">
        <f t="shared" si="9"/>
        <v>0</v>
      </c>
      <c r="Y23" s="229">
        <f t="shared" si="10"/>
        <v>0</v>
      </c>
      <c r="Z23" s="229">
        <f t="shared" si="11"/>
        <v>0</v>
      </c>
      <c r="AA23" s="229">
        <f t="shared" si="12"/>
        <v>0</v>
      </c>
      <c r="AB23" s="229">
        <f t="shared" si="13"/>
        <v>0</v>
      </c>
      <c r="AC23" s="39"/>
      <c r="AD23" s="39"/>
      <c r="AE23" s="39"/>
      <c r="AF23" s="39"/>
      <c r="AG23" s="39"/>
      <c r="AH23" s="39"/>
      <c r="AI23" s="39"/>
      <c r="AJ23" s="230"/>
      <c r="AK23" s="230"/>
      <c r="AL23" s="230"/>
      <c r="AM23" s="230"/>
    </row>
    <row r="24" spans="1:39" ht="12.75" customHeight="1">
      <c r="A24" s="370">
        <f t="shared" si="4"/>
        <v>921</v>
      </c>
      <c r="B24" s="231"/>
      <c r="C24" s="222"/>
      <c r="D24" s="222"/>
      <c r="E24" s="223"/>
      <c r="F24" s="223"/>
      <c r="G24" s="224"/>
      <c r="H24" s="225"/>
      <c r="I24" s="225"/>
      <c r="J24" s="226"/>
      <c r="K24" s="226"/>
      <c r="L24" s="226"/>
      <c r="M24" s="226"/>
      <c r="N24" s="226"/>
      <c r="O24" s="226"/>
      <c r="P24" s="226"/>
      <c r="Q24" s="227">
        <f t="shared" si="1"/>
        <v>0</v>
      </c>
      <c r="R24" s="228">
        <f t="shared" si="14"/>
        <v>0</v>
      </c>
      <c r="S24" s="227">
        <f t="shared" si="5"/>
        <v>0</v>
      </c>
      <c r="T24" s="228">
        <f t="shared" si="2"/>
        <v>0</v>
      </c>
      <c r="U24" s="229">
        <f t="shared" si="6"/>
        <v>0</v>
      </c>
      <c r="V24" s="229">
        <f t="shared" si="7"/>
        <v>0</v>
      </c>
      <c r="W24" s="229">
        <f t="shared" si="8"/>
        <v>0</v>
      </c>
      <c r="X24" s="229">
        <f t="shared" si="9"/>
        <v>0</v>
      </c>
      <c r="Y24" s="229">
        <f t="shared" si="10"/>
        <v>0</v>
      </c>
      <c r="Z24" s="229">
        <f t="shared" si="11"/>
        <v>0</v>
      </c>
      <c r="AA24" s="229">
        <f t="shared" si="12"/>
        <v>0</v>
      </c>
      <c r="AB24" s="229">
        <f t="shared" si="13"/>
        <v>0</v>
      </c>
      <c r="AC24" s="39"/>
      <c r="AD24" s="39"/>
      <c r="AE24" s="39"/>
      <c r="AF24" s="39"/>
      <c r="AG24" s="39"/>
      <c r="AH24" s="39"/>
      <c r="AI24" s="39"/>
      <c r="AJ24" s="230"/>
      <c r="AK24" s="230"/>
      <c r="AL24" s="230"/>
      <c r="AM24" s="230"/>
    </row>
    <row r="25" spans="1:39" ht="12.75" customHeight="1">
      <c r="A25" s="370">
        <f t="shared" si="4"/>
        <v>922</v>
      </c>
      <c r="B25" s="231"/>
      <c r="C25" s="222"/>
      <c r="D25" s="222"/>
      <c r="E25" s="223"/>
      <c r="F25" s="223"/>
      <c r="G25" s="224"/>
      <c r="H25" s="225"/>
      <c r="I25" s="225"/>
      <c r="J25" s="226"/>
      <c r="K25" s="226"/>
      <c r="L25" s="226"/>
      <c r="M25" s="226"/>
      <c r="N25" s="226"/>
      <c r="O25" s="226"/>
      <c r="P25" s="226"/>
      <c r="Q25" s="227">
        <f t="shared" si="1"/>
        <v>0</v>
      </c>
      <c r="R25" s="228">
        <f t="shared" si="14"/>
        <v>0</v>
      </c>
      <c r="S25" s="227">
        <f t="shared" si="5"/>
        <v>0</v>
      </c>
      <c r="T25" s="228">
        <f t="shared" si="2"/>
        <v>0</v>
      </c>
      <c r="U25" s="229">
        <f t="shared" si="6"/>
        <v>0</v>
      </c>
      <c r="V25" s="229">
        <f t="shared" si="7"/>
        <v>0</v>
      </c>
      <c r="W25" s="229">
        <f t="shared" si="8"/>
        <v>0</v>
      </c>
      <c r="X25" s="229">
        <f t="shared" si="9"/>
        <v>0</v>
      </c>
      <c r="Y25" s="229">
        <f t="shared" si="10"/>
        <v>0</v>
      </c>
      <c r="Z25" s="229">
        <f t="shared" si="11"/>
        <v>0</v>
      </c>
      <c r="AA25" s="229">
        <f t="shared" si="12"/>
        <v>0</v>
      </c>
      <c r="AB25" s="229">
        <f t="shared" si="13"/>
        <v>0</v>
      </c>
      <c r="AC25" s="39"/>
      <c r="AD25" s="39"/>
      <c r="AE25" s="39"/>
      <c r="AF25" s="39"/>
      <c r="AG25" s="39"/>
      <c r="AH25" s="39"/>
      <c r="AI25" s="39"/>
      <c r="AJ25" s="230"/>
      <c r="AK25" s="230"/>
      <c r="AL25" s="230"/>
      <c r="AM25" s="230"/>
    </row>
    <row r="26" spans="1:39" ht="12.75" customHeight="1">
      <c r="A26" s="370">
        <f t="shared" si="4"/>
        <v>923</v>
      </c>
      <c r="B26" s="231"/>
      <c r="C26" s="222"/>
      <c r="D26" s="222"/>
      <c r="E26" s="223"/>
      <c r="F26" s="223"/>
      <c r="G26" s="224"/>
      <c r="H26" s="225"/>
      <c r="I26" s="225"/>
      <c r="J26" s="226"/>
      <c r="K26" s="226"/>
      <c r="L26" s="226"/>
      <c r="M26" s="226"/>
      <c r="N26" s="226"/>
      <c r="O26" s="226"/>
      <c r="P26" s="226"/>
      <c r="Q26" s="227">
        <f t="shared" si="1"/>
        <v>0</v>
      </c>
      <c r="R26" s="228">
        <f t="shared" si="14"/>
        <v>0</v>
      </c>
      <c r="S26" s="227">
        <f t="shared" si="5"/>
        <v>0</v>
      </c>
      <c r="T26" s="228">
        <f t="shared" si="2"/>
        <v>0</v>
      </c>
      <c r="U26" s="229">
        <f t="shared" si="6"/>
        <v>0</v>
      </c>
      <c r="V26" s="229">
        <f t="shared" si="7"/>
        <v>0</v>
      </c>
      <c r="W26" s="229">
        <f t="shared" si="8"/>
        <v>0</v>
      </c>
      <c r="X26" s="229">
        <f t="shared" si="9"/>
        <v>0</v>
      </c>
      <c r="Y26" s="229">
        <f t="shared" si="10"/>
        <v>0</v>
      </c>
      <c r="Z26" s="229">
        <f t="shared" si="11"/>
        <v>0</v>
      </c>
      <c r="AA26" s="229">
        <f t="shared" si="12"/>
        <v>0</v>
      </c>
      <c r="AB26" s="229">
        <f t="shared" si="13"/>
        <v>0</v>
      </c>
      <c r="AC26" s="39"/>
      <c r="AD26" s="39"/>
      <c r="AE26" s="39"/>
      <c r="AF26" s="39"/>
      <c r="AG26" s="39"/>
      <c r="AH26" s="39"/>
      <c r="AI26" s="39"/>
      <c r="AJ26" s="230"/>
      <c r="AK26" s="230"/>
      <c r="AL26" s="230"/>
      <c r="AM26" s="230"/>
    </row>
    <row r="27" spans="1:39" ht="12.75" customHeight="1">
      <c r="A27" s="370">
        <f t="shared" si="4"/>
        <v>924</v>
      </c>
      <c r="B27" s="231"/>
      <c r="C27" s="222"/>
      <c r="D27" s="222"/>
      <c r="E27" s="223"/>
      <c r="F27" s="223"/>
      <c r="G27" s="224"/>
      <c r="H27" s="225"/>
      <c r="I27" s="225"/>
      <c r="J27" s="226"/>
      <c r="K27" s="226"/>
      <c r="L27" s="226"/>
      <c r="M27" s="226"/>
      <c r="N27" s="226"/>
      <c r="O27" s="226"/>
      <c r="P27" s="226"/>
      <c r="Q27" s="227">
        <f t="shared" si="1"/>
        <v>0</v>
      </c>
      <c r="R27" s="228">
        <f t="shared" si="14"/>
        <v>0</v>
      </c>
      <c r="S27" s="227">
        <f t="shared" si="5"/>
        <v>0</v>
      </c>
      <c r="T27" s="228">
        <f t="shared" si="2"/>
        <v>0</v>
      </c>
      <c r="U27" s="229">
        <f t="shared" si="6"/>
        <v>0</v>
      </c>
      <c r="V27" s="229">
        <f t="shared" si="7"/>
        <v>0</v>
      </c>
      <c r="W27" s="229">
        <f t="shared" si="8"/>
        <v>0</v>
      </c>
      <c r="X27" s="229">
        <f t="shared" si="9"/>
        <v>0</v>
      </c>
      <c r="Y27" s="229">
        <f t="shared" si="10"/>
        <v>0</v>
      </c>
      <c r="Z27" s="229">
        <f t="shared" si="11"/>
        <v>0</v>
      </c>
      <c r="AA27" s="229">
        <f t="shared" si="12"/>
        <v>0</v>
      </c>
      <c r="AB27" s="229">
        <f t="shared" si="13"/>
        <v>0</v>
      </c>
      <c r="AC27" s="39"/>
      <c r="AD27" s="39"/>
      <c r="AE27" s="39"/>
      <c r="AF27" s="39"/>
      <c r="AG27" s="39"/>
      <c r="AH27" s="39"/>
      <c r="AI27" s="39"/>
      <c r="AJ27" s="230"/>
      <c r="AK27" s="230"/>
      <c r="AL27" s="230"/>
      <c r="AM27" s="230"/>
    </row>
    <row r="28" spans="1:39" ht="12.75" customHeight="1">
      <c r="A28" s="370">
        <f t="shared" si="4"/>
        <v>925</v>
      </c>
      <c r="B28" s="231"/>
      <c r="C28" s="222"/>
      <c r="D28" s="222"/>
      <c r="E28" s="223"/>
      <c r="F28" s="223"/>
      <c r="G28" s="224"/>
      <c r="H28" s="225"/>
      <c r="I28" s="225"/>
      <c r="J28" s="226"/>
      <c r="K28" s="226"/>
      <c r="L28" s="226"/>
      <c r="M28" s="226"/>
      <c r="N28" s="226"/>
      <c r="O28" s="226"/>
      <c r="P28" s="226"/>
      <c r="Q28" s="227">
        <f t="shared" si="1"/>
        <v>0</v>
      </c>
      <c r="R28" s="228">
        <f t="shared" si="14"/>
        <v>0</v>
      </c>
      <c r="S28" s="227">
        <f t="shared" si="5"/>
        <v>0</v>
      </c>
      <c r="T28" s="228">
        <f t="shared" si="2"/>
        <v>0</v>
      </c>
      <c r="U28" s="229">
        <f t="shared" si="6"/>
        <v>0</v>
      </c>
      <c r="V28" s="229">
        <f t="shared" si="7"/>
        <v>0</v>
      </c>
      <c r="W28" s="229">
        <f t="shared" si="8"/>
        <v>0</v>
      </c>
      <c r="X28" s="229">
        <f t="shared" si="9"/>
        <v>0</v>
      </c>
      <c r="Y28" s="229">
        <f t="shared" si="10"/>
        <v>0</v>
      </c>
      <c r="Z28" s="229">
        <f t="shared" si="11"/>
        <v>0</v>
      </c>
      <c r="AA28" s="229">
        <f t="shared" si="12"/>
        <v>0</v>
      </c>
      <c r="AB28" s="229">
        <f t="shared" si="13"/>
        <v>0</v>
      </c>
      <c r="AC28" s="39"/>
      <c r="AD28" s="39"/>
      <c r="AE28" s="39"/>
      <c r="AF28" s="39"/>
      <c r="AG28" s="39"/>
      <c r="AH28" s="39"/>
      <c r="AI28" s="39"/>
      <c r="AJ28" s="230"/>
      <c r="AK28" s="230"/>
      <c r="AL28" s="230"/>
      <c r="AM28" s="230"/>
    </row>
    <row r="29" spans="1:39" ht="12.75" customHeight="1">
      <c r="A29" s="370">
        <f t="shared" si="4"/>
        <v>926</v>
      </c>
      <c r="B29" s="231"/>
      <c r="C29" s="222"/>
      <c r="D29" s="222"/>
      <c r="E29" s="223"/>
      <c r="F29" s="223"/>
      <c r="G29" s="224"/>
      <c r="H29" s="225"/>
      <c r="I29" s="225"/>
      <c r="J29" s="226"/>
      <c r="K29" s="226"/>
      <c r="L29" s="226"/>
      <c r="M29" s="226"/>
      <c r="N29" s="226"/>
      <c r="O29" s="226"/>
      <c r="P29" s="226"/>
      <c r="Q29" s="227">
        <f t="shared" si="1"/>
        <v>0</v>
      </c>
      <c r="R29" s="228">
        <f t="shared" si="14"/>
        <v>0</v>
      </c>
      <c r="S29" s="227">
        <f t="shared" si="5"/>
        <v>0</v>
      </c>
      <c r="T29" s="228">
        <f t="shared" si="2"/>
        <v>0</v>
      </c>
      <c r="U29" s="229">
        <f t="shared" si="6"/>
        <v>0</v>
      </c>
      <c r="V29" s="229">
        <f t="shared" si="7"/>
        <v>0</v>
      </c>
      <c r="W29" s="229">
        <f t="shared" si="8"/>
        <v>0</v>
      </c>
      <c r="X29" s="229">
        <f t="shared" si="9"/>
        <v>0</v>
      </c>
      <c r="Y29" s="229">
        <f t="shared" si="10"/>
        <v>0</v>
      </c>
      <c r="Z29" s="229">
        <f t="shared" si="11"/>
        <v>0</v>
      </c>
      <c r="AA29" s="229">
        <f t="shared" si="12"/>
        <v>0</v>
      </c>
      <c r="AB29" s="229">
        <f t="shared" si="13"/>
        <v>0</v>
      </c>
      <c r="AC29" s="39"/>
      <c r="AD29" s="39"/>
      <c r="AE29" s="39"/>
      <c r="AF29" s="39"/>
      <c r="AG29" s="39"/>
      <c r="AH29" s="39"/>
      <c r="AI29" s="39"/>
      <c r="AJ29" s="230"/>
      <c r="AK29" s="230"/>
      <c r="AL29" s="230"/>
      <c r="AM29" s="230"/>
    </row>
    <row r="30" spans="1:39" ht="12.75" customHeight="1">
      <c r="A30" s="370">
        <f t="shared" si="4"/>
        <v>927</v>
      </c>
      <c r="B30" s="231"/>
      <c r="C30" s="222"/>
      <c r="D30" s="222"/>
      <c r="E30" s="223"/>
      <c r="F30" s="223"/>
      <c r="G30" s="224"/>
      <c r="H30" s="225"/>
      <c r="I30" s="225"/>
      <c r="J30" s="226"/>
      <c r="K30" s="226"/>
      <c r="L30" s="226"/>
      <c r="M30" s="226"/>
      <c r="N30" s="226"/>
      <c r="O30" s="226"/>
      <c r="P30" s="226"/>
      <c r="Q30" s="227">
        <f t="shared" si="1"/>
        <v>0</v>
      </c>
      <c r="R30" s="228">
        <f t="shared" si="14"/>
        <v>0</v>
      </c>
      <c r="S30" s="227">
        <f t="shared" si="5"/>
        <v>0</v>
      </c>
      <c r="T30" s="228">
        <f t="shared" si="2"/>
        <v>0</v>
      </c>
      <c r="U30" s="229">
        <f t="shared" si="6"/>
        <v>0</v>
      </c>
      <c r="V30" s="229">
        <f t="shared" si="7"/>
        <v>0</v>
      </c>
      <c r="W30" s="229">
        <f t="shared" si="8"/>
        <v>0</v>
      </c>
      <c r="X30" s="229">
        <f t="shared" si="9"/>
        <v>0</v>
      </c>
      <c r="Y30" s="229">
        <f t="shared" si="10"/>
        <v>0</v>
      </c>
      <c r="Z30" s="229">
        <f t="shared" si="11"/>
        <v>0</v>
      </c>
      <c r="AA30" s="229">
        <f t="shared" si="12"/>
        <v>0</v>
      </c>
      <c r="AB30" s="229">
        <f t="shared" si="13"/>
        <v>0</v>
      </c>
      <c r="AC30" s="39"/>
      <c r="AD30" s="39"/>
      <c r="AE30" s="39"/>
      <c r="AF30" s="39"/>
      <c r="AG30" s="39"/>
      <c r="AH30" s="39"/>
      <c r="AI30" s="39"/>
      <c r="AJ30" s="230"/>
      <c r="AK30" s="230"/>
      <c r="AL30" s="230"/>
      <c r="AM30" s="230"/>
    </row>
    <row r="31" spans="1:39" ht="12.75" customHeight="1">
      <c r="A31" s="370">
        <f t="shared" si="4"/>
        <v>928</v>
      </c>
      <c r="B31" s="231"/>
      <c r="C31" s="222"/>
      <c r="D31" s="222"/>
      <c r="E31" s="223"/>
      <c r="F31" s="223"/>
      <c r="G31" s="224"/>
      <c r="H31" s="225"/>
      <c r="I31" s="225"/>
      <c r="J31" s="226"/>
      <c r="K31" s="226"/>
      <c r="L31" s="226"/>
      <c r="M31" s="226"/>
      <c r="N31" s="226"/>
      <c r="O31" s="226"/>
      <c r="P31" s="226"/>
      <c r="Q31" s="227">
        <f t="shared" si="1"/>
        <v>0</v>
      </c>
      <c r="R31" s="228">
        <f t="shared" si="14"/>
        <v>0</v>
      </c>
      <c r="S31" s="227">
        <f t="shared" si="5"/>
        <v>0</v>
      </c>
      <c r="T31" s="228">
        <f t="shared" si="2"/>
        <v>0</v>
      </c>
      <c r="U31" s="229">
        <f t="shared" si="6"/>
        <v>0</v>
      </c>
      <c r="V31" s="229">
        <f t="shared" si="7"/>
        <v>0</v>
      </c>
      <c r="W31" s="229">
        <f t="shared" si="8"/>
        <v>0</v>
      </c>
      <c r="X31" s="229">
        <f t="shared" si="9"/>
        <v>0</v>
      </c>
      <c r="Y31" s="229">
        <f t="shared" si="10"/>
        <v>0</v>
      </c>
      <c r="Z31" s="229">
        <f t="shared" si="11"/>
        <v>0</v>
      </c>
      <c r="AA31" s="229">
        <f t="shared" si="12"/>
        <v>0</v>
      </c>
      <c r="AB31" s="229">
        <f t="shared" si="13"/>
        <v>0</v>
      </c>
      <c r="AC31" s="39"/>
      <c r="AD31" s="39"/>
      <c r="AE31" s="39"/>
      <c r="AF31" s="39"/>
      <c r="AG31" s="39"/>
      <c r="AH31" s="39"/>
      <c r="AI31" s="39"/>
      <c r="AJ31" s="230"/>
      <c r="AK31" s="230"/>
      <c r="AL31" s="230"/>
      <c r="AM31" s="230"/>
    </row>
    <row r="32" spans="1:39" ht="12.75" customHeight="1">
      <c r="A32" s="370">
        <f t="shared" si="4"/>
        <v>929</v>
      </c>
      <c r="B32" s="232" t="s">
        <v>41</v>
      </c>
      <c r="C32" s="233"/>
      <c r="D32" s="233"/>
      <c r="E32" s="234"/>
      <c r="F32" s="235"/>
      <c r="G32" s="236"/>
      <c r="H32" s="225"/>
      <c r="I32" s="225"/>
      <c r="J32" s="237"/>
      <c r="K32" s="238"/>
      <c r="L32" s="238"/>
      <c r="M32" s="238"/>
      <c r="N32" s="238"/>
      <c r="O32" s="238"/>
      <c r="P32" s="239"/>
      <c r="Q32" s="228"/>
      <c r="R32" s="228"/>
      <c r="S32" s="228"/>
      <c r="T32" s="228"/>
      <c r="U32" s="229">
        <f t="shared" si="6"/>
        <v>0</v>
      </c>
      <c r="V32" s="229">
        <f t="shared" si="7"/>
        <v>0</v>
      </c>
      <c r="W32" s="229">
        <f t="shared" si="8"/>
        <v>0</v>
      </c>
      <c r="X32" s="229">
        <f t="shared" si="9"/>
        <v>0</v>
      </c>
      <c r="Y32" s="229">
        <f t="shared" si="10"/>
        <v>0</v>
      </c>
      <c r="Z32" s="229">
        <f t="shared" si="11"/>
        <v>0</v>
      </c>
      <c r="AA32" s="229">
        <f t="shared" si="12"/>
        <v>0</v>
      </c>
      <c r="AB32" s="229">
        <f t="shared" si="13"/>
        <v>0</v>
      </c>
      <c r="AC32" s="39"/>
      <c r="AD32" s="39"/>
      <c r="AE32" s="39"/>
      <c r="AF32" s="39"/>
      <c r="AG32" s="39"/>
      <c r="AH32" s="39"/>
      <c r="AI32" s="39"/>
      <c r="AJ32" s="230"/>
      <c r="AK32" s="230"/>
      <c r="AL32" s="230"/>
      <c r="AM32" s="230"/>
    </row>
    <row r="33" spans="1:39" ht="12.75" customHeight="1">
      <c r="A33" s="370">
        <f t="shared" si="4"/>
        <v>930</v>
      </c>
      <c r="B33" s="240" t="str">
        <f>CONCATENATE("Sub(totaal) regel ",A4," t/m ",A32," conform jaarrekening ")</f>
        <v>Sub(totaal) regel 901 t/m 929 conform jaarrekening </v>
      </c>
      <c r="C33" s="240"/>
      <c r="D33" s="241"/>
      <c r="E33" s="242"/>
      <c r="F33" s="243"/>
      <c r="G33" s="244"/>
      <c r="H33" s="245">
        <f>SUM(H4:H32)</f>
        <v>0</v>
      </c>
      <c r="I33" s="246">
        <f>AB33</f>
        <v>0</v>
      </c>
      <c r="J33" s="247"/>
      <c r="K33" s="248"/>
      <c r="L33" s="248"/>
      <c r="M33" s="248"/>
      <c r="N33" s="248"/>
      <c r="O33" s="248"/>
      <c r="P33" s="249"/>
      <c r="Q33" s="98">
        <f>SUM(Q4:Q32)</f>
        <v>0</v>
      </c>
      <c r="R33" s="98">
        <f>SUM(R4:R32)</f>
        <v>0</v>
      </c>
      <c r="S33" s="98">
        <f>SUM(S4:S32)</f>
        <v>0</v>
      </c>
      <c r="T33" s="98">
        <f>SUM(T4:T32)</f>
        <v>0</v>
      </c>
      <c r="U33" s="229"/>
      <c r="V33" s="229"/>
      <c r="W33" s="229"/>
      <c r="X33" s="229"/>
      <c r="Y33" s="229"/>
      <c r="Z33" s="229"/>
      <c r="AA33" s="229"/>
      <c r="AB33" s="250">
        <f>SUM(AB4:AB32)</f>
        <v>0</v>
      </c>
      <c r="AC33" s="229"/>
      <c r="AD33" s="230"/>
      <c r="AE33" s="230"/>
      <c r="AF33" s="230"/>
      <c r="AG33" s="230"/>
      <c r="AH33" s="230"/>
      <c r="AI33" s="230"/>
      <c r="AJ33" s="230"/>
      <c r="AK33" s="230"/>
      <c r="AL33" s="230"/>
      <c r="AM33" s="230"/>
    </row>
    <row r="34" spans="1:40" ht="12.75" customHeight="1">
      <c r="A34" s="370">
        <f t="shared" si="4"/>
        <v>931</v>
      </c>
      <c r="B34" s="251" t="s">
        <v>113</v>
      </c>
      <c r="C34" s="252"/>
      <c r="D34" s="252"/>
      <c r="E34" s="252"/>
      <c r="F34" s="252"/>
      <c r="G34" s="252"/>
      <c r="H34" s="253"/>
      <c r="I34" s="253"/>
      <c r="J34" s="253"/>
      <c r="K34" s="253"/>
      <c r="L34" s="253"/>
      <c r="M34" s="253"/>
      <c r="N34" s="253"/>
      <c r="O34" s="253"/>
      <c r="P34" s="254"/>
      <c r="Q34" s="255"/>
      <c r="R34" s="256">
        <v>0</v>
      </c>
      <c r="S34" s="229"/>
      <c r="T34" s="230"/>
      <c r="U34" s="229"/>
      <c r="V34" s="230"/>
      <c r="W34" s="230"/>
      <c r="X34" s="230"/>
      <c r="Y34" s="230"/>
      <c r="Z34" s="230"/>
      <c r="AA34" s="230"/>
      <c r="AB34" s="230"/>
      <c r="AC34" s="229"/>
      <c r="AD34" s="230"/>
      <c r="AE34" s="230"/>
      <c r="AF34" s="230"/>
      <c r="AG34" s="230"/>
      <c r="AH34" s="230"/>
      <c r="AI34" s="230"/>
      <c r="AJ34" s="230"/>
      <c r="AK34" s="230"/>
      <c r="AL34" s="230"/>
      <c r="AM34" s="230"/>
      <c r="AN34" s="230"/>
    </row>
    <row r="35" spans="1:40" ht="12.75" customHeight="1">
      <c r="A35" s="370">
        <f t="shared" si="4"/>
        <v>932</v>
      </c>
      <c r="B35" s="257" t="s">
        <v>42</v>
      </c>
      <c r="C35" s="97"/>
      <c r="D35" s="252"/>
      <c r="E35" s="97"/>
      <c r="F35" s="97"/>
      <c r="G35" s="97"/>
      <c r="H35" s="107"/>
      <c r="I35" s="107"/>
      <c r="J35" s="107"/>
      <c r="K35" s="107"/>
      <c r="L35" s="107"/>
      <c r="M35" s="107"/>
      <c r="N35" s="107"/>
      <c r="O35" s="107"/>
      <c r="P35" s="108"/>
      <c r="Q35" s="258"/>
      <c r="R35" s="228"/>
      <c r="S35" s="230"/>
      <c r="T35" s="230"/>
      <c r="U35" s="230"/>
      <c r="V35" s="230"/>
      <c r="W35" s="230"/>
      <c r="X35" s="230"/>
      <c r="Y35" s="230"/>
      <c r="Z35" s="230"/>
      <c r="AA35" s="230"/>
      <c r="AB35" s="230"/>
      <c r="AC35" s="230"/>
      <c r="AD35" s="230"/>
      <c r="AE35" s="230"/>
      <c r="AF35" s="230"/>
      <c r="AG35" s="230"/>
      <c r="AH35" s="230"/>
      <c r="AI35" s="230"/>
      <c r="AJ35" s="230"/>
      <c r="AK35" s="230"/>
      <c r="AL35" s="230"/>
      <c r="AM35" s="230"/>
      <c r="AN35" s="230"/>
    </row>
    <row r="36" spans="1:40" s="62" customFormat="1" ht="12.75" customHeight="1">
      <c r="A36" s="370">
        <f t="shared" si="4"/>
        <v>933</v>
      </c>
      <c r="B36" s="104" t="str">
        <f>CONCATENATE("Totaal regel ",A33," -/- regel ",A34," + regel ",A35)</f>
        <v>Totaal regel 930 -/- regel 931 + regel 932</v>
      </c>
      <c r="C36" s="151"/>
      <c r="D36" s="259"/>
      <c r="E36" s="259"/>
      <c r="F36" s="259"/>
      <c r="G36" s="259"/>
      <c r="H36" s="260"/>
      <c r="I36" s="260"/>
      <c r="J36" s="260"/>
      <c r="K36" s="260"/>
      <c r="L36" s="260"/>
      <c r="M36" s="260"/>
      <c r="N36" s="260"/>
      <c r="O36" s="260"/>
      <c r="P36" s="261"/>
      <c r="Q36" s="262"/>
      <c r="R36" s="98">
        <f>R33-R34+R35</f>
        <v>0</v>
      </c>
      <c r="S36" s="98">
        <f>S33-S34+S35</f>
        <v>0</v>
      </c>
      <c r="T36" s="98">
        <f>T33-T34+T35</f>
        <v>0</v>
      </c>
      <c r="U36" s="263"/>
      <c r="V36" s="263"/>
      <c r="W36" s="263"/>
      <c r="X36" s="263"/>
      <c r="Y36" s="263"/>
      <c r="Z36" s="263"/>
      <c r="AA36" s="263"/>
      <c r="AB36" s="263"/>
      <c r="AC36" s="263"/>
      <c r="AD36" s="263"/>
      <c r="AE36" s="263"/>
      <c r="AF36" s="263"/>
      <c r="AG36" s="263"/>
      <c r="AH36" s="263"/>
      <c r="AI36" s="263"/>
      <c r="AJ36" s="263"/>
      <c r="AK36" s="263"/>
      <c r="AL36" s="263"/>
      <c r="AM36" s="263"/>
      <c r="AN36" s="263"/>
    </row>
    <row r="37" spans="2:40" s="62" customFormat="1" ht="12.75" customHeight="1">
      <c r="B37" s="337" t="s">
        <v>50</v>
      </c>
      <c r="C37" s="338"/>
      <c r="D37" s="339"/>
      <c r="E37" s="339"/>
      <c r="F37" s="339"/>
      <c r="G37" s="339"/>
      <c r="H37" s="340"/>
      <c r="I37" s="340"/>
      <c r="J37" s="340"/>
      <c r="K37" s="340"/>
      <c r="L37" s="340"/>
      <c r="M37" s="340"/>
      <c r="N37" s="340"/>
      <c r="O37" s="340"/>
      <c r="P37" s="340"/>
      <c r="Q37" s="341"/>
      <c r="R37" s="342"/>
      <c r="S37" s="342"/>
      <c r="T37" s="342"/>
      <c r="U37" s="263"/>
      <c r="V37" s="263"/>
      <c r="W37" s="263"/>
      <c r="X37" s="263"/>
      <c r="Y37" s="263"/>
      <c r="Z37" s="263"/>
      <c r="AA37" s="263"/>
      <c r="AB37" s="263"/>
      <c r="AC37" s="263"/>
      <c r="AD37" s="263"/>
      <c r="AE37" s="263"/>
      <c r="AF37" s="263"/>
      <c r="AG37" s="263"/>
      <c r="AH37" s="263"/>
      <c r="AI37" s="263"/>
      <c r="AJ37" s="263"/>
      <c r="AK37" s="263"/>
      <c r="AL37" s="263"/>
      <c r="AM37" s="263"/>
      <c r="AN37" s="263"/>
    </row>
    <row r="38" spans="2:40" s="62" customFormat="1" ht="12.75" customHeight="1">
      <c r="B38" s="415" t="s">
        <v>152</v>
      </c>
      <c r="C38" s="416"/>
      <c r="D38" s="416"/>
      <c r="E38" s="416"/>
      <c r="F38" s="416"/>
      <c r="G38" s="416"/>
      <c r="H38" s="416"/>
      <c r="I38" s="416"/>
      <c r="J38" s="416"/>
      <c r="K38" s="416"/>
      <c r="L38" s="416"/>
      <c r="M38" s="416"/>
      <c r="N38" s="416"/>
      <c r="O38" s="416"/>
      <c r="P38" s="416"/>
      <c r="Q38" s="416"/>
      <c r="R38" s="416"/>
      <c r="S38" s="416"/>
      <c r="T38" s="416"/>
      <c r="U38" s="263"/>
      <c r="V38" s="263"/>
      <c r="W38" s="263"/>
      <c r="X38" s="263"/>
      <c r="Y38" s="263"/>
      <c r="Z38" s="263"/>
      <c r="AA38" s="263"/>
      <c r="AB38" s="263"/>
      <c r="AC38" s="263"/>
      <c r="AD38" s="263"/>
      <c r="AE38" s="263"/>
      <c r="AF38" s="263"/>
      <c r="AG38" s="263"/>
      <c r="AH38" s="263"/>
      <c r="AI38" s="263"/>
      <c r="AJ38" s="263"/>
      <c r="AK38" s="263"/>
      <c r="AL38" s="263"/>
      <c r="AM38" s="263"/>
      <c r="AN38" s="263"/>
    </row>
    <row r="39" spans="2:40" s="62" customFormat="1" ht="12.75" customHeight="1">
      <c r="B39" s="416"/>
      <c r="C39" s="416"/>
      <c r="D39" s="416"/>
      <c r="E39" s="416"/>
      <c r="F39" s="416"/>
      <c r="G39" s="416"/>
      <c r="H39" s="416"/>
      <c r="I39" s="416"/>
      <c r="J39" s="416"/>
      <c r="K39" s="416"/>
      <c r="L39" s="416"/>
      <c r="M39" s="416"/>
      <c r="N39" s="416"/>
      <c r="O39" s="416"/>
      <c r="P39" s="416"/>
      <c r="Q39" s="416"/>
      <c r="R39" s="416"/>
      <c r="S39" s="416"/>
      <c r="T39" s="416"/>
      <c r="U39" s="263"/>
      <c r="V39" s="263"/>
      <c r="W39" s="263"/>
      <c r="X39" s="263"/>
      <c r="Y39" s="263"/>
      <c r="Z39" s="263"/>
      <c r="AA39" s="263"/>
      <c r="AB39" s="263"/>
      <c r="AC39" s="263"/>
      <c r="AD39" s="263"/>
      <c r="AE39" s="263"/>
      <c r="AF39" s="263"/>
      <c r="AG39" s="263"/>
      <c r="AH39" s="263"/>
      <c r="AI39" s="263"/>
      <c r="AJ39" s="263"/>
      <c r="AK39" s="263"/>
      <c r="AL39" s="263"/>
      <c r="AM39" s="263"/>
      <c r="AN39" s="263"/>
    </row>
    <row r="40" spans="1:40" s="62" customFormat="1" ht="12.75" customHeight="1">
      <c r="A40" s="369"/>
      <c r="B40" s="416"/>
      <c r="C40" s="416"/>
      <c r="D40" s="416"/>
      <c r="E40" s="416"/>
      <c r="F40" s="416"/>
      <c r="G40" s="416"/>
      <c r="H40" s="416"/>
      <c r="I40" s="416"/>
      <c r="J40" s="416"/>
      <c r="K40" s="416"/>
      <c r="L40" s="416"/>
      <c r="M40" s="416"/>
      <c r="N40" s="416"/>
      <c r="O40" s="416"/>
      <c r="P40" s="416"/>
      <c r="Q40" s="416"/>
      <c r="R40" s="416"/>
      <c r="S40" s="416"/>
      <c r="T40" s="416"/>
      <c r="U40" s="263"/>
      <c r="V40" s="263"/>
      <c r="W40" s="263"/>
      <c r="X40" s="263"/>
      <c r="Y40" s="263"/>
      <c r="Z40" s="263"/>
      <c r="AA40" s="263"/>
      <c r="AB40" s="263"/>
      <c r="AC40" s="263"/>
      <c r="AD40" s="263"/>
      <c r="AE40" s="263"/>
      <c r="AF40" s="263"/>
      <c r="AG40" s="263"/>
      <c r="AH40" s="263"/>
      <c r="AI40" s="263"/>
      <c r="AJ40" s="263"/>
      <c r="AK40" s="263"/>
      <c r="AL40" s="263"/>
      <c r="AM40" s="263"/>
      <c r="AN40" s="263"/>
    </row>
    <row r="41" spans="1:18" ht="12.75" customHeight="1">
      <c r="A41" s="8"/>
      <c r="B41" s="9"/>
      <c r="C41" s="9"/>
      <c r="D41" s="110"/>
      <c r="E41" s="9"/>
      <c r="F41" s="9"/>
      <c r="G41" s="9"/>
      <c r="H41" s="264"/>
      <c r="I41" s="264"/>
      <c r="J41" s="264"/>
      <c r="K41" s="264"/>
      <c r="L41" s="264"/>
      <c r="M41" s="264"/>
      <c r="N41" s="264"/>
      <c r="O41" s="264"/>
      <c r="P41" s="264"/>
      <c r="Q41" s="264"/>
      <c r="R41" s="265"/>
    </row>
    <row r="42" spans="4:22" ht="15.75" customHeight="1">
      <c r="D42" s="6"/>
      <c r="E42" s="6"/>
      <c r="F42" s="6"/>
      <c r="G42" s="6"/>
      <c r="S42" s="6"/>
      <c r="V42" s="9"/>
    </row>
    <row r="43" spans="1:18" ht="12.75" customHeight="1">
      <c r="A43" s="166"/>
      <c r="B43" s="61" t="s">
        <v>30</v>
      </c>
      <c r="D43" s="8"/>
      <c r="H43" s="8"/>
      <c r="I43" s="8"/>
      <c r="J43" s="8"/>
      <c r="K43" s="8"/>
      <c r="L43" s="8"/>
      <c r="M43" s="8"/>
      <c r="N43" s="8"/>
      <c r="O43" s="8"/>
      <c r="P43" s="8"/>
      <c r="Q43" s="8"/>
      <c r="R43" s="8"/>
    </row>
    <row r="44" spans="1:19" ht="12.75" customHeight="1">
      <c r="A44" s="166"/>
      <c r="B44" s="266" t="s">
        <v>20</v>
      </c>
      <c r="C44" s="267"/>
      <c r="D44" s="268"/>
      <c r="E44" s="269"/>
      <c r="F44" s="270"/>
      <c r="G44" s="270"/>
      <c r="H44" s="271"/>
      <c r="I44" s="271"/>
      <c r="J44" s="271"/>
      <c r="K44" s="271"/>
      <c r="L44" s="271"/>
      <c r="M44" s="271"/>
      <c r="N44" s="271"/>
      <c r="O44" s="271"/>
      <c r="P44" s="271"/>
      <c r="Q44" s="272"/>
      <c r="R44" s="105" t="s">
        <v>124</v>
      </c>
      <c r="S44" s="105" t="s">
        <v>15</v>
      </c>
    </row>
    <row r="45" spans="1:19" s="9" customFormat="1" ht="12.75" customHeight="1">
      <c r="A45" s="112"/>
      <c r="B45" s="273"/>
      <c r="C45" s="274"/>
      <c r="D45" s="275"/>
      <c r="E45" s="96"/>
      <c r="F45" s="276"/>
      <c r="G45" s="276"/>
      <c r="H45" s="96"/>
      <c r="I45" s="419"/>
      <c r="J45" s="420"/>
      <c r="K45" s="419"/>
      <c r="L45" s="420"/>
      <c r="M45" s="420"/>
      <c r="N45" s="420"/>
      <c r="O45" s="420"/>
      <c r="P45" s="420"/>
      <c r="Q45" s="277"/>
      <c r="R45" s="278"/>
      <c r="S45" s="106" t="s">
        <v>16</v>
      </c>
    </row>
    <row r="46" spans="1:28" s="9" customFormat="1" ht="12.75" customHeight="1">
      <c r="A46" s="370">
        <v>1001</v>
      </c>
      <c r="B46" s="421">
        <f>IF(I4=0,H4,(((DATE('Rentecalc.'!$J$1,K4,J4)-DATE('Rentecalc.'!$J$1,1,1))*H4)/F!H$81))</f>
        <v>0</v>
      </c>
      <c r="C46" s="421"/>
      <c r="D46" s="411">
        <f>IF(K4=0,0,(IF(L4=0,((DATE('Rentecalc.'!J$1+1,1,1)-DATE('Rentecalc.'!$J$1,(K4),J4))*(H4-(1*I4)))/F!H$81,((DATE('Rentecalc.'!$J$1,(L4),J4)-DATE('Rentecalc.'!$J$1,(K4),J4))*(H4-(1*I4)))/F!H$81)))</f>
        <v>0</v>
      </c>
      <c r="E46" s="411"/>
      <c r="F46" s="411">
        <f>IF(L4=0,0,(IF(M4=0,((DATE('Rentecalc.'!J$1+1,1,1)-DATE('Rentecalc.'!$J$1,(L4),J4))*(H4-(2*I4)))/365,((DATE('Rentecalc.'!$J$1,(M4),J4)-DATE('Rentecalc.'!$J$1,(L4),J4))*(H4-(2*I4)))/F!H$81)))</f>
        <v>0</v>
      </c>
      <c r="G46" s="411"/>
      <c r="H46" s="279">
        <f>IF(M4=0,0,(IF(N4=0,((DATE('Rentecalc.'!J$1+1,1,1)-DATE('Rentecalc.'!$J$1,(M4),J4))*(H4-(3*I4)))/F!H$81,((DATE('Rentecalc.'!$J$1,(N4),J4)-DATE('Rentecalc.'!$J$1,(M4),J4))*(H4-(3*I4)))/F!H$81)))</f>
        <v>0</v>
      </c>
      <c r="I46" s="411">
        <f>IF(N4=0,0,(IF(O4=0,((DATE('Rentecalc.'!J$1+1,1,1)-DATE('Rentecalc.'!$J$1,(N4),J4))*(H4-(4*I4)))/F!H$81,((DATE('Rentecalc.'!$J$1,(O4),J4)-DATE('Rentecalc.'!$J$1,(N4),J4))*(H4-(4*I4)))/F!H$81)))</f>
        <v>0</v>
      </c>
      <c r="J46" s="411"/>
      <c r="K46" s="411">
        <f>IF(O4=0,0,(IF(P4=0,((DATE('Rentecalc.'!J$1+1,1,1)-DATE('Rentecalc.'!$J$1,(O4),J4))*(H4-(5*I4)))/F!H$81,((DATE('Rentecalc.'!$J$1,(P4),J4)-DATE('Rentecalc.'!$J$1,(O4),J4))*(H4-(5*I4)))/F!H$81)))</f>
        <v>0</v>
      </c>
      <c r="L46" s="411"/>
      <c r="M46" s="411"/>
      <c r="N46" s="411"/>
      <c r="O46" s="411"/>
      <c r="P46" s="411"/>
      <c r="Q46" s="280">
        <f>IF(P4=0,0,((DATE('Rentecalc.'!J$1+1,1,1)-DATE('Rentecalc.'!$J$1,(P4),J4))*(H4-(6*I4)))/F!H$81)</f>
        <v>0</v>
      </c>
      <c r="R46" s="281">
        <f aca="true" t="shared" si="15" ref="R46:R74">SUM(B46:Q46)</f>
        <v>0</v>
      </c>
      <c r="S46" s="282">
        <f aca="true" t="shared" si="16" ref="S46:S74">IF(G4="n",R46*(F4/100),R46*(E4/100))</f>
        <v>0</v>
      </c>
      <c r="T46" s="39"/>
      <c r="U46" s="39"/>
      <c r="V46" s="39"/>
      <c r="W46" s="39"/>
      <c r="X46" s="39"/>
      <c r="Y46" s="39"/>
      <c r="Z46" s="39"/>
      <c r="AA46" s="283">
        <f aca="true" t="shared" si="17" ref="AA46:AA74">Q46</f>
        <v>0</v>
      </c>
      <c r="AB46" s="283">
        <f aca="true" t="shared" si="18" ref="AB46:AB74">L46</f>
        <v>0</v>
      </c>
    </row>
    <row r="47" spans="1:28" s="9" customFormat="1" ht="12.75" customHeight="1">
      <c r="A47" s="370">
        <f>A46+1</f>
        <v>1002</v>
      </c>
      <c r="B47" s="421">
        <f>IF(I5=0,H5,(((DATE('Rentecalc.'!$J$1,K5,J5)-DATE('Rentecalc.'!$J$1,1,1))*H5)/F!H$81))</f>
        <v>0</v>
      </c>
      <c r="C47" s="421"/>
      <c r="D47" s="411">
        <f>IF(K5=0,0,(IF(L5=0,((DATE('Rentecalc.'!J$1+1,1,1)-DATE('Rentecalc.'!$J$1,(K5),J5))*(H5-(1*I5)))/F!H$81,((DATE('Rentecalc.'!$J$1,(L5),J5)-DATE('Rentecalc.'!$J$1,(K5),J5))*(H5-(1*I5)))/F!H$81)))</f>
        <v>0</v>
      </c>
      <c r="E47" s="411"/>
      <c r="F47" s="411">
        <f>IF(L5=0,0,(IF(M5=0,((DATE('Rentecalc.'!J$1+1,1,1)-DATE('Rentecalc.'!$J$1,(L5),J5))*(H5-(2*I5)))/365,((DATE('Rentecalc.'!$J$1,(M5),J5)-DATE('Rentecalc.'!$J$1,(L5),J5))*(H5-(2*I5)))/F!H$81)))</f>
        <v>0</v>
      </c>
      <c r="G47" s="411"/>
      <c r="H47" s="279">
        <f>IF(M5=0,0,(IF(N5=0,((DATE('Rentecalc.'!J$1+1,1,1)-DATE('Rentecalc.'!$J$1,(M5),J5))*(H5-(3*I5)))/F!H$81,((DATE('Rentecalc.'!$J$1,(N5),J5)-DATE('Rentecalc.'!$J$1,(M5),J5))*(H5-(3*I5)))/F!H$81)))</f>
        <v>0</v>
      </c>
      <c r="I47" s="411">
        <f>IF(N5=0,0,(IF(O5=0,((DATE('Rentecalc.'!J$1+1,1,1)-DATE('Rentecalc.'!$J$1,(N5),J5))*(H5-(4*I5)))/F!H$81,((DATE('Rentecalc.'!$J$1,(O5),J5)-DATE('Rentecalc.'!$J$1,(N5),J5))*(H5-(4*I5)))/F!H$81)))</f>
        <v>0</v>
      </c>
      <c r="J47" s="411"/>
      <c r="K47" s="411">
        <f>IF(O5=0,0,(IF(P5=0,((DATE('Rentecalc.'!J$1+1,1,1)-DATE('Rentecalc.'!$J$1,(O5),J5))*(H5-(5*I5)))/F!H$81,((DATE('Rentecalc.'!$J$1,(P5),J5)-DATE('Rentecalc.'!$J$1,(O5),J5))*(H5-(5*I5)))/F!H$81)))</f>
        <v>0</v>
      </c>
      <c r="L47" s="411"/>
      <c r="M47" s="411"/>
      <c r="N47" s="411"/>
      <c r="O47" s="411"/>
      <c r="P47" s="411"/>
      <c r="Q47" s="280">
        <f>IF(P5=0,0,((DATE('Rentecalc.'!J$1+1,1,1)-DATE('Rentecalc.'!$J$1,(P5),J5))*(H5-(6*I5)))/F!H$81)</f>
        <v>0</v>
      </c>
      <c r="R47" s="281">
        <f t="shared" si="15"/>
        <v>0</v>
      </c>
      <c r="S47" s="282">
        <f t="shared" si="16"/>
        <v>0</v>
      </c>
      <c r="T47" s="39"/>
      <c r="U47" s="39"/>
      <c r="V47" s="39"/>
      <c r="W47" s="39"/>
      <c r="X47" s="39"/>
      <c r="Y47" s="39"/>
      <c r="Z47" s="39"/>
      <c r="AA47" s="283">
        <f t="shared" si="17"/>
        <v>0</v>
      </c>
      <c r="AB47" s="283">
        <f t="shared" si="18"/>
        <v>0</v>
      </c>
    </row>
    <row r="48" spans="1:28" s="9" customFormat="1" ht="12.75" customHeight="1">
      <c r="A48" s="370">
        <f aca="true" t="shared" si="19" ref="A48:A75">A47+1</f>
        <v>1003</v>
      </c>
      <c r="B48" s="421">
        <f>IF(I6=0,H6,(((DATE('Rentecalc.'!$J$1,K6,J6)-DATE('Rentecalc.'!$J$1,1,1))*H6)/F!H$81))</f>
        <v>0</v>
      </c>
      <c r="C48" s="421"/>
      <c r="D48" s="411">
        <f>IF(K6=0,0,(IF(L6=0,((DATE('Rentecalc.'!J$1+1,1,1)-DATE('Rentecalc.'!$J$1,(K6),J6))*(H6-(1*I6)))/F!H$81,((DATE('Rentecalc.'!$J$1,(L6),J6)-DATE('Rentecalc.'!$J$1,(K6),J6))*(H6-(1*I6)))/F!H$81)))</f>
        <v>0</v>
      </c>
      <c r="E48" s="411"/>
      <c r="F48" s="411">
        <f>IF(L6=0,0,(IF(M6=0,((DATE('Rentecalc.'!J$1+1,1,1)-DATE('Rentecalc.'!$J$1,(L6),J6))*(H6-(2*I6)))/365,((DATE('Rentecalc.'!$J$1,(M6),J6)-DATE('Rentecalc.'!$J$1,(L6),J6))*(H6-(2*I6)))/F!H$81)))</f>
        <v>0</v>
      </c>
      <c r="G48" s="411"/>
      <c r="H48" s="279">
        <f>IF(M6=0,0,(IF(N6=0,((DATE('Rentecalc.'!J$1+1,1,1)-DATE('Rentecalc.'!$J$1,(M6),J6))*(H6-(3*I6)))/F!H$81,((DATE('Rentecalc.'!$J$1,(N6),J6)-DATE('Rentecalc.'!$J$1,(M6),J6))*(H6-(3*I6)))/F!H$81)))</f>
        <v>0</v>
      </c>
      <c r="I48" s="411">
        <f>IF(N6=0,0,(IF(O6=0,((DATE('Rentecalc.'!J$1+1,1,1)-DATE('Rentecalc.'!$J$1,(N6),J6))*(H6-(4*I6)))/F!H$81,((DATE('Rentecalc.'!$J$1,(O6),J6)-DATE('Rentecalc.'!$J$1,(N6),J6))*(H6-(4*I6)))/F!H$81)))</f>
        <v>0</v>
      </c>
      <c r="J48" s="411"/>
      <c r="K48" s="411">
        <f>IF(O6=0,0,(IF(P6=0,((DATE('Rentecalc.'!J$1+1,1,1)-DATE('Rentecalc.'!$J$1,(O6),J6))*(H6-(5*I6)))/F!H$81,((DATE('Rentecalc.'!$J$1,(P6),J6)-DATE('Rentecalc.'!$J$1,(O6),J6))*(H6-(5*I6)))/F!H$81)))</f>
        <v>0</v>
      </c>
      <c r="L48" s="411"/>
      <c r="M48" s="411"/>
      <c r="N48" s="411"/>
      <c r="O48" s="411"/>
      <c r="P48" s="411"/>
      <c r="Q48" s="280">
        <f>IF(P6=0,0,((DATE('Rentecalc.'!J$1+1,1,1)-DATE('Rentecalc.'!$J$1,(P6),J6))*(H6-(6*I6)))/F!H$81)</f>
        <v>0</v>
      </c>
      <c r="R48" s="281">
        <f t="shared" si="15"/>
        <v>0</v>
      </c>
      <c r="S48" s="282">
        <f t="shared" si="16"/>
        <v>0</v>
      </c>
      <c r="T48" s="39"/>
      <c r="U48" s="39"/>
      <c r="V48" s="39"/>
      <c r="W48" s="39"/>
      <c r="X48" s="39"/>
      <c r="Y48" s="39"/>
      <c r="Z48" s="39"/>
      <c r="AA48" s="283">
        <f t="shared" si="17"/>
        <v>0</v>
      </c>
      <c r="AB48" s="283">
        <f t="shared" si="18"/>
        <v>0</v>
      </c>
    </row>
    <row r="49" spans="1:28" s="9" customFormat="1" ht="12.75" customHeight="1">
      <c r="A49" s="370">
        <f t="shared" si="19"/>
        <v>1004</v>
      </c>
      <c r="B49" s="421">
        <f>IF(I7=0,H7,(((DATE('Rentecalc.'!$J$1,K7,J7)-DATE('Rentecalc.'!$J$1,1,1))*H7)/F!H$81))</f>
        <v>0</v>
      </c>
      <c r="C49" s="421"/>
      <c r="D49" s="411">
        <f>IF(K7=0,0,(IF(L7=0,((DATE('Rentecalc.'!J$1+1,1,1)-DATE('Rentecalc.'!$J$1,(K7),J7))*(H7-(1*I7)))/F!H$81,((DATE('Rentecalc.'!$J$1,(L7),J7)-DATE('Rentecalc.'!$J$1,(K7),J7))*(H7-(1*I7)))/F!H$81)))</f>
        <v>0</v>
      </c>
      <c r="E49" s="411"/>
      <c r="F49" s="411">
        <f>IF(L7=0,0,(IF(M7=0,((DATE('Rentecalc.'!J$1+1,1,1)-DATE('Rentecalc.'!$J$1,(L7),J7))*(H7-(2*I7)))/365,((DATE('Rentecalc.'!$J$1,(M7),J7)-DATE('Rentecalc.'!$J$1,(L7),J7))*(H7-(2*I7)))/F!H$81)))</f>
        <v>0</v>
      </c>
      <c r="G49" s="411"/>
      <c r="H49" s="279">
        <f>IF(M7=0,0,(IF(N7=0,((DATE('Rentecalc.'!J$1+1,1,1)-DATE('Rentecalc.'!$J$1,(M7),J7))*(H7-(3*I7)))/F!H$81,((DATE('Rentecalc.'!$J$1,(N7),J7)-DATE('Rentecalc.'!$J$1,(M7),J7))*(H7-(3*I7)))/F!H$81)))</f>
        <v>0</v>
      </c>
      <c r="I49" s="411">
        <f>IF(N7=0,0,(IF(O7=0,((DATE('Rentecalc.'!J$1+1,1,1)-DATE('Rentecalc.'!$J$1,(N7),J7))*(H7-(4*I7)))/F!H$81,((DATE('Rentecalc.'!$J$1,(O7),J7)-DATE('Rentecalc.'!$J$1,(N7),J7))*(H7-(4*I7)))/F!H$81)))</f>
        <v>0</v>
      </c>
      <c r="J49" s="411"/>
      <c r="K49" s="411">
        <f>IF(O7=0,0,(IF(P7=0,((DATE('Rentecalc.'!J$1+1,1,1)-DATE('Rentecalc.'!$J$1,(O7),J7))*(H7-(5*I7)))/F!H$81,((DATE('Rentecalc.'!$J$1,(P7),J7)-DATE('Rentecalc.'!$J$1,(O7),J7))*(H7-(5*I7)))/F!H$81)))</f>
        <v>0</v>
      </c>
      <c r="L49" s="411"/>
      <c r="M49" s="411"/>
      <c r="N49" s="411"/>
      <c r="O49" s="411"/>
      <c r="P49" s="411"/>
      <c r="Q49" s="280">
        <f>IF(P7=0,0,((DATE('Rentecalc.'!J$1+1,1,1)-DATE('Rentecalc.'!$J$1,(P7),J7))*(H7-(6*I7)))/F!H$81)</f>
        <v>0</v>
      </c>
      <c r="R49" s="281">
        <f t="shared" si="15"/>
        <v>0</v>
      </c>
      <c r="S49" s="282">
        <f t="shared" si="16"/>
        <v>0</v>
      </c>
      <c r="T49" s="39"/>
      <c r="U49" s="39"/>
      <c r="V49" s="39"/>
      <c r="W49" s="39"/>
      <c r="X49" s="39"/>
      <c r="Y49" s="39"/>
      <c r="Z49" s="39"/>
      <c r="AA49" s="283">
        <f t="shared" si="17"/>
        <v>0</v>
      </c>
      <c r="AB49" s="283">
        <f t="shared" si="18"/>
        <v>0</v>
      </c>
    </row>
    <row r="50" spans="1:28" s="9" customFormat="1" ht="12.75" customHeight="1">
      <c r="A50" s="370">
        <f t="shared" si="19"/>
        <v>1005</v>
      </c>
      <c r="B50" s="421">
        <f>IF(I8=0,H8,(((DATE('Rentecalc.'!$J$1,K8,J8)-DATE('Rentecalc.'!$J$1,1,1))*H8)/F!H$81))</f>
        <v>0</v>
      </c>
      <c r="C50" s="421"/>
      <c r="D50" s="411">
        <f>IF(K8=0,0,(IF(L8=0,((DATE('Rentecalc.'!J$1+1,1,1)-DATE('Rentecalc.'!$J$1,(K8),J8))*(H8-(1*I8)))/F!H$81,((DATE('Rentecalc.'!$J$1,(L8),J8)-DATE('Rentecalc.'!$J$1,(K8),J8))*(H8-(1*I8)))/F!H$81)))</f>
        <v>0</v>
      </c>
      <c r="E50" s="411"/>
      <c r="F50" s="411">
        <f>IF(L8=0,0,(IF(M8=0,((DATE('Rentecalc.'!J$1+1,1,1)-DATE('Rentecalc.'!$J$1,(L8),J8))*(H8-(2*I8)))/365,((DATE('Rentecalc.'!$J$1,(M8),J8)-DATE('Rentecalc.'!$J$1,(L8),J8))*(H8-(2*I8)))/F!H$81)))</f>
        <v>0</v>
      </c>
      <c r="G50" s="411"/>
      <c r="H50" s="279">
        <f>IF(M8=0,0,(IF(N8=0,((DATE('Rentecalc.'!J$1+1,1,1)-DATE('Rentecalc.'!$J$1,(M8),J8))*(H8-(3*I8)))/F!H$81,((DATE('Rentecalc.'!$J$1,(N8),J8)-DATE('Rentecalc.'!$J$1,(M8),J8))*(H8-(3*I8)))/F!H$81)))</f>
        <v>0</v>
      </c>
      <c r="I50" s="411">
        <f>IF(N8=0,0,(IF(O8=0,((DATE('Rentecalc.'!J$1+1,1,1)-DATE('Rentecalc.'!$J$1,(N8),J8))*(H8-(4*I8)))/F!H$81,((DATE('Rentecalc.'!$J$1,(O8),J8)-DATE('Rentecalc.'!$J$1,(N8),J8))*(H8-(4*I8)))/F!H$81)))</f>
        <v>0</v>
      </c>
      <c r="J50" s="411"/>
      <c r="K50" s="411">
        <f>IF(O8=0,0,(IF(P8=0,((DATE('Rentecalc.'!J$1+1,1,1)-DATE('Rentecalc.'!$J$1,(O8),J8))*(H8-(5*I8)))/F!H$81,((DATE('Rentecalc.'!$J$1,(P8),J8)-DATE('Rentecalc.'!$J$1,(O8),J8))*(H8-(5*I8)))/F!H$81)))</f>
        <v>0</v>
      </c>
      <c r="L50" s="411"/>
      <c r="M50" s="411"/>
      <c r="N50" s="411"/>
      <c r="O50" s="411"/>
      <c r="P50" s="411"/>
      <c r="Q50" s="280">
        <f>IF(P8=0,0,((DATE('Rentecalc.'!J$1+1,1,1)-DATE('Rentecalc.'!$J$1,(P8),J8))*(H8-(6*I8)))/F!H$81)</f>
        <v>0</v>
      </c>
      <c r="R50" s="281">
        <f t="shared" si="15"/>
        <v>0</v>
      </c>
      <c r="S50" s="282">
        <f t="shared" si="16"/>
        <v>0</v>
      </c>
      <c r="T50" s="39"/>
      <c r="U50" s="39"/>
      <c r="V50" s="39"/>
      <c r="W50" s="39"/>
      <c r="X50" s="39"/>
      <c r="Y50" s="39"/>
      <c r="Z50" s="39"/>
      <c r="AA50" s="283">
        <f t="shared" si="17"/>
        <v>0</v>
      </c>
      <c r="AB50" s="283">
        <f t="shared" si="18"/>
        <v>0</v>
      </c>
    </row>
    <row r="51" spans="1:28" s="9" customFormat="1" ht="12.75" customHeight="1">
      <c r="A51" s="370">
        <f t="shared" si="19"/>
        <v>1006</v>
      </c>
      <c r="B51" s="421">
        <f>IF(I9=0,H9,(((DATE('Rentecalc.'!$J$1,K9,J9)-DATE('Rentecalc.'!$J$1,1,1))*H9)/F!H$81))</f>
        <v>0</v>
      </c>
      <c r="C51" s="421"/>
      <c r="D51" s="411">
        <f>IF(K9=0,0,(IF(L9=0,((DATE('Rentecalc.'!J$1+1,1,1)-DATE('Rentecalc.'!$J$1,(K9),J9))*(H9-(1*I9)))/F!H$81,((DATE('Rentecalc.'!$J$1,(L9),J9)-DATE('Rentecalc.'!$J$1,(K9),J9))*(H9-(1*I9)))/F!H$81)))</f>
        <v>0</v>
      </c>
      <c r="E51" s="411"/>
      <c r="F51" s="411">
        <f>IF(L9=0,0,(IF(M9=0,((DATE('Rentecalc.'!J$1+1,1,1)-DATE('Rentecalc.'!$J$1,(L9),J9))*(H9-(2*I9)))/365,((DATE('Rentecalc.'!$J$1,(M9),J9)-DATE('Rentecalc.'!$J$1,(L9),J9))*(H9-(2*I9)))/F!H$81)))</f>
        <v>0</v>
      </c>
      <c r="G51" s="411"/>
      <c r="H51" s="279">
        <f>IF(M9=0,0,(IF(N9=0,((DATE('Rentecalc.'!J$1+1,1,1)-DATE('Rentecalc.'!$J$1,(M9),J9))*(H9-(3*I9)))/F!H$81,((DATE('Rentecalc.'!$J$1,(N9),J9)-DATE('Rentecalc.'!$J$1,(M9),J9))*(H9-(3*I9)))/F!H$81)))</f>
        <v>0</v>
      </c>
      <c r="I51" s="411">
        <f>IF(N9=0,0,(IF(O9=0,((DATE('Rentecalc.'!J$1+1,1,1)-DATE('Rentecalc.'!$J$1,(N9),J9))*(H9-(4*I9)))/F!H$81,((DATE('Rentecalc.'!$J$1,(O9),J9)-DATE('Rentecalc.'!$J$1,(N9),J9))*(H9-(4*I9)))/F!H$81)))</f>
        <v>0</v>
      </c>
      <c r="J51" s="411"/>
      <c r="K51" s="411">
        <f>IF(O9=0,0,(IF(P9=0,((DATE('Rentecalc.'!J$1+1,1,1)-DATE('Rentecalc.'!$J$1,(O9),J9))*(H9-(5*I9)))/F!H$81,((DATE('Rentecalc.'!$J$1,(P9),J9)-DATE('Rentecalc.'!$J$1,(O9),J9))*(H9-(5*I9)))/F!H$81)))</f>
        <v>0</v>
      </c>
      <c r="L51" s="411"/>
      <c r="M51" s="411"/>
      <c r="N51" s="411"/>
      <c r="O51" s="411"/>
      <c r="P51" s="411"/>
      <c r="Q51" s="280">
        <f>IF(P9=0,0,((DATE('Rentecalc.'!J$1+1,1,1)-DATE('Rentecalc.'!$J$1,(P9),J9))*(H9-(6*I9)))/F!H$81)</f>
        <v>0</v>
      </c>
      <c r="R51" s="281">
        <f t="shared" si="15"/>
        <v>0</v>
      </c>
      <c r="S51" s="282">
        <f t="shared" si="16"/>
        <v>0</v>
      </c>
      <c r="T51" s="39"/>
      <c r="U51" s="39"/>
      <c r="V51" s="39"/>
      <c r="W51" s="39"/>
      <c r="X51" s="39"/>
      <c r="Y51" s="39"/>
      <c r="Z51" s="39"/>
      <c r="AA51" s="283">
        <f>Q51</f>
        <v>0</v>
      </c>
      <c r="AB51" s="283">
        <f>L51</f>
        <v>0</v>
      </c>
    </row>
    <row r="52" spans="1:28" s="9" customFormat="1" ht="12.75" customHeight="1">
      <c r="A52" s="370">
        <f t="shared" si="19"/>
        <v>1007</v>
      </c>
      <c r="B52" s="421">
        <f>IF(I10=0,H10,(((DATE('Rentecalc.'!$J$1,K10,J10)-DATE('Rentecalc.'!$J$1,1,1))*H10)/F!H$81))</f>
        <v>0</v>
      </c>
      <c r="C52" s="421"/>
      <c r="D52" s="411">
        <f>IF(K10=0,0,(IF(L10=0,((DATE('Rentecalc.'!J$1+1,1,1)-DATE('Rentecalc.'!$J$1,(K10),J10))*(H10-(1*I10)))/F!H$81,((DATE('Rentecalc.'!$J$1,(L10),J10)-DATE('Rentecalc.'!$J$1,(K10),J10))*(H10-(1*I10)))/F!H$81)))</f>
        <v>0</v>
      </c>
      <c r="E52" s="411"/>
      <c r="F52" s="411">
        <f>IF(L10=0,0,(IF(M10=0,((DATE('Rentecalc.'!J$1+1,1,1)-DATE('Rentecalc.'!$J$1,(L10),J10))*(H10-(2*I10)))/365,((DATE('Rentecalc.'!$J$1,(M10),J10)-DATE('Rentecalc.'!$J$1,(L10),J10))*(H10-(2*I10)))/F!H$81)))</f>
        <v>0</v>
      </c>
      <c r="G52" s="411"/>
      <c r="H52" s="279">
        <f>IF(M10=0,0,(IF(N10=0,((DATE('Rentecalc.'!J$1+1,1,1)-DATE('Rentecalc.'!$J$1,(M10),J10))*(H10-(3*I10)))/F!H$81,((DATE('Rentecalc.'!$J$1,(N10),J10)-DATE('Rentecalc.'!$J$1,(M10),J10))*(H10-(3*I10)))/F!H$81)))</f>
        <v>0</v>
      </c>
      <c r="I52" s="411">
        <f>IF(N10=0,0,(IF(O10=0,((DATE('Rentecalc.'!J$1+1,1,1)-DATE('Rentecalc.'!$J$1,(N10),J10))*(H10-(4*I10)))/F!H$81,((DATE('Rentecalc.'!$J$1,(O10),J10)-DATE('Rentecalc.'!$J$1,(N10),J10))*(H10-(4*I10)))/F!H$81)))</f>
        <v>0</v>
      </c>
      <c r="J52" s="411"/>
      <c r="K52" s="411">
        <f>IF(O10=0,0,(IF(P10=0,((DATE('Rentecalc.'!J$1+1,1,1)-DATE('Rentecalc.'!$J$1,(O10),J10))*(H10-(5*I10)))/F!H$81,((DATE('Rentecalc.'!$J$1,(P10),J10)-DATE('Rentecalc.'!$J$1,(O10),J10))*(H10-(5*I10)))/F!H$81)))</f>
        <v>0</v>
      </c>
      <c r="L52" s="411"/>
      <c r="M52" s="411"/>
      <c r="N52" s="411"/>
      <c r="O52" s="411"/>
      <c r="P52" s="411"/>
      <c r="Q52" s="280">
        <f>IF(P10=0,0,((DATE('Rentecalc.'!J$1+1,1,1)-DATE('Rentecalc.'!$J$1,(P10),J10))*(H10-(6*I10)))/F!H$81)</f>
        <v>0</v>
      </c>
      <c r="R52" s="281">
        <f t="shared" si="15"/>
        <v>0</v>
      </c>
      <c r="S52" s="282">
        <f t="shared" si="16"/>
        <v>0</v>
      </c>
      <c r="T52" s="39"/>
      <c r="U52" s="39"/>
      <c r="V52" s="39"/>
      <c r="W52" s="39"/>
      <c r="X52" s="39"/>
      <c r="Y52" s="39"/>
      <c r="Z52" s="39"/>
      <c r="AA52" s="283">
        <f>Q52</f>
        <v>0</v>
      </c>
      <c r="AB52" s="283">
        <f>L52</f>
        <v>0</v>
      </c>
    </row>
    <row r="53" spans="1:28" s="9" customFormat="1" ht="12.75" customHeight="1">
      <c r="A53" s="370">
        <f t="shared" si="19"/>
        <v>1008</v>
      </c>
      <c r="B53" s="421">
        <f>IF(I11=0,H11,(((DATE('Rentecalc.'!$J$1,K11,J11)-DATE('Rentecalc.'!$J$1,1,1))*H11)/F!H$81))</f>
        <v>0</v>
      </c>
      <c r="C53" s="421"/>
      <c r="D53" s="411">
        <f>IF(K11=0,0,(IF(L11=0,((DATE('Rentecalc.'!J$1+1,1,1)-DATE('Rentecalc.'!$J$1,(K11),J11))*(H11-(1*I11)))/F!H$81,((DATE('Rentecalc.'!$J$1,(L11),J11)-DATE('Rentecalc.'!$J$1,(K11),J11))*(H11-(1*I11)))/F!H$81)))</f>
        <v>0</v>
      </c>
      <c r="E53" s="411"/>
      <c r="F53" s="411">
        <f>IF(L11=0,0,(IF(M11=0,((DATE('Rentecalc.'!J$1+1,1,1)-DATE('Rentecalc.'!$J$1,(L11),J11))*(H11-(2*I11)))/365,((DATE('Rentecalc.'!$J$1,(M11),J11)-DATE('Rentecalc.'!$J$1,(L11),J11))*(H11-(2*I11)))/F!H$81)))</f>
        <v>0</v>
      </c>
      <c r="G53" s="411"/>
      <c r="H53" s="279">
        <f>IF(M11=0,0,(IF(N11=0,((DATE('Rentecalc.'!J$1+1,1,1)-DATE('Rentecalc.'!$J$1,(M11),J11))*(H11-(3*I11)))/F!H$81,((DATE('Rentecalc.'!$J$1,(N11),J11)-DATE('Rentecalc.'!$J$1,(M11),J11))*(H11-(3*I11)))/F!H$81)))</f>
        <v>0</v>
      </c>
      <c r="I53" s="411">
        <f>IF(N11=0,0,(IF(O11=0,((DATE('Rentecalc.'!J$1+1,1,1)-DATE('Rentecalc.'!$J$1,(N11),J11))*(H11-(4*I11)))/F!H$81,((DATE('Rentecalc.'!$J$1,(O11),J11)-DATE('Rentecalc.'!$J$1,(N11),J11))*(H11-(4*I11)))/F!H$81)))</f>
        <v>0</v>
      </c>
      <c r="J53" s="411"/>
      <c r="K53" s="411">
        <f>IF(O11=0,0,(IF(P11=0,((DATE('Rentecalc.'!J$1+1,1,1)-DATE('Rentecalc.'!$J$1,(O11),J11))*(H11-(5*I11)))/F!H$81,((DATE('Rentecalc.'!$J$1,(P11),J11)-DATE('Rentecalc.'!$J$1,(O11),J11))*(H11-(5*I11)))/F!H$81)))</f>
        <v>0</v>
      </c>
      <c r="L53" s="411"/>
      <c r="M53" s="411"/>
      <c r="N53" s="411"/>
      <c r="O53" s="411"/>
      <c r="P53" s="411"/>
      <c r="Q53" s="280">
        <f>IF(P11=0,0,((DATE('Rentecalc.'!J$1+1,1,1)-DATE('Rentecalc.'!$J$1,(P11),J11))*(H11-(6*I11)))/F!H$81)</f>
        <v>0</v>
      </c>
      <c r="R53" s="281">
        <f t="shared" si="15"/>
        <v>0</v>
      </c>
      <c r="S53" s="282">
        <f t="shared" si="16"/>
        <v>0</v>
      </c>
      <c r="T53" s="39"/>
      <c r="U53" s="39"/>
      <c r="V53" s="39"/>
      <c r="W53" s="39"/>
      <c r="X53" s="39"/>
      <c r="Y53" s="39"/>
      <c r="Z53" s="39"/>
      <c r="AA53" s="283">
        <f>Q53</f>
        <v>0</v>
      </c>
      <c r="AB53" s="283">
        <f>L53</f>
        <v>0</v>
      </c>
    </row>
    <row r="54" spans="1:28" s="9" customFormat="1" ht="12.75" customHeight="1">
      <c r="A54" s="370">
        <f t="shared" si="19"/>
        <v>1009</v>
      </c>
      <c r="B54" s="421">
        <f>IF(I12=0,H12,(((DATE('Rentecalc.'!$J$1,K12,J12)-DATE('Rentecalc.'!$J$1,1,1))*H12)/F!H$81))</f>
        <v>0</v>
      </c>
      <c r="C54" s="421"/>
      <c r="D54" s="411">
        <f>IF(K12=0,0,(IF(L12=0,((DATE('Rentecalc.'!J$1+1,1,1)-DATE('Rentecalc.'!$J$1,(K12),J12))*(H12-(1*I12)))/F!H$81,((DATE('Rentecalc.'!$J$1,(L12),J12)-DATE('Rentecalc.'!$J$1,(K12),J12))*(H12-(1*I12)))/F!H$81)))</f>
        <v>0</v>
      </c>
      <c r="E54" s="411"/>
      <c r="F54" s="411">
        <f>IF(L12=0,0,(IF(M12=0,((DATE('Rentecalc.'!J$1+1,1,1)-DATE('Rentecalc.'!$J$1,(L12),J12))*(H12-(2*I12)))/365,((DATE('Rentecalc.'!$J$1,(M12),J12)-DATE('Rentecalc.'!$J$1,(L12),J12))*(H12-(2*I12)))/F!H$81)))</f>
        <v>0</v>
      </c>
      <c r="G54" s="411"/>
      <c r="H54" s="279">
        <f>IF(M12=0,0,(IF(N12=0,((DATE('Rentecalc.'!J$1+1,1,1)-DATE('Rentecalc.'!$J$1,(M12),J12))*(H12-(3*I12)))/F!H$81,((DATE('Rentecalc.'!$J$1,(N12),J12)-DATE('Rentecalc.'!$J$1,(M12),J12))*(H12-(3*I12)))/F!H$81)))</f>
        <v>0</v>
      </c>
      <c r="I54" s="411">
        <f>IF(N12=0,0,(IF(O12=0,((DATE('Rentecalc.'!J$1+1,1,1)-DATE('Rentecalc.'!$J$1,(N12),J12))*(H12-(4*I12)))/F!H$81,((DATE('Rentecalc.'!$J$1,(O12),J12)-DATE('Rentecalc.'!$J$1,(N12),J12))*(H12-(4*I12)))/F!H$81)))</f>
        <v>0</v>
      </c>
      <c r="J54" s="411"/>
      <c r="K54" s="411">
        <f>IF(O12=0,0,(IF(P12=0,((DATE('Rentecalc.'!J$1+1,1,1)-DATE('Rentecalc.'!$J$1,(O12),J12))*(H12-(5*I12)))/F!H$81,((DATE('Rentecalc.'!$J$1,(P12),J12)-DATE('Rentecalc.'!$J$1,(O12),J12))*(H12-(5*I12)))/F!H$81)))</f>
        <v>0</v>
      </c>
      <c r="L54" s="411"/>
      <c r="M54" s="411"/>
      <c r="N54" s="411"/>
      <c r="O54" s="411"/>
      <c r="P54" s="411"/>
      <c r="Q54" s="280">
        <f>IF(P12=0,0,((DATE('Rentecalc.'!J$1+1,1,1)-DATE('Rentecalc.'!$J$1,(P12),J12))*(H12-(6*I12)))/F!H$81)</f>
        <v>0</v>
      </c>
      <c r="R54" s="281">
        <f t="shared" si="15"/>
        <v>0</v>
      </c>
      <c r="S54" s="282">
        <f t="shared" si="16"/>
        <v>0</v>
      </c>
      <c r="T54" s="39"/>
      <c r="U54" s="39"/>
      <c r="V54" s="39"/>
      <c r="W54" s="39"/>
      <c r="X54" s="39"/>
      <c r="Y54" s="39"/>
      <c r="Z54" s="39"/>
      <c r="AA54" s="283"/>
      <c r="AB54" s="283"/>
    </row>
    <row r="55" spans="1:28" s="9" customFormat="1" ht="12.75" customHeight="1">
      <c r="A55" s="370">
        <f t="shared" si="19"/>
        <v>1010</v>
      </c>
      <c r="B55" s="421">
        <f>IF(I13=0,H13,(((DATE('Rentecalc.'!$J$1,K13,J13)-DATE('Rentecalc.'!$J$1,1,1))*H13)/F!H$81))</f>
        <v>0</v>
      </c>
      <c r="C55" s="421"/>
      <c r="D55" s="411">
        <f>IF(K13=0,0,(IF(L13=0,((DATE('Rentecalc.'!J$1+1,1,1)-DATE('Rentecalc.'!$J$1,(K13),J13))*(H13-(1*I13)))/F!H$81,((DATE('Rentecalc.'!$J$1,(L13),J13)-DATE('Rentecalc.'!$J$1,(K13),J13))*(H13-(1*I13)))/F!H$81)))</f>
        <v>0</v>
      </c>
      <c r="E55" s="411"/>
      <c r="F55" s="411">
        <f>IF(L13=0,0,(IF(M13=0,((DATE('Rentecalc.'!J$1+1,1,1)-DATE('Rentecalc.'!$J$1,(L13),J13))*(H13-(2*I13)))/365,((DATE('Rentecalc.'!$J$1,(M13),J13)-DATE('Rentecalc.'!$J$1,(L13),J13))*(H13-(2*I13)))/F!H$81)))</f>
        <v>0</v>
      </c>
      <c r="G55" s="411"/>
      <c r="H55" s="279">
        <f>IF(M13=0,0,(IF(N13=0,((DATE('Rentecalc.'!J$1+1,1,1)-DATE('Rentecalc.'!$J$1,(M13),J13))*(H13-(3*I13)))/F!H$81,((DATE('Rentecalc.'!$J$1,(N13),J13)-DATE('Rentecalc.'!$J$1,(M13),J13))*(H13-(3*I13)))/F!H$81)))</f>
        <v>0</v>
      </c>
      <c r="I55" s="411">
        <f>IF(N13=0,0,(IF(O13=0,((DATE('Rentecalc.'!J$1+1,1,1)-DATE('Rentecalc.'!$J$1,(N13),J13))*(H13-(4*I13)))/F!H$81,((DATE('Rentecalc.'!$J$1,(O13),J13)-DATE('Rentecalc.'!$J$1,(N13),J13))*(H13-(4*I13)))/F!H$81)))</f>
        <v>0</v>
      </c>
      <c r="J55" s="411"/>
      <c r="K55" s="411">
        <f>IF(O13=0,0,(IF(P13=0,((DATE('Rentecalc.'!J$1+1,1,1)-DATE('Rentecalc.'!$J$1,(O13),J13))*(H13-(5*I13)))/F!H$81,((DATE('Rentecalc.'!$J$1,(P13),J13)-DATE('Rentecalc.'!$J$1,(O13),J13))*(H13-(5*I13)))/F!H$81)))</f>
        <v>0</v>
      </c>
      <c r="L55" s="411"/>
      <c r="M55" s="411"/>
      <c r="N55" s="411"/>
      <c r="O55" s="411"/>
      <c r="P55" s="411"/>
      <c r="Q55" s="280">
        <f>IF(P13=0,0,((DATE('Rentecalc.'!J$1+1,1,1)-DATE('Rentecalc.'!$J$1,(P13),J13))*(H13-(6*I13)))/F!H$81)</f>
        <v>0</v>
      </c>
      <c r="R55" s="281">
        <f t="shared" si="15"/>
        <v>0</v>
      </c>
      <c r="S55" s="282">
        <f t="shared" si="16"/>
        <v>0</v>
      </c>
      <c r="T55" s="39"/>
      <c r="U55" s="39"/>
      <c r="V55" s="39"/>
      <c r="W55" s="39"/>
      <c r="X55" s="39"/>
      <c r="Y55" s="39"/>
      <c r="Z55" s="39"/>
      <c r="AA55" s="283"/>
      <c r="AB55" s="283"/>
    </row>
    <row r="56" spans="1:28" s="9" customFormat="1" ht="12.75" customHeight="1">
      <c r="A56" s="370">
        <f t="shared" si="19"/>
        <v>1011</v>
      </c>
      <c r="B56" s="421">
        <f>IF(I14=0,H14,(((DATE('Rentecalc.'!$J$1,K14,J14)-DATE('Rentecalc.'!$J$1,1,1))*H14)/F!H$81))</f>
        <v>0</v>
      </c>
      <c r="C56" s="421"/>
      <c r="D56" s="411">
        <f>IF(K14=0,0,(IF(L14=0,((DATE('Rentecalc.'!J$1+1,1,1)-DATE('Rentecalc.'!$J$1,(K14),J14))*(H14-(1*I14)))/F!H$81,((DATE('Rentecalc.'!$J$1,(L14),J14)-DATE('Rentecalc.'!$J$1,(K14),J14))*(H14-(1*I14)))/F!H$81)))</f>
        <v>0</v>
      </c>
      <c r="E56" s="411"/>
      <c r="F56" s="411">
        <f>IF(L14=0,0,(IF(M14=0,((DATE('Rentecalc.'!J$1+1,1,1)-DATE('Rentecalc.'!$J$1,(L14),J14))*(H14-(2*I14)))/365,((DATE('Rentecalc.'!$J$1,(M14),J14)-DATE('Rentecalc.'!$J$1,(L14),J14))*(H14-(2*I14)))/F!H$81)))</f>
        <v>0</v>
      </c>
      <c r="G56" s="411"/>
      <c r="H56" s="279">
        <f>IF(M14=0,0,(IF(N14=0,((DATE('Rentecalc.'!J$1+1,1,1)-DATE('Rentecalc.'!$J$1,(M14),J14))*(H14-(3*I14)))/F!H$81,((DATE('Rentecalc.'!$J$1,(N14),J14)-DATE('Rentecalc.'!$J$1,(M14),J14))*(H14-(3*I14)))/F!H$81)))</f>
        <v>0</v>
      </c>
      <c r="I56" s="411">
        <f>IF(N14=0,0,(IF(O14=0,((DATE('Rentecalc.'!J$1+1,1,1)-DATE('Rentecalc.'!$J$1,(N14),J14))*(H14-(4*I14)))/F!H$81,((DATE('Rentecalc.'!$J$1,(O14),J14)-DATE('Rentecalc.'!$J$1,(N14),J14))*(H14-(4*I14)))/F!H$81)))</f>
        <v>0</v>
      </c>
      <c r="J56" s="411"/>
      <c r="K56" s="411">
        <f>IF(O14=0,0,(IF(P14=0,((DATE('Rentecalc.'!J$1+1,1,1)-DATE('Rentecalc.'!$J$1,(O14),J14))*(H14-(5*I14)))/F!H$81,((DATE('Rentecalc.'!$J$1,(P14),J14)-DATE('Rentecalc.'!$J$1,(O14),J14))*(H14-(5*I14)))/F!H$81)))</f>
        <v>0</v>
      </c>
      <c r="L56" s="411"/>
      <c r="M56" s="411"/>
      <c r="N56" s="411"/>
      <c r="O56" s="411"/>
      <c r="P56" s="411"/>
      <c r="Q56" s="280">
        <f>IF(P14=0,0,((DATE('Rentecalc.'!J$1+1,1,1)-DATE('Rentecalc.'!$J$1,(P14),J14))*(H14-(6*I14)))/F!H$81)</f>
        <v>0</v>
      </c>
      <c r="R56" s="281">
        <f t="shared" si="15"/>
        <v>0</v>
      </c>
      <c r="S56" s="282">
        <f t="shared" si="16"/>
        <v>0</v>
      </c>
      <c r="T56" s="39"/>
      <c r="U56" s="39"/>
      <c r="V56" s="39"/>
      <c r="W56" s="39"/>
      <c r="X56" s="39"/>
      <c r="Y56" s="39"/>
      <c r="Z56" s="39"/>
      <c r="AA56" s="283">
        <f t="shared" si="17"/>
        <v>0</v>
      </c>
      <c r="AB56" s="283">
        <f t="shared" si="18"/>
        <v>0</v>
      </c>
    </row>
    <row r="57" spans="1:28" s="9" customFormat="1" ht="12.75" customHeight="1">
      <c r="A57" s="370">
        <f t="shared" si="19"/>
        <v>1012</v>
      </c>
      <c r="B57" s="421">
        <f>IF(I15=0,H15,(((DATE('Rentecalc.'!$J$1,K15,J15)-DATE('Rentecalc.'!$J$1,1,1))*H15)/F!H$81))</f>
        <v>0</v>
      </c>
      <c r="C57" s="421"/>
      <c r="D57" s="411">
        <f>IF(K15=0,0,(IF(L15=0,((DATE('Rentecalc.'!J$1+1,1,1)-DATE('Rentecalc.'!$J$1,(K15),J15))*(H15-(1*I15)))/F!H$81,((DATE('Rentecalc.'!$J$1,(L15),J15)-DATE('Rentecalc.'!$J$1,(K15),J15))*(H15-(1*I15)))/F!H$81)))</f>
        <v>0</v>
      </c>
      <c r="E57" s="411"/>
      <c r="F57" s="411">
        <f>IF(L15=0,0,(IF(M15=0,((DATE('Rentecalc.'!J$1+1,1,1)-DATE('Rentecalc.'!$J$1,(L15),J15))*(H15-(2*I15)))/365,((DATE('Rentecalc.'!$J$1,(M15),J15)-DATE('Rentecalc.'!$J$1,(L15),J15))*(H15-(2*I15)))/F!H$81)))</f>
        <v>0</v>
      </c>
      <c r="G57" s="411"/>
      <c r="H57" s="279">
        <f>IF(M15=0,0,(IF(N15=0,((DATE('Rentecalc.'!J$1+1,1,1)-DATE('Rentecalc.'!$J$1,(M15),J15))*(H15-(3*I15)))/F!H$81,((DATE('Rentecalc.'!$J$1,(N15),J15)-DATE('Rentecalc.'!$J$1,(M15),J15))*(H15-(3*I15)))/F!H$81)))</f>
        <v>0</v>
      </c>
      <c r="I57" s="411">
        <f>IF(N15=0,0,(IF(O15=0,((DATE('Rentecalc.'!J$1+1,1,1)-DATE('Rentecalc.'!$J$1,(N15),J15))*(H15-(4*I15)))/F!H$81,((DATE('Rentecalc.'!$J$1,(O15),J15)-DATE('Rentecalc.'!$J$1,(N15),J15))*(H15-(4*I15)))/F!H$81)))</f>
        <v>0</v>
      </c>
      <c r="J57" s="411"/>
      <c r="K57" s="411">
        <f>IF(O15=0,0,(IF(P15=0,((DATE('Rentecalc.'!J$1+1,1,1)-DATE('Rentecalc.'!$J$1,(O15),J15))*(H15-(5*I15)))/F!H$81,((DATE('Rentecalc.'!$J$1,(P15),J15)-DATE('Rentecalc.'!$J$1,(O15),J15))*(H15-(5*I15)))/F!H$81)))</f>
        <v>0</v>
      </c>
      <c r="L57" s="411"/>
      <c r="M57" s="411"/>
      <c r="N57" s="411"/>
      <c r="O57" s="411"/>
      <c r="P57" s="411"/>
      <c r="Q57" s="280">
        <f>IF(P15=0,0,((DATE('Rentecalc.'!J$1+1,1,1)-DATE('Rentecalc.'!$J$1,(P15),J15))*(H15-(6*I15)))/F!H$81)</f>
        <v>0</v>
      </c>
      <c r="R57" s="281">
        <f t="shared" si="15"/>
        <v>0</v>
      </c>
      <c r="S57" s="282">
        <f t="shared" si="16"/>
        <v>0</v>
      </c>
      <c r="T57" s="39"/>
      <c r="U57" s="39"/>
      <c r="V57" s="39"/>
      <c r="W57" s="39"/>
      <c r="X57" s="39"/>
      <c r="Y57" s="39"/>
      <c r="Z57" s="39"/>
      <c r="AA57" s="283">
        <f t="shared" si="17"/>
        <v>0</v>
      </c>
      <c r="AB57" s="283">
        <f t="shared" si="18"/>
        <v>0</v>
      </c>
    </row>
    <row r="58" spans="1:28" s="9" customFormat="1" ht="12.75" customHeight="1">
      <c r="A58" s="370">
        <f t="shared" si="19"/>
        <v>1013</v>
      </c>
      <c r="B58" s="421">
        <f>IF(I16=0,H16,(((DATE('Rentecalc.'!$J$1,K16,J16)-DATE('Rentecalc.'!$J$1,1,1))*H16)/F!H$81))</f>
        <v>0</v>
      </c>
      <c r="C58" s="421"/>
      <c r="D58" s="411">
        <f>IF(K16=0,0,(IF(L16=0,((DATE('Rentecalc.'!J$1+1,1,1)-DATE('Rentecalc.'!$J$1,(K16),J16))*(H16-(1*I16)))/F!H$81,((DATE('Rentecalc.'!$J$1,(L16),J16)-DATE('Rentecalc.'!$J$1,(K16),J16))*(H16-(1*I16)))/F!H$81)))</f>
        <v>0</v>
      </c>
      <c r="E58" s="411"/>
      <c r="F58" s="411">
        <f>IF(L16=0,0,(IF(M16=0,((DATE('Rentecalc.'!J$1+1,1,1)-DATE('Rentecalc.'!$J$1,(L16),J16))*(H16-(2*I16)))/365,((DATE('Rentecalc.'!$J$1,(M16),J16)-DATE('Rentecalc.'!$J$1,(L16),J16))*(H16-(2*I16)))/F!H$81)))</f>
        <v>0</v>
      </c>
      <c r="G58" s="411"/>
      <c r="H58" s="279">
        <f>IF(M16=0,0,(IF(N16=0,((DATE('Rentecalc.'!J$1+1,1,1)-DATE('Rentecalc.'!$J$1,(M16),J16))*(H16-(3*I16)))/F!H$81,((DATE('Rentecalc.'!$J$1,(N16),J16)-DATE('Rentecalc.'!$J$1,(M16),J16))*(H16-(3*I16)))/F!H$81)))</f>
        <v>0</v>
      </c>
      <c r="I58" s="411">
        <f>IF(N16=0,0,(IF(O16=0,((DATE('Rentecalc.'!J$1+1,1,1)-DATE('Rentecalc.'!$J$1,(N16),J16))*(H16-(4*I16)))/F!H$81,((DATE('Rentecalc.'!$J$1,(O16),J16)-DATE('Rentecalc.'!$J$1,(N16),J16))*(H16-(4*I16)))/F!H$81)))</f>
        <v>0</v>
      </c>
      <c r="J58" s="411"/>
      <c r="K58" s="411">
        <f>IF(O16=0,0,(IF(P16=0,((DATE('Rentecalc.'!J$1+1,1,1)-DATE('Rentecalc.'!$J$1,(O16),J16))*(H16-(5*I16)))/F!H$81,((DATE('Rentecalc.'!$J$1,(P16),J16)-DATE('Rentecalc.'!$J$1,(O16),J16))*(H16-(5*I16)))/F!H$81)))</f>
        <v>0</v>
      </c>
      <c r="L58" s="411"/>
      <c r="M58" s="411"/>
      <c r="N58" s="411"/>
      <c r="O58" s="411"/>
      <c r="P58" s="411"/>
      <c r="Q58" s="280">
        <f>IF(P16=0,0,((DATE('Rentecalc.'!J$1+1,1,1)-DATE('Rentecalc.'!$J$1,(P16),J16))*(H16-(6*I16)))/F!H$81)</f>
        <v>0</v>
      </c>
      <c r="R58" s="281">
        <f t="shared" si="15"/>
        <v>0</v>
      </c>
      <c r="S58" s="282">
        <f t="shared" si="16"/>
        <v>0</v>
      </c>
      <c r="T58" s="39"/>
      <c r="U58" s="39"/>
      <c r="V58" s="39"/>
      <c r="W58" s="39"/>
      <c r="X58" s="39"/>
      <c r="Y58" s="39"/>
      <c r="Z58" s="39"/>
      <c r="AA58" s="283">
        <f t="shared" si="17"/>
        <v>0</v>
      </c>
      <c r="AB58" s="283">
        <f t="shared" si="18"/>
        <v>0</v>
      </c>
    </row>
    <row r="59" spans="1:28" s="9" customFormat="1" ht="12.75" customHeight="1">
      <c r="A59" s="370">
        <f t="shared" si="19"/>
        <v>1014</v>
      </c>
      <c r="B59" s="421">
        <f>IF(I17=0,H17,(((DATE('Rentecalc.'!$J$1,K17,J17)-DATE('Rentecalc.'!$J$1,1,1))*H17)/F!H$81))</f>
        <v>0</v>
      </c>
      <c r="C59" s="421"/>
      <c r="D59" s="411">
        <f>IF(K17=0,0,(IF(L17=0,((DATE('Rentecalc.'!J$1+1,1,1)-DATE('Rentecalc.'!$J$1,(K17),J17))*(H17-(1*I17)))/F!H$81,((DATE('Rentecalc.'!$J$1,(L17),J17)-DATE('Rentecalc.'!$J$1,(K17),J17))*(H17-(1*I17)))/F!H$81)))</f>
        <v>0</v>
      </c>
      <c r="E59" s="411"/>
      <c r="F59" s="411">
        <f>IF(L17=0,0,(IF(M17=0,((DATE('Rentecalc.'!J$1+1,1,1)-DATE('Rentecalc.'!$J$1,(L17),J17))*(H17-(2*I17)))/365,((DATE('Rentecalc.'!$J$1,(M17),J17)-DATE('Rentecalc.'!$J$1,(L17),J17))*(H17-(2*I17)))/F!H$81)))</f>
        <v>0</v>
      </c>
      <c r="G59" s="411"/>
      <c r="H59" s="279">
        <f>IF(M17=0,0,(IF(N17=0,((DATE('Rentecalc.'!J$1+1,1,1)-DATE('Rentecalc.'!$J$1,(M17),J17))*(H17-(3*I17)))/F!H$81,((DATE('Rentecalc.'!$J$1,(N17),J17)-DATE('Rentecalc.'!$J$1,(M17),J17))*(H17-(3*I17)))/F!H$81)))</f>
        <v>0</v>
      </c>
      <c r="I59" s="411">
        <f>IF(N17=0,0,(IF(O17=0,((DATE('Rentecalc.'!J$1+1,1,1)-DATE('Rentecalc.'!$J$1,(N17),J17))*(H17-(4*I17)))/F!H$81,((DATE('Rentecalc.'!$J$1,(O17),J17)-DATE('Rentecalc.'!$J$1,(N17),J17))*(H17-(4*I17)))/F!H$81)))</f>
        <v>0</v>
      </c>
      <c r="J59" s="411"/>
      <c r="K59" s="411">
        <f>IF(O17=0,0,(IF(P17=0,((DATE('Rentecalc.'!J$1+1,1,1)-DATE('Rentecalc.'!$J$1,(O17),J17))*(H17-(5*I17)))/F!H$81,((DATE('Rentecalc.'!$J$1,(P17),J17)-DATE('Rentecalc.'!$J$1,(O17),J17))*(H17-(5*I17)))/F!H$81)))</f>
        <v>0</v>
      </c>
      <c r="L59" s="411"/>
      <c r="M59" s="411"/>
      <c r="N59" s="411"/>
      <c r="O59" s="411"/>
      <c r="P59" s="411"/>
      <c r="Q59" s="280">
        <f>IF(P17=0,0,((DATE('Rentecalc.'!J$1+1,1,1)-DATE('Rentecalc.'!$J$1,(P17),J17))*(H17-(6*I17)))/F!H$81)</f>
        <v>0</v>
      </c>
      <c r="R59" s="281">
        <f t="shared" si="15"/>
        <v>0</v>
      </c>
      <c r="S59" s="282">
        <f t="shared" si="16"/>
        <v>0</v>
      </c>
      <c r="T59" s="39"/>
      <c r="U59" s="39"/>
      <c r="V59" s="39"/>
      <c r="W59" s="39"/>
      <c r="X59" s="39"/>
      <c r="Y59" s="39"/>
      <c r="Z59" s="39"/>
      <c r="AA59" s="283"/>
      <c r="AB59" s="283"/>
    </row>
    <row r="60" spans="1:28" s="9" customFormat="1" ht="12.75" customHeight="1">
      <c r="A60" s="370">
        <f t="shared" si="19"/>
        <v>1015</v>
      </c>
      <c r="B60" s="421">
        <f>IF(I18=0,H18,(((DATE('Rentecalc.'!$J$1,K18,J18)-DATE('Rentecalc.'!$J$1,1,1))*H18)/F!H$81))</f>
        <v>0</v>
      </c>
      <c r="C60" s="421"/>
      <c r="D60" s="411">
        <f>IF(K18=0,0,(IF(L18=0,((DATE('Rentecalc.'!J$1+1,1,1)-DATE('Rentecalc.'!$J$1,(K18),J18))*(H18-(1*I18)))/F!H$81,((DATE('Rentecalc.'!$J$1,(L18),J18)-DATE('Rentecalc.'!$J$1,(K18),J18))*(H18-(1*I18)))/F!H$81)))</f>
        <v>0</v>
      </c>
      <c r="E60" s="411"/>
      <c r="F60" s="411">
        <f>IF(L18=0,0,(IF(M18=0,((DATE('Rentecalc.'!J$1+1,1,1)-DATE('Rentecalc.'!$J$1,(L18),J18))*(H18-(2*I18)))/365,((DATE('Rentecalc.'!$J$1,(M18),J18)-DATE('Rentecalc.'!$J$1,(L18),J18))*(H18-(2*I18)))/F!H$81)))</f>
        <v>0</v>
      </c>
      <c r="G60" s="411"/>
      <c r="H60" s="279">
        <f>IF(M18=0,0,(IF(N18=0,((DATE('Rentecalc.'!J$1+1,1,1)-DATE('Rentecalc.'!$J$1,(M18),J18))*(H18-(3*I18)))/F!H$81,((DATE('Rentecalc.'!$J$1,(N18),J18)-DATE('Rentecalc.'!$J$1,(M18),J18))*(H18-(3*I18)))/F!H$81)))</f>
        <v>0</v>
      </c>
      <c r="I60" s="411">
        <f>IF(N18=0,0,(IF(O18=0,((DATE('Rentecalc.'!J$1+1,1,1)-DATE('Rentecalc.'!$J$1,(N18),J18))*(H18-(4*I18)))/F!H$81,((DATE('Rentecalc.'!$J$1,(O18),J18)-DATE('Rentecalc.'!$J$1,(N18),J18))*(H18-(4*I18)))/F!H$81)))</f>
        <v>0</v>
      </c>
      <c r="J60" s="411"/>
      <c r="K60" s="411">
        <f>IF(O18=0,0,(IF(P18=0,((DATE('Rentecalc.'!J$1+1,1,1)-DATE('Rentecalc.'!$J$1,(O18),J18))*(H18-(5*I18)))/F!H$81,((DATE('Rentecalc.'!$J$1,(P18),J18)-DATE('Rentecalc.'!$J$1,(O18),J18))*(H18-(5*I18)))/F!H$81)))</f>
        <v>0</v>
      </c>
      <c r="L60" s="411"/>
      <c r="M60" s="411"/>
      <c r="N60" s="411"/>
      <c r="O60" s="411"/>
      <c r="P60" s="411"/>
      <c r="Q60" s="280">
        <f>IF(P18=0,0,((DATE('Rentecalc.'!J$1+1,1,1)-DATE('Rentecalc.'!$J$1,(P18),J18))*(H18-(6*I18)))/F!H$81)</f>
        <v>0</v>
      </c>
      <c r="R60" s="281">
        <f t="shared" si="15"/>
        <v>0</v>
      </c>
      <c r="S60" s="282">
        <f t="shared" si="16"/>
        <v>0</v>
      </c>
      <c r="T60" s="39"/>
      <c r="U60" s="39"/>
      <c r="V60" s="39"/>
      <c r="W60" s="39"/>
      <c r="X60" s="39"/>
      <c r="Y60" s="39"/>
      <c r="Z60" s="39"/>
      <c r="AA60" s="283"/>
      <c r="AB60" s="283"/>
    </row>
    <row r="61" spans="1:28" s="9" customFormat="1" ht="12.75" customHeight="1">
      <c r="A61" s="370">
        <f t="shared" si="19"/>
        <v>1016</v>
      </c>
      <c r="B61" s="421">
        <f>IF(I19=0,H19,(((DATE('Rentecalc.'!$J$1,K19,J19)-DATE('Rentecalc.'!$J$1,1,1))*H19)/F!H$81))</f>
        <v>0</v>
      </c>
      <c r="C61" s="421"/>
      <c r="D61" s="411">
        <f>IF(K19=0,0,(IF(L19=0,((DATE('Rentecalc.'!J$1+1,1,1)-DATE('Rentecalc.'!$J$1,(K19),J19))*(H19-(1*I19)))/F!H$81,((DATE('Rentecalc.'!$J$1,(L19),J19)-DATE('Rentecalc.'!$J$1,(K19),J19))*(H19-(1*I19)))/F!H$81)))</f>
        <v>0</v>
      </c>
      <c r="E61" s="411"/>
      <c r="F61" s="411">
        <f>IF(L19=0,0,(IF(M19=0,((DATE('Rentecalc.'!J$1+1,1,1)-DATE('Rentecalc.'!$J$1,(L19),J19))*(H19-(2*I19)))/365,((DATE('Rentecalc.'!$J$1,(M19),J19)-DATE('Rentecalc.'!$J$1,(L19),J19))*(H19-(2*I19)))/F!H$81)))</f>
        <v>0</v>
      </c>
      <c r="G61" s="411"/>
      <c r="H61" s="279">
        <f>IF(M19=0,0,(IF(N19=0,((DATE('Rentecalc.'!J$1+1,1,1)-DATE('Rentecalc.'!$J$1,(M19),J19))*(H19-(3*I19)))/F!H$81,((DATE('Rentecalc.'!$J$1,(N19),J19)-DATE('Rentecalc.'!$J$1,(M19),J19))*(H19-(3*I19)))/F!H$81)))</f>
        <v>0</v>
      </c>
      <c r="I61" s="411">
        <f>IF(N19=0,0,(IF(O19=0,((DATE('Rentecalc.'!J$1+1,1,1)-DATE('Rentecalc.'!$J$1,(N19),J19))*(H19-(4*I19)))/F!H$81,((DATE('Rentecalc.'!$J$1,(O19),J19)-DATE('Rentecalc.'!$J$1,(N19),J19))*(H19-(4*I19)))/F!H$81)))</f>
        <v>0</v>
      </c>
      <c r="J61" s="411"/>
      <c r="K61" s="411">
        <f>IF(O19=0,0,(IF(P19=0,((DATE('Rentecalc.'!J$1+1,1,1)-DATE('Rentecalc.'!$J$1,(O19),J19))*(H19-(5*I19)))/F!H$81,((DATE('Rentecalc.'!$J$1,(P19),J19)-DATE('Rentecalc.'!$J$1,(O19),J19))*(H19-(5*I19)))/F!H$81)))</f>
        <v>0</v>
      </c>
      <c r="L61" s="411"/>
      <c r="M61" s="411"/>
      <c r="N61" s="411"/>
      <c r="O61" s="411"/>
      <c r="P61" s="411"/>
      <c r="Q61" s="280">
        <f>IF(P19=0,0,((DATE('Rentecalc.'!J$1+1,1,1)-DATE('Rentecalc.'!$J$1,(P19),J19))*(H19-(6*I19)))/F!H$81)</f>
        <v>0</v>
      </c>
      <c r="R61" s="281">
        <f t="shared" si="15"/>
        <v>0</v>
      </c>
      <c r="S61" s="282">
        <f t="shared" si="16"/>
        <v>0</v>
      </c>
      <c r="T61" s="39"/>
      <c r="U61" s="39"/>
      <c r="V61" s="39"/>
      <c r="W61" s="39"/>
      <c r="X61" s="39"/>
      <c r="Y61" s="39"/>
      <c r="Z61" s="39"/>
      <c r="AA61" s="283"/>
      <c r="AB61" s="283"/>
    </row>
    <row r="62" spans="1:28" s="9" customFormat="1" ht="12.75" customHeight="1">
      <c r="A62" s="370">
        <f t="shared" si="19"/>
        <v>1017</v>
      </c>
      <c r="B62" s="421">
        <f>IF(I20=0,H20,(((DATE('Rentecalc.'!$J$1,K20,J20)-DATE('Rentecalc.'!$J$1,1,1))*H20)/F!H$81))</f>
        <v>0</v>
      </c>
      <c r="C62" s="421"/>
      <c r="D62" s="411">
        <f>IF(K20=0,0,(IF(L20=0,((DATE('Rentecalc.'!J$1+1,1,1)-DATE('Rentecalc.'!$J$1,(K20),J20))*(H20-(1*I20)))/F!H$81,((DATE('Rentecalc.'!$J$1,(L20),J20)-DATE('Rentecalc.'!$J$1,(K20),J20))*(H20-(1*I20)))/F!H$81)))</f>
        <v>0</v>
      </c>
      <c r="E62" s="411"/>
      <c r="F62" s="411">
        <f>IF(L20=0,0,(IF(M20=0,((DATE('Rentecalc.'!J$1+1,1,1)-DATE('Rentecalc.'!$J$1,(L20),J20))*(H20-(2*I20)))/365,((DATE('Rentecalc.'!$J$1,(M20),J20)-DATE('Rentecalc.'!$J$1,(L20),J20))*(H20-(2*I20)))/F!H$81)))</f>
        <v>0</v>
      </c>
      <c r="G62" s="411"/>
      <c r="H62" s="279">
        <f>IF(M20=0,0,(IF(N20=0,((DATE('Rentecalc.'!J$1+1,1,1)-DATE('Rentecalc.'!$J$1,(M20),J20))*(H20-(3*I20)))/F!H$81,((DATE('Rentecalc.'!$J$1,(N20),J20)-DATE('Rentecalc.'!$J$1,(M20),J20))*(H20-(3*I20)))/F!H$81)))</f>
        <v>0</v>
      </c>
      <c r="I62" s="411">
        <f>IF(N20=0,0,(IF(O20=0,((DATE('Rentecalc.'!J$1+1,1,1)-DATE('Rentecalc.'!$J$1,(N20),J20))*(H20-(4*I20)))/F!H$81,((DATE('Rentecalc.'!$J$1,(O20),J20)-DATE('Rentecalc.'!$J$1,(N20),J20))*(H20-(4*I20)))/F!H$81)))</f>
        <v>0</v>
      </c>
      <c r="J62" s="411"/>
      <c r="K62" s="411">
        <f>IF(O20=0,0,(IF(P20=0,((DATE('Rentecalc.'!J$1+1,1,1)-DATE('Rentecalc.'!$J$1,(O20),J20))*(H20-(5*I20)))/F!H$81,((DATE('Rentecalc.'!$J$1,(P20),J20)-DATE('Rentecalc.'!$J$1,(O20),J20))*(H20-(5*I20)))/F!H$81)))</f>
        <v>0</v>
      </c>
      <c r="L62" s="411"/>
      <c r="M62" s="411"/>
      <c r="N62" s="411"/>
      <c r="O62" s="411"/>
      <c r="P62" s="411"/>
      <c r="Q62" s="280">
        <f>IF(P20=0,0,((DATE('Rentecalc.'!J$1+1,1,1)-DATE('Rentecalc.'!$J$1,(P20),J20))*(H20-(6*I20)))/F!H$81)</f>
        <v>0</v>
      </c>
      <c r="R62" s="281">
        <f t="shared" si="15"/>
        <v>0</v>
      </c>
      <c r="S62" s="282">
        <f t="shared" si="16"/>
        <v>0</v>
      </c>
      <c r="T62" s="39"/>
      <c r="U62" s="39"/>
      <c r="V62" s="39"/>
      <c r="W62" s="39"/>
      <c r="X62" s="39"/>
      <c r="Y62" s="39"/>
      <c r="Z62" s="39"/>
      <c r="AA62" s="283"/>
      <c r="AB62" s="283"/>
    </row>
    <row r="63" spans="1:28" s="9" customFormat="1" ht="12.75" customHeight="1">
      <c r="A63" s="370">
        <f t="shared" si="19"/>
        <v>1018</v>
      </c>
      <c r="B63" s="421">
        <f>IF(I21=0,H21,(((DATE('Rentecalc.'!$J$1,K21,J21)-DATE('Rentecalc.'!$J$1,1,1))*H21)/F!H$81))</f>
        <v>0</v>
      </c>
      <c r="C63" s="421"/>
      <c r="D63" s="411">
        <f>IF(K21=0,0,(IF(L21=0,((DATE('Rentecalc.'!J$1+1,1,1)-DATE('Rentecalc.'!$J$1,(K21),J21))*(H21-(1*I21)))/F!H$81,((DATE('Rentecalc.'!$J$1,(L21),J21)-DATE('Rentecalc.'!$J$1,(K21),J21))*(H21-(1*I21)))/F!H$81)))</f>
        <v>0</v>
      </c>
      <c r="E63" s="411"/>
      <c r="F63" s="411">
        <f>IF(L21=0,0,(IF(M21=0,((DATE('Rentecalc.'!J$1+1,1,1)-DATE('Rentecalc.'!$J$1,(L21),J21))*(H21-(2*I21)))/365,((DATE('Rentecalc.'!$J$1,(M21),J21)-DATE('Rentecalc.'!$J$1,(L21),J21))*(H21-(2*I21)))/F!H$81)))</f>
        <v>0</v>
      </c>
      <c r="G63" s="411"/>
      <c r="H63" s="279">
        <f>IF(M21=0,0,(IF(N21=0,((DATE('Rentecalc.'!J$1+1,1,1)-DATE('Rentecalc.'!$J$1,(M21),J21))*(H21-(3*I21)))/F!H$81,((DATE('Rentecalc.'!$J$1,(N21),J21)-DATE('Rentecalc.'!$J$1,(M21),J21))*(H21-(3*I21)))/F!H$81)))</f>
        <v>0</v>
      </c>
      <c r="I63" s="411">
        <f>IF(N21=0,0,(IF(O21=0,((DATE('Rentecalc.'!J$1+1,1,1)-DATE('Rentecalc.'!$J$1,(N21),J21))*(H21-(4*I21)))/F!H$81,((DATE('Rentecalc.'!$J$1,(O21),J21)-DATE('Rentecalc.'!$J$1,(N21),J21))*(H21-(4*I21)))/F!H$81)))</f>
        <v>0</v>
      </c>
      <c r="J63" s="411"/>
      <c r="K63" s="411">
        <f>IF(O21=0,0,(IF(P21=0,((DATE('Rentecalc.'!J$1+1,1,1)-DATE('Rentecalc.'!$J$1,(O21),J21))*(H21-(5*I21)))/F!H$81,((DATE('Rentecalc.'!$J$1,(P21),J21)-DATE('Rentecalc.'!$J$1,(O21),J21))*(H21-(5*I21)))/F!H$81)))</f>
        <v>0</v>
      </c>
      <c r="L63" s="411"/>
      <c r="M63" s="411"/>
      <c r="N63" s="411"/>
      <c r="O63" s="411"/>
      <c r="P63" s="411"/>
      <c r="Q63" s="280">
        <f>IF(P21=0,0,((DATE('Rentecalc.'!J$1+1,1,1)-DATE('Rentecalc.'!$J$1,(P21),J21))*(H21-(6*I21)))/F!H$81)</f>
        <v>0</v>
      </c>
      <c r="R63" s="281">
        <f t="shared" si="15"/>
        <v>0</v>
      </c>
      <c r="S63" s="282">
        <f t="shared" si="16"/>
        <v>0</v>
      </c>
      <c r="T63" s="39"/>
      <c r="U63" s="39"/>
      <c r="V63" s="39"/>
      <c r="W63" s="39"/>
      <c r="X63" s="39"/>
      <c r="Y63" s="39"/>
      <c r="Z63" s="39"/>
      <c r="AA63" s="283"/>
      <c r="AB63" s="283"/>
    </row>
    <row r="64" spans="1:28" s="9" customFormat="1" ht="12.75" customHeight="1">
      <c r="A64" s="370">
        <f t="shared" si="19"/>
        <v>1019</v>
      </c>
      <c r="B64" s="421">
        <f>IF(I22=0,H22,(((DATE('Rentecalc.'!$J$1,K22,J22)-DATE('Rentecalc.'!$J$1,1,1))*H22)/F!H$81))</f>
        <v>0</v>
      </c>
      <c r="C64" s="421"/>
      <c r="D64" s="411">
        <f>IF(K22=0,0,(IF(L22=0,((DATE('Rentecalc.'!J$1+1,1,1)-DATE('Rentecalc.'!$J$1,(K22),J22))*(H22-(1*I22)))/F!H$81,((DATE('Rentecalc.'!$J$1,(L22),J22)-DATE('Rentecalc.'!$J$1,(K22),J22))*(H22-(1*I22)))/F!H$81)))</f>
        <v>0</v>
      </c>
      <c r="E64" s="411"/>
      <c r="F64" s="411">
        <f>IF(L22=0,0,(IF(M22=0,((DATE('Rentecalc.'!J$1+1,1,1)-DATE('Rentecalc.'!$J$1,(L22),J22))*(H22-(2*I22)))/365,((DATE('Rentecalc.'!$J$1,(M22),J22)-DATE('Rentecalc.'!$J$1,(L22),J22))*(H22-(2*I22)))/F!H$81)))</f>
        <v>0</v>
      </c>
      <c r="G64" s="411"/>
      <c r="H64" s="279">
        <f>IF(M22=0,0,(IF(N22=0,((DATE('Rentecalc.'!J$1+1,1,1)-DATE('Rentecalc.'!$J$1,(M22),J22))*(H22-(3*I22)))/F!H$81,((DATE('Rentecalc.'!$J$1,(N22),J22)-DATE('Rentecalc.'!$J$1,(M22),J22))*(H22-(3*I22)))/F!H$81)))</f>
        <v>0</v>
      </c>
      <c r="I64" s="411">
        <f>IF(N22=0,0,(IF(O22=0,((DATE('Rentecalc.'!J$1+1,1,1)-DATE('Rentecalc.'!$J$1,(N22),J22))*(H22-(4*I22)))/F!H$81,((DATE('Rentecalc.'!$J$1,(O22),J22)-DATE('Rentecalc.'!$J$1,(N22),J22))*(H22-(4*I22)))/F!H$81)))</f>
        <v>0</v>
      </c>
      <c r="J64" s="411"/>
      <c r="K64" s="411">
        <f>IF(O22=0,0,(IF(P22=0,((DATE('Rentecalc.'!J$1+1,1,1)-DATE('Rentecalc.'!$J$1,(O22),J22))*(H22-(5*I22)))/F!H$81,((DATE('Rentecalc.'!$J$1,(P22),J22)-DATE('Rentecalc.'!$J$1,(O22),J22))*(H22-(5*I22)))/F!H$81)))</f>
        <v>0</v>
      </c>
      <c r="L64" s="411"/>
      <c r="M64" s="411"/>
      <c r="N64" s="411"/>
      <c r="O64" s="411"/>
      <c r="P64" s="411"/>
      <c r="Q64" s="280">
        <f>IF(P22=0,0,((DATE('Rentecalc.'!J$1+1,1,1)-DATE('Rentecalc.'!$J$1,(P22),J22))*(H22-(6*I22)))/F!H$81)</f>
        <v>0</v>
      </c>
      <c r="R64" s="281">
        <f t="shared" si="15"/>
        <v>0</v>
      </c>
      <c r="S64" s="282">
        <f t="shared" si="16"/>
        <v>0</v>
      </c>
      <c r="T64" s="39"/>
      <c r="U64" s="39"/>
      <c r="V64" s="39"/>
      <c r="W64" s="39"/>
      <c r="X64" s="39"/>
      <c r="Y64" s="39"/>
      <c r="Z64" s="39"/>
      <c r="AA64" s="283"/>
      <c r="AB64" s="283"/>
    </row>
    <row r="65" spans="1:28" s="9" customFormat="1" ht="12.75" customHeight="1">
      <c r="A65" s="370">
        <f t="shared" si="19"/>
        <v>1020</v>
      </c>
      <c r="B65" s="421">
        <f>IF(I23=0,H23,(((DATE('Rentecalc.'!$J$1,K23,J23)-DATE('Rentecalc.'!$J$1,1,1))*H23)/F!H$81))</f>
        <v>0</v>
      </c>
      <c r="C65" s="421"/>
      <c r="D65" s="411">
        <f>IF(K23=0,0,(IF(L23=0,((DATE('Rentecalc.'!J$1+1,1,1)-DATE('Rentecalc.'!$J$1,(K23),J23))*(H23-(1*I23)))/F!H$81,((DATE('Rentecalc.'!$J$1,(L23),J23)-DATE('Rentecalc.'!$J$1,(K23),J23))*(H23-(1*I23)))/F!H$81)))</f>
        <v>0</v>
      </c>
      <c r="E65" s="411"/>
      <c r="F65" s="411">
        <f>IF(L23=0,0,(IF(M23=0,((DATE('Rentecalc.'!J$1+1,1,1)-DATE('Rentecalc.'!$J$1,(L23),J23))*(H23-(2*I23)))/365,((DATE('Rentecalc.'!$J$1,(M23),J23)-DATE('Rentecalc.'!$J$1,(L23),J23))*(H23-(2*I23)))/F!H$81)))</f>
        <v>0</v>
      </c>
      <c r="G65" s="411"/>
      <c r="H65" s="279">
        <f>IF(M23=0,0,(IF(N23=0,((DATE('Rentecalc.'!J$1+1,1,1)-DATE('Rentecalc.'!$J$1,(M23),J23))*(H23-(3*I23)))/F!H$81,((DATE('Rentecalc.'!$J$1,(N23),J23)-DATE('Rentecalc.'!$J$1,(M23),J23))*(H23-(3*I23)))/F!H$81)))</f>
        <v>0</v>
      </c>
      <c r="I65" s="411">
        <f>IF(N23=0,0,(IF(O23=0,((DATE('Rentecalc.'!J$1+1,1,1)-DATE('Rentecalc.'!$J$1,(N23),J23))*(H23-(4*I23)))/F!H$81,((DATE('Rentecalc.'!$J$1,(O23),J23)-DATE('Rentecalc.'!$J$1,(N23),J23))*(H23-(4*I23)))/F!H$81)))</f>
        <v>0</v>
      </c>
      <c r="J65" s="411"/>
      <c r="K65" s="411">
        <f>IF(O23=0,0,(IF(P23=0,((DATE('Rentecalc.'!J$1+1,1,1)-DATE('Rentecalc.'!$J$1,(O23),J23))*(H23-(5*I23)))/F!H$81,((DATE('Rentecalc.'!$J$1,(P23),J23)-DATE('Rentecalc.'!$J$1,(O23),J23))*(H23-(5*I23)))/F!H$81)))</f>
        <v>0</v>
      </c>
      <c r="L65" s="411"/>
      <c r="M65" s="411"/>
      <c r="N65" s="411"/>
      <c r="O65" s="411"/>
      <c r="P65" s="411"/>
      <c r="Q65" s="280">
        <f>IF(P23=0,0,((DATE('Rentecalc.'!J$1+1,1,1)-DATE('Rentecalc.'!$J$1,(P23),J23))*(H23-(6*I23)))/F!H$81)</f>
        <v>0</v>
      </c>
      <c r="R65" s="281">
        <f t="shared" si="15"/>
        <v>0</v>
      </c>
      <c r="S65" s="282">
        <f t="shared" si="16"/>
        <v>0</v>
      </c>
      <c r="T65" s="39"/>
      <c r="U65" s="39"/>
      <c r="V65" s="39"/>
      <c r="W65" s="39"/>
      <c r="X65" s="39"/>
      <c r="Y65" s="39"/>
      <c r="Z65" s="39"/>
      <c r="AA65" s="283"/>
      <c r="AB65" s="283"/>
    </row>
    <row r="66" spans="1:28" s="9" customFormat="1" ht="12.75" customHeight="1">
      <c r="A66" s="370">
        <f t="shared" si="19"/>
        <v>1021</v>
      </c>
      <c r="B66" s="421">
        <f>IF(I24=0,H24,(((DATE('Rentecalc.'!$J$1,K24,J24)-DATE('Rentecalc.'!$J$1,1,1))*H24)/F!H$81))</f>
        <v>0</v>
      </c>
      <c r="C66" s="421"/>
      <c r="D66" s="411">
        <f>IF(K24=0,0,(IF(L24=0,((DATE('Rentecalc.'!J$1+1,1,1)-DATE('Rentecalc.'!$J$1,(K24),J24))*(H24-(1*I24)))/F!H$81,((DATE('Rentecalc.'!$J$1,(L24),J24)-DATE('Rentecalc.'!$J$1,(K24),J24))*(H24-(1*I24)))/F!H$81)))</f>
        <v>0</v>
      </c>
      <c r="E66" s="411"/>
      <c r="F66" s="411">
        <f>IF(L24=0,0,(IF(M24=0,((DATE('Rentecalc.'!J$1+1,1,1)-DATE('Rentecalc.'!$J$1,(L24),J24))*(H24-(2*I24)))/365,((DATE('Rentecalc.'!$J$1,(M24),J24)-DATE('Rentecalc.'!$J$1,(L24),J24))*(H24-(2*I24)))/F!H$81)))</f>
        <v>0</v>
      </c>
      <c r="G66" s="411"/>
      <c r="H66" s="279">
        <f>IF(M24=0,0,(IF(N24=0,((DATE('Rentecalc.'!J$1+1,1,1)-DATE('Rentecalc.'!$J$1,(M24),J24))*(H24-(3*I24)))/F!H$81,((DATE('Rentecalc.'!$J$1,(N24),J24)-DATE('Rentecalc.'!$J$1,(M24),J24))*(H24-(3*I24)))/F!H$81)))</f>
        <v>0</v>
      </c>
      <c r="I66" s="411">
        <f>IF(N24=0,0,(IF(O24=0,((DATE('Rentecalc.'!J$1+1,1,1)-DATE('Rentecalc.'!$J$1,(N24),J24))*(H24-(4*I24)))/F!H$81,((DATE('Rentecalc.'!$J$1,(O24),J24)-DATE('Rentecalc.'!$J$1,(N24),J24))*(H24-(4*I24)))/F!H$81)))</f>
        <v>0</v>
      </c>
      <c r="J66" s="411"/>
      <c r="K66" s="411">
        <f>IF(O24=0,0,(IF(P24=0,((DATE('Rentecalc.'!J$1+1,1,1)-DATE('Rentecalc.'!$J$1,(O24),J24))*(H24-(5*I24)))/F!H$81,((DATE('Rentecalc.'!$J$1,(P24),J24)-DATE('Rentecalc.'!$J$1,(O24),J24))*(H24-(5*I24)))/F!H$81)))</f>
        <v>0</v>
      </c>
      <c r="L66" s="411"/>
      <c r="M66" s="411"/>
      <c r="N66" s="411"/>
      <c r="O66" s="411"/>
      <c r="P66" s="411"/>
      <c r="Q66" s="280">
        <f>IF(P24=0,0,((DATE('Rentecalc.'!J$1+1,1,1)-DATE('Rentecalc.'!$J$1,(P24),J24))*(H24-(6*I24)))/F!H$81)</f>
        <v>0</v>
      </c>
      <c r="R66" s="281">
        <f t="shared" si="15"/>
        <v>0</v>
      </c>
      <c r="S66" s="282">
        <f t="shared" si="16"/>
        <v>0</v>
      </c>
      <c r="T66" s="39"/>
      <c r="U66" s="39"/>
      <c r="V66" s="39"/>
      <c r="W66" s="39"/>
      <c r="X66" s="39"/>
      <c r="Y66" s="39"/>
      <c r="Z66" s="39"/>
      <c r="AA66" s="283"/>
      <c r="AB66" s="283"/>
    </row>
    <row r="67" spans="1:28" s="9" customFormat="1" ht="12.75" customHeight="1">
      <c r="A67" s="370">
        <f t="shared" si="19"/>
        <v>1022</v>
      </c>
      <c r="B67" s="421">
        <f>IF(I25=0,H25,(((DATE('Rentecalc.'!$J$1,K25,J25)-DATE('Rentecalc.'!$J$1,1,1))*H25)/F!H$81))</f>
        <v>0</v>
      </c>
      <c r="C67" s="421"/>
      <c r="D67" s="411">
        <f>IF(K25=0,0,(IF(L25=0,((DATE('Rentecalc.'!J$1+1,1,1)-DATE('Rentecalc.'!$J$1,(K25),J25))*(H25-(1*I25)))/F!H$81,((DATE('Rentecalc.'!$J$1,(L25),J25)-DATE('Rentecalc.'!$J$1,(K25),J25))*(H25-(1*I25)))/F!H$81)))</f>
        <v>0</v>
      </c>
      <c r="E67" s="411"/>
      <c r="F67" s="411">
        <f>IF(L25=0,0,(IF(M25=0,((DATE('Rentecalc.'!J$1+1,1,1)-DATE('Rentecalc.'!$J$1,(L25),J25))*(H25-(2*I25)))/365,((DATE('Rentecalc.'!$J$1,(M25),J25)-DATE('Rentecalc.'!$J$1,(L25),J25))*(H25-(2*I25)))/F!H$81)))</f>
        <v>0</v>
      </c>
      <c r="G67" s="411"/>
      <c r="H67" s="279">
        <f>IF(M25=0,0,(IF(N25=0,((DATE('Rentecalc.'!J$1+1,1,1)-DATE('Rentecalc.'!$J$1,(M25),J25))*(H25-(3*I25)))/F!H$81,((DATE('Rentecalc.'!$J$1,(N25),J25)-DATE('Rentecalc.'!$J$1,(M25),J25))*(H25-(3*I25)))/F!H$81)))</f>
        <v>0</v>
      </c>
      <c r="I67" s="411">
        <f>IF(N25=0,0,(IF(O25=0,((DATE('Rentecalc.'!J$1+1,1,1)-DATE('Rentecalc.'!$J$1,(N25),J25))*(H25-(4*I25)))/F!H$81,((DATE('Rentecalc.'!$J$1,(O25),J25)-DATE('Rentecalc.'!$J$1,(N25),J25))*(H25-(4*I25)))/F!H$81)))</f>
        <v>0</v>
      </c>
      <c r="J67" s="411"/>
      <c r="K67" s="411">
        <f>IF(O25=0,0,(IF(P25=0,((DATE('Rentecalc.'!J$1+1,1,1)-DATE('Rentecalc.'!$J$1,(O25),J25))*(H25-(5*I25)))/F!H$81,((DATE('Rentecalc.'!$J$1,(P25),J25)-DATE('Rentecalc.'!$J$1,(O25),J25))*(H25-(5*I25)))/F!H$81)))</f>
        <v>0</v>
      </c>
      <c r="L67" s="411"/>
      <c r="M67" s="411"/>
      <c r="N67" s="411"/>
      <c r="O67" s="411"/>
      <c r="P67" s="411"/>
      <c r="Q67" s="280">
        <f>IF(P25=0,0,((DATE('Rentecalc.'!J$1+1,1,1)-DATE('Rentecalc.'!$J$1,(P25),J25))*(H25-(6*I25)))/F!H$81)</f>
        <v>0</v>
      </c>
      <c r="R67" s="281">
        <f t="shared" si="15"/>
        <v>0</v>
      </c>
      <c r="S67" s="282">
        <f t="shared" si="16"/>
        <v>0</v>
      </c>
      <c r="T67" s="39"/>
      <c r="U67" s="39"/>
      <c r="V67" s="39"/>
      <c r="W67" s="39"/>
      <c r="X67" s="39"/>
      <c r="Y67" s="39"/>
      <c r="Z67" s="39"/>
      <c r="AA67" s="283"/>
      <c r="AB67" s="283"/>
    </row>
    <row r="68" spans="1:28" s="9" customFormat="1" ht="12.75" customHeight="1">
      <c r="A68" s="370">
        <f t="shared" si="19"/>
        <v>1023</v>
      </c>
      <c r="B68" s="421">
        <f>IF(I26=0,H26,(((DATE('Rentecalc.'!$J$1,K26,J26)-DATE('Rentecalc.'!$J$1,1,1))*H26)/F!H$81))</f>
        <v>0</v>
      </c>
      <c r="C68" s="421"/>
      <c r="D68" s="411">
        <f>IF(K26=0,0,(IF(L26=0,((DATE('Rentecalc.'!J$1+1,1,1)-DATE('Rentecalc.'!$J$1,(K26),J26))*(H26-(1*I26)))/F!H$81,((DATE('Rentecalc.'!$J$1,(L26),J26)-DATE('Rentecalc.'!$J$1,(K26),J26))*(H26-(1*I26)))/F!H$81)))</f>
        <v>0</v>
      </c>
      <c r="E68" s="411"/>
      <c r="F68" s="411">
        <f>IF(L26=0,0,(IF(M26=0,((DATE('Rentecalc.'!J$1+1,1,1)-DATE('Rentecalc.'!$J$1,(L26),J26))*(H26-(2*I26)))/365,((DATE('Rentecalc.'!$J$1,(M26),J26)-DATE('Rentecalc.'!$J$1,(L26),J26))*(H26-(2*I26)))/F!H$81)))</f>
        <v>0</v>
      </c>
      <c r="G68" s="411"/>
      <c r="H68" s="279">
        <f>IF(M26=0,0,(IF(N26=0,((DATE('Rentecalc.'!J$1+1,1,1)-DATE('Rentecalc.'!$J$1,(M26),J26))*(H26-(3*I26)))/F!H$81,((DATE('Rentecalc.'!$J$1,(N26),J26)-DATE('Rentecalc.'!$J$1,(M26),J26))*(H26-(3*I26)))/F!H$81)))</f>
        <v>0</v>
      </c>
      <c r="I68" s="411">
        <f>IF(N26=0,0,(IF(O26=0,((DATE('Rentecalc.'!J$1+1,1,1)-DATE('Rentecalc.'!$J$1,(N26),J26))*(H26-(4*I26)))/F!H$81,((DATE('Rentecalc.'!$J$1,(O26),J26)-DATE('Rentecalc.'!$J$1,(N26),J26))*(H26-(4*I26)))/F!H$81)))</f>
        <v>0</v>
      </c>
      <c r="J68" s="411"/>
      <c r="K68" s="411">
        <f>IF(O26=0,0,(IF(P26=0,((DATE('Rentecalc.'!J$1+1,1,1)-DATE('Rentecalc.'!$J$1,(O26),J26))*(H26-(5*I26)))/F!H$81,((DATE('Rentecalc.'!$J$1,(P26),J26)-DATE('Rentecalc.'!$J$1,(O26),J26))*(H26-(5*I26)))/F!H$81)))</f>
        <v>0</v>
      </c>
      <c r="L68" s="411"/>
      <c r="M68" s="411"/>
      <c r="N68" s="411"/>
      <c r="O68" s="411"/>
      <c r="P68" s="411"/>
      <c r="Q68" s="280">
        <f>IF(P26=0,0,((DATE('Rentecalc.'!J$1+1,1,1)-DATE('Rentecalc.'!$J$1,(P26),J26))*(H26-(6*I26)))/F!H$81)</f>
        <v>0</v>
      </c>
      <c r="R68" s="281">
        <f t="shared" si="15"/>
        <v>0</v>
      </c>
      <c r="S68" s="282">
        <f t="shared" si="16"/>
        <v>0</v>
      </c>
      <c r="T68" s="39"/>
      <c r="U68" s="39"/>
      <c r="V68" s="39"/>
      <c r="W68" s="39"/>
      <c r="X68" s="39"/>
      <c r="Y68" s="39"/>
      <c r="Z68" s="39"/>
      <c r="AA68" s="283"/>
      <c r="AB68" s="283"/>
    </row>
    <row r="69" spans="1:28" s="9" customFormat="1" ht="12.75" customHeight="1">
      <c r="A69" s="370">
        <f t="shared" si="19"/>
        <v>1024</v>
      </c>
      <c r="B69" s="421">
        <f>IF(I27=0,H27,(((DATE('Rentecalc.'!$J$1,K27,J27)-DATE('Rentecalc.'!$J$1,1,1))*H27)/F!H$81))</f>
        <v>0</v>
      </c>
      <c r="C69" s="421"/>
      <c r="D69" s="411">
        <f>IF(K27=0,0,(IF(L27=0,((DATE('Rentecalc.'!J$1+1,1,1)-DATE('Rentecalc.'!$J$1,(K27),J27))*(H27-(1*I27)))/F!H$81,((DATE('Rentecalc.'!$J$1,(L27),J27)-DATE('Rentecalc.'!$J$1,(K27),J27))*(H27-(1*I27)))/F!H$81)))</f>
        <v>0</v>
      </c>
      <c r="E69" s="411"/>
      <c r="F69" s="411">
        <f>IF(L27=0,0,(IF(M27=0,((DATE('Rentecalc.'!J$1+1,1,1)-DATE('Rentecalc.'!$J$1,(L27),J27))*(H27-(2*I27)))/365,((DATE('Rentecalc.'!$J$1,(M27),J27)-DATE('Rentecalc.'!$J$1,(L27),J27))*(H27-(2*I27)))/F!H$81)))</f>
        <v>0</v>
      </c>
      <c r="G69" s="411"/>
      <c r="H69" s="279">
        <f>IF(M27=0,0,(IF(N27=0,((DATE('Rentecalc.'!J$1+1,1,1)-DATE('Rentecalc.'!$J$1,(M27),J27))*(H27-(3*I27)))/F!H$81,((DATE('Rentecalc.'!$J$1,(N27),J27)-DATE('Rentecalc.'!$J$1,(M27),J27))*(H27-(3*I27)))/F!H$81)))</f>
        <v>0</v>
      </c>
      <c r="I69" s="411">
        <f>IF(N27=0,0,(IF(O27=0,((DATE('Rentecalc.'!J$1+1,1,1)-DATE('Rentecalc.'!$J$1,(N27),J27))*(H27-(4*I27)))/F!H$81,((DATE('Rentecalc.'!$J$1,(O27),J27)-DATE('Rentecalc.'!$J$1,(N27),J27))*(H27-(4*I27)))/F!H$81)))</f>
        <v>0</v>
      </c>
      <c r="J69" s="411"/>
      <c r="K69" s="411">
        <f>IF(O27=0,0,(IF(P27=0,((DATE('Rentecalc.'!J$1+1,1,1)-DATE('Rentecalc.'!$J$1,(O27),J27))*(H27-(5*I27)))/F!H$81,((DATE('Rentecalc.'!$J$1,(P27),J27)-DATE('Rentecalc.'!$J$1,(O27),J27))*(H27-(5*I27)))/F!H$81)))</f>
        <v>0</v>
      </c>
      <c r="L69" s="411"/>
      <c r="M69" s="411"/>
      <c r="N69" s="411"/>
      <c r="O69" s="411"/>
      <c r="P69" s="411"/>
      <c r="Q69" s="280">
        <f>IF(P27=0,0,((DATE('Rentecalc.'!J$1+1,1,1)-DATE('Rentecalc.'!$J$1,(P27),J27))*(H27-(6*I27)))/F!H$81)</f>
        <v>0</v>
      </c>
      <c r="R69" s="281">
        <f t="shared" si="15"/>
        <v>0</v>
      </c>
      <c r="S69" s="282">
        <f t="shared" si="16"/>
        <v>0</v>
      </c>
      <c r="T69" s="39"/>
      <c r="U69" s="39"/>
      <c r="V69" s="39"/>
      <c r="W69" s="39"/>
      <c r="X69" s="39"/>
      <c r="Y69" s="39"/>
      <c r="Z69" s="39"/>
      <c r="AA69" s="283">
        <f t="shared" si="17"/>
        <v>0</v>
      </c>
      <c r="AB69" s="283">
        <f t="shared" si="18"/>
        <v>0</v>
      </c>
    </row>
    <row r="70" spans="1:28" s="9" customFormat="1" ht="12.75" customHeight="1">
      <c r="A70" s="370">
        <f t="shared" si="19"/>
        <v>1025</v>
      </c>
      <c r="B70" s="421">
        <f>IF(I28=0,H28,(((DATE('Rentecalc.'!$J$1,K28,J28)-DATE('Rentecalc.'!$J$1,1,1))*H28)/F!H$81))</f>
        <v>0</v>
      </c>
      <c r="C70" s="421"/>
      <c r="D70" s="411">
        <f>IF(K28=0,0,(IF(L28=0,((DATE('Rentecalc.'!J$1+1,1,1)-DATE('Rentecalc.'!$J$1,(K28),J28))*(H28-(1*I28)))/F!H$81,((DATE('Rentecalc.'!$J$1,(L28),J28)-DATE('Rentecalc.'!$J$1,(K28),J28))*(H28-(1*I28)))/F!H$81)))</f>
        <v>0</v>
      </c>
      <c r="E70" s="411"/>
      <c r="F70" s="411">
        <f>IF(L28=0,0,(IF(M28=0,((DATE('Rentecalc.'!J$1+1,1,1)-DATE('Rentecalc.'!$J$1,(L28),J28))*(H28-(2*I28)))/365,((DATE('Rentecalc.'!$J$1,(M28),J28)-DATE('Rentecalc.'!$J$1,(L28),J28))*(H28-(2*I28)))/F!H$81)))</f>
        <v>0</v>
      </c>
      <c r="G70" s="411"/>
      <c r="H70" s="279">
        <f>IF(M28=0,0,(IF(N28=0,((DATE('Rentecalc.'!J$1+1,1,1)-DATE('Rentecalc.'!$J$1,(M28),J28))*(H28-(3*I28)))/F!H$81,((DATE('Rentecalc.'!$J$1,(N28),J28)-DATE('Rentecalc.'!$J$1,(M28),J28))*(H28-(3*I28)))/F!H$81)))</f>
        <v>0</v>
      </c>
      <c r="I70" s="411">
        <f>IF(N28=0,0,(IF(O28=0,((DATE('Rentecalc.'!J$1+1,1,1)-DATE('Rentecalc.'!$J$1,(N28),J28))*(H28-(4*I28)))/F!H$81,((DATE('Rentecalc.'!$J$1,(O28),J28)-DATE('Rentecalc.'!$J$1,(N28),J28))*(H28-(4*I28)))/F!H$81)))</f>
        <v>0</v>
      </c>
      <c r="J70" s="411"/>
      <c r="K70" s="411">
        <f>IF(O28=0,0,(IF(P28=0,((DATE('Rentecalc.'!J$1+1,1,1)-DATE('Rentecalc.'!$J$1,(O28),J28))*(H28-(5*I28)))/F!H$81,((DATE('Rentecalc.'!$J$1,(P28),J28)-DATE('Rentecalc.'!$J$1,(O28),J28))*(H28-(5*I28)))/F!H$81)))</f>
        <v>0</v>
      </c>
      <c r="L70" s="411"/>
      <c r="M70" s="411"/>
      <c r="N70" s="411"/>
      <c r="O70" s="411"/>
      <c r="P70" s="411"/>
      <c r="Q70" s="280">
        <f>IF(P28=0,0,((DATE('Rentecalc.'!J$1+1,1,1)-DATE('Rentecalc.'!$J$1,(P28),J28))*(H28-(6*I28)))/F!H$81)</f>
        <v>0</v>
      </c>
      <c r="R70" s="281">
        <f t="shared" si="15"/>
        <v>0</v>
      </c>
      <c r="S70" s="282">
        <f t="shared" si="16"/>
        <v>0</v>
      </c>
      <c r="T70" s="39"/>
      <c r="U70" s="39"/>
      <c r="V70" s="39"/>
      <c r="W70" s="39"/>
      <c r="X70" s="39"/>
      <c r="Y70" s="39"/>
      <c r="Z70" s="39"/>
      <c r="AA70" s="283">
        <f t="shared" si="17"/>
        <v>0</v>
      </c>
      <c r="AB70" s="283">
        <f t="shared" si="18"/>
        <v>0</v>
      </c>
    </row>
    <row r="71" spans="1:28" s="9" customFormat="1" ht="12.75" customHeight="1">
      <c r="A71" s="370">
        <f t="shared" si="19"/>
        <v>1026</v>
      </c>
      <c r="B71" s="421">
        <f>IF(I29=0,H29,(((DATE('Rentecalc.'!$J$1,K29,J29)-DATE('Rentecalc.'!$J$1,1,1))*H29)/F!H$81))</f>
        <v>0</v>
      </c>
      <c r="C71" s="421"/>
      <c r="D71" s="411">
        <f>IF(K29=0,0,(IF(L29=0,((DATE('Rentecalc.'!J$1+1,1,1)-DATE('Rentecalc.'!$J$1,(K29),J29))*(H29-(1*I29)))/F!H$81,((DATE('Rentecalc.'!$J$1,(L29),J29)-DATE('Rentecalc.'!$J$1,(K29),J29))*(H29-(1*I29)))/F!H$81)))</f>
        <v>0</v>
      </c>
      <c r="E71" s="411"/>
      <c r="F71" s="411">
        <f>IF(L29=0,0,(IF(M29=0,((DATE('Rentecalc.'!J$1+1,1,1)-DATE('Rentecalc.'!$J$1,(L29),J29))*(H29-(2*I29)))/365,((DATE('Rentecalc.'!$J$1,(M29),J29)-DATE('Rentecalc.'!$J$1,(L29),J29))*(H29-(2*I29)))/F!H$81)))</f>
        <v>0</v>
      </c>
      <c r="G71" s="411"/>
      <c r="H71" s="279">
        <f>IF(M29=0,0,(IF(N29=0,((DATE('Rentecalc.'!J$1+1,1,1)-DATE('Rentecalc.'!$J$1,(M29),J29))*(H29-(3*I29)))/F!H$81,((DATE('Rentecalc.'!$J$1,(N29),J29)-DATE('Rentecalc.'!$J$1,(M29),J29))*(H29-(3*I29)))/F!H$81)))</f>
        <v>0</v>
      </c>
      <c r="I71" s="411">
        <f>IF(N29=0,0,(IF(O29=0,((DATE('Rentecalc.'!J$1+1,1,1)-DATE('Rentecalc.'!$J$1,(N29),J29))*(H29-(4*I29)))/F!H$81,((DATE('Rentecalc.'!$J$1,(O29),J29)-DATE('Rentecalc.'!$J$1,(N29),J29))*(H29-(4*I29)))/F!H$81)))</f>
        <v>0</v>
      </c>
      <c r="J71" s="411"/>
      <c r="K71" s="411">
        <f>IF(O29=0,0,(IF(P29=0,((DATE('Rentecalc.'!J$1+1,1,1)-DATE('Rentecalc.'!$J$1,(O29),J29))*(H29-(5*I29)))/F!H$81,((DATE('Rentecalc.'!$J$1,(P29),J29)-DATE('Rentecalc.'!$J$1,(O29),J29))*(H29-(5*I29)))/F!H$81)))</f>
        <v>0</v>
      </c>
      <c r="L71" s="411"/>
      <c r="M71" s="411"/>
      <c r="N71" s="411"/>
      <c r="O71" s="411"/>
      <c r="P71" s="411"/>
      <c r="Q71" s="280">
        <f>IF(P29=0,0,((DATE('Rentecalc.'!J$1+1,1,1)-DATE('Rentecalc.'!$J$1,(P29),J29))*(H29-(6*I29)))/F!H$81)</f>
        <v>0</v>
      </c>
      <c r="R71" s="281">
        <f t="shared" si="15"/>
        <v>0</v>
      </c>
      <c r="S71" s="282">
        <f t="shared" si="16"/>
        <v>0</v>
      </c>
      <c r="T71" s="39"/>
      <c r="U71" s="39"/>
      <c r="V71" s="39"/>
      <c r="W71" s="39"/>
      <c r="X71" s="39"/>
      <c r="Y71" s="39"/>
      <c r="Z71" s="39"/>
      <c r="AA71" s="283">
        <f t="shared" si="17"/>
        <v>0</v>
      </c>
      <c r="AB71" s="283">
        <f t="shared" si="18"/>
        <v>0</v>
      </c>
    </row>
    <row r="72" spans="1:28" s="9" customFormat="1" ht="12.75" customHeight="1">
      <c r="A72" s="370">
        <f t="shared" si="19"/>
        <v>1027</v>
      </c>
      <c r="B72" s="421">
        <f>IF(I30=0,H30,(((DATE('Rentecalc.'!$J$1,K30,J30)-DATE('Rentecalc.'!$J$1,1,1))*H30)/F!H$81))</f>
        <v>0</v>
      </c>
      <c r="C72" s="421"/>
      <c r="D72" s="411">
        <f>IF(K30=0,0,(IF(L30=0,((DATE('Rentecalc.'!J$1+1,1,1)-DATE('Rentecalc.'!$J$1,(K30),J30))*(H30-(1*I30)))/F!H$81,((DATE('Rentecalc.'!$J$1,(L30),J30)-DATE('Rentecalc.'!$J$1,(K30),J30))*(H30-(1*I30)))/F!H$81)))</f>
        <v>0</v>
      </c>
      <c r="E72" s="411"/>
      <c r="F72" s="411">
        <f>IF(L30=0,0,(IF(M30=0,((DATE('Rentecalc.'!J$1+1,1,1)-DATE('Rentecalc.'!$J$1,(L30),J30))*(H30-(2*I30)))/365,((DATE('Rentecalc.'!$J$1,(M30),J30)-DATE('Rentecalc.'!$J$1,(L30),J30))*(H30-(2*I30)))/F!H$81)))</f>
        <v>0</v>
      </c>
      <c r="G72" s="411"/>
      <c r="H72" s="279">
        <f>IF(M30=0,0,(IF(N30=0,((DATE('Rentecalc.'!J$1+1,1,1)-DATE('Rentecalc.'!$J$1,(M30),J30))*(H30-(3*I30)))/F!H$81,((DATE('Rentecalc.'!$J$1,(N30),J30)-DATE('Rentecalc.'!$J$1,(M30),J30))*(H30-(3*I30)))/F!H$81)))</f>
        <v>0</v>
      </c>
      <c r="I72" s="411">
        <f>IF(N30=0,0,(IF(O30=0,((DATE('Rentecalc.'!J$1+1,1,1)-DATE('Rentecalc.'!$J$1,(N30),J30))*(H30-(4*I30)))/F!H$81,((DATE('Rentecalc.'!$J$1,(O30),J30)-DATE('Rentecalc.'!$J$1,(N30),J30))*(H30-(4*I30)))/F!H$81)))</f>
        <v>0</v>
      </c>
      <c r="J72" s="411"/>
      <c r="K72" s="411">
        <f>IF(O30=0,0,(IF(P30=0,((DATE('Rentecalc.'!J$1+1,1,1)-DATE('Rentecalc.'!$J$1,(O30),J30))*(H30-(5*I30)))/F!H$81,((DATE('Rentecalc.'!$J$1,(P30),J30)-DATE('Rentecalc.'!$J$1,(O30),J30))*(H30-(5*I30)))/F!H$81)))</f>
        <v>0</v>
      </c>
      <c r="L72" s="411"/>
      <c r="M72" s="411"/>
      <c r="N72" s="411"/>
      <c r="O72" s="411"/>
      <c r="P72" s="411"/>
      <c r="Q72" s="280">
        <f>IF(P30=0,0,((DATE('Rentecalc.'!J$1+1,1,1)-DATE('Rentecalc.'!$J$1,(P30),J30))*(H30-(6*I30)))/F!H$81)</f>
        <v>0</v>
      </c>
      <c r="R72" s="281">
        <f t="shared" si="15"/>
        <v>0</v>
      </c>
      <c r="S72" s="282">
        <f t="shared" si="16"/>
        <v>0</v>
      </c>
      <c r="T72" s="39"/>
      <c r="U72" s="39"/>
      <c r="V72" s="39"/>
      <c r="W72" s="39"/>
      <c r="X72" s="39"/>
      <c r="Y72" s="39"/>
      <c r="Z72" s="39"/>
      <c r="AA72" s="283">
        <f t="shared" si="17"/>
        <v>0</v>
      </c>
      <c r="AB72" s="283">
        <f t="shared" si="18"/>
        <v>0</v>
      </c>
    </row>
    <row r="73" spans="1:28" s="9" customFormat="1" ht="12.75" customHeight="1">
      <c r="A73" s="370">
        <f t="shared" si="19"/>
        <v>1028</v>
      </c>
      <c r="B73" s="421">
        <f>IF(I31=0,H31,(((DATE('Rentecalc.'!$J$1,K31,J31)-DATE('Rentecalc.'!$J$1,1,1))*H31)/F!H$81))</f>
        <v>0</v>
      </c>
      <c r="C73" s="421"/>
      <c r="D73" s="411">
        <f>IF(K31=0,0,(IF(L31=0,((DATE('Rentecalc.'!J$1+1,1,1)-DATE('Rentecalc.'!$J$1,(K31),J31))*(H31-(1*I31)))/F!H$81,((DATE('Rentecalc.'!$J$1,(L31),J31)-DATE('Rentecalc.'!$J$1,(K31),J31))*(H31-(1*I31)))/F!H$81)))</f>
        <v>0</v>
      </c>
      <c r="E73" s="411"/>
      <c r="F73" s="411">
        <f>IF(L31=0,0,(IF(M31=0,((DATE('Rentecalc.'!J$1+1,1,1)-DATE('Rentecalc.'!$J$1,(L31),J31))*(H31-(2*I31)))/365,((DATE('Rentecalc.'!$J$1,(M31),J31)-DATE('Rentecalc.'!$J$1,(L31),J31))*(H31-(2*I31)))/F!H$81)))</f>
        <v>0</v>
      </c>
      <c r="G73" s="411"/>
      <c r="H73" s="279">
        <f>IF(M31=0,0,(IF(N31=0,((DATE('Rentecalc.'!J$1+1,1,1)-DATE('Rentecalc.'!$J$1,(M31),J31))*(H31-(3*I31)))/F!H$81,((DATE('Rentecalc.'!$J$1,(N31),J31)-DATE('Rentecalc.'!$J$1,(M31),J31))*(H31-(3*I31)))/F!H$81)))</f>
        <v>0</v>
      </c>
      <c r="I73" s="411">
        <f>IF(N31=0,0,(IF(O31=0,((DATE('Rentecalc.'!J$1+1,1,1)-DATE('Rentecalc.'!$J$1,(N31),J31))*(H31-(4*I31)))/F!H$81,((DATE('Rentecalc.'!$J$1,(O31),J31)-DATE('Rentecalc.'!$J$1,(N31),J31))*(H31-(4*I31)))/F!H$81)))</f>
        <v>0</v>
      </c>
      <c r="J73" s="411"/>
      <c r="K73" s="411">
        <f>IF(O31=0,0,(IF(P31=0,((DATE('Rentecalc.'!J$1+1,1,1)-DATE('Rentecalc.'!$J$1,(O31),J31))*(H31-(5*I31)))/F!H$81,((DATE('Rentecalc.'!$J$1,(P31),J31)-DATE('Rentecalc.'!$J$1,(O31),J31))*(H31-(5*I31)))/F!H$81)))</f>
        <v>0</v>
      </c>
      <c r="L73" s="411"/>
      <c r="M73" s="411"/>
      <c r="N73" s="411"/>
      <c r="O73" s="411"/>
      <c r="P73" s="411"/>
      <c r="Q73" s="280">
        <f>IF(P31=0,0,((DATE('Rentecalc.'!J$1+1,1,1)-DATE('Rentecalc.'!$J$1,(P31),J31))*(H31-(6*I31)))/F!H$81)</f>
        <v>0</v>
      </c>
      <c r="R73" s="281">
        <f t="shared" si="15"/>
        <v>0</v>
      </c>
      <c r="S73" s="282">
        <f t="shared" si="16"/>
        <v>0</v>
      </c>
      <c r="T73" s="39"/>
      <c r="U73" s="39"/>
      <c r="V73" s="39"/>
      <c r="W73" s="39"/>
      <c r="X73" s="39"/>
      <c r="Y73" s="39"/>
      <c r="Z73" s="39"/>
      <c r="AA73" s="283">
        <f t="shared" si="17"/>
        <v>0</v>
      </c>
      <c r="AB73" s="283">
        <f t="shared" si="18"/>
        <v>0</v>
      </c>
    </row>
    <row r="74" spans="1:28" s="9" customFormat="1" ht="12.75" customHeight="1">
      <c r="A74" s="370">
        <f t="shared" si="19"/>
        <v>1029</v>
      </c>
      <c r="B74" s="421">
        <f>IF(I32=0,H32,(((DATE('Rentecalc.'!$J$1,K32,J32)-DATE('Rentecalc.'!$J$1,1,1))*H32)/F!H$81))</f>
        <v>0</v>
      </c>
      <c r="C74" s="421"/>
      <c r="D74" s="411">
        <f>IF(K32=0,0,(IF(L32=0,((DATE('Rentecalc.'!J$1+1,1,1)-DATE('Rentecalc.'!$J$1,(K32),J32))*(H32-(1*I32)))/F!H$81,((DATE('Rentecalc.'!$J$1,(L32),J32)-DATE('Rentecalc.'!$J$1,(K32),J32))*(H32-(1*I32)))/F!H$81)))</f>
        <v>0</v>
      </c>
      <c r="E74" s="411"/>
      <c r="F74" s="411">
        <f>IF(L32=0,0,(IF(M32=0,((DATE('Rentecalc.'!J$1+1,1,1)-DATE('Rentecalc.'!$J$1,(L32),J32))*(H32-(2*I32)))/365,((DATE('Rentecalc.'!$J$1,(M32),J32)-DATE('Rentecalc.'!$J$1,(L32),J32))*(H32-(2*I32)))/F!H$81)))</f>
        <v>0</v>
      </c>
      <c r="G74" s="411"/>
      <c r="H74" s="279">
        <f>IF(M32=0,0,(IF(N32=0,((DATE('Rentecalc.'!J$1+1,1,1)-DATE('Rentecalc.'!$J$1,(M32),J32))*(H32-(3*I32)))/F!H$81,((DATE('Rentecalc.'!$J$1,(N32),J32)-DATE('Rentecalc.'!$J$1,(M32),J32))*(H32-(3*I32)))/F!H$81)))</f>
        <v>0</v>
      </c>
      <c r="I74" s="411">
        <f>IF(N32=0,0,(IF(O32=0,((DATE('Rentecalc.'!J$1+1,1,1)-DATE('Rentecalc.'!$J$1,(N32),J32))*(H32-(4*I32)))/F!H$81,((DATE('Rentecalc.'!$J$1,(O32),J32)-DATE('Rentecalc.'!$J$1,(N32),J32))*(H32-(4*I32)))/F!H$81)))</f>
        <v>0</v>
      </c>
      <c r="J74" s="411"/>
      <c r="K74" s="411">
        <f>IF(O32=0,0,(IF(P32=0,((DATE('Rentecalc.'!J$1+1,1,1)-DATE('Rentecalc.'!$J$1,(O32),J32))*(H32-(5*I32)))/F!H$81,((DATE('Rentecalc.'!$J$1,(P32),J32)-DATE('Rentecalc.'!$J$1,(O32),J32))*(H32-(5*I32)))/F!H$81)))</f>
        <v>0</v>
      </c>
      <c r="L74" s="411"/>
      <c r="M74" s="411"/>
      <c r="N74" s="411"/>
      <c r="O74" s="411"/>
      <c r="P74" s="411"/>
      <c r="Q74" s="280">
        <f>IF(P32=0,0,((DATE('Rentecalc.'!J$1+1,1,1)-DATE('Rentecalc.'!$J$1,(P32),J32))*(H32-(6*I32)))/F!H$81)</f>
        <v>0</v>
      </c>
      <c r="R74" s="281">
        <f t="shared" si="15"/>
        <v>0</v>
      </c>
      <c r="S74" s="282">
        <f t="shared" si="16"/>
        <v>0</v>
      </c>
      <c r="T74" s="39"/>
      <c r="U74" s="39"/>
      <c r="V74" s="39"/>
      <c r="W74" s="39"/>
      <c r="X74" s="39"/>
      <c r="Y74" s="39"/>
      <c r="Z74" s="39"/>
      <c r="AA74" s="283">
        <f t="shared" si="17"/>
        <v>0</v>
      </c>
      <c r="AB74" s="283">
        <f t="shared" si="18"/>
        <v>0</v>
      </c>
    </row>
    <row r="75" spans="1:28" s="9" customFormat="1" ht="12.75" customHeight="1">
      <c r="A75" s="370">
        <f t="shared" si="19"/>
        <v>1030</v>
      </c>
      <c r="B75" s="284"/>
      <c r="C75" s="285"/>
      <c r="D75" s="285"/>
      <c r="E75" s="285"/>
      <c r="F75" s="285"/>
      <c r="G75" s="285"/>
      <c r="H75" s="285"/>
      <c r="I75" s="285"/>
      <c r="J75" s="285"/>
      <c r="K75" s="285"/>
      <c r="L75" s="285"/>
      <c r="M75" s="285"/>
      <c r="N75" s="285"/>
      <c r="O75" s="285"/>
      <c r="P75" s="285"/>
      <c r="Q75" s="286"/>
      <c r="R75" s="98">
        <f>SUM(R46:R74)</f>
        <v>0</v>
      </c>
      <c r="S75" s="98">
        <f>SUM(S46:S74)</f>
        <v>0</v>
      </c>
      <c r="T75" s="39"/>
      <c r="U75" s="39"/>
      <c r="V75" s="39"/>
      <c r="W75" s="39"/>
      <c r="X75" s="39"/>
      <c r="Y75" s="39"/>
      <c r="Z75" s="39"/>
      <c r="AA75" s="283"/>
      <c r="AB75" s="283"/>
    </row>
    <row r="76" ht="11.25">
      <c r="A76" s="381"/>
    </row>
    <row r="77" spans="1:19" ht="11.25">
      <c r="A77" s="382"/>
      <c r="B77" s="288" t="s">
        <v>158</v>
      </c>
      <c r="F77" s="184"/>
      <c r="G77" s="184"/>
      <c r="H77" s="289"/>
      <c r="I77" s="289"/>
      <c r="J77" s="183"/>
      <c r="K77" s="183"/>
      <c r="L77" s="183"/>
      <c r="M77" s="183"/>
      <c r="N77" s="183"/>
      <c r="O77" s="183"/>
      <c r="P77" s="183"/>
      <c r="Q77" s="183"/>
      <c r="R77" s="183"/>
      <c r="S77" s="184"/>
    </row>
    <row r="78" spans="1:19" ht="11.25">
      <c r="A78" s="370">
        <f>A75+1</f>
        <v>1031</v>
      </c>
      <c r="B78" s="290" t="s">
        <v>43</v>
      </c>
      <c r="C78" s="291"/>
      <c r="D78" s="292"/>
      <c r="E78" s="291"/>
      <c r="F78" s="293"/>
      <c r="G78" s="293"/>
      <c r="H78" s="294">
        <f>'Rentecalc.'!J1</f>
        <v>2008</v>
      </c>
      <c r="I78" s="295"/>
      <c r="J78" s="183"/>
      <c r="K78" s="183"/>
      <c r="L78" s="183"/>
      <c r="M78" s="183"/>
      <c r="N78" s="183"/>
      <c r="O78" s="183"/>
      <c r="P78" s="183"/>
      <c r="Q78" s="183"/>
      <c r="R78" s="183"/>
      <c r="S78" s="184"/>
    </row>
    <row r="79" spans="1:19" ht="11.25">
      <c r="A79" s="370">
        <f>A78+1</f>
        <v>1032</v>
      </c>
      <c r="B79" s="290" t="str">
        <f>CONCATENATE("Datumwaarde van 1-1-",H78)</f>
        <v>Datumwaarde van 1-1-2008</v>
      </c>
      <c r="C79" s="291"/>
      <c r="D79" s="292"/>
      <c r="E79" s="291"/>
      <c r="F79" s="291"/>
      <c r="G79" s="291"/>
      <c r="H79" s="296">
        <f>DATE(H78,1,1)</f>
        <v>39448</v>
      </c>
      <c r="J79" s="183"/>
      <c r="K79" s="183"/>
      <c r="L79" s="183"/>
      <c r="M79" s="183"/>
      <c r="N79" s="183"/>
      <c r="O79" s="183"/>
      <c r="P79" s="183"/>
      <c r="Q79" s="183"/>
      <c r="R79" s="183"/>
      <c r="S79" s="184"/>
    </row>
    <row r="80" spans="1:19" ht="11.25">
      <c r="A80" s="370">
        <f>A79+1</f>
        <v>1033</v>
      </c>
      <c r="B80" s="290" t="str">
        <f>CONCATENATE("Datumwaarde van 1-1-",H78+1)</f>
        <v>Datumwaarde van 1-1-2009</v>
      </c>
      <c r="C80" s="293"/>
      <c r="D80" s="297"/>
      <c r="E80" s="293"/>
      <c r="F80" s="293"/>
      <c r="G80" s="293"/>
      <c r="H80" s="298">
        <f>DATE(H78+1,1,1)</f>
        <v>39814</v>
      </c>
      <c r="I80" s="183"/>
      <c r="J80" s="183"/>
      <c r="K80" s="183"/>
      <c r="L80" s="183"/>
      <c r="M80" s="183"/>
      <c r="N80" s="183"/>
      <c r="O80" s="183"/>
      <c r="P80" s="183"/>
      <c r="Q80" s="183"/>
      <c r="R80" s="183"/>
      <c r="S80" s="184"/>
    </row>
    <row r="81" spans="1:19" ht="11.25">
      <c r="A81" s="370">
        <f>A80+1</f>
        <v>1034</v>
      </c>
      <c r="B81" s="299" t="str">
        <f>CONCATENATE("Aantal dagen van ",H78)</f>
        <v>Aantal dagen van 2008</v>
      </c>
      <c r="C81" s="300"/>
      <c r="D81" s="301"/>
      <c r="E81" s="300"/>
      <c r="F81" s="300"/>
      <c r="G81" s="300"/>
      <c r="H81" s="98">
        <f>H80-H79</f>
        <v>366</v>
      </c>
      <c r="I81" s="183"/>
      <c r="J81" s="183"/>
      <c r="K81" s="183"/>
      <c r="L81" s="183"/>
      <c r="M81" s="183"/>
      <c r="N81" s="183"/>
      <c r="O81" s="183"/>
      <c r="P81" s="183"/>
      <c r="Q81" s="183"/>
      <c r="R81" s="183"/>
      <c r="S81" s="184"/>
    </row>
    <row r="82" spans="1:19" ht="11.25">
      <c r="A82" s="287"/>
      <c r="B82" s="184"/>
      <c r="C82" s="184"/>
      <c r="D82" s="302"/>
      <c r="E82" s="184"/>
      <c r="F82" s="184"/>
      <c r="G82" s="184"/>
      <c r="H82" s="183"/>
      <c r="I82" s="183"/>
      <c r="J82" s="183"/>
      <c r="K82" s="183"/>
      <c r="L82" s="183"/>
      <c r="M82" s="183"/>
      <c r="N82" s="183"/>
      <c r="O82" s="183"/>
      <c r="P82" s="183"/>
      <c r="Q82" s="183"/>
      <c r="R82" s="183"/>
      <c r="S82" s="184"/>
    </row>
  </sheetData>
  <sheetProtection password="E296" sheet="1" objects="1" scenarios="1"/>
  <mergeCells count="150">
    <mergeCell ref="I54:J54"/>
    <mergeCell ref="I55:J55"/>
    <mergeCell ref="K55:P55"/>
    <mergeCell ref="I53:J53"/>
    <mergeCell ref="K53:P53"/>
    <mergeCell ref="K54:P54"/>
    <mergeCell ref="B55:C55"/>
    <mergeCell ref="D50:E50"/>
    <mergeCell ref="B54:C54"/>
    <mergeCell ref="D54:E54"/>
    <mergeCell ref="D51:E51"/>
    <mergeCell ref="D55:E55"/>
    <mergeCell ref="D52:E52"/>
    <mergeCell ref="D53:E53"/>
    <mergeCell ref="B74:C74"/>
    <mergeCell ref="B73:C73"/>
    <mergeCell ref="I51:J51"/>
    <mergeCell ref="K51:P51"/>
    <mergeCell ref="B66:C66"/>
    <mergeCell ref="B67:C67"/>
    <mergeCell ref="B70:C70"/>
    <mergeCell ref="B71:C71"/>
    <mergeCell ref="B72:C72"/>
    <mergeCell ref="B52:C52"/>
    <mergeCell ref="B63:C63"/>
    <mergeCell ref="B64:C64"/>
    <mergeCell ref="B65:C65"/>
    <mergeCell ref="B69:C69"/>
    <mergeCell ref="B68:C68"/>
    <mergeCell ref="B59:C59"/>
    <mergeCell ref="B60:C60"/>
    <mergeCell ref="B61:C61"/>
    <mergeCell ref="B62:C62"/>
    <mergeCell ref="B56:C56"/>
    <mergeCell ref="B57:C57"/>
    <mergeCell ref="B58:C58"/>
    <mergeCell ref="B46:C46"/>
    <mergeCell ref="B47:C47"/>
    <mergeCell ref="B48:C48"/>
    <mergeCell ref="B49:C49"/>
    <mergeCell ref="B51:C51"/>
    <mergeCell ref="B50:C50"/>
    <mergeCell ref="B53:C53"/>
    <mergeCell ref="F56:G56"/>
    <mergeCell ref="F66:G66"/>
    <mergeCell ref="D61:E61"/>
    <mergeCell ref="F61:G61"/>
    <mergeCell ref="D63:E63"/>
    <mergeCell ref="F63:G63"/>
    <mergeCell ref="D56:E56"/>
    <mergeCell ref="D60:E60"/>
    <mergeCell ref="F60:G60"/>
    <mergeCell ref="D57:E57"/>
    <mergeCell ref="F55:G55"/>
    <mergeCell ref="F54:G54"/>
    <mergeCell ref="F51:G51"/>
    <mergeCell ref="F53:G53"/>
    <mergeCell ref="I74:J74"/>
    <mergeCell ref="I68:J68"/>
    <mergeCell ref="F64:G64"/>
    <mergeCell ref="F65:G65"/>
    <mergeCell ref="I73:J73"/>
    <mergeCell ref="I71:J71"/>
    <mergeCell ref="I72:J72"/>
    <mergeCell ref="I70:J70"/>
    <mergeCell ref="F69:G69"/>
    <mergeCell ref="D74:E74"/>
    <mergeCell ref="F67:G67"/>
    <mergeCell ref="F74:G74"/>
    <mergeCell ref="D68:E68"/>
    <mergeCell ref="F68:G68"/>
    <mergeCell ref="F71:G71"/>
    <mergeCell ref="F72:G72"/>
    <mergeCell ref="F73:G73"/>
    <mergeCell ref="D70:E70"/>
    <mergeCell ref="F70:G70"/>
    <mergeCell ref="K74:P74"/>
    <mergeCell ref="D47:E47"/>
    <mergeCell ref="D71:E71"/>
    <mergeCell ref="D72:E72"/>
    <mergeCell ref="D73:E73"/>
    <mergeCell ref="D64:E64"/>
    <mergeCell ref="D65:E65"/>
    <mergeCell ref="I52:J52"/>
    <mergeCell ref="K52:P52"/>
    <mergeCell ref="I67:J67"/>
    <mergeCell ref="K71:P71"/>
    <mergeCell ref="K72:P72"/>
    <mergeCell ref="K73:P73"/>
    <mergeCell ref="K67:P67"/>
    <mergeCell ref="K70:P70"/>
    <mergeCell ref="I2:P2"/>
    <mergeCell ref="I47:J47"/>
    <mergeCell ref="I45:J45"/>
    <mergeCell ref="K45:P45"/>
    <mergeCell ref="K47:P47"/>
    <mergeCell ref="I46:J46"/>
    <mergeCell ref="K46:P46"/>
    <mergeCell ref="F47:G47"/>
    <mergeCell ref="I50:J50"/>
    <mergeCell ref="K50:P50"/>
    <mergeCell ref="K3:P3"/>
    <mergeCell ref="I49:J49"/>
    <mergeCell ref="K49:P49"/>
    <mergeCell ref="B38:T40"/>
    <mergeCell ref="F46:G46"/>
    <mergeCell ref="D46:E46"/>
    <mergeCell ref="D49:E49"/>
    <mergeCell ref="D58:E58"/>
    <mergeCell ref="I58:J58"/>
    <mergeCell ref="K58:P58"/>
    <mergeCell ref="D48:E48"/>
    <mergeCell ref="I48:J48"/>
    <mergeCell ref="K48:P48"/>
    <mergeCell ref="F48:G48"/>
    <mergeCell ref="F49:G49"/>
    <mergeCell ref="F50:G50"/>
    <mergeCell ref="F52:G52"/>
    <mergeCell ref="F57:G57"/>
    <mergeCell ref="D66:E66"/>
    <mergeCell ref="F58:G58"/>
    <mergeCell ref="K66:P66"/>
    <mergeCell ref="I66:J66"/>
    <mergeCell ref="K59:P59"/>
    <mergeCell ref="I60:J60"/>
    <mergeCell ref="K60:P60"/>
    <mergeCell ref="I57:J57"/>
    <mergeCell ref="K57:P57"/>
    <mergeCell ref="D59:E59"/>
    <mergeCell ref="F59:G59"/>
    <mergeCell ref="I59:J59"/>
    <mergeCell ref="D67:E67"/>
    <mergeCell ref="D62:E62"/>
    <mergeCell ref="F62:G62"/>
    <mergeCell ref="I62:J62"/>
    <mergeCell ref="D69:E69"/>
    <mergeCell ref="I64:J64"/>
    <mergeCell ref="I69:J69"/>
    <mergeCell ref="K69:P69"/>
    <mergeCell ref="K64:P64"/>
    <mergeCell ref="K65:P65"/>
    <mergeCell ref="I65:J65"/>
    <mergeCell ref="K68:P68"/>
    <mergeCell ref="I56:J56"/>
    <mergeCell ref="K56:P56"/>
    <mergeCell ref="K62:P62"/>
    <mergeCell ref="K63:P63"/>
    <mergeCell ref="I63:J63"/>
    <mergeCell ref="I61:J61"/>
    <mergeCell ref="K61:P61"/>
  </mergeCells>
  <conditionalFormatting sqref="A78:A81 A46:A75">
    <cfRule type="cellIs" priority="1" dxfId="4" operator="equal" stopIfTrue="1">
      <formula>0</formula>
    </cfRule>
  </conditionalFormatting>
  <conditionalFormatting sqref="Q32:T32 H32:I32 R34:R35 T4:T31 B4:P31 R4:R31">
    <cfRule type="expression" priority="2" dxfId="2" stopIfTrue="1">
      <formula>$Q$1=TRUE</formula>
    </cfRule>
  </conditionalFormatting>
  <dataValidations count="1">
    <dataValidation type="list" allowBlank="1" showInputMessage="1" showErrorMessage="1" sqref="G4:G31">
      <formula1>"N,W,V"</formula1>
    </dataValidation>
  </dataValidations>
  <printOptions/>
  <pageMargins left="0.3937007874015748" right="0.3937007874015748" top="0.7874015748031497" bottom="0.3937007874015748" header="0.5118110236220472" footer="0.5118110236220472"/>
  <pageSetup firstPageNumber="9" useFirstPageNumber="1" horizontalDpi="300" verticalDpi="300" orientation="landscape" paperSize="9" scale="95" r:id="rId2"/>
  <headerFooter alignWithMargins="0">
    <oddHeader>&amp;LGGZ CALCULATIEMODEL RENTEKOSTEN&amp;R&amp;G</oddHeader>
    <oddFooter>&amp;R&amp;P</oddFooter>
  </headerFooter>
  <rowBreaks count="1" manualBreakCount="1">
    <brk id="41" max="255" man="1"/>
  </rowBreaks>
  <legacyDrawingHF r:id="rId1"/>
</worksheet>
</file>

<file path=xl/worksheets/sheet6.xml><?xml version="1.0" encoding="utf-8"?>
<worksheet xmlns="http://schemas.openxmlformats.org/spreadsheetml/2006/main" xmlns:r="http://schemas.openxmlformats.org/officeDocument/2006/relationships">
  <sheetPr codeName="Blad15"/>
  <dimension ref="A1:Q41"/>
  <sheetViews>
    <sheetView showGridLines="0" zoomScale="95" zoomScaleNormal="95" workbookViewId="0" topLeftCell="A1">
      <selection activeCell="C3" sqref="C3"/>
    </sheetView>
  </sheetViews>
  <sheetFormatPr defaultColWidth="9.140625" defaultRowHeight="12.75"/>
  <cols>
    <col min="1" max="1" width="5.7109375" style="95" customWidth="1"/>
    <col min="2" max="2" width="81.8515625" style="8" customWidth="1"/>
    <col min="3" max="4" width="17.7109375" style="6" customWidth="1"/>
    <col min="5" max="5" width="17.7109375" style="8" customWidth="1"/>
    <col min="6" max="6" width="9.140625" style="8" customWidth="1"/>
    <col min="7" max="7" width="10.7109375" style="8" customWidth="1"/>
    <col min="8" max="8" width="10.7109375" style="9" customWidth="1"/>
    <col min="9" max="13" width="10.7109375" style="8" customWidth="1"/>
    <col min="14" max="21" width="9.140625" style="8" customWidth="1"/>
    <col min="22" max="22" width="1.7109375" style="8" customWidth="1"/>
    <col min="23" max="16384" width="9.140625" style="8" customWidth="1"/>
  </cols>
  <sheetData>
    <row r="1" spans="1:8" ht="12.75" customHeight="1">
      <c r="A1" s="378" t="s">
        <v>134</v>
      </c>
      <c r="B1" s="217" t="s">
        <v>136</v>
      </c>
      <c r="C1" s="364" t="b">
        <f>'Rentecalc.'!I4</f>
        <v>1</v>
      </c>
      <c r="D1" s="23"/>
      <c r="E1" s="43"/>
      <c r="H1" s="8"/>
    </row>
    <row r="2" spans="1:5" ht="12.75" customHeight="1">
      <c r="A2" s="377"/>
      <c r="B2" s="303"/>
      <c r="C2" s="304" t="str">
        <f>CONCATENATE("31-12-",'Rentecalc.'!J1-1," ")</f>
        <v>31-12-2007 </v>
      </c>
      <c r="D2" s="304" t="str">
        <f>CONCATENATE("31-12-",'Rentecalc.'!J1," ")</f>
        <v>31-12-2008 </v>
      </c>
      <c r="E2" s="304" t="str">
        <f>CONCATENATE("Gemiddeld ",'Rentecalc.'!J1," ")</f>
        <v>Gemiddeld 2008 </v>
      </c>
    </row>
    <row r="3" spans="1:8" ht="12.75" customHeight="1">
      <c r="A3" s="370">
        <v>1101</v>
      </c>
      <c r="B3" s="305" t="s">
        <v>99</v>
      </c>
      <c r="C3" s="74"/>
      <c r="D3" s="74"/>
      <c r="E3" s="111">
        <f aca="true" t="shared" si="0" ref="E3:E14">(C3+D3)/2</f>
        <v>0</v>
      </c>
      <c r="H3" s="8"/>
    </row>
    <row r="4" spans="1:8" ht="12.75" customHeight="1">
      <c r="A4" s="370">
        <f>A3+1</f>
        <v>1102</v>
      </c>
      <c r="B4" s="306" t="s">
        <v>100</v>
      </c>
      <c r="C4" s="74"/>
      <c r="D4" s="74"/>
      <c r="E4" s="111">
        <f t="shared" si="0"/>
        <v>0</v>
      </c>
      <c r="H4" s="8"/>
    </row>
    <row r="5" spans="1:8" ht="12.75" customHeight="1">
      <c r="A5" s="370">
        <f aca="true" t="shared" si="1" ref="A5:A18">A4+1</f>
        <v>1103</v>
      </c>
      <c r="B5" s="306" t="s">
        <v>101</v>
      </c>
      <c r="C5" s="74"/>
      <c r="D5" s="74"/>
      <c r="E5" s="111">
        <f t="shared" si="0"/>
        <v>0</v>
      </c>
      <c r="H5" s="8"/>
    </row>
    <row r="6" spans="1:17" ht="12.75" customHeight="1">
      <c r="A6" s="370">
        <f t="shared" si="1"/>
        <v>1104</v>
      </c>
      <c r="B6" s="306" t="s">
        <v>102</v>
      </c>
      <c r="C6" s="74"/>
      <c r="D6" s="74"/>
      <c r="E6" s="111">
        <f t="shared" si="0"/>
        <v>0</v>
      </c>
      <c r="H6" s="8"/>
      <c r="Q6" s="62"/>
    </row>
    <row r="7" spans="1:8" ht="12.75" customHeight="1">
      <c r="A7" s="370">
        <f t="shared" si="1"/>
        <v>1105</v>
      </c>
      <c r="B7" s="306" t="s">
        <v>103</v>
      </c>
      <c r="C7" s="74"/>
      <c r="D7" s="74"/>
      <c r="E7" s="111">
        <f t="shared" si="0"/>
        <v>0</v>
      </c>
      <c r="H7" s="8"/>
    </row>
    <row r="8" spans="1:8" ht="12.75" customHeight="1">
      <c r="A8" s="370">
        <f t="shared" si="1"/>
        <v>1106</v>
      </c>
      <c r="B8" s="306" t="s">
        <v>104</v>
      </c>
      <c r="C8" s="74"/>
      <c r="D8" s="74"/>
      <c r="E8" s="111">
        <f t="shared" si="0"/>
        <v>0</v>
      </c>
      <c r="H8" s="8"/>
    </row>
    <row r="9" spans="1:8" ht="12.75" customHeight="1">
      <c r="A9" s="370">
        <f t="shared" si="1"/>
        <v>1107</v>
      </c>
      <c r="B9" s="306" t="s">
        <v>105</v>
      </c>
      <c r="C9" s="74"/>
      <c r="D9" s="74"/>
      <c r="E9" s="111">
        <f t="shared" si="0"/>
        <v>0</v>
      </c>
      <c r="H9" s="8"/>
    </row>
    <row r="10" spans="1:8" ht="12.75" customHeight="1">
      <c r="A10" s="370">
        <f t="shared" si="1"/>
        <v>1108</v>
      </c>
      <c r="B10" s="306" t="s">
        <v>106</v>
      </c>
      <c r="C10" s="74"/>
      <c r="D10" s="74"/>
      <c r="E10" s="111">
        <f t="shared" si="0"/>
        <v>0</v>
      </c>
      <c r="H10" s="8"/>
    </row>
    <row r="11" spans="1:8" ht="12.75" customHeight="1">
      <c r="A11" s="370">
        <f t="shared" si="1"/>
        <v>1109</v>
      </c>
      <c r="B11" s="306" t="s">
        <v>107</v>
      </c>
      <c r="C11" s="74"/>
      <c r="D11" s="74"/>
      <c r="E11" s="111">
        <f t="shared" si="0"/>
        <v>0</v>
      </c>
      <c r="H11" s="8"/>
    </row>
    <row r="12" spans="1:8" ht="12.75" customHeight="1">
      <c r="A12" s="370">
        <f t="shared" si="1"/>
        <v>1110</v>
      </c>
      <c r="B12" s="306" t="s">
        <v>108</v>
      </c>
      <c r="C12" s="74"/>
      <c r="D12" s="74"/>
      <c r="E12" s="111">
        <f t="shared" si="0"/>
        <v>0</v>
      </c>
      <c r="H12" s="8"/>
    </row>
    <row r="13" spans="1:8" ht="12.75" customHeight="1">
      <c r="A13" s="370">
        <f t="shared" si="1"/>
        <v>1111</v>
      </c>
      <c r="B13" s="306" t="s">
        <v>109</v>
      </c>
      <c r="C13" s="74"/>
      <c r="D13" s="74"/>
      <c r="E13" s="111">
        <f t="shared" si="0"/>
        <v>0</v>
      </c>
      <c r="H13" s="8"/>
    </row>
    <row r="14" spans="1:8" ht="12.75" customHeight="1">
      <c r="A14" s="370">
        <f t="shared" si="1"/>
        <v>1112</v>
      </c>
      <c r="B14" s="125"/>
      <c r="C14" s="74"/>
      <c r="D14" s="74"/>
      <c r="E14" s="111">
        <f t="shared" si="0"/>
        <v>0</v>
      </c>
      <c r="H14" s="8"/>
    </row>
    <row r="15" spans="1:8" ht="12.75" customHeight="1">
      <c r="A15" s="370">
        <f t="shared" si="1"/>
        <v>1113</v>
      </c>
      <c r="B15" s="103" t="str">
        <f>CONCATENATE("Totaal eigen vermogen *) conform jaarrekening (",A3," t/m ",A14,")")</f>
        <v>Totaal eigen vermogen *) conform jaarrekening (1101 t/m 1112)</v>
      </c>
      <c r="C15" s="92">
        <f>SUM(C3:C14)</f>
        <v>0</v>
      </c>
      <c r="D15" s="92">
        <f>SUM(D3:D14)</f>
        <v>0</v>
      </c>
      <c r="E15" s="128">
        <f>SUM(E3:E14)</f>
        <v>0</v>
      </c>
      <c r="H15" s="8"/>
    </row>
    <row r="16" spans="1:8" ht="12.75" customHeight="1">
      <c r="A16" s="370">
        <f t="shared" si="1"/>
        <v>1114</v>
      </c>
      <c r="B16" s="307" t="s">
        <v>33</v>
      </c>
      <c r="C16" s="308"/>
      <c r="D16" s="90">
        <v>0</v>
      </c>
      <c r="E16" s="309">
        <f>(C16+D16)/2</f>
        <v>0</v>
      </c>
      <c r="H16" s="8"/>
    </row>
    <row r="17" spans="1:8" ht="12.75" customHeight="1">
      <c r="A17" s="370">
        <f t="shared" si="1"/>
        <v>1115</v>
      </c>
      <c r="B17" s="310" t="s">
        <v>118</v>
      </c>
      <c r="C17" s="311">
        <v>0</v>
      </c>
      <c r="D17" s="90">
        <v>0</v>
      </c>
      <c r="E17" s="309">
        <f>(C17+D17)/2</f>
        <v>0</v>
      </c>
      <c r="H17" s="8"/>
    </row>
    <row r="18" spans="1:8" ht="12.75" customHeight="1">
      <c r="A18" s="370">
        <f t="shared" si="1"/>
        <v>1116</v>
      </c>
      <c r="B18" s="310" t="s">
        <v>31</v>
      </c>
      <c r="C18" s="311">
        <v>0</v>
      </c>
      <c r="D18" s="90">
        <v>0</v>
      </c>
      <c r="E18" s="309">
        <f>(C18+D18)/2</f>
        <v>0</v>
      </c>
      <c r="H18" s="8"/>
    </row>
    <row r="19" spans="1:8" ht="12.75" customHeight="1">
      <c r="A19" s="370">
        <f>A18+1</f>
        <v>1117</v>
      </c>
      <c r="B19" s="310" t="s">
        <v>32</v>
      </c>
      <c r="C19" s="311">
        <v>0</v>
      </c>
      <c r="D19" s="90">
        <v>0</v>
      </c>
      <c r="E19" s="309">
        <f>(C19+D19)/2</f>
        <v>0</v>
      </c>
      <c r="H19" s="8"/>
    </row>
    <row r="20" spans="1:8" ht="12.75" customHeight="1">
      <c r="A20" s="370">
        <f>A19+1</f>
        <v>1118</v>
      </c>
      <c r="B20" s="310" t="s">
        <v>92</v>
      </c>
      <c r="C20" s="311">
        <v>0</v>
      </c>
      <c r="D20" s="90">
        <v>0</v>
      </c>
      <c r="E20" s="309">
        <f>(C20+D20)/2</f>
        <v>0</v>
      </c>
      <c r="H20" s="8"/>
    </row>
    <row r="21" spans="1:8" ht="12.75" customHeight="1">
      <c r="A21" s="370">
        <f>A20+1</f>
        <v>1119</v>
      </c>
      <c r="B21" s="103" t="str">
        <f>CONCATENATE("In aanmerking te nemen eigen vermogen (",A15," -/- ",A16," t/m ",A20,")")</f>
        <v>In aanmerking te nemen eigen vermogen (1113 -/- 1114 t/m 1118)</v>
      </c>
      <c r="C21" s="92">
        <f>C15-SUM(C16:C20)</f>
        <v>0</v>
      </c>
      <c r="D21" s="92">
        <f>D15-SUM(D16:D20)</f>
        <v>0</v>
      </c>
      <c r="E21" s="92">
        <f>E15-SUM(E16:E20)</f>
        <v>0</v>
      </c>
      <c r="H21" s="8"/>
    </row>
    <row r="22" spans="1:2" ht="12.75" customHeight="1">
      <c r="A22" s="378"/>
      <c r="B22" s="335" t="s">
        <v>34</v>
      </c>
    </row>
    <row r="23" spans="1:9" ht="12.75" customHeight="1">
      <c r="A23" s="373"/>
      <c r="B23" s="312"/>
      <c r="C23" s="313"/>
      <c r="D23" s="8"/>
      <c r="H23" s="8"/>
      <c r="I23" s="6"/>
    </row>
    <row r="24" spans="1:3" s="102" customFormat="1" ht="12.75" customHeight="1">
      <c r="A24" s="378" t="s">
        <v>135</v>
      </c>
      <c r="B24" s="100" t="s">
        <v>18</v>
      </c>
      <c r="C24" s="314"/>
    </row>
    <row r="25" spans="1:9" ht="12.75" customHeight="1">
      <c r="A25" s="377"/>
      <c r="B25" s="315"/>
      <c r="C25" s="316"/>
      <c r="D25" s="317"/>
      <c r="E25" s="318" t="s">
        <v>124</v>
      </c>
      <c r="H25" s="8"/>
      <c r="I25" s="6"/>
    </row>
    <row r="26" spans="1:5" s="6" customFormat="1" ht="12.75" customHeight="1">
      <c r="A26" s="370">
        <f>A21+1</f>
        <v>1120</v>
      </c>
      <c r="B26" s="319" t="str">
        <f>CONCATENATE("Rente lange leningen bijlage ",LEFT(F!A1)," (exclusief eventuele boeterente van conversies)")</f>
        <v>Rente lange leningen bijlage F (exclusief eventuele boeterente van conversies)</v>
      </c>
      <c r="C26" s="320"/>
      <c r="D26" s="321"/>
      <c r="E26" s="111">
        <f>F!T36</f>
        <v>0</v>
      </c>
    </row>
    <row r="27" spans="1:5" s="6" customFormat="1" ht="12.75" customHeight="1">
      <c r="A27" s="370">
        <f>A26+1</f>
        <v>1121</v>
      </c>
      <c r="B27" s="307" t="s">
        <v>117</v>
      </c>
      <c r="C27" s="93"/>
      <c r="D27" s="322"/>
      <c r="E27" s="74"/>
    </row>
    <row r="28" spans="1:5" s="6" customFormat="1" ht="12.75" customHeight="1">
      <c r="A28" s="370">
        <f>A27+1</f>
        <v>1122</v>
      </c>
      <c r="B28" s="323" t="s">
        <v>19</v>
      </c>
      <c r="C28" s="93"/>
      <c r="D28" s="322"/>
      <c r="E28" s="74"/>
    </row>
    <row r="29" spans="1:5" s="6" customFormat="1" ht="12.75" customHeight="1">
      <c r="A29" s="370">
        <f>A28+1</f>
        <v>1123</v>
      </c>
      <c r="B29" s="324" t="str">
        <f>CONCATENATE("Intrest leasingcontracten (corresponderend leningbedrag invullen op regel ",F!A35,")")</f>
        <v>Intrest leasingcontracten (corresponderend leningbedrag invullen op regel 932)</v>
      </c>
      <c r="C29" s="325"/>
      <c r="D29" s="326"/>
      <c r="E29" s="76"/>
    </row>
    <row r="30" spans="1:5" s="6" customFormat="1" ht="11.25">
      <c r="A30" s="370">
        <f>A29+1</f>
        <v>1124</v>
      </c>
      <c r="B30" s="104" t="str">
        <f>CONCATENATE("Totaal regels ",A26," t/m ",A29)</f>
        <v>Totaal regels 1120 t/m 1123</v>
      </c>
      <c r="C30" s="113"/>
      <c r="D30" s="114"/>
      <c r="E30" s="180">
        <f>SUM(E26:E29)</f>
        <v>0</v>
      </c>
    </row>
    <row r="31" s="39" customFormat="1" ht="12.75" customHeight="1"/>
    <row r="32" spans="1:5" s="39" customFormat="1" ht="12.75" customHeight="1">
      <c r="A32" s="327" t="s">
        <v>93</v>
      </c>
      <c r="B32" s="328"/>
      <c r="C32" s="328"/>
      <c r="D32" s="328"/>
      <c r="E32" s="328"/>
    </row>
    <row r="33" spans="1:5" s="39" customFormat="1" ht="12.75" customHeight="1">
      <c r="A33" s="328"/>
      <c r="B33" s="328"/>
      <c r="C33" s="328"/>
      <c r="D33" s="328"/>
      <c r="E33" s="328"/>
    </row>
    <row r="34" spans="1:5" s="39" customFormat="1" ht="12.75" customHeight="1">
      <c r="A34" s="328"/>
      <c r="B34" s="328"/>
      <c r="C34" s="328"/>
      <c r="D34" s="328"/>
      <c r="E34" s="328"/>
    </row>
    <row r="35" spans="1:5" s="39" customFormat="1" ht="12.75" customHeight="1">
      <c r="A35" s="328"/>
      <c r="B35" s="328"/>
      <c r="C35" s="328"/>
      <c r="D35" s="328"/>
      <c r="E35" s="328"/>
    </row>
    <row r="36" spans="1:5" s="39" customFormat="1" ht="12.75" customHeight="1">
      <c r="A36" s="328"/>
      <c r="B36" s="328"/>
      <c r="C36" s="328"/>
      <c r="D36" s="328"/>
      <c r="E36" s="328"/>
    </row>
    <row r="37" spans="1:5" s="39" customFormat="1" ht="11.25">
      <c r="A37" s="328"/>
      <c r="B37" s="328"/>
      <c r="C37" s="328"/>
      <c r="D37" s="328"/>
      <c r="E37" s="328"/>
    </row>
    <row r="38" spans="1:5" s="39" customFormat="1" ht="11.25">
      <c r="A38" s="328"/>
      <c r="B38" s="328"/>
      <c r="C38" s="328"/>
      <c r="D38" s="328"/>
      <c r="E38" s="328"/>
    </row>
    <row r="39" spans="1:5" ht="11.25">
      <c r="A39" s="329"/>
      <c r="B39" s="328"/>
      <c r="C39" s="330"/>
      <c r="D39" s="330"/>
      <c r="E39" s="328"/>
    </row>
    <row r="41" ht="11.25">
      <c r="B41" s="8" t="s">
        <v>122</v>
      </c>
    </row>
  </sheetData>
  <sheetProtection password="E296" sheet="1" objects="1" scenarios="1"/>
  <conditionalFormatting sqref="C3:D14 B14 C17:D20 D16 E27:E29">
    <cfRule type="expression" priority="1" dxfId="2" stopIfTrue="1">
      <formula>$C$1=TRUE</formula>
    </cfRule>
  </conditionalFormatting>
  <printOptions/>
  <pageMargins left="0.3937007874015748" right="0.3937007874015748" top="0.7874015748031497" bottom="0.3937007874015748" header="0.5118110236220472" footer="0.5118110236220472"/>
  <pageSetup firstPageNumber="11" useFirstPageNumber="1" horizontalDpi="300" verticalDpi="300" orientation="landscape" paperSize="9" scale="95" r:id="rId2"/>
  <headerFooter alignWithMargins="0">
    <oddHeader>&amp;LGGZ CALCULATIEMODEL RENTEKOSTEN&amp;R&amp;G</oddHeader>
    <oddFooter>&amp;R&amp;P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Admin95</dc:creator>
  <cp:keywords/>
  <dc:description/>
  <cp:lastModifiedBy>J.W. Bijker</cp:lastModifiedBy>
  <cp:lastPrinted>2009-02-25T16:06:37Z</cp:lastPrinted>
  <dcterms:created xsi:type="dcterms:W3CDTF">2000-02-23T15:17:24Z</dcterms:created>
  <dcterms:modified xsi:type="dcterms:W3CDTF">2009-02-25T16:18:27Z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THRFR6N5WDQ4-17-3172</vt:lpwstr>
  </property>
  <property fmtid="{D5CDD505-2E9C-101B-9397-08002B2CF9AE}" pid="4" name="_dlc_DocIdItemGu">
    <vt:lpwstr>cf0391ce-aa1f-485d-ae9e-6b7e54a3a7cf</vt:lpwstr>
  </property>
  <property fmtid="{D5CDD505-2E9C-101B-9397-08002B2CF9AE}" pid="5" name="_dlc_DocIdU">
    <vt:lpwstr>http://kennisnet.nza.nl/publicaties/Aanleveren/_layouts/DocIdRedir.aspx?ID=THRFR6N5WDQ4-17-3172, THRFR6N5WDQ4-17-3172</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Alle:Ziekenhuiszorg|1a957709-959b-40c0-9640-61f1bd5d07a0</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Ziekenhuiszorg|1a957709-959b-40c0-9640-61f1bd5d07a0</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134;#Ziekenhuiszorg|1a957709-959b-40c0-9640-61f1bd5d07a0</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103;#Formulier|4bc40415-667d-4fea-816d-9688ca6ffa69;#134;#Ziekenhuiszorg|1a957709-959b-40c0-9640-61f1bd5d07a0</vt:lpwstr>
  </property>
</Properties>
</file>