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Voorblad" sheetId="1" r:id="rId1"/>
    <sheet name="Budget 2005" sheetId="2" r:id="rId2"/>
    <sheet name="Voorlopige nacalculatie 2004" sheetId="3" r:id="rId3"/>
  </sheets>
  <externalReferences>
    <externalReference r:id="rId6"/>
    <externalReference r:id="rId7"/>
    <externalReference r:id="rId8"/>
    <externalReference r:id="rId9"/>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1">'Budget 2005'!$B$1:$M$435</definedName>
    <definedName name="_xlnm.Print_Area" localSheetId="0">'Voorblad'!$A$24:$N$50</definedName>
    <definedName name="_xlnm.Print_Area" localSheetId="2">'Voorlopige nacalculatie 2004'!$B$1:$M$370</definedName>
    <definedName name="_xlnm.Print_Titles" localSheetId="0">'Voorblad'!$1:$11</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 localSheetId="2">#REF!</definedName>
    <definedName name="naam">#REF!</definedName>
    <definedName name="raarietswataangepastmoetworden">#REF!</definedName>
    <definedName name="tabblad" localSheetId="2">#REF!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s>
  <calcPr fullCalcOnLoad="1"/>
</workbook>
</file>

<file path=xl/sharedStrings.xml><?xml version="1.0" encoding="utf-8"?>
<sst xmlns="http://schemas.openxmlformats.org/spreadsheetml/2006/main" count="1580" uniqueCount="672">
  <si>
    <t xml:space="preserve">Wij stemmen in met bovenstaande: </t>
  </si>
  <si>
    <t>Keuzelijst</t>
  </si>
  <si>
    <t>A</t>
  </si>
  <si>
    <t>B</t>
  </si>
  <si>
    <t>C</t>
  </si>
  <si>
    <t>D</t>
  </si>
  <si>
    <t>E</t>
  </si>
  <si>
    <t>F</t>
  </si>
  <si>
    <t>Instelling:</t>
  </si>
  <si>
    <t>8. Berekening contracteerruimte 2005 exclusief geoormerkte gelden</t>
  </si>
  <si>
    <t>(n.v.t.)</t>
  </si>
  <si>
    <t>Aantal bedden somatisch en psychoger. zoals genoemd in de toelating(en) ingevolge de AWBZ</t>
  </si>
  <si>
    <t>bedden 2005</t>
  </si>
  <si>
    <t>Te bezetten</t>
  </si>
  <si>
    <t>bezetten bedden</t>
  </si>
  <si>
    <t>plaatsen 2005</t>
  </si>
  <si>
    <t>Aantal plaatsen zoals genoemd in de toelating(en) ingevolge de AWBZ</t>
  </si>
  <si>
    <t>3.2 Toeslagen dagen ten behoeve van Cliënten met een hoge zorgvraag</t>
  </si>
  <si>
    <t>Aantal dagen ten behoeve van Comapatiënten</t>
  </si>
  <si>
    <t>Aantal dagen t.b.v. Patiënten met chronische ademhalingsondersteuning</t>
  </si>
  <si>
    <t>Aantal dagen ten behoeve van Patiënten met Chorea van Huntington</t>
  </si>
  <si>
    <t>Aantal dagen ten behoeve van Reumapatiënten</t>
  </si>
  <si>
    <t>Genormeerde loonkosten - totaal verzorgingsdagen zintuiglijk gehandicapten</t>
  </si>
  <si>
    <t>Genormeerde loonkosten - totaal verzorgingsdagen Indische Nederlanders</t>
  </si>
  <si>
    <t>Genormeerde materiële kosten - totaal reguliere verzorgingsdagen</t>
  </si>
  <si>
    <t>Genormeerde materiële kosten - totaal verzorgingsdagen zint. gehandicapten</t>
  </si>
  <si>
    <t>Volumeafspraak reguliere verzorgingsdagen o.b.v. de toelating blinden, slechtzienden en doven (overnemen uit rekenstaat)</t>
  </si>
  <si>
    <t>Volumeafspraak reguliere verzorgingsdagen o.b.v. de toelating Indische Nederlanders (overnemen uit rekenstaat)</t>
  </si>
  <si>
    <t>Volumeafspraak reguliere verzorgingsdagen op basis van de toelating (overnemen uit rekenstaat)</t>
  </si>
  <si>
    <t>Correctie a.g.v. nacalculeerbare productie (indien de financiële realisatie groter is dan de financiële productieafspraak)</t>
  </si>
  <si>
    <t>Eenheid</t>
  </si>
  <si>
    <t>H 131</t>
  </si>
  <si>
    <t>Kortdurend verblijf</t>
  </si>
  <si>
    <t>per dag</t>
  </si>
  <si>
    <t>H 132</t>
  </si>
  <si>
    <t>Nachtverzorging</t>
  </si>
  <si>
    <t>per nacht</t>
  </si>
  <si>
    <t>H 135</t>
  </si>
  <si>
    <t xml:space="preserve">Aanvullende dagen instellingen met verblijf </t>
  </si>
  <si>
    <t>H 186</t>
  </si>
  <si>
    <t>Aanvullende zorg somatisch</t>
  </si>
  <si>
    <t>H 187</t>
  </si>
  <si>
    <t>Aanvullende zorg psychogeriatrisch</t>
  </si>
  <si>
    <t>H 188</t>
  </si>
  <si>
    <t>Combinatie individuele en groepsgerichte aanvullende zorg</t>
  </si>
  <si>
    <t>H 190</t>
  </si>
  <si>
    <t>Aanvullende zorg accent psychiatrische problematiek</t>
  </si>
  <si>
    <t>H 180</t>
  </si>
  <si>
    <t>Nachtverpleging</t>
  </si>
  <si>
    <t>H 189</t>
  </si>
  <si>
    <t>mogelijk ?</t>
  </si>
  <si>
    <t>Totaal</t>
  </si>
  <si>
    <t>aantal</t>
  </si>
  <si>
    <t>Afgesproken</t>
  </si>
  <si>
    <t>prijs</t>
  </si>
  <si>
    <t xml:space="preserve">Totaal </t>
  </si>
  <si>
    <t>financieel</t>
  </si>
  <si>
    <t>rekenstaat</t>
  </si>
  <si>
    <t>ja</t>
  </si>
  <si>
    <t>nee</t>
  </si>
  <si>
    <t>max</t>
  </si>
  <si>
    <t>min</t>
  </si>
  <si>
    <t>Beleidsregelwaarden</t>
  </si>
  <si>
    <t>Afspraak</t>
  </si>
  <si>
    <t>Aantal</t>
  </si>
  <si>
    <t>Rekenstaat</t>
  </si>
  <si>
    <t>Artikel</t>
  </si>
  <si>
    <t>Omschrijving</t>
  </si>
  <si>
    <t>Huishoudelijke verzorging</t>
  </si>
  <si>
    <t>Persoonlijke verzorging</t>
  </si>
  <si>
    <t>Verpleging</t>
  </si>
  <si>
    <t>Ondersteunende begeleiding</t>
  </si>
  <si>
    <t>Activerende begeleiding</t>
  </si>
  <si>
    <t>Behandeling</t>
  </si>
  <si>
    <t>Uitleen van verpleegartikelen</t>
  </si>
  <si>
    <t>Prenatale zorg</t>
  </si>
  <si>
    <t>Toegelaten</t>
  </si>
  <si>
    <t>Toevoegen?</t>
  </si>
  <si>
    <t>1. Toelating voor functies</t>
  </si>
  <si>
    <t>Keuzelijsten</t>
  </si>
  <si>
    <t>Verblijf</t>
  </si>
  <si>
    <t xml:space="preserve">Hieronder dient u aan te geven voor welke functie(s) de instelling in 2005 is toegelaten. </t>
  </si>
  <si>
    <t>Deze functies bepalen voor welke prestaties de instelling in 2005 een volume- en prijsafspraak mag maken.</t>
  </si>
  <si>
    <t xml:space="preserve">Aantal </t>
  </si>
  <si>
    <t>plaatsen</t>
  </si>
  <si>
    <t>datum</t>
  </si>
  <si>
    <t>Ingangs-</t>
  </si>
  <si>
    <t>kasbasis</t>
  </si>
  <si>
    <t>jaarbasis</t>
  </si>
  <si>
    <t>Afspraak mogelijk?</t>
  </si>
  <si>
    <t>min. datum</t>
  </si>
  <si>
    <t>max. datum</t>
  </si>
  <si>
    <t>VERBERGEN</t>
  </si>
  <si>
    <t>Totaal aantal</t>
  </si>
  <si>
    <t>3. Toeslagen</t>
  </si>
  <si>
    <t>Aantal dagen ten behoeve van Aids-patiënten</t>
  </si>
  <si>
    <t>H125</t>
  </si>
  <si>
    <t>Huishoudelijke hulp:alpha</t>
  </si>
  <si>
    <t>per uur</t>
  </si>
  <si>
    <t>H102</t>
  </si>
  <si>
    <t>H126</t>
  </si>
  <si>
    <t>H127</t>
  </si>
  <si>
    <t>Persoonlijke verzorging extra</t>
  </si>
  <si>
    <t>H104</t>
  </si>
  <si>
    <t>H128</t>
  </si>
  <si>
    <t>H106</t>
  </si>
  <si>
    <t>H114</t>
  </si>
  <si>
    <t>Verpleging extra</t>
  </si>
  <si>
    <t>Gespecialiseerde verpleging</t>
  </si>
  <si>
    <t>Verpleging: AIV</t>
  </si>
  <si>
    <t>H121</t>
  </si>
  <si>
    <t>H129</t>
  </si>
  <si>
    <t>H140</t>
  </si>
  <si>
    <t>Begeleiding</t>
  </si>
  <si>
    <t>Begeleiding extra</t>
  </si>
  <si>
    <t>Begeleiding speciaal</t>
  </si>
  <si>
    <t>H130</t>
  </si>
  <si>
    <t>Activerende thuiszorg</t>
  </si>
  <si>
    <t>Activerende begeleiding speciaal</t>
  </si>
  <si>
    <t>H322</t>
  </si>
  <si>
    <t>H323</t>
  </si>
  <si>
    <t>H324</t>
  </si>
  <si>
    <t>H325</t>
  </si>
  <si>
    <t>H326</t>
  </si>
  <si>
    <t>H327</t>
  </si>
  <si>
    <t>Behandeling basis som, pg</t>
  </si>
  <si>
    <t>Behandeling basis vg</t>
  </si>
  <si>
    <t>Behandeling basis zg</t>
  </si>
  <si>
    <t>Behandeling basis jlvg</t>
  </si>
  <si>
    <t>Behandeling basis sglvg-traject</t>
  </si>
  <si>
    <t>Behandeling basis sglvg deeltijd</t>
  </si>
  <si>
    <t>H113</t>
  </si>
  <si>
    <t>H172</t>
  </si>
  <si>
    <t>H173</t>
  </si>
  <si>
    <t>H518</t>
  </si>
  <si>
    <t>H524</t>
  </si>
  <si>
    <t>H519</t>
  </si>
  <si>
    <t>H520</t>
  </si>
  <si>
    <t>H521</t>
  </si>
  <si>
    <t>H522</t>
  </si>
  <si>
    <t>H523</t>
  </si>
  <si>
    <t>H525</t>
  </si>
  <si>
    <t>Dagactiviteit lg</t>
  </si>
  <si>
    <t>Dagactiviteit lg king mg</t>
  </si>
  <si>
    <t>Dagactiviteit vg basis</t>
  </si>
  <si>
    <t>Dagactiviteit vg extra</t>
  </si>
  <si>
    <t>Dagactiviteit vg kind mcg</t>
  </si>
  <si>
    <t>Dagactiviteit vg kind extra</t>
  </si>
  <si>
    <t>Dagactiviteit zg</t>
  </si>
  <si>
    <t>Dagactiviteit ab-jlvg</t>
  </si>
  <si>
    <t>Dagactiviteit ouderen basis</t>
  </si>
  <si>
    <t>Dagactiviteit ouderen som</t>
  </si>
  <si>
    <t>Dagactiviteit ouderen pg</t>
  </si>
  <si>
    <t>per dagdeel</t>
  </si>
  <si>
    <t>H109</t>
  </si>
  <si>
    <t>per uitlening</t>
  </si>
  <si>
    <t>per matras p/w</t>
  </si>
  <si>
    <t>per transport</t>
  </si>
  <si>
    <t>H701</t>
  </si>
  <si>
    <t>H702</t>
  </si>
  <si>
    <t>H703</t>
  </si>
  <si>
    <t>H110</t>
  </si>
  <si>
    <t>Uitleen</t>
  </si>
  <si>
    <t>Uitleen anti-decubitus matrassen, statisch</t>
  </si>
  <si>
    <t>Uitleen anti-decubitus matrassen, licht dynamisch</t>
  </si>
  <si>
    <t>Uitleen anti-decubitus matrassen, sterk dynamisch</t>
  </si>
  <si>
    <t>Transport</t>
  </si>
  <si>
    <t>H151</t>
  </si>
  <si>
    <t>per mw per uur</t>
  </si>
  <si>
    <t>H115</t>
  </si>
  <si>
    <t>H116</t>
  </si>
  <si>
    <t>Advies, instructie en voorlichting (preventie)</t>
  </si>
  <si>
    <t>Voedingsvoorlichting</t>
  </si>
  <si>
    <t>Nieuwe inschrijving</t>
  </si>
  <si>
    <t>Intakecontact</t>
  </si>
  <si>
    <t>Onderzoekscontact</t>
  </si>
  <si>
    <t>Psychotherapiecontact</t>
  </si>
  <si>
    <t>Groepscontact psychotherapie</t>
  </si>
  <si>
    <t>Behandeling/begeleidingscontact</t>
  </si>
  <si>
    <t>Telefonische behand./begel. contact</t>
  </si>
  <si>
    <t>Groepscontact behandeling/begeleiding</t>
  </si>
  <si>
    <t>Crisiscontacten binnen kantooruren</t>
  </si>
  <si>
    <t>Crisiscontacten buiten kantooruren</t>
  </si>
  <si>
    <t>Toeslag contact buiten de instelling</t>
  </si>
  <si>
    <t>per contact</t>
  </si>
  <si>
    <t>per cliënt</t>
  </si>
  <si>
    <t>F151</t>
  </si>
  <si>
    <t>F152</t>
  </si>
  <si>
    <t>F153</t>
  </si>
  <si>
    <t>F154</t>
  </si>
  <si>
    <t>F155</t>
  </si>
  <si>
    <t>F156</t>
  </si>
  <si>
    <t>F157</t>
  </si>
  <si>
    <t>F158</t>
  </si>
  <si>
    <t>F159</t>
  </si>
  <si>
    <t>F160</t>
  </si>
  <si>
    <t>F224</t>
  </si>
  <si>
    <t>F201</t>
  </si>
  <si>
    <t>F202</t>
  </si>
  <si>
    <t>F204</t>
  </si>
  <si>
    <t>F205</t>
  </si>
  <si>
    <t>F206</t>
  </si>
  <si>
    <t>F207</t>
  </si>
  <si>
    <t>F208</t>
  </si>
  <si>
    <t>F451</t>
  </si>
  <si>
    <t>F452</t>
  </si>
  <si>
    <t>F453</t>
  </si>
  <si>
    <t>F454</t>
  </si>
  <si>
    <t>F461</t>
  </si>
  <si>
    <t>F462</t>
  </si>
  <si>
    <t>F463</t>
  </si>
  <si>
    <t>F464</t>
  </si>
  <si>
    <t>F465</t>
  </si>
  <si>
    <t>F466</t>
  </si>
  <si>
    <t>F471</t>
  </si>
  <si>
    <t>F472</t>
  </si>
  <si>
    <t>F473</t>
  </si>
  <si>
    <t>F474</t>
  </si>
  <si>
    <t>F475</t>
  </si>
  <si>
    <t>F476</t>
  </si>
  <si>
    <t>F477</t>
  </si>
  <si>
    <t>F478</t>
  </si>
  <si>
    <t>F481</t>
  </si>
  <si>
    <t>F482</t>
  </si>
  <si>
    <t>F483</t>
  </si>
  <si>
    <t>F484</t>
  </si>
  <si>
    <t>F491</t>
  </si>
  <si>
    <t>Deeltijd verslavingszorg (4-6 uur)</t>
  </si>
  <si>
    <t>Deeltijd verslavingszorg (6-8 uur)</t>
  </si>
  <si>
    <t>Deeltijd met beperkte begeleiding verslavingszorg (4-6 uur)</t>
  </si>
  <si>
    <t>Deeltijd met beperkte begeleiding verslavingszorg (6-8 uur)</t>
  </si>
  <si>
    <t>Deeltijd k/j opname en observatie (4-6 uur)</t>
  </si>
  <si>
    <t>Deeltijd k/j opname en observatie (6-8 uur)</t>
  </si>
  <si>
    <t>Deeltijd k/j alg. en gezin met geringe begeleiding (4-6 uur)</t>
  </si>
  <si>
    <t>Deeltijd k/j alg. en gezin met geringe begeleiding (6-8 uur)</t>
  </si>
  <si>
    <t>Deeltijd k/j alg. en gezin met begeleiding op afstand (4-6 uur)</t>
  </si>
  <si>
    <t>Deeltijd k/j alg. en gezin met begeleiding op afstand (6-8 uur)</t>
  </si>
  <si>
    <t>Psychotherapeutische deeltijdbehandeling volw. (4-6 uur)</t>
  </si>
  <si>
    <t>Deeltijd stabilisatie volwassenen (4-6 uur)</t>
  </si>
  <si>
    <t>Deeltijd stabilisatie volwassenen (6-8 uur)</t>
  </si>
  <si>
    <t>Deeltijd rehabilitatie volwassenen (4-6 uur)</t>
  </si>
  <si>
    <t>Deeltijd rehabilitatie volwassenen (6-8 uur)</t>
  </si>
  <si>
    <t>Forensische deeltijdbehandeling (6-8 uur)</t>
  </si>
  <si>
    <t>Psychotherap. deeltijdbeh. met beperkte begeleiding volw. (4-6 uur)</t>
  </si>
  <si>
    <t>Psychotherap. deeltijdbeh. met beperkte begeleiding volw. (6-8 uur)</t>
  </si>
  <si>
    <t>p/cliënt p/cont.</t>
  </si>
  <si>
    <t>F121</t>
  </si>
  <si>
    <t>F122</t>
  </si>
  <si>
    <t>F123</t>
  </si>
  <si>
    <t>Psychiatrische crisisinterventie thuis</t>
  </si>
  <si>
    <t>Psychiatrische intensieve thuiszorg / activerende psych.thuiszorg</t>
  </si>
  <si>
    <t>Gespecialiseerde begeleiding</t>
  </si>
  <si>
    <t>Dagactiviteit ggz-lza</t>
  </si>
  <si>
    <t>H620</t>
  </si>
  <si>
    <t>H621</t>
  </si>
  <si>
    <t>H622</t>
  </si>
  <si>
    <t>H623</t>
  </si>
  <si>
    <t>H624</t>
  </si>
  <si>
    <t>H625</t>
  </si>
  <si>
    <t>F126</t>
  </si>
  <si>
    <t>H607</t>
  </si>
  <si>
    <t>H627</t>
  </si>
  <si>
    <t>Vervoer dagactiviteit ouderen (H113, H172 en H173)</t>
  </si>
  <si>
    <t xml:space="preserve">Vervoer dagactiviteit vg (H519) </t>
  </si>
  <si>
    <t xml:space="preserve">Vervoer dagactiviteit vg extra (H520) </t>
  </si>
  <si>
    <t xml:space="preserve">Vervoer dagactiviteit vg kind basis (H521) </t>
  </si>
  <si>
    <t xml:space="preserve">Vervoer dagactiviteit vg kind extra (H522) </t>
  </si>
  <si>
    <t xml:space="preserve">Vervoer dagactiviteit lg (H518) </t>
  </si>
  <si>
    <t xml:space="preserve">Vervoer dagactiviteit lg kind (H524) </t>
  </si>
  <si>
    <t>H321</t>
  </si>
  <si>
    <t>Reiskosten prestaties behandeling (H322 t/m H327)</t>
  </si>
  <si>
    <t>per aanw. dag</t>
  </si>
  <si>
    <t>F125</t>
  </si>
  <si>
    <t>De functies zijn opgenomen volgens de artikelen 3 tot en met 9, 11 en 16 van het Besluit Zorgaanspraken.</t>
  </si>
  <si>
    <t>Vervoer dagact. GGZ (F125) / deelt.beh. GGZ (F451 t/m F491)</t>
  </si>
  <si>
    <t xml:space="preserve">Vervoer zg (H130 en H523 voorzover dagbehandeling per dagdeel) </t>
  </si>
  <si>
    <t>Totaal prestaties Dagactiviteit</t>
  </si>
  <si>
    <t>Totaal prestaties overig</t>
  </si>
  <si>
    <t>Totaal prestaties Face-to-face-contacten kinderen/jeugdigen</t>
  </si>
  <si>
    <t>Totaal prestaties Face-to-face-contacten forensische psychiatrie</t>
  </si>
  <si>
    <t>Totaal prestaties Vervoerskosten ten behoeve van cliënten</t>
  </si>
  <si>
    <t>Genormeerde loonkosten</t>
  </si>
  <si>
    <t>Genormeerde materiële kosten</t>
  </si>
  <si>
    <t>Loonkosten normatief / (Erkende) cap. som + pgp (+ vrije marge)</t>
  </si>
  <si>
    <t>Loonkosten normatief / (Erkende) bedden vh. voorz. centrum</t>
  </si>
  <si>
    <t>Loonkosten normatief / Tot. verpleegdgn excl. vh. voorz. centrum</t>
  </si>
  <si>
    <t>Loonkosten normatief / Totaal verpleegdagen vh. voorz. centrum</t>
  </si>
  <si>
    <t>Toeslag opleiding verpleeghuisarts / Opleidingsplaats verpleeghuisarts</t>
  </si>
  <si>
    <t>Scholingsmiddelen / Aantal leerlingen per 1 oktober jaar t-1</t>
  </si>
  <si>
    <t>Personeelskosten / Aantal toelatingen</t>
  </si>
  <si>
    <t>Materiële kosten / (Erkende) cap. som + pgp (+ vrije marge)</t>
  </si>
  <si>
    <t>Materiële kosten / (Erkende) bedden vh. voorz. centrum</t>
  </si>
  <si>
    <t>Materiële kosten / Tot. verpleegdgn excl. vh. voorz. centrum</t>
  </si>
  <si>
    <t>Materiële kosten / Totaal verpleegdagen vh. voorz. centrum</t>
  </si>
  <si>
    <t>Energiekosten</t>
  </si>
  <si>
    <t>Materiële kosten / Aantal toelatingen</t>
  </si>
  <si>
    <t>Materiële kosten / Aantal plaatsen huur</t>
  </si>
  <si>
    <t>Materiële kosten / Aantal plaatsen eigendom</t>
  </si>
  <si>
    <t>Materiële kosten / Totaal aantal verzorgingsdagen</t>
  </si>
  <si>
    <t>Belastingen (OZB en andere heffingen)</t>
  </si>
  <si>
    <t>Bedrag</t>
  </si>
  <si>
    <t>Index (?)</t>
  </si>
  <si>
    <t>Totaal genormeerde loonkosten</t>
  </si>
  <si>
    <t>Totaal genormeerde materiële kosten</t>
  </si>
  <si>
    <t>NIET INVULLEN</t>
  </si>
  <si>
    <t>Aanvraag</t>
  </si>
  <si>
    <t>Datum</t>
  </si>
  <si>
    <t>cat.</t>
  </si>
  <si>
    <t>nr.</t>
  </si>
  <si>
    <t>Medewerker</t>
  </si>
  <si>
    <t>Versie</t>
  </si>
  <si>
    <t>Toelichting bij elektronisch formulier:</t>
  </si>
  <si>
    <t>De werkbladen zijn beveiligd. Indien u een onjuistheid ontdekt, dan verzoeken wij u dit te melden via e-mail (kamer2@ctg-zaio.nl). Het formulier dient door partijen te worden ondertekend en via de post opgestuurd te worden naar het CTG/ZAio.</t>
  </si>
  <si>
    <t>De in te vullen velden zijn gearceerd. Deze arcering kunt u in- en uitschakelen. Voor het maken van een duidelijke afdruk wordt aanbevolen eerst de arcering van de velden uit te zetten.</t>
  </si>
  <si>
    <t>Instelling</t>
  </si>
  <si>
    <t>Zorgkantoor</t>
  </si>
  <si>
    <t>Naam</t>
  </si>
  <si>
    <t>Plaats</t>
  </si>
  <si>
    <t>Contactpersoon</t>
  </si>
  <si>
    <t>Telefoon</t>
  </si>
  <si>
    <t>Fax</t>
  </si>
  <si>
    <t>E-mail</t>
  </si>
  <si>
    <t>Ondertekening namens het bestuur van het orgaan voor gezondheidszorg:</t>
  </si>
  <si>
    <t>Ondertekening namens het zorgkantoor:</t>
  </si>
  <si>
    <t>(handtekening)</t>
  </si>
  <si>
    <t>(datum)</t>
  </si>
  <si>
    <t>(naam)</t>
  </si>
  <si>
    <t>Het aantal bijlagen dat bij dit formulier is gevoegd:</t>
  </si>
  <si>
    <t>2005-2</t>
  </si>
  <si>
    <t>BUDGET 2005 EN VOORLOPIGE NACALCULATIE 2004</t>
  </si>
  <si>
    <t>7.1 Prestaties gekoppeld aan de functie Huishoudelijke verzorging</t>
  </si>
  <si>
    <t>7.2 Prestaties gekoppeld aan de functie Persoonlijke verzorging</t>
  </si>
  <si>
    <t>7.3 Prestaties gekoppeld aan de functie Verpleging</t>
  </si>
  <si>
    <t>7.4 Prestaties gekoppeld aan de functie Ondersteunende begeleiding</t>
  </si>
  <si>
    <t>7.5 Prestaties gekoppeld aan de functie Activerende begeleiding</t>
  </si>
  <si>
    <t>7.6 Prestaties gekoppeld aan de functie Behandeling</t>
  </si>
  <si>
    <t>7.7 Prestaties Dagactiviteit uitgedrukt in dagdelen</t>
  </si>
  <si>
    <t>7.8 Prestaties overig</t>
  </si>
  <si>
    <t>7.8.1 Prestaties gekoppeld aan de functie Uitleen van verpleegartikelen</t>
  </si>
  <si>
    <t>7.8.2 Prestaties gekoppeld aan de functie Prenatale zorg</t>
  </si>
  <si>
    <t>7.8.3 Prestaties Preventie: Advies, instructie en voorlichting en Voedingsvoorlichting</t>
  </si>
  <si>
    <t>7.9 Prestaties GGZ-zorg gekoppeld aan de functie Behandeling</t>
  </si>
  <si>
    <t>7.9.4 Face-to-face-contacten kinderen/jeugdigen</t>
  </si>
  <si>
    <t xml:space="preserve">2.1 Bedden en verpleegdagen toegelaten voor verblijf en behandeling </t>
  </si>
  <si>
    <t xml:space="preserve">2.2 Plaatsen en verzorgingsdagen toegelaten voor verblijf, zonder behandeling </t>
  </si>
  <si>
    <t>2. Capaciteit</t>
  </si>
  <si>
    <t>6. Intramurale zorgprestaties</t>
  </si>
  <si>
    <t>7. Extramurale zorgprestaties</t>
  </si>
  <si>
    <t>7.9.1 Face-to-face-contacten volwassenen</t>
  </si>
  <si>
    <t>F101</t>
  </si>
  <si>
    <t>F102</t>
  </si>
  <si>
    <t>F103</t>
  </si>
  <si>
    <t>F104</t>
  </si>
  <si>
    <t>F105</t>
  </si>
  <si>
    <t>F106</t>
  </si>
  <si>
    <t>F107</t>
  </si>
  <si>
    <t>F108</t>
  </si>
  <si>
    <t>F109</t>
  </si>
  <si>
    <t>F110</t>
  </si>
  <si>
    <t>F221</t>
  </si>
  <si>
    <t>Totaal prestaties Face-to-face-contacten volwassenen</t>
  </si>
  <si>
    <t>F131</t>
  </si>
  <si>
    <t>F132</t>
  </si>
  <si>
    <t>F133</t>
  </si>
  <si>
    <t>F134</t>
  </si>
  <si>
    <t>F135</t>
  </si>
  <si>
    <t>F136</t>
  </si>
  <si>
    <t>F137</t>
  </si>
  <si>
    <t>F138</t>
  </si>
  <si>
    <t>F139</t>
  </si>
  <si>
    <t>F140</t>
  </si>
  <si>
    <t>F141</t>
  </si>
  <si>
    <t>F222</t>
  </si>
  <si>
    <t>Totaal prestaties Face-to-face-contacten verslaafden</t>
  </si>
  <si>
    <t>Totaal prestaties Face-to-face-contacten ouderen</t>
  </si>
  <si>
    <t>F142</t>
  </si>
  <si>
    <t>F143</t>
  </si>
  <si>
    <t>F144</t>
  </si>
  <si>
    <t>F145</t>
  </si>
  <si>
    <t>F146</t>
  </si>
  <si>
    <t>F147</t>
  </si>
  <si>
    <t>F148</t>
  </si>
  <si>
    <t>F149</t>
  </si>
  <si>
    <t>F150</t>
  </si>
  <si>
    <t>F223</t>
  </si>
  <si>
    <t>7.9.2 Face-to-face-contacten ouderen</t>
  </si>
  <si>
    <t>7.9.3 Face-to-face-contacten verslaafden</t>
  </si>
  <si>
    <t>7.9.5 Face-to-face-contacten forensische psychiatrie</t>
  </si>
  <si>
    <t>Huishoudelijke hulp: alpha</t>
  </si>
  <si>
    <t>Activerende psych. thuiszorg</t>
  </si>
  <si>
    <t>Behandeling (verpleeghuisarts)</t>
  </si>
  <si>
    <t>per 15 minuten</t>
  </si>
  <si>
    <t>Behandeling vg (arts verstandelijk gehandicapten)</t>
  </si>
  <si>
    <t>Dagactiviteit vg kind basis</t>
  </si>
  <si>
    <t>Dagactiviteit GGZ-LZA</t>
  </si>
  <si>
    <t xml:space="preserve">per transport </t>
  </si>
  <si>
    <t>H161</t>
  </si>
  <si>
    <t>Voedingsvoorlichting en dieetadvisering</t>
  </si>
  <si>
    <t>H108</t>
  </si>
  <si>
    <t>Advies, instructie en voorlichting</t>
  </si>
  <si>
    <t>Groepscontact behandeling / begeleiding</t>
  </si>
  <si>
    <t xml:space="preserve">F206 </t>
  </si>
  <si>
    <t>Behandeling / begeleidingscontact</t>
  </si>
  <si>
    <t>F225</t>
  </si>
  <si>
    <t>Deeltijd k/j algemeen en gezin met geringe begeleiding (4-6 uur)</t>
  </si>
  <si>
    <t>Deeltijd k/j algemeen en gezin met geringe begeleiding (6-8 uur)</t>
  </si>
  <si>
    <t>Deeltijd k/j algemeen en gezin met begeleiding op afstand (4-6 uur)</t>
  </si>
  <si>
    <t>Deeltijd k/j algemeen en gezin met begeleiding op afstand (6-8 uur)</t>
  </si>
  <si>
    <t>Structuurbiedende deeltijd volwassenen (4-6 uur)</t>
  </si>
  <si>
    <t>Structuurbiedende deeltijd volwassenen (6-8 uur)</t>
  </si>
  <si>
    <t>Structuurbiedende deeltijd volwassenen met beperkte begeleiding (4-6 uur)</t>
  </si>
  <si>
    <t>Structuurbiedende deeltijd volwassenen met beperkte begeleiding (6-8 uur)</t>
  </si>
  <si>
    <t>Psychotherapeutische deeltijdbehandeling volwassenen (4-6 uur)</t>
  </si>
  <si>
    <t>Psychotherapeutische deeltijdbehandeling  volwassenen (6-8 uur)</t>
  </si>
  <si>
    <t>Psychotherapeutische deeltijdbeh. met beperkte begeleiding volw. (4-6 uur)</t>
  </si>
  <si>
    <t>Psychotherapeutische deeltijdbeh. met beperkte begeleiding volw. (6-8 uur)</t>
  </si>
  <si>
    <t>H515</t>
  </si>
  <si>
    <t>BZW-zg</t>
  </si>
  <si>
    <t>H506</t>
  </si>
  <si>
    <t>Behandelingscontact (semi-intern)</t>
  </si>
  <si>
    <t>H507</t>
  </si>
  <si>
    <t>Behandelingscontact (aan huis)</t>
  </si>
  <si>
    <t>H508</t>
  </si>
  <si>
    <t>Behandelingscontact paramedisch semi-intern</t>
  </si>
  <si>
    <t>H509</t>
  </si>
  <si>
    <t>Groepsbehandeling semi-intern licht</t>
  </si>
  <si>
    <t>H510</t>
  </si>
  <si>
    <t>Groepsbehandeling semi-intern zwaar</t>
  </si>
  <si>
    <t>H511</t>
  </si>
  <si>
    <t>Diagnose zg 1e fase</t>
  </si>
  <si>
    <t>H512</t>
  </si>
  <si>
    <t>Diagnose zg 1e en 2e fase</t>
  </si>
  <si>
    <t>H513</t>
  </si>
  <si>
    <t>Diagnose zg 1e, 2e en 3e fase</t>
  </si>
  <si>
    <t>H516</t>
  </si>
  <si>
    <t>Gewogen cliëntcontact zg (visueel)</t>
  </si>
  <si>
    <t>H626</t>
  </si>
  <si>
    <t xml:space="preserve">per matras p/w </t>
  </si>
  <si>
    <t>p/dag p/cliënt</t>
  </si>
  <si>
    <t>per diagnose</t>
  </si>
  <si>
    <t>per half uur</t>
  </si>
  <si>
    <t xml:space="preserve">Hieronder dient u aan te geven voor welke functie(s) de instelling in 2004 is toegelaten. </t>
  </si>
  <si>
    <t>Deze functies bepalen voor welke prestaties de instelling in 2004 een volume- en prijsafspraak mag maken.</t>
  </si>
  <si>
    <t>De functies zijn opgenomen volgens de artikelen 3 tot en met 9, 11, 12 en 16 van het Besluit Zorgaanspraken.</t>
  </si>
  <si>
    <t>Dieetadvisering</t>
  </si>
  <si>
    <t>Volumeafspraak reguliere verpleegdagen (overnemen uit rekenstaat)</t>
  </si>
  <si>
    <t>Volumeafspraak reguliere verpleegdagen voorheen voorzieningencentrum (overnemen uit rekenstaat)</t>
  </si>
  <si>
    <t>2. Intramurale zorgprestaties</t>
  </si>
  <si>
    <t>2.3 Overige intramurale zorgprestaties</t>
  </si>
  <si>
    <t>Totale realisatie kortdurend verblijf</t>
  </si>
  <si>
    <t>Totale realisatie nachtverzorging</t>
  </si>
  <si>
    <t>Totale realisatie aanvullende zorg somatisch</t>
  </si>
  <si>
    <t>Totale realisatie aanvullende zorg psychogeriatrisch</t>
  </si>
  <si>
    <t>Totale realisatie combinatie individuele en groepsg. aanv. zorg</t>
  </si>
  <si>
    <t>Totale realisatie aanv. zorg accent psychiatrische problematiek</t>
  </si>
  <si>
    <t>Totale realisatie nachtverpleging</t>
  </si>
  <si>
    <t>INDEX LOONKOSTEN</t>
  </si>
  <si>
    <t>INDEX MATERIËLE KST.</t>
  </si>
  <si>
    <t>Gerealiseerde investeringen instandhouding in 2004</t>
  </si>
  <si>
    <t>Index</t>
  </si>
  <si>
    <t>Financieel</t>
  </si>
  <si>
    <t>Financiële</t>
  </si>
  <si>
    <t>realisatie</t>
  </si>
  <si>
    <t>(kasbasis)</t>
  </si>
  <si>
    <t>Genormeerde loonkosten - totaal verpleegdagen vh. voorz.centrum</t>
  </si>
  <si>
    <t>Genormeerde loonkosten - totaal verpleegdagen excl. vh. voorz.centrum</t>
  </si>
  <si>
    <t>Genormeerde materiële kosten - totaal verpleegdagen vh. voorz.centrum</t>
  </si>
  <si>
    <t>Genormeerde materiële kosten - totaal verpleegdagen excl. vh. voorz.centrum</t>
  </si>
  <si>
    <t>Nac. loon- en materiële kosten - totaal verpleegdagen t.b.v. aidstoeslag</t>
  </si>
  <si>
    <t>Nac. loon- en materiële kosten - totaal dagen CVA</t>
  </si>
  <si>
    <t>Nac. loon- en materiële kosten - totaal dagen Palliatief terminale zorg</t>
  </si>
  <si>
    <t xml:space="preserve">Gerealiseerd </t>
  </si>
  <si>
    <t>Aantal cf.</t>
  </si>
  <si>
    <t>cf. rekenstaat</t>
  </si>
  <si>
    <t>Intramurale zorgproducten (overnemen uit meest recente rekenstaat 2004)</t>
  </si>
  <si>
    <t>Extramurale zorgproducten (overnemen uit meest recente rekenstaat 2004)</t>
  </si>
  <si>
    <t>Totaal prestaties Huishoudelijke verzorging (7.1) t/m Behandeling (7.6)</t>
  </si>
  <si>
    <t>7.9.6 Deeltijdbehandelingen</t>
  </si>
  <si>
    <t>Vervolg 7.9.6 Deeltijdbehandelingen</t>
  </si>
  <si>
    <t>Totaal prestaties Deeltijdbehandelingen</t>
  </si>
  <si>
    <t>Totaal Vervoerskosten ten behoeve van cliënten</t>
  </si>
  <si>
    <t>Totaal Reiskosten zorgverlener</t>
  </si>
  <si>
    <r>
      <t>1)</t>
    </r>
    <r>
      <rPr>
        <sz val="8"/>
        <rFont val="Arial"/>
        <family val="2"/>
      </rPr>
      <t xml:space="preserve"> Op basis van Regeling algemene bepalingen informatieverstrekking op grond van artikel 30a WTG.</t>
    </r>
  </si>
  <si>
    <r>
      <t>Inzenden vóór 1 MAART 2005</t>
    </r>
    <r>
      <rPr>
        <b/>
        <vertAlign val="superscript"/>
        <sz val="9"/>
        <rFont val="Arial"/>
        <family val="2"/>
      </rPr>
      <t xml:space="preserve">  1)</t>
    </r>
  </si>
  <si>
    <t>Dagactiviteit ouderen extra (SOM)</t>
  </si>
  <si>
    <t>Dagactiviteit ouderen extra (PG)</t>
  </si>
  <si>
    <t>Vervoer dagactiviteit GGZ (F125)/deeltijdbehandeling GGZ (F451 t/m F491)</t>
  </si>
  <si>
    <r>
      <t>Vervoer zg</t>
    </r>
    <r>
      <rPr>
        <b/>
        <sz val="10"/>
        <rFont val="Arial"/>
        <family val="2"/>
      </rPr>
      <t xml:space="preserve"> </t>
    </r>
    <r>
      <rPr>
        <sz val="10"/>
        <rFont val="Arial"/>
        <family val="2"/>
      </rPr>
      <t xml:space="preserve">(H509, H510 en H516) voorzover het betreft dagbeh. per dagdeel </t>
    </r>
  </si>
  <si>
    <t>Naam instelling</t>
  </si>
  <si>
    <t>Plaats instelling</t>
  </si>
  <si>
    <t>Dit in verband met de verdergaande stichtingsbudgettering 2005.</t>
  </si>
  <si>
    <t>Instellingsgegevens 2004</t>
  </si>
  <si>
    <t>cat</t>
  </si>
  <si>
    <t>nr</t>
  </si>
  <si>
    <t>Prijs</t>
  </si>
  <si>
    <t>Aantal dagen ten behoeve van CVA-patiënten</t>
  </si>
  <si>
    <t>Aantal dagen ten behoeve van Palliatief terminale zorg</t>
  </si>
  <si>
    <t>Aantal jongeren met niet-aangeboren hersenletsel</t>
  </si>
  <si>
    <t>Aantal bedden voorzieningencentrum zoals genoemd in de toelating(en) ingevolge de AWBZ</t>
  </si>
  <si>
    <t>bedden</t>
  </si>
  <si>
    <t>verpleegdagen</t>
  </si>
  <si>
    <t>Aantal dagen</t>
  </si>
  <si>
    <t>5. Instandhoudingsinvesteringen</t>
  </si>
  <si>
    <t>6. Extramurale zorgprestaties</t>
  </si>
  <si>
    <t>6.1 Prestaties gekoppeld aan de functie Huishoudelijke verzorging</t>
  </si>
  <si>
    <t>6.2 Prestaties gekoppeld aan de functie Persoonlijke verzorging</t>
  </si>
  <si>
    <t>6.3 Prestaties gekoppeld aan de functie Verpleging</t>
  </si>
  <si>
    <t>6.4 Prestaties gekoppeld aan de functie Ondersteunende begeleiding</t>
  </si>
  <si>
    <t>6.5 Prestaties gekoppeld aan de functie Activerende begeleiding</t>
  </si>
  <si>
    <t>6.6 Prestaties gekoppeld aan de functie Behandeling</t>
  </si>
  <si>
    <t>Totaal prestaties Huishoudelijke verzorging (6.1) t/m Behandeling (6.6)</t>
  </si>
  <si>
    <t>6.7 Prestaties dagactiviteit uitgedrukt in 'dagdelen'</t>
  </si>
  <si>
    <t>6.8 Prestaties overig</t>
  </si>
  <si>
    <t>6.8.1 Prestaties gekoppeld aan de functie Uitleen van verpleegartikelen</t>
  </si>
  <si>
    <t>6.8.2 Prestaties gekoppeld aan de functie Dieetadvisering</t>
  </si>
  <si>
    <t>6.8.3 Prestaties gekoppeld aan de functie Prenatale zorg</t>
  </si>
  <si>
    <t>6.8.4 Prestaties niet gekoppeld aan een functie</t>
  </si>
  <si>
    <t>6.9 Prestaties GGZ-zorg gekoppeld aan de functie Behandeling</t>
  </si>
  <si>
    <t>6.9.1 Face-to-face-contacten volwassenen (F101 t/m F110 en F221)</t>
  </si>
  <si>
    <t>6.9.2 Face-to-face-contacten ouderen (F131 t/m F140 en F222)</t>
  </si>
  <si>
    <t>6.9.3 Face-to-face-contacten verslaafden (F141 t/m F150 en F223)</t>
  </si>
  <si>
    <t>6.9.4 Face-to-face-contacten kinderen/jeugdigen (F151 t/m F160 en F224)</t>
  </si>
  <si>
    <t>6.9.5 Poli forensische psychiatrie (F201 t/m F208 en F225)</t>
  </si>
  <si>
    <t>6.9.6 Deeltijdbehandeling (F451 t/m F491)</t>
  </si>
  <si>
    <t>Vervolg 6.9.6 Deeltijdbehandeling (F451 t/m F491)</t>
  </si>
  <si>
    <t>6.9.7 Overige</t>
  </si>
  <si>
    <t>6.10 Prestaties ZG-Zorg</t>
  </si>
  <si>
    <t>6.11 Vervoerskosten t.b.v. cliënten (let op: medische indicatie is vereist)</t>
  </si>
  <si>
    <t>6.12 Reiskosten zorgverlener (toeslag per contact)</t>
  </si>
  <si>
    <t>max aantal</t>
  </si>
  <si>
    <t>min aantal</t>
  </si>
  <si>
    <t xml:space="preserve">    op grond van de Beleidsregel overgangsregeling kapitaalslasten extramurale zorgverlening te worden opgenomen. Deze aanpassing zal als 'voorlopige budgetmutatie' in de rekenstaat worden verwerkt.</t>
  </si>
  <si>
    <t>Totaal prestaties ZG-zorg</t>
  </si>
  <si>
    <r>
      <t xml:space="preserve">Totaal nacalculeerbare kapitaalslasten </t>
    </r>
    <r>
      <rPr>
        <vertAlign val="superscript"/>
        <sz val="10"/>
        <rFont val="Arial"/>
        <family val="2"/>
      </rPr>
      <t>3)</t>
    </r>
  </si>
  <si>
    <t>2) In de kolom "Afgesproken prijs" dient het tarief exclusief de index 2004 te worden ingevuld. De definitieve index 2004 wordt automatisch berekend in de kolom "Totaal financieel".</t>
  </si>
  <si>
    <t xml:space="preserve">Genormeerde loonkosten - totaal reguliere verzorgingsdagen </t>
  </si>
  <si>
    <t>Aantal conf.</t>
  </si>
  <si>
    <t>toelating</t>
  </si>
  <si>
    <t>Gem. aantal</t>
  </si>
  <si>
    <t>verpleegdgn</t>
  </si>
  <si>
    <t>Aantal gerealiseerde verzorgingsdagen</t>
  </si>
  <si>
    <t>Aantal gerealiseerde verpleegdagen somatisch en psychogeriatrisch</t>
  </si>
  <si>
    <t>Aantal gerealiseerde verpleegdagen voorheen voorzieningencentrum</t>
  </si>
  <si>
    <t>verz.dagen</t>
  </si>
  <si>
    <t>per zitting</t>
  </si>
  <si>
    <t>Paramedische zorg</t>
  </si>
  <si>
    <t>H 191</t>
  </si>
  <si>
    <t xml:space="preserve">     Indien hier sprake van is, dient er ALTIJD een separate toelichting meegestuurd te worden.</t>
  </si>
  <si>
    <t>max aantal dgn</t>
  </si>
  <si>
    <t>min aantal dgn</t>
  </si>
  <si>
    <t>6-11</t>
  </si>
  <si>
    <t>12-17</t>
  </si>
  <si>
    <t>18-23</t>
  </si>
  <si>
    <t>bedrag</t>
  </si>
  <si>
    <t>Jongeren NAH</t>
  </si>
  <si>
    <t>Aantal leerlingen die opgeleid worden via de beroepsbegeleidende leerweg per 1 oktober 2004</t>
  </si>
  <si>
    <t>Structuurbiedende deeltijd volw. met beperkte begeleiding (4-6 uur)</t>
  </si>
  <si>
    <t>Structuurbiedende deeltijd volw. met beperkte begeleiding (6-8 uur)</t>
  </si>
  <si>
    <t>Realisatie verpleegdagen jaar t-2 en jaar t-1</t>
  </si>
  <si>
    <t>Realisatie verzorgingsdagen jaar t-2 en jaar t-1</t>
  </si>
  <si>
    <t>ultimo 2004</t>
  </si>
  <si>
    <r>
      <t xml:space="preserve">1) Voor een juiste berekening van het aantal bedden op kasbasis dient u hier het aantal bedden </t>
    </r>
    <r>
      <rPr>
        <b/>
        <sz val="8"/>
        <rFont val="Arial"/>
        <family val="2"/>
      </rPr>
      <t>excl. wijzigingen in de capaciteit als gevolg van nieuwe toelating(en) 2005</t>
    </r>
    <r>
      <rPr>
        <sz val="8"/>
        <rFont val="Arial"/>
        <family val="0"/>
      </rPr>
      <t xml:space="preserve"> in te vullen.</t>
    </r>
  </si>
  <si>
    <t>2) De wijziging van het aantal bedden dient binnen de toelating(en) ingevolge de AWBZ te passen.</t>
  </si>
  <si>
    <t>Aantal dagen ten behoeve van Indische Nederlanders</t>
  </si>
  <si>
    <t>Aantal dagen ten behoeve van doven, blinden of slechtzienden</t>
  </si>
  <si>
    <t>3.1 Toeslagen dagen</t>
  </si>
  <si>
    <t>Zintuiglijk</t>
  </si>
  <si>
    <t>Indische NL</t>
  </si>
  <si>
    <t xml:space="preserve">Instellingen </t>
  </si>
  <si>
    <t>Huidige instelling:</t>
  </si>
  <si>
    <t>Regiotoeslag / Te bezetten bedden</t>
  </si>
  <si>
    <t>Categorie regio:</t>
  </si>
  <si>
    <t>Separate regiotoeslag / Te bezetten bedden                     Recht op:</t>
  </si>
  <si>
    <t>Aids</t>
  </si>
  <si>
    <t>melden</t>
  </si>
  <si>
    <t>Jongeren niet aangeboren hersenletsel                                Aantal:</t>
  </si>
  <si>
    <t>4.  Scholingsmiddelen en Jongeren met niet-aangeboren hersenletsel</t>
  </si>
  <si>
    <r>
      <t xml:space="preserve">Te bezetten capaciteit </t>
    </r>
    <r>
      <rPr>
        <b/>
        <sz val="10"/>
        <rFont val="Arial"/>
        <family val="2"/>
      </rPr>
      <t>huur - geïndiceerd</t>
    </r>
    <r>
      <rPr>
        <sz val="10"/>
        <rFont val="Arial"/>
        <family val="0"/>
      </rPr>
      <t xml:space="preserve"> excl. toelatingswijzigingen 2005 </t>
    </r>
    <r>
      <rPr>
        <vertAlign val="superscript"/>
        <sz val="10"/>
        <rFont val="Arial"/>
        <family val="2"/>
      </rPr>
      <t>1) &amp;</t>
    </r>
    <r>
      <rPr>
        <sz val="10"/>
        <rFont val="Arial"/>
        <family val="0"/>
      </rPr>
      <t xml:space="preserve"> </t>
    </r>
    <r>
      <rPr>
        <vertAlign val="superscript"/>
        <sz val="10"/>
        <rFont val="Arial"/>
        <family val="2"/>
      </rPr>
      <t>2)</t>
    </r>
  </si>
  <si>
    <t>Totaal capaciteit huur - geïndiceerd 2005</t>
  </si>
  <si>
    <t>Totaal capaciteit huur - niet geïndiceerde partner 2005</t>
  </si>
  <si>
    <t>Totaal capaciteit eigendom - geïndiceerd 2005</t>
  </si>
  <si>
    <t>Totaal capaciteit eigendom - niet geïndiceerde partner 2005</t>
  </si>
  <si>
    <r>
      <t xml:space="preserve">Te bezetten capaciteit </t>
    </r>
    <r>
      <rPr>
        <b/>
        <sz val="10"/>
        <rFont val="Arial"/>
        <family val="2"/>
      </rPr>
      <t>huur - niet geïndiceerde partner</t>
    </r>
    <r>
      <rPr>
        <sz val="10"/>
        <rFont val="Arial"/>
        <family val="0"/>
      </rPr>
      <t xml:space="preserve"> (excl. toel.wijz.) </t>
    </r>
    <r>
      <rPr>
        <vertAlign val="superscript"/>
        <sz val="10"/>
        <rFont val="Arial"/>
        <family val="2"/>
      </rPr>
      <t>1) &amp;</t>
    </r>
    <r>
      <rPr>
        <sz val="10"/>
        <rFont val="Arial"/>
        <family val="0"/>
      </rPr>
      <t xml:space="preserve"> </t>
    </r>
    <r>
      <rPr>
        <vertAlign val="superscript"/>
        <sz val="10"/>
        <rFont val="Arial"/>
        <family val="2"/>
      </rPr>
      <t>2)</t>
    </r>
  </si>
  <si>
    <r>
      <t xml:space="preserve">Te bezetten capaciteit </t>
    </r>
    <r>
      <rPr>
        <b/>
        <sz val="10"/>
        <rFont val="Arial"/>
        <family val="2"/>
      </rPr>
      <t>eigendom - geïndiceerd</t>
    </r>
    <r>
      <rPr>
        <sz val="10"/>
        <rFont val="Arial"/>
        <family val="0"/>
      </rPr>
      <t xml:space="preserve"> excl. toel.wijz. 2005 </t>
    </r>
    <r>
      <rPr>
        <vertAlign val="superscript"/>
        <sz val="10"/>
        <rFont val="Arial"/>
        <family val="2"/>
      </rPr>
      <t>1) &amp;</t>
    </r>
    <r>
      <rPr>
        <sz val="10"/>
        <rFont val="Arial"/>
        <family val="0"/>
      </rPr>
      <t xml:space="preserve"> </t>
    </r>
    <r>
      <rPr>
        <vertAlign val="superscript"/>
        <sz val="10"/>
        <rFont val="Arial"/>
        <family val="2"/>
      </rPr>
      <t>2)</t>
    </r>
  </si>
  <si>
    <t>plst jaarbasis</t>
  </si>
  <si>
    <t>Toelating</t>
  </si>
  <si>
    <t>Personeelskosten / Aantal plaatsen huur - niet-geïndiceerde partner</t>
  </si>
  <si>
    <t>Personeelskosten / Aantal plaatsen eigendom - niet-geïndiceerde partner</t>
  </si>
  <si>
    <t>Personeelskosten / Aantal plaatsen eigendom - geïndiceerd</t>
  </si>
  <si>
    <t>Personeelskosten / Aantal plaatsen huur - geïndiceerd</t>
  </si>
  <si>
    <t>Personeelskosten / Totaal aantal verzorgingsdagen - geïndiceerd</t>
  </si>
  <si>
    <t>Personeelskosten / Totaal aantal verzorgingsdagen - niet geïndiceerde partner</t>
  </si>
  <si>
    <t>JA</t>
  </si>
  <si>
    <r>
      <t xml:space="preserve">Registratienummer </t>
    </r>
    <r>
      <rPr>
        <b/>
        <sz val="9"/>
        <rFont val="Arial"/>
        <family val="2"/>
      </rPr>
      <t>2005</t>
    </r>
    <r>
      <rPr>
        <sz val="9"/>
        <rFont val="Arial"/>
        <family val="2"/>
      </rPr>
      <t xml:space="preserve"> CTG/ZAio</t>
    </r>
  </si>
  <si>
    <t>U dient dus per oud registratienummer 2004 de pagina's van de voorlopige nacalculatie in te vullen.</t>
  </si>
  <si>
    <t>De pagina´s van de voorlopige nacalculatie 2004 dienen op het niveau van het registratienummer 2004 te worden ingevuld.</t>
  </si>
  <si>
    <t>CTG/Zaio reg.nummer</t>
  </si>
  <si>
    <r>
      <t xml:space="preserve">Totale realisatie dagen ten behoeve van Aids-patiënten </t>
    </r>
    <r>
      <rPr>
        <vertAlign val="superscript"/>
        <sz val="10"/>
        <rFont val="Arial"/>
        <family val="2"/>
      </rPr>
      <t>2)</t>
    </r>
  </si>
  <si>
    <r>
      <t xml:space="preserve">Totale realisatie dagen ten behoeve van CVA-patiënten </t>
    </r>
    <r>
      <rPr>
        <vertAlign val="superscript"/>
        <sz val="10"/>
        <rFont val="Arial"/>
        <family val="2"/>
      </rPr>
      <t>2)</t>
    </r>
  </si>
  <si>
    <r>
      <t xml:space="preserve">Totale realisatie dagen ten behoeve van Palliatief terminale zorg </t>
    </r>
    <r>
      <rPr>
        <vertAlign val="superscript"/>
        <sz val="10"/>
        <rFont val="Arial"/>
        <family val="2"/>
      </rPr>
      <t>2)</t>
    </r>
  </si>
  <si>
    <t>Totaal capaciteit somatisch ultimo 2005</t>
  </si>
  <si>
    <t>Totaal capaciteit psychogeriatrisch ultimo 2005</t>
  </si>
  <si>
    <t>Totaal capaciteit voorzieningencentrum ultimo 2005</t>
  </si>
  <si>
    <r>
      <t xml:space="preserve">Te bezetten capaciteit </t>
    </r>
    <r>
      <rPr>
        <b/>
        <sz val="10"/>
        <rFont val="Arial"/>
        <family val="2"/>
      </rPr>
      <t>somatisch</t>
    </r>
    <r>
      <rPr>
        <sz val="10"/>
        <rFont val="Arial"/>
        <family val="0"/>
      </rPr>
      <t xml:space="preserve"> exclusief toelatingswijzigingen </t>
    </r>
    <r>
      <rPr>
        <vertAlign val="superscript"/>
        <sz val="10"/>
        <rFont val="Arial"/>
        <family val="2"/>
      </rPr>
      <t>1) &amp;</t>
    </r>
    <r>
      <rPr>
        <sz val="10"/>
        <rFont val="Arial"/>
        <family val="0"/>
      </rPr>
      <t xml:space="preserve"> </t>
    </r>
    <r>
      <rPr>
        <vertAlign val="superscript"/>
        <sz val="10"/>
        <rFont val="Arial"/>
        <family val="2"/>
      </rPr>
      <t>2)</t>
    </r>
  </si>
  <si>
    <r>
      <t xml:space="preserve">Te bezetten capaciteit </t>
    </r>
    <r>
      <rPr>
        <b/>
        <sz val="10"/>
        <rFont val="Arial"/>
        <family val="2"/>
      </rPr>
      <t>psychogeriatrisch</t>
    </r>
    <r>
      <rPr>
        <sz val="10"/>
        <rFont val="Arial"/>
        <family val="0"/>
      </rPr>
      <t xml:space="preserve"> excl. toelatingswijzigingen </t>
    </r>
    <r>
      <rPr>
        <vertAlign val="superscript"/>
        <sz val="10"/>
        <rFont val="Arial"/>
        <family val="2"/>
      </rPr>
      <t>1) &amp; 2)</t>
    </r>
  </si>
  <si>
    <r>
      <t xml:space="preserve">Te bezetten capaciteit </t>
    </r>
    <r>
      <rPr>
        <b/>
        <sz val="10"/>
        <rFont val="Arial"/>
        <family val="2"/>
      </rPr>
      <t>voorzieningencentrum</t>
    </r>
    <r>
      <rPr>
        <sz val="10"/>
        <rFont val="Arial"/>
        <family val="0"/>
      </rPr>
      <t xml:space="preserve"> excl. toelatingswijzigingen </t>
    </r>
    <r>
      <rPr>
        <vertAlign val="superscript"/>
        <sz val="10"/>
        <rFont val="Arial"/>
        <family val="2"/>
      </rPr>
      <t>1) &amp; 2)</t>
    </r>
  </si>
  <si>
    <t>G</t>
  </si>
  <si>
    <t>CJJI</t>
  </si>
  <si>
    <t>min dgn</t>
  </si>
  <si>
    <t>max dgn</t>
  </si>
  <si>
    <t>Psychotherapeutische deeltijdbehandeling volw. (6-8 uur)</t>
  </si>
  <si>
    <t>Categorie regiotoeslag</t>
  </si>
  <si>
    <t>max. aantal</t>
  </si>
  <si>
    <t>VKN</t>
  </si>
  <si>
    <t>2.1 Gerealiseerde verpleegdagen (toegelaten voor verblijf en behandeling)</t>
  </si>
  <si>
    <t>2.2 Gerealiseerde verzorgingsdagen (toegelaten voor verblijf)</t>
  </si>
  <si>
    <t>cat. melden</t>
  </si>
  <si>
    <r>
      <t>Totale realisatie verpleegdagen somatisch en psychogeriatrisch</t>
    </r>
    <r>
      <rPr>
        <vertAlign val="superscript"/>
        <sz val="10"/>
        <rFont val="Arial"/>
        <family val="2"/>
      </rPr>
      <t xml:space="preserve"> 1)</t>
    </r>
  </si>
  <si>
    <r>
      <t xml:space="preserve">Totale realisatie verpleegdagen voorheen voorzieningencentrum </t>
    </r>
    <r>
      <rPr>
        <vertAlign val="superscript"/>
        <sz val="10"/>
        <rFont val="Arial"/>
        <family val="2"/>
      </rPr>
      <t>1)</t>
    </r>
  </si>
  <si>
    <t>Reiskosten arts (bij prestaties H322 en H323)</t>
  </si>
  <si>
    <t>Reiskosten zorgverlener (bij prestaties H507 en H515)</t>
  </si>
  <si>
    <t>Het CTG/ZAio wil een bijdrage leveren aan het verminderen van de administratieve lasten bij instellingen. Het CTG/ZAio streeft tevens naar een zo efficiënt mogelijke aanwending van middelen om ontwikkelingen in de gezondheidszorg in kaart te brengen. Daarom heeft het CTG/ZAio met het CBS, Prismant en het SCP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Het CTG/ZAio wil de door u op dit formulier ingevulde gegevens betrekken bij de hierboven genoemde gegevensuitwisseling.  Bij toestemming levert u een bijdrage aan het verminderen van uw eigen administratieve lasten.</t>
  </si>
  <si>
    <t>NEE</t>
  </si>
  <si>
    <t>Bij bezwaar tegen genoemde gegevensuitwisseling, verzoeken wij u in het vakje hiernaast "NEE" aan te geven.</t>
  </si>
  <si>
    <t>bezetten plts</t>
  </si>
  <si>
    <t>datum min</t>
  </si>
  <si>
    <t>datum max</t>
  </si>
  <si>
    <t>2) De mutatie van het aantal plaatsen dient binnen de toelating(en) ingevolge de AWBZ te passen.</t>
  </si>
  <si>
    <r>
      <t xml:space="preserve">1) Voor een juiste berekening van het aantal plaatsen op kasbasis dient u hier het aantal plaatsen </t>
    </r>
    <r>
      <rPr>
        <b/>
        <sz val="8"/>
        <rFont val="Arial"/>
        <family val="2"/>
      </rPr>
      <t>excl. mutaties in de capaciteit als gevolg van nieuwe toelating(en) 2005</t>
    </r>
    <r>
      <rPr>
        <sz val="8"/>
        <rFont val="Arial"/>
        <family val="0"/>
      </rPr>
      <t xml:space="preserve"> in te vullen.</t>
    </r>
  </si>
  <si>
    <t>Dagactiviteit vg kind</t>
  </si>
  <si>
    <t>Financiële afspraak t.l.v. de contracteerruimte Methadon</t>
  </si>
  <si>
    <r>
      <t xml:space="preserve">Financiële afspraak t.l.v. de contracteerruimte Extramurale GGZ zorgverlening in justitiële jeugdinrichtingen </t>
    </r>
    <r>
      <rPr>
        <b/>
        <vertAlign val="superscript"/>
        <sz val="11"/>
        <rFont val="Arial"/>
        <family val="2"/>
      </rPr>
      <t>1)</t>
    </r>
  </si>
  <si>
    <t>Totale financiële afspraken t.l.v. de contracteerruimten 2005</t>
  </si>
  <si>
    <r>
      <t xml:space="preserve">Te bezetten cap. </t>
    </r>
    <r>
      <rPr>
        <b/>
        <sz val="10"/>
        <rFont val="Arial"/>
        <family val="2"/>
      </rPr>
      <t>eigendom - niet geïndiceerd</t>
    </r>
    <r>
      <rPr>
        <sz val="10"/>
        <rFont val="Arial"/>
        <family val="0"/>
      </rPr>
      <t xml:space="preserve"> (excl. toel.wijz.) </t>
    </r>
    <r>
      <rPr>
        <vertAlign val="superscript"/>
        <sz val="10"/>
        <rFont val="Arial"/>
        <family val="2"/>
      </rPr>
      <t>1) &amp;</t>
    </r>
    <r>
      <rPr>
        <sz val="10"/>
        <rFont val="Arial"/>
        <family val="0"/>
      </rPr>
      <t xml:space="preserve"> </t>
    </r>
    <r>
      <rPr>
        <vertAlign val="superscript"/>
        <sz val="10"/>
        <rFont val="Arial"/>
        <family val="2"/>
      </rPr>
      <t>2)</t>
    </r>
  </si>
  <si>
    <r>
      <t xml:space="preserve">Mutatie capaciteit eigendom - niet geïndiceerd a.g.v. nieuwe toelating </t>
    </r>
    <r>
      <rPr>
        <vertAlign val="superscript"/>
        <sz val="10"/>
        <rFont val="Arial"/>
        <family val="2"/>
      </rPr>
      <t>2)</t>
    </r>
  </si>
  <si>
    <r>
      <t xml:space="preserve">Mutatie capaciteit huur - niet geïndiceerd a.g.v. nieuwe toelating </t>
    </r>
    <r>
      <rPr>
        <vertAlign val="superscript"/>
        <sz val="10"/>
        <rFont val="Arial"/>
        <family val="2"/>
      </rPr>
      <t>2)</t>
    </r>
  </si>
  <si>
    <r>
      <t xml:space="preserve">Mutatie capaciteit huur - geïndiceerd a.g.v. nieuwe toelating </t>
    </r>
    <r>
      <rPr>
        <vertAlign val="superscript"/>
        <sz val="10"/>
        <rFont val="Arial"/>
        <family val="2"/>
      </rPr>
      <t>2)</t>
    </r>
  </si>
  <si>
    <r>
      <t xml:space="preserve">Mutatie capaciteit eigendom - geïndiceerd a.g.v. nieuwe toelating </t>
    </r>
    <r>
      <rPr>
        <vertAlign val="superscript"/>
        <sz val="10"/>
        <rFont val="Arial"/>
        <family val="2"/>
      </rPr>
      <t>2)</t>
    </r>
  </si>
  <si>
    <r>
      <t xml:space="preserve">Mutatie capaciteit voorzieningencentrum a.g.v. nieuwe toelating </t>
    </r>
    <r>
      <rPr>
        <vertAlign val="superscript"/>
        <sz val="10"/>
        <rFont val="Arial"/>
        <family val="2"/>
      </rPr>
      <t>2)</t>
    </r>
  </si>
  <si>
    <r>
      <t xml:space="preserve">Mutatie capaciteit psychogeriatrisch a.g.v. nieuwe toelating </t>
    </r>
    <r>
      <rPr>
        <vertAlign val="superscript"/>
        <sz val="10"/>
        <rFont val="Arial"/>
        <family val="2"/>
      </rPr>
      <t>2)</t>
    </r>
  </si>
  <si>
    <r>
      <t xml:space="preserve">Mutatie capaciteit somatisch a.g.v. nieuwe toelating </t>
    </r>
    <r>
      <rPr>
        <vertAlign val="superscript"/>
        <sz val="10"/>
        <rFont val="Arial"/>
        <family val="2"/>
      </rPr>
      <t>2)</t>
    </r>
  </si>
  <si>
    <t>5. Voorlopige budgetaanpassing</t>
  </si>
  <si>
    <t>4. Voorlopige budgetaanpassing</t>
  </si>
  <si>
    <r>
      <t xml:space="preserve">Totaal nacalculeerbare kapitaalslasten </t>
    </r>
    <r>
      <rPr>
        <vertAlign val="superscript"/>
        <sz val="10"/>
        <rFont val="Arial"/>
        <family val="2"/>
      </rPr>
      <t>1)</t>
    </r>
  </si>
  <si>
    <t xml:space="preserve">    de Beleidsregel overgangsregeling kapitaalslasten extramurale zorgverlening te worden opgenomen. </t>
  </si>
  <si>
    <r>
      <t xml:space="preserve">Totale realisatie verzorgingsdagen (inclusief mutatiedagen) op basis van de toelating </t>
    </r>
    <r>
      <rPr>
        <vertAlign val="superscript"/>
        <sz val="10"/>
        <rFont val="Arial"/>
        <family val="2"/>
      </rPr>
      <t>1) &amp; 2)</t>
    </r>
  </si>
  <si>
    <r>
      <t xml:space="preserve">Totale realisatie verzorgingsdagen (inclusief mutatiedagen) o.b.v. de toelating blinden, slechtzienden en doven </t>
    </r>
    <r>
      <rPr>
        <vertAlign val="superscript"/>
        <sz val="10"/>
        <rFont val="Arial"/>
        <family val="2"/>
      </rPr>
      <t>1) &amp; 2)</t>
    </r>
  </si>
  <si>
    <r>
      <t xml:space="preserve">Totale realisatie verzorgingsdagen (inclusief mutatiedagen) o.b.v. de toelating Indische Nederlanders </t>
    </r>
    <r>
      <rPr>
        <vertAlign val="superscript"/>
        <sz val="10"/>
        <rFont val="Arial"/>
        <family val="2"/>
      </rPr>
      <t>1) &amp; 2)</t>
    </r>
  </si>
  <si>
    <t>1) De onderproductie die kan worden toegeschreven aan tijdelijke leegstand i.v.m. renovatie en/of nieuwbouw welke tot een apert onbillijke uitkomst leidt, dient opgeplust te worden bij de werkelijk gerealiseerde dagen.</t>
  </si>
  <si>
    <t>2) Het gerealiseerde aantal verzorgingsdagen is INCLUSIEF het aantal aanvaardbare mutatiedagen. Voor de definitie van aanvaardbare mutatiedagen, zie de Beleidsregel aanvaardbare kosten.</t>
  </si>
  <si>
    <t>AWBZ-instellingen sector V&amp;V</t>
  </si>
  <si>
    <t>Het aantal ingediende onderdelen Voorlopige nacalculatie 2004:</t>
  </si>
  <si>
    <t>Voorlopige nacalculatie 2004 AWBZ-instellingen sector V&amp;V</t>
  </si>
  <si>
    <t>Budget 2005 AWBZ-instellingen sector V&amp;V</t>
  </si>
  <si>
    <r>
      <t xml:space="preserve">Registratienummer </t>
    </r>
    <r>
      <rPr>
        <b/>
        <sz val="10"/>
        <rFont val="Arial"/>
        <family val="2"/>
      </rPr>
      <t>2004</t>
    </r>
    <r>
      <rPr>
        <sz val="10"/>
        <rFont val="Arial"/>
        <family val="2"/>
      </rPr>
      <t xml:space="preserve"> CTG/ZAio</t>
    </r>
  </si>
  <si>
    <t>ingangsdatum</t>
  </si>
  <si>
    <t>Aanvullende dagen instellingen met behandeling en verblijf</t>
  </si>
  <si>
    <t>H147</t>
  </si>
  <si>
    <t>prijs / norm</t>
  </si>
  <si>
    <t>7.10 Overige GGZ-prestaties gekoppeld aan andere functies</t>
  </si>
  <si>
    <t>7.11 Vervoerskosten t.b.v. cliënten (let op: medische indicatie is vereist)</t>
  </si>
  <si>
    <t>7.12 Reiskosten zorgverlener</t>
  </si>
  <si>
    <t>Totaal prestaties Overige GGZ-prestaties</t>
  </si>
  <si>
    <t xml:space="preserve">Partijen verzoeken door middel van dit formulier "Budget 2005 en voorlopige nacalculatie 2004", de in dit verzoek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respectievelijk de voorlopige nacalculatie. Voormelde tarieven kunnen door de instelling aan alle ziektekostenverzekeraars en alle (niet-) verzekerden in rekening worden gebracht, met inachtneming van eventueel geldende declaratievoorschriften. </t>
  </si>
  <si>
    <r>
      <t xml:space="preserve">Totaal prestaties Face-to-face-contacten kinderen/jeugdigen </t>
    </r>
    <r>
      <rPr>
        <b/>
        <sz val="9"/>
        <rFont val="Arial"/>
        <family val="2"/>
      </rPr>
      <t>(incl. afspraken t.l.v. de contracteerruimte GGZ zorgverlening in justitiële jeugdinr.)</t>
    </r>
  </si>
  <si>
    <t>7. Berekening voorlopige nacalculatie op productie 2004</t>
  </si>
  <si>
    <r>
      <t xml:space="preserve">1) Deze afspraak is </t>
    </r>
    <r>
      <rPr>
        <u val="single"/>
        <sz val="8"/>
        <rFont val="Arial"/>
        <family val="2"/>
      </rPr>
      <t>onderdeel</t>
    </r>
    <r>
      <rPr>
        <sz val="8"/>
        <rFont val="Arial"/>
        <family val="2"/>
      </rPr>
      <t xml:space="preserve"> van de opgegeven productie van 7.9.4 Face-to-face-contacten kinderen/jeugdigen (regel 801 t/m regel 811)</t>
    </r>
  </si>
  <si>
    <t>1) Het betreft hier de totale verwachte kosten voor rente, afschrijving, huur, kapitaalslasten bij uitbesteding en doorberekende kapitaalslasten. Tevens dienen op deze regel de kapitaalslasten op grond van</t>
  </si>
  <si>
    <t>3) Het betreft hier een totaal van de verwachte kosten voor rente, afschrijving, huur, kapitaalslasten bij uitbesteding en doorberekende kapitaalslasten. Tevens dienen op deze regel de kapitaalslasten</t>
  </si>
  <si>
    <t>Bijlage bij circulaire CSTS/CWIT/ihot/CARE/650/05/1c</t>
  </si>
  <si>
    <t>C.F.C. Steennis/C.S. de Wit</t>
  </si>
  <si>
    <t>ihot/14 januari 2005</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</si>
</sst>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dd/mm/yyyy"/>
    <numFmt numFmtId="166" formatCode=";;;"/>
    <numFmt numFmtId="167" formatCode="#,##0_ ;\(#,##0\);"/>
    <numFmt numFmtId="168" formatCode="#,##0.00_-"/>
    <numFmt numFmtId="169" formatCode="\ \ƒ* #,##0_ \ ;\ \ƒ* ;\ \ƒ* "/>
    <numFmt numFmtId="170" formatCode="&quot;F&quot;\ #,##0_-;&quot;F&quot;\ #,##0\-"/>
    <numFmt numFmtId="171" formatCode="#,##0_ \ ;\(#,##0\)_ ;"/>
    <numFmt numFmtId="172" formatCode="dd/mm/yy"/>
    <numFmt numFmtId="173" formatCode="0_ ;\-0\ "/>
    <numFmt numFmtId="174" formatCode="#,##0.0000"/>
    <numFmt numFmtId="175" formatCode="_-&quot;€&quot;\ * ##,#0_;_-&quot;€&quot;\ * #,##0\-;_-&quot;€&quot;\ * &quot;-&quot;_-;_-@_-"/>
    <numFmt numFmtId="176" formatCode="_-&quot;€&quot;\ * #,##0_-;_-&quot;€&quot;\ * #,##0\-;_-&quot;€&quot;\ * &quot;-&quot;_-"/>
    <numFmt numFmtId="177" formatCode="_-&quot;€&quot;\ * ##,#0_;_-&quot;€&quot;\ * #,##0\-;_-&quot;€&quot;\ * &quot;-&quot;_-"/>
    <numFmt numFmtId="178" formatCode="_-&quot;€&quot;\ * #,##0\-;_-&quot;€&quot;\ * #,##0\-;_-&quot;€&quot;\ * &quot;-&quot;_-;_-@_-"/>
    <numFmt numFmtId="179" formatCode="_-&quot;€&quot;\ * #,##0_-;_-&quot;€&quot;\ * #,##0\-;_-@_-"/>
    <numFmt numFmtId="180" formatCode="#,##0_ ;\-#,##0\ "/>
    <numFmt numFmtId="181" formatCode="#,##0.00_ ;\-#,##0.00\ "/>
    <numFmt numFmtId="182" formatCode="#,##0.0000_ ;\-#,##0.0000\ "/>
    <numFmt numFmtId="183" formatCode="_-&quot;€&quot;\ * #,##0.00_-;_-&quot;€&quot;\ * #,##0.00\-;_-@_-"/>
    <numFmt numFmtId="184" formatCode="0.0000000"/>
    <numFmt numFmtId="185" formatCode="0.000000"/>
    <numFmt numFmtId="186" formatCode="0.00000"/>
    <numFmt numFmtId="187" formatCode="0.0000"/>
    <numFmt numFmtId="188" formatCode="0.000"/>
    <numFmt numFmtId="189" formatCode="mmm/yyyy"/>
    <numFmt numFmtId="190" formatCode="#,##0.0"/>
    <numFmt numFmtId="191" formatCode="#,##0.000"/>
    <numFmt numFmtId="192" formatCode="_-&quot;€&quot;\ * #,##0.0_-;_-&quot;€&quot;\ * #,##0.0\-;_-&quot;€&quot;\ * &quot;-&quot;_-;_-@_-"/>
    <numFmt numFmtId="193" formatCode="_-&quot;€&quot;\ * #,##0.00_-;_-&quot;€&quot;\ * #,##0.00\-;_-&quot;€&quot;\ * &quot;-&quot;_-;_-@_-"/>
    <numFmt numFmtId="194" formatCode="_-&quot;€&quot;\ * #,###_-;_-&quot;€&quot;\ * #,###\-;_-@_-"/>
    <numFmt numFmtId="195" formatCode="_-&quot;€&quot;\ * ##,##_;_-&quot;€&quot;\ * #,###;_-@_-"/>
    <numFmt numFmtId="196" formatCode="_-&quot;€&quot;\ * #,###_-;_-&quot;€&quot;\ * #,###;_-@_-"/>
    <numFmt numFmtId="197" formatCode="&quot;€&quot;\ * #,###_-;_-&quot;€&quot;\ * #,###;_-@_-"/>
    <numFmt numFmtId="198" formatCode="_-\ * #,###_-;_-&quot;€&quot;\ * #,###;_-@_-"/>
    <numFmt numFmtId="199" formatCode="_-&quot;€&quot;\ * #,##0.00_-;_-&quot;€&quot;\ * #,##0.00\-;_-&quot;€&quot;\ * &quot;0&quot;??_-;_-@_-"/>
    <numFmt numFmtId="200" formatCode="_-&quot;€&quot;\ * #,##0.00_-;_-&quot;€&quot;\ * #,##0.00\-;_-&quot;€&quot;\ * &quot;0&quot;_-;_-@_-"/>
    <numFmt numFmtId="201" formatCode="_-* #,##0.0000_-;_-* #,##0.0000\-;_-* &quot;-&quot;????_-;_-@_-"/>
  </numFmts>
  <fonts count="31">
    <font>
      <sz val="10"/>
      <name val="Arial"/>
      <family val="0"/>
    </font>
    <font>
      <b/>
      <sz val="10"/>
      <name val="Arial"/>
      <family val="2"/>
    </font>
    <font>
      <sz val="8"/>
      <name val="Arial"/>
      <family val="0"/>
    </font>
    <font>
      <b/>
      <sz val="12"/>
      <name val="Arial"/>
      <family val="2"/>
    </font>
    <font>
      <vertAlign val="superscript"/>
      <sz val="10"/>
      <name val="Arial"/>
      <family val="2"/>
    </font>
    <font>
      <sz val="9"/>
      <name val="Arial"/>
      <family val="2"/>
    </font>
    <font>
      <b/>
      <sz val="9"/>
      <color indexed="9"/>
      <name val="Arial"/>
      <family val="2"/>
    </font>
    <font>
      <b/>
      <sz val="10"/>
      <color indexed="9"/>
      <name val="Arial"/>
      <family val="2"/>
    </font>
    <font>
      <sz val="10"/>
      <color indexed="9"/>
      <name val="Arial"/>
      <family val="2"/>
    </font>
    <font>
      <b/>
      <sz val="11"/>
      <name val="Arial"/>
      <family val="2"/>
    </font>
    <font>
      <sz val="8"/>
      <name val="Tahoma"/>
      <family val="2"/>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b/>
      <sz val="14"/>
      <name val="Arial"/>
      <family val="2"/>
    </font>
    <font>
      <sz val="6"/>
      <color indexed="9"/>
      <name val="Arial"/>
      <family val="2"/>
    </font>
    <font>
      <b/>
      <vertAlign val="superscript"/>
      <sz val="9"/>
      <name val="Arial"/>
      <family val="2"/>
    </font>
    <font>
      <b/>
      <vertAlign val="superscript"/>
      <sz val="10"/>
      <name val="Arial"/>
      <family val="2"/>
    </font>
    <font>
      <vertAlign val="superscript"/>
      <sz val="9"/>
      <name val="Arial"/>
      <family val="2"/>
    </font>
    <font>
      <vertAlign val="superscript"/>
      <sz val="8"/>
      <name val="Arial"/>
      <family val="2"/>
    </font>
    <font>
      <sz val="9"/>
      <color indexed="10"/>
      <name val="Arial"/>
      <family val="2"/>
    </font>
    <font>
      <b/>
      <sz val="8"/>
      <name val="Arial"/>
      <family val="2"/>
    </font>
    <font>
      <b/>
      <sz val="10"/>
      <color indexed="10"/>
      <name val="Arial"/>
      <family val="2"/>
    </font>
    <font>
      <sz val="11"/>
      <name val="Arial"/>
      <family val="2"/>
    </font>
    <font>
      <b/>
      <vertAlign val="superscript"/>
      <sz val="11"/>
      <name val="Arial"/>
      <family val="2"/>
    </font>
    <font>
      <sz val="10"/>
      <color indexed="10"/>
      <name val="Arial"/>
      <family val="2"/>
    </font>
    <font>
      <u val="single"/>
      <sz val="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4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thin"/>
      <top style="thin"/>
      <bottom style="thin"/>
    </border>
    <border>
      <left style="hair"/>
      <right style="hair"/>
      <top>
        <color indexed="63"/>
      </top>
      <bottom style="hair"/>
    </border>
    <border>
      <left style="hair"/>
      <right style="hair"/>
      <top style="medium"/>
      <bottom style="hair"/>
    </border>
    <border>
      <left style="medium"/>
      <right style="medium"/>
      <top style="medium"/>
      <bottom style="mediu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hair"/>
      <bottom style="hair"/>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1">
      <alignment/>
      <protection/>
    </xf>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11" fillId="0" borderId="0">
      <alignment/>
      <protection/>
    </xf>
    <xf numFmtId="0" fontId="5" fillId="0" borderId="2" applyFill="0" applyBorder="0">
      <alignment/>
      <protection/>
    </xf>
    <xf numFmtId="169" fontId="5" fillId="0" borderId="2" applyFill="0" applyBorder="0">
      <alignment/>
      <protection/>
    </xf>
    <xf numFmtId="0" fontId="5" fillId="0" borderId="2" applyFill="0" applyBorder="0">
      <alignment/>
      <protection/>
    </xf>
    <xf numFmtId="0" fontId="16" fillId="3" borderId="3">
      <alignment/>
      <protection/>
    </xf>
    <xf numFmtId="170" fontId="0" fillId="3" borderId="3">
      <alignment/>
      <protection/>
    </xf>
    <xf numFmtId="171" fontId="16" fillId="3" borderId="3">
      <alignment/>
      <protection/>
    </xf>
    <xf numFmtId="171" fontId="5" fillId="0" borderId="2" applyFill="0" applyBorder="0">
      <alignment/>
      <protection/>
    </xf>
    <xf numFmtId="0" fontId="11" fillId="0" borderId="1">
      <alignment/>
      <protection/>
    </xf>
    <xf numFmtId="0" fontId="17" fillId="4" borderId="0">
      <alignment/>
      <protection/>
    </xf>
    <xf numFmtId="0" fontId="14" fillId="0" borderId="4">
      <alignment/>
      <protection/>
    </xf>
    <xf numFmtId="0" fontId="1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553">
    <xf numFmtId="0" fontId="0" fillId="0" borderId="0" xfId="0" applyAlignment="1">
      <alignment/>
    </xf>
    <xf numFmtId="0" fontId="0" fillId="0" borderId="5" xfId="0" applyBorder="1" applyAlignment="1">
      <alignment horizontal="center"/>
    </xf>
    <xf numFmtId="0" fontId="0" fillId="0" borderId="6" xfId="0" applyBorder="1" applyAlignment="1">
      <alignment horizontal="center"/>
    </xf>
    <xf numFmtId="164" fontId="5" fillId="0" borderId="0"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center" vertical="center"/>
      <protection/>
    </xf>
    <xf numFmtId="164" fontId="6" fillId="5" borderId="7" xfId="0" applyNumberFormat="1" applyFont="1" applyFill="1" applyBorder="1" applyAlignment="1" applyProtection="1">
      <alignment horizontal="center" vertical="center"/>
      <protection/>
    </xf>
    <xf numFmtId="164" fontId="6" fillId="5" borderId="8" xfId="0" applyNumberFormat="1" applyFont="1" applyFill="1" applyBorder="1" applyAlignment="1" applyProtection="1">
      <alignment horizontal="center" vertical="center"/>
      <protection/>
    </xf>
    <xf numFmtId="0" fontId="7" fillId="5" borderId="3" xfId="0" applyFont="1" applyFill="1" applyBorder="1" applyAlignment="1">
      <alignment/>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3" fontId="5" fillId="0" borderId="0" xfId="0" applyNumberFormat="1" applyFont="1" applyBorder="1" applyAlignment="1" applyProtection="1">
      <alignment horizontal="center" vertical="center"/>
      <protection/>
    </xf>
    <xf numFmtId="4" fontId="5" fillId="0" borderId="0" xfId="0" applyNumberFormat="1" applyFont="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0" fontId="5" fillId="0" borderId="9"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NumberFormat="1" applyFont="1" applyBorder="1" applyAlignment="1" applyProtection="1">
      <alignment horizontal="right" vertical="center"/>
      <protection/>
    </xf>
    <xf numFmtId="1" fontId="5" fillId="0" borderId="0" xfId="0" applyNumberFormat="1"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11" xfId="0" applyFont="1" applyFill="1" applyBorder="1" applyAlignment="1" applyProtection="1">
      <alignment vertical="center"/>
      <protection/>
    </xf>
    <xf numFmtId="0" fontId="16" fillId="0" borderId="12" xfId="0" applyFont="1" applyFill="1" applyBorder="1" applyAlignment="1" applyProtection="1">
      <alignment vertical="center"/>
      <protection/>
    </xf>
    <xf numFmtId="0" fontId="16" fillId="0" borderId="13"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xf>
    <xf numFmtId="173" fontId="5" fillId="0" borderId="13" xfId="0" applyNumberFormat="1" applyFont="1" applyFill="1" applyBorder="1" applyAlignment="1" applyProtection="1">
      <alignment horizontal="center" vertical="center"/>
      <protection locked="0"/>
    </xf>
    <xf numFmtId="0" fontId="0" fillId="0" borderId="0" xfId="0" applyAlignment="1" applyProtection="1">
      <alignment/>
      <protection/>
    </xf>
    <xf numFmtId="0" fontId="0" fillId="0" borderId="14" xfId="0" applyBorder="1" applyAlignment="1" applyProtection="1">
      <alignment/>
      <protection/>
    </xf>
    <xf numFmtId="0" fontId="1" fillId="0" borderId="15" xfId="0" applyFont="1"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horizontal="left" vertical="top" wrapText="1"/>
      <protection/>
    </xf>
    <xf numFmtId="0" fontId="13" fillId="0" borderId="0" xfId="18" applyBorder="1" applyAlignment="1" applyProtection="1">
      <alignment/>
      <protection/>
    </xf>
    <xf numFmtId="0" fontId="13" fillId="0" borderId="0" xfId="18" applyAlignment="1" applyProtection="1">
      <alignment/>
      <protection/>
    </xf>
    <xf numFmtId="0" fontId="0" fillId="0" borderId="18" xfId="0" applyBorder="1" applyAlignment="1" applyProtection="1">
      <alignment/>
      <protection/>
    </xf>
    <xf numFmtId="0" fontId="0" fillId="0" borderId="0" xfId="0" applyFill="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0" xfId="0" applyFill="1" applyBorder="1" applyAlignment="1" applyProtection="1">
      <alignment vertical="top" wrapText="1"/>
      <protection/>
    </xf>
    <xf numFmtId="0" fontId="8" fillId="0" borderId="20" xfId="0" applyFont="1" applyBorder="1" applyAlignment="1" applyProtection="1">
      <alignment vertical="top" wrapText="1"/>
      <protection/>
    </xf>
    <xf numFmtId="0" fontId="0" fillId="0" borderId="21" xfId="0" applyFill="1" applyBorder="1" applyAlignment="1" applyProtection="1">
      <alignment/>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vertical="center"/>
      <protection/>
    </xf>
    <xf numFmtId="0" fontId="5" fillId="0" borderId="24" xfId="0" applyNumberFormat="1" applyFont="1" applyFill="1" applyBorder="1" applyAlignment="1" applyProtection="1">
      <alignment vertical="center"/>
      <protection/>
    </xf>
    <xf numFmtId="0" fontId="5" fillId="0" borderId="2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26" xfId="0" applyNumberFormat="1" applyFont="1" applyFill="1" applyBorder="1" applyAlignment="1" applyProtection="1">
      <alignment vertical="center"/>
      <protection/>
    </xf>
    <xf numFmtId="0" fontId="5" fillId="0" borderId="27" xfId="0" applyNumberFormat="1" applyFont="1" applyFill="1" applyBorder="1" applyAlignment="1" applyProtection="1">
      <alignment vertical="center"/>
      <protection/>
    </xf>
    <xf numFmtId="0" fontId="5" fillId="0" borderId="28" xfId="0" applyNumberFormat="1" applyFont="1" applyFill="1" applyBorder="1" applyAlignment="1" applyProtection="1">
      <alignment vertical="center"/>
      <protection/>
    </xf>
    <xf numFmtId="0" fontId="5" fillId="0" borderId="29" xfId="0" applyNumberFormat="1" applyFont="1" applyFill="1" applyBorder="1" applyAlignment="1" applyProtection="1" quotePrefix="1">
      <alignment horizontal="right" vertical="center"/>
      <protection/>
    </xf>
    <xf numFmtId="0" fontId="5" fillId="0" borderId="12" xfId="0" applyNumberFormat="1" applyFont="1" applyFill="1" applyBorder="1" applyAlignment="1" applyProtection="1" quotePrefix="1">
      <alignment horizontal="right" vertical="center"/>
      <protection/>
    </xf>
    <xf numFmtId="0" fontId="5" fillId="0" borderId="1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9" fillId="0" borderId="0" xfId="0" applyFont="1" applyFill="1" applyAlignment="1" applyProtection="1">
      <alignment vertical="center"/>
      <protection locked="0"/>
    </xf>
    <xf numFmtId="0" fontId="18" fillId="0" borderId="9"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1" xfId="0" applyNumberFormat="1" applyFont="1" applyBorder="1" applyAlignment="1">
      <alignment horizontal="center" vertical="center"/>
    </xf>
    <xf numFmtId="0" fontId="0" fillId="0" borderId="0" xfId="0" applyFont="1" applyAlignment="1" applyProtection="1">
      <alignment/>
      <protection/>
    </xf>
    <xf numFmtId="3" fontId="0" fillId="0" borderId="13" xfId="0" applyNumberFormat="1" applyFont="1" applyFill="1" applyBorder="1" applyAlignment="1" applyProtection="1">
      <alignment/>
      <protection locked="0"/>
    </xf>
    <xf numFmtId="44" fontId="0" fillId="0" borderId="13" xfId="0" applyNumberFormat="1" applyFont="1" applyFill="1" applyBorder="1" applyAlignment="1" applyProtection="1">
      <alignment/>
      <protection locked="0"/>
    </xf>
    <xf numFmtId="3" fontId="0" fillId="0" borderId="23" xfId="0" applyNumberFormat="1" applyFont="1" applyBorder="1" applyAlignment="1" applyProtection="1">
      <alignment/>
      <protection/>
    </xf>
    <xf numFmtId="3" fontId="0" fillId="0" borderId="28" xfId="0" applyNumberFormat="1" applyFont="1" applyBorder="1" applyAlignment="1" applyProtection="1">
      <alignment/>
      <protection/>
    </xf>
    <xf numFmtId="0" fontId="1" fillId="0" borderId="28" xfId="0" applyFont="1" applyBorder="1" applyAlignment="1" applyProtection="1">
      <alignment horizontal="left"/>
      <protection/>
    </xf>
    <xf numFmtId="42" fontId="0" fillId="0" borderId="0" xfId="0" applyNumberFormat="1" applyFont="1" applyFill="1" applyBorder="1" applyAlignment="1" applyProtection="1">
      <alignment/>
      <protection/>
    </xf>
    <xf numFmtId="3" fontId="0" fillId="0" borderId="0" xfId="0" applyNumberFormat="1" applyFont="1" applyBorder="1" applyAlignment="1" applyProtection="1">
      <alignment/>
      <protection/>
    </xf>
    <xf numFmtId="40" fontId="0" fillId="0" borderId="0" xfId="19" applyNumberFormat="1" applyFont="1" applyBorder="1" applyAlignment="1" applyProtection="1">
      <alignment horizontal="left" vertical="center" wrapText="1"/>
      <protection/>
    </xf>
    <xf numFmtId="167" fontId="1" fillId="0" borderId="11" xfId="0" applyNumberFormat="1" applyFont="1" applyFill="1" applyBorder="1" applyAlignment="1" applyProtection="1">
      <alignment/>
      <protection/>
    </xf>
    <xf numFmtId="4" fontId="1" fillId="0" borderId="11"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4" fontId="8" fillId="0" borderId="0" xfId="0" applyNumberFormat="1" applyFont="1" applyFill="1" applyBorder="1" applyAlignment="1" applyProtection="1">
      <alignment/>
      <protection/>
    </xf>
    <xf numFmtId="4" fontId="1" fillId="0" borderId="12"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4" fontId="0" fillId="0" borderId="28" xfId="0" applyNumberFormat="1" applyFont="1" applyBorder="1" applyAlignment="1" applyProtection="1">
      <alignment/>
      <protection/>
    </xf>
    <xf numFmtId="3" fontId="1" fillId="0" borderId="0" xfId="0" applyNumberFormat="1"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23" xfId="0" applyFont="1" applyFill="1" applyBorder="1" applyAlignment="1" applyProtection="1">
      <alignment/>
      <protection/>
    </xf>
    <xf numFmtId="0" fontId="1" fillId="0" borderId="10" xfId="0" applyFont="1" applyFill="1" applyBorder="1" applyAlignment="1" applyProtection="1">
      <alignment horizontal="left"/>
      <protection/>
    </xf>
    <xf numFmtId="0" fontId="1" fillId="0" borderId="0" xfId="0" applyFont="1" applyBorder="1" applyAlignment="1" applyProtection="1">
      <alignment horizontal="left"/>
      <protection/>
    </xf>
    <xf numFmtId="0" fontId="0" fillId="0" borderId="0" xfId="0" applyFont="1" applyBorder="1" applyAlignment="1" applyProtection="1">
      <alignment wrapText="1"/>
      <protection/>
    </xf>
    <xf numFmtId="0" fontId="0" fillId="0" borderId="28" xfId="0" applyFont="1" applyBorder="1" applyAlignment="1" applyProtection="1">
      <alignment horizontal="left" wrapText="1"/>
      <protection/>
    </xf>
    <xf numFmtId="0" fontId="0" fillId="0" borderId="28" xfId="0" applyFont="1" applyBorder="1" applyAlignment="1" applyProtection="1">
      <alignment horizontal="left"/>
      <protection/>
    </xf>
    <xf numFmtId="0" fontId="0" fillId="0" borderId="13" xfId="0" applyFont="1" applyBorder="1" applyAlignment="1" applyProtection="1">
      <alignment horizontal="center" wrapText="1"/>
      <protection/>
    </xf>
    <xf numFmtId="0" fontId="0" fillId="0" borderId="23"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protection/>
    </xf>
    <xf numFmtId="0" fontId="0" fillId="0" borderId="28" xfId="0" applyFont="1" applyBorder="1" applyAlignment="1" applyProtection="1">
      <alignment wrapText="1"/>
      <protection/>
    </xf>
    <xf numFmtId="0" fontId="0" fillId="0" borderId="11"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8"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protection/>
    </xf>
    <xf numFmtId="0" fontId="1" fillId="0" borderId="28" xfId="0" applyFont="1" applyFill="1" applyBorder="1" applyAlignment="1" applyProtection="1">
      <alignment horizontal="left"/>
      <protection/>
    </xf>
    <xf numFmtId="0" fontId="0" fillId="0" borderId="28" xfId="0" applyFont="1" applyBorder="1" applyAlignment="1" applyProtection="1">
      <alignment/>
      <protection/>
    </xf>
    <xf numFmtId="0" fontId="0" fillId="0" borderId="13" xfId="0" applyFont="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25" xfId="0" applyFont="1" applyBorder="1" applyAlignment="1" applyProtection="1">
      <alignment horizontal="left"/>
      <protection/>
    </xf>
    <xf numFmtId="0" fontId="0" fillId="0" borderId="23" xfId="0" applyFont="1" applyFill="1" applyBorder="1" applyAlignment="1" applyProtection="1">
      <alignment horizontal="left"/>
      <protection/>
    </xf>
    <xf numFmtId="37" fontId="0" fillId="0" borderId="23" xfId="0" applyNumberFormat="1" applyFont="1" applyFill="1" applyBorder="1" applyAlignment="1" applyProtection="1">
      <alignment horizontal="left"/>
      <protection/>
    </xf>
    <xf numFmtId="0" fontId="0" fillId="0" borderId="23" xfId="0" applyFont="1" applyBorder="1" applyAlignment="1" applyProtection="1">
      <alignment horizontal="center"/>
      <protection/>
    </xf>
    <xf numFmtId="4" fontId="0" fillId="0" borderId="23" xfId="0" applyNumberFormat="1" applyFont="1" applyBorder="1" applyAlignment="1" applyProtection="1">
      <alignment/>
      <protection/>
    </xf>
    <xf numFmtId="0" fontId="0" fillId="0" borderId="28" xfId="0" applyFont="1" applyBorder="1" applyAlignment="1" applyProtection="1">
      <alignment horizontal="center"/>
      <protection/>
    </xf>
    <xf numFmtId="0" fontId="1" fillId="0" borderId="23" xfId="0" applyFont="1" applyFill="1" applyBorder="1" applyAlignment="1" applyProtection="1">
      <alignment horizontal="center"/>
      <protection/>
    </xf>
    <xf numFmtId="0" fontId="1" fillId="0" borderId="23" xfId="0" applyFont="1" applyFill="1" applyBorder="1" applyAlignment="1" applyProtection="1">
      <alignment horizontal="left"/>
      <protection/>
    </xf>
    <xf numFmtId="0" fontId="1" fillId="0" borderId="28" xfId="0" applyFont="1" applyFill="1" applyBorder="1" applyAlignment="1" applyProtection="1">
      <alignment horizontal="center"/>
      <protection/>
    </xf>
    <xf numFmtId="0" fontId="0" fillId="0" borderId="28" xfId="0" applyFont="1" applyFill="1" applyBorder="1" applyAlignment="1" applyProtection="1">
      <alignment horizontal="left"/>
      <protection/>
    </xf>
    <xf numFmtId="3" fontId="0" fillId="0" borderId="13" xfId="0" applyNumberFormat="1" applyFont="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4" fontId="0" fillId="0" borderId="23" xfId="0" applyNumberFormat="1" applyFont="1" applyFill="1" applyBorder="1" applyAlignment="1" applyProtection="1">
      <alignment/>
      <protection/>
    </xf>
    <xf numFmtId="37" fontId="0" fillId="0" borderId="0" xfId="0" applyNumberFormat="1" applyFont="1" applyFill="1" applyBorder="1" applyAlignment="1" applyProtection="1">
      <alignment horizontal="left"/>
      <protection/>
    </xf>
    <xf numFmtId="0" fontId="0" fillId="0" borderId="0" xfId="0" applyFont="1" applyBorder="1" applyAlignment="1" applyProtection="1">
      <alignment horizontal="center" wrapText="1"/>
      <protection/>
    </xf>
    <xf numFmtId="4" fontId="0" fillId="0" borderId="0" xfId="0" applyNumberFormat="1" applyFont="1" applyBorder="1" applyAlignment="1" applyProtection="1">
      <alignment wrapText="1"/>
      <protection/>
    </xf>
    <xf numFmtId="0" fontId="0" fillId="0" borderId="28" xfId="0" applyFont="1" applyBorder="1" applyAlignment="1" applyProtection="1">
      <alignment horizontal="center" wrapText="1"/>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0" fillId="0" borderId="23" xfId="0" applyFont="1" applyBorder="1" applyAlignment="1" applyProtection="1">
      <alignment horizontal="center" wrapText="1"/>
      <protection/>
    </xf>
    <xf numFmtId="4" fontId="0" fillId="0" borderId="0" xfId="0" applyNumberFormat="1" applyFont="1" applyBorder="1" applyAlignment="1" applyProtection="1">
      <alignment/>
      <protection/>
    </xf>
    <xf numFmtId="4" fontId="0" fillId="0" borderId="0" xfId="0" applyNumberFormat="1" applyFont="1" applyBorder="1" applyAlignment="1" applyProtection="1">
      <alignment horizontal="left" wrapText="1"/>
      <protection/>
    </xf>
    <xf numFmtId="0" fontId="1" fillId="0" borderId="11" xfId="0" applyFont="1" applyFill="1" applyBorder="1" applyAlignment="1" applyProtection="1">
      <alignment horizontal="left"/>
      <protection/>
    </xf>
    <xf numFmtId="0" fontId="1" fillId="0" borderId="11" xfId="0" applyFont="1" applyFill="1" applyBorder="1" applyAlignment="1" applyProtection="1">
      <alignment horizontal="center"/>
      <protection/>
    </xf>
    <xf numFmtId="0" fontId="0" fillId="0" borderId="11" xfId="0" applyFont="1" applyFill="1" applyBorder="1" applyAlignment="1" applyProtection="1">
      <alignment horizontal="left"/>
      <protection/>
    </xf>
    <xf numFmtId="0" fontId="8" fillId="0" borderId="0" xfId="0" applyFont="1" applyFill="1" applyBorder="1" applyAlignment="1" applyProtection="1">
      <alignment horizontal="center"/>
      <protection/>
    </xf>
    <xf numFmtId="4" fontId="0" fillId="0" borderId="28" xfId="0" applyNumberFormat="1" applyFont="1" applyBorder="1" applyAlignment="1" applyProtection="1">
      <alignment wrapText="1"/>
      <protection/>
    </xf>
    <xf numFmtId="3" fontId="1" fillId="0" borderId="28" xfId="0" applyNumberFormat="1" applyFont="1" applyBorder="1" applyAlignment="1" applyProtection="1">
      <alignment horizontal="center"/>
      <protection/>
    </xf>
    <xf numFmtId="0" fontId="1" fillId="6" borderId="0" xfId="0" applyFont="1" applyFill="1" applyBorder="1" applyAlignment="1" applyProtection="1">
      <alignment horizontal="left"/>
      <protection/>
    </xf>
    <xf numFmtId="0" fontId="1" fillId="0" borderId="25" xfId="0" applyFont="1" applyFill="1" applyBorder="1" applyAlignment="1" applyProtection="1">
      <alignment horizontal="left"/>
      <protection/>
    </xf>
    <xf numFmtId="167" fontId="1" fillId="0" borderId="0" xfId="0" applyNumberFormat="1" applyFont="1" applyFill="1" applyBorder="1" applyAlignment="1" applyProtection="1">
      <alignment/>
      <protection/>
    </xf>
    <xf numFmtId="37" fontId="0" fillId="0" borderId="10" xfId="0" applyNumberFormat="1" applyFont="1" applyFill="1" applyBorder="1" applyAlignment="1" applyProtection="1">
      <alignment horizontal="left"/>
      <protection/>
    </xf>
    <xf numFmtId="0" fontId="0" fillId="0" borderId="11" xfId="0" applyFont="1" applyBorder="1" applyAlignment="1" applyProtection="1">
      <alignment horizontal="center"/>
      <protection/>
    </xf>
    <xf numFmtId="3" fontId="0" fillId="0" borderId="0" xfId="0" applyNumberFormat="1" applyFont="1" applyBorder="1" applyAlignment="1" applyProtection="1">
      <alignment horizontal="center"/>
      <protection/>
    </xf>
    <xf numFmtId="3" fontId="0" fillId="0" borderId="0" xfId="0" applyNumberFormat="1" applyFont="1" applyBorder="1" applyAlignment="1" applyProtection="1">
      <alignment horizontal="left"/>
      <protection/>
    </xf>
    <xf numFmtId="4" fontId="0" fillId="0" borderId="0" xfId="0" applyNumberFormat="1" applyFont="1" applyBorder="1" applyAlignment="1" applyProtection="1">
      <alignment horizontal="left"/>
      <protection/>
    </xf>
    <xf numFmtId="3" fontId="0" fillId="0" borderId="28" xfId="0" applyNumberFormat="1" applyFont="1" applyBorder="1" applyAlignment="1" applyProtection="1">
      <alignment horizontal="center"/>
      <protection/>
    </xf>
    <xf numFmtId="3" fontId="0" fillId="0" borderId="28" xfId="0" applyNumberFormat="1" applyFont="1" applyBorder="1" applyAlignment="1" applyProtection="1">
      <alignment horizontal="left"/>
      <protection/>
    </xf>
    <xf numFmtId="4" fontId="0" fillId="0" borderId="28" xfId="0" applyNumberFormat="1" applyFont="1" applyBorder="1" applyAlignment="1" applyProtection="1">
      <alignment horizontal="left"/>
      <protection/>
    </xf>
    <xf numFmtId="0" fontId="1" fillId="0" borderId="13" xfId="0" applyFont="1" applyFill="1" applyBorder="1" applyAlignment="1" applyProtection="1">
      <alignment horizontal="center"/>
      <protection/>
    </xf>
    <xf numFmtId="0" fontId="0" fillId="0" borderId="11" xfId="0" applyFont="1" applyBorder="1" applyAlignment="1" applyProtection="1">
      <alignment/>
      <protection/>
    </xf>
    <xf numFmtId="4" fontId="0" fillId="0" borderId="11" xfId="0" applyNumberFormat="1" applyFont="1" applyBorder="1" applyAlignment="1" applyProtection="1">
      <alignment/>
      <protection/>
    </xf>
    <xf numFmtId="0" fontId="0" fillId="0" borderId="13" xfId="0" applyFont="1" applyBorder="1" applyAlignment="1" applyProtection="1">
      <alignment horizontal="center" vertical="top"/>
      <protection/>
    </xf>
    <xf numFmtId="0" fontId="0" fillId="0" borderId="13" xfId="0" applyNumberFormat="1" applyFont="1" applyBorder="1" applyAlignment="1" applyProtection="1">
      <alignment horizontal="center"/>
      <protection/>
    </xf>
    <xf numFmtId="168" fontId="0" fillId="0" borderId="13" xfId="0" applyNumberFormat="1" applyFont="1" applyBorder="1" applyAlignment="1" applyProtection="1">
      <alignment horizontal="center"/>
      <protection/>
    </xf>
    <xf numFmtId="168" fontId="0" fillId="0" borderId="30" xfId="0" applyNumberFormat="1" applyFont="1" applyBorder="1" applyAlignment="1" applyProtection="1">
      <alignment horizontal="center" vertical="center"/>
      <protection/>
    </xf>
    <xf numFmtId="4" fontId="0" fillId="0" borderId="28" xfId="0" applyNumberFormat="1" applyFont="1" applyFill="1" applyBorder="1" applyAlignment="1" applyProtection="1">
      <alignment/>
      <protection/>
    </xf>
    <xf numFmtId="0" fontId="0" fillId="0" borderId="31" xfId="0" applyFont="1" applyFill="1" applyBorder="1" applyAlignment="1" applyProtection="1">
      <alignment horizontal="center"/>
      <protection/>
    </xf>
    <xf numFmtId="0" fontId="0" fillId="0" borderId="25" xfId="0" applyFont="1" applyFill="1" applyBorder="1" applyAlignment="1" applyProtection="1">
      <alignment/>
      <protection/>
    </xf>
    <xf numFmtId="0" fontId="0" fillId="0" borderId="11" xfId="0" applyFont="1" applyFill="1" applyBorder="1" applyAlignment="1" applyProtection="1">
      <alignment/>
      <protection/>
    </xf>
    <xf numFmtId="0" fontId="0" fillId="0" borderId="11" xfId="0" applyFont="1" applyFill="1" applyBorder="1" applyAlignment="1" applyProtection="1">
      <alignment horizontal="center"/>
      <protection/>
    </xf>
    <xf numFmtId="0" fontId="0" fillId="7" borderId="11" xfId="0" applyFont="1" applyFill="1" applyBorder="1" applyAlignment="1" applyProtection="1">
      <alignment/>
      <protection/>
    </xf>
    <xf numFmtId="0" fontId="0" fillId="7" borderId="13" xfId="0" applyFont="1" applyFill="1" applyBorder="1" applyAlignment="1" applyProtection="1">
      <alignment horizontal="center"/>
      <protection/>
    </xf>
    <xf numFmtId="0" fontId="0" fillId="7" borderId="13" xfId="0" applyFont="1" applyFill="1" applyBorder="1" applyAlignment="1" applyProtection="1">
      <alignment horizontal="center" wrapText="1"/>
      <protection/>
    </xf>
    <xf numFmtId="0" fontId="0" fillId="7" borderId="11" xfId="0" applyFont="1" applyFill="1" applyBorder="1" applyAlignment="1" applyProtection="1">
      <alignment horizontal="center" wrapText="1"/>
      <protection/>
    </xf>
    <xf numFmtId="0" fontId="0" fillId="7" borderId="11" xfId="0" applyFont="1" applyFill="1" applyBorder="1" applyAlignment="1" applyProtection="1">
      <alignment horizontal="center"/>
      <protection/>
    </xf>
    <xf numFmtId="168" fontId="0" fillId="7" borderId="13" xfId="0" applyNumberFormat="1" applyFont="1" applyFill="1" applyBorder="1" applyAlignment="1" applyProtection="1">
      <alignment horizontal="center"/>
      <protection/>
    </xf>
    <xf numFmtId="168" fontId="0" fillId="7" borderId="30" xfId="0" applyNumberFormat="1" applyFont="1" applyFill="1" applyBorder="1" applyAlignment="1" applyProtection="1">
      <alignment horizontal="center" vertical="center" wrapText="1"/>
      <protection/>
    </xf>
    <xf numFmtId="0" fontId="0" fillId="0" borderId="3" xfId="0" applyFont="1" applyFill="1" applyBorder="1" applyAlignment="1" applyProtection="1">
      <alignment/>
      <protection/>
    </xf>
    <xf numFmtId="3" fontId="0" fillId="0" borderId="3" xfId="0" applyNumberFormat="1"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10" xfId="0" applyFont="1" applyFill="1" applyBorder="1" applyAlignment="1" applyProtection="1">
      <alignment/>
      <protection/>
    </xf>
    <xf numFmtId="0" fontId="0" fillId="0" borderId="12" xfId="0" applyFont="1" applyFill="1" applyBorder="1" applyAlignment="1" applyProtection="1">
      <alignment horizontal="left"/>
      <protection/>
    </xf>
    <xf numFmtId="0" fontId="0" fillId="0" borderId="25" xfId="0" applyFont="1" applyFill="1" applyBorder="1" applyAlignment="1" applyProtection="1">
      <alignment horizontal="center"/>
      <protection/>
    </xf>
    <xf numFmtId="0" fontId="6" fillId="5" borderId="32" xfId="0" applyFont="1" applyFill="1" applyBorder="1" applyAlignment="1" applyProtection="1">
      <alignment horizontal="left" vertical="center"/>
      <protection/>
    </xf>
    <xf numFmtId="0" fontId="3" fillId="0" borderId="0" xfId="0" applyFont="1" applyFill="1" applyBorder="1" applyAlignment="1" applyProtection="1">
      <alignment horizontal="left"/>
      <protection/>
    </xf>
    <xf numFmtId="37" fontId="0" fillId="0" borderId="11" xfId="0" applyNumberFormat="1" applyFont="1" applyFill="1" applyBorder="1" applyAlignment="1" applyProtection="1">
      <alignment horizontal="left"/>
      <protection/>
    </xf>
    <xf numFmtId="37" fontId="0" fillId="0" borderId="12" xfId="0" applyNumberFormat="1" applyFont="1" applyFill="1" applyBorder="1" applyAlignment="1" applyProtection="1">
      <alignment horizontal="left"/>
      <protection/>
    </xf>
    <xf numFmtId="0" fontId="9" fillId="0" borderId="28"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9" fillId="0" borderId="28" xfId="0" applyFont="1" applyBorder="1" applyAlignment="1" applyProtection="1">
      <alignment horizontal="left"/>
      <protection/>
    </xf>
    <xf numFmtId="0" fontId="9"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2" xfId="0" applyFont="1" applyBorder="1" applyAlignment="1" applyProtection="1">
      <alignment horizontal="left"/>
      <protection/>
    </xf>
    <xf numFmtId="37" fontId="0" fillId="0" borderId="23" xfId="0" applyNumberFormat="1" applyFont="1" applyFill="1" applyBorder="1" applyAlignment="1" applyProtection="1">
      <alignment horizontal="left" vertical="center" wrapText="1"/>
      <protection/>
    </xf>
    <xf numFmtId="37" fontId="0" fillId="0" borderId="24" xfId="0" applyNumberFormat="1" applyFont="1" applyFill="1" applyBorder="1" applyAlignment="1" applyProtection="1">
      <alignment horizontal="left" vertical="center" wrapText="1"/>
      <protection/>
    </xf>
    <xf numFmtId="3" fontId="0" fillId="0" borderId="0" xfId="0" applyNumberFormat="1" applyFont="1" applyFill="1" applyBorder="1" applyAlignment="1" applyProtection="1">
      <alignment wrapText="1"/>
      <protection/>
    </xf>
    <xf numFmtId="0" fontId="0" fillId="0" borderId="33" xfId="0" applyFont="1" applyFill="1" applyBorder="1" applyAlignment="1" applyProtection="1">
      <alignment horizontal="center"/>
      <protection/>
    </xf>
    <xf numFmtId="0" fontId="0" fillId="7" borderId="33" xfId="0" applyFont="1" applyFill="1" applyBorder="1" applyAlignment="1" applyProtection="1">
      <alignment horizontal="center" wrapText="1"/>
      <protection/>
    </xf>
    <xf numFmtId="3" fontId="0" fillId="0" borderId="33" xfId="0" applyNumberFormat="1" applyFont="1" applyFill="1" applyBorder="1" applyAlignment="1" applyProtection="1">
      <alignment/>
      <protection locked="0"/>
    </xf>
    <xf numFmtId="44" fontId="0" fillId="0" borderId="33" xfId="0" applyNumberFormat="1" applyFont="1" applyFill="1" applyBorder="1" applyAlignment="1" applyProtection="1">
      <alignment/>
      <protection locked="0"/>
    </xf>
    <xf numFmtId="0" fontId="0" fillId="0" borderId="0" xfId="0" applyFont="1" applyFill="1" applyBorder="1" applyAlignment="1" applyProtection="1">
      <alignment horizontal="left" vertical="center"/>
      <protection/>
    </xf>
    <xf numFmtId="0" fontId="1" fillId="0" borderId="31" xfId="0"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1" fillId="0" borderId="33" xfId="0" applyFont="1" applyFill="1" applyBorder="1" applyAlignment="1" applyProtection="1" quotePrefix="1">
      <alignment horizontal="center" vertical="center"/>
      <protection/>
    </xf>
    <xf numFmtId="4" fontId="1" fillId="0" borderId="33" xfId="0" applyNumberFormat="1" applyFont="1" applyFill="1" applyBorder="1" applyAlignment="1" applyProtection="1">
      <alignment horizontal="center" vertical="center"/>
      <protection/>
    </xf>
    <xf numFmtId="0" fontId="1" fillId="0" borderId="3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37" fontId="0" fillId="0" borderId="11" xfId="0" applyNumberFormat="1" applyFont="1" applyFill="1" applyBorder="1" applyAlignment="1" applyProtection="1">
      <alignment horizontal="left" vertical="center"/>
      <protection/>
    </xf>
    <xf numFmtId="180" fontId="0" fillId="0" borderId="13" xfId="0" applyNumberFormat="1" applyFont="1" applyFill="1" applyBorder="1" applyAlignment="1" applyProtection="1">
      <alignment vertical="center"/>
      <protection locked="0"/>
    </xf>
    <xf numFmtId="182" fontId="0" fillId="0" borderId="13" xfId="0" applyNumberFormat="1" applyFont="1" applyFill="1" applyBorder="1" applyAlignment="1" applyProtection="1">
      <alignment horizontal="center" vertical="center"/>
      <protection/>
    </xf>
    <xf numFmtId="180" fontId="0" fillId="0" borderId="13"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protection/>
    </xf>
    <xf numFmtId="181" fontId="0" fillId="0" borderId="12" xfId="0" applyNumberFormat="1" applyFont="1" applyFill="1" applyBorder="1" applyAlignment="1" applyProtection="1">
      <alignment vertical="center"/>
      <protection/>
    </xf>
    <xf numFmtId="42" fontId="0" fillId="0" borderId="13" xfId="0" applyNumberFormat="1" applyFont="1" applyFill="1" applyBorder="1" applyAlignment="1" applyProtection="1">
      <alignment vertical="center"/>
      <protection locked="0"/>
    </xf>
    <xf numFmtId="0" fontId="1" fillId="0" borderId="13" xfId="0" applyFont="1" applyFill="1" applyBorder="1" applyAlignment="1" applyProtection="1">
      <alignment horizontal="center" vertical="center"/>
      <protection/>
    </xf>
    <xf numFmtId="0" fontId="1" fillId="0" borderId="11" xfId="0" applyFont="1" applyFill="1" applyBorder="1" applyAlignment="1" applyProtection="1">
      <alignment horizontal="left" vertical="center"/>
      <protection/>
    </xf>
    <xf numFmtId="0" fontId="21" fillId="0" borderId="11" xfId="0" applyFont="1" applyFill="1" applyBorder="1" applyAlignment="1" applyProtection="1">
      <alignment horizontal="right" vertical="center"/>
      <protection/>
    </xf>
    <xf numFmtId="0" fontId="0" fillId="0" borderId="27" xfId="0" applyFont="1" applyFill="1" applyBorder="1" applyAlignment="1" applyProtection="1">
      <alignment horizontal="left"/>
      <protection/>
    </xf>
    <xf numFmtId="37" fontId="1" fillId="0" borderId="10" xfId="0" applyNumberFormat="1" applyFont="1" applyFill="1" applyBorder="1" applyAlignment="1" applyProtection="1">
      <alignment horizontal="left" vertical="center"/>
      <protection/>
    </xf>
    <xf numFmtId="42" fontId="0" fillId="0" borderId="30" xfId="0" applyNumberFormat="1" applyFont="1" applyFill="1" applyBorder="1" applyAlignment="1" applyProtection="1">
      <alignment vertical="center"/>
      <protection locked="0"/>
    </xf>
    <xf numFmtId="180" fontId="1" fillId="0" borderId="28" xfId="0" applyNumberFormat="1" applyFont="1" applyFill="1" applyBorder="1" applyAlignment="1" applyProtection="1">
      <alignment horizontal="right" vertical="center"/>
      <protection/>
    </xf>
    <xf numFmtId="0" fontId="1" fillId="0" borderId="13" xfId="0" applyFont="1" applyBorder="1" applyAlignment="1" applyProtection="1">
      <alignment horizontal="center" vertical="top"/>
      <protection/>
    </xf>
    <xf numFmtId="0" fontId="1" fillId="0" borderId="13" xfId="0" applyNumberFormat="1" applyFont="1" applyBorder="1" applyAlignment="1" applyProtection="1">
      <alignment horizont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13" xfId="0" applyFill="1" applyBorder="1" applyAlignment="1" applyProtection="1">
      <alignment horizontal="center"/>
      <protection locked="0"/>
    </xf>
    <xf numFmtId="3" fontId="0" fillId="0" borderId="13" xfId="0" applyNumberFormat="1" applyFill="1" applyBorder="1" applyAlignment="1" applyProtection="1">
      <alignment/>
      <protection locked="0"/>
    </xf>
    <xf numFmtId="3" fontId="0" fillId="0" borderId="34" xfId="0" applyNumberFormat="1" applyFill="1" applyBorder="1" applyAlignment="1" applyProtection="1">
      <alignment/>
      <protection locked="0"/>
    </xf>
    <xf numFmtId="44" fontId="0" fillId="0" borderId="13" xfId="0" applyNumberFormat="1" applyFill="1" applyBorder="1" applyAlignment="1" applyProtection="1">
      <alignment/>
      <protection locked="0"/>
    </xf>
    <xf numFmtId="44" fontId="0" fillId="7" borderId="13" xfId="0" applyNumberFormat="1" applyFill="1" applyBorder="1" applyAlignment="1" applyProtection="1">
      <alignment/>
      <protection locked="0"/>
    </xf>
    <xf numFmtId="0" fontId="0" fillId="7" borderId="13" xfId="0" applyFont="1" applyFill="1" applyBorder="1" applyAlignment="1" applyProtection="1">
      <alignment horizontal="center"/>
      <protection locked="0"/>
    </xf>
    <xf numFmtId="0" fontId="0" fillId="7" borderId="33" xfId="0" applyFont="1" applyFill="1" applyBorder="1" applyAlignment="1" applyProtection="1">
      <alignment horizontal="center" wrapText="1"/>
      <protection locked="0"/>
    </xf>
    <xf numFmtId="0" fontId="0" fillId="7" borderId="13" xfId="0" applyFont="1" applyFill="1" applyBorder="1" applyAlignment="1" applyProtection="1">
      <alignment horizontal="center" wrapText="1"/>
      <protection locked="0"/>
    </xf>
    <xf numFmtId="0" fontId="0" fillId="7" borderId="11" xfId="0" applyFont="1" applyFill="1" applyBorder="1" applyAlignment="1" applyProtection="1">
      <alignment horizontal="center" wrapText="1"/>
      <protection locked="0"/>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1" fillId="7" borderId="0" xfId="0" applyFont="1" applyFill="1" applyAlignment="1" applyProtection="1">
      <alignment horizontal="center"/>
      <protection/>
    </xf>
    <xf numFmtId="0" fontId="5" fillId="0" borderId="11" xfId="0" applyFont="1" applyBorder="1" applyAlignment="1" applyProtection="1">
      <alignment vertical="center"/>
      <protection/>
    </xf>
    <xf numFmtId="0" fontId="24" fillId="0" borderId="11"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right" vertical="center"/>
      <protection/>
    </xf>
    <xf numFmtId="0" fontId="0" fillId="7" borderId="0" xfId="0" applyFill="1" applyAlignment="1" applyProtection="1">
      <alignment/>
      <protection/>
    </xf>
    <xf numFmtId="0" fontId="0" fillId="0" borderId="11" xfId="0" applyBorder="1" applyAlignment="1" applyProtection="1">
      <alignment/>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3" fillId="0" borderId="0" xfId="0" applyFont="1" applyAlignment="1" applyProtection="1">
      <alignment horizontal="left"/>
      <protection/>
    </xf>
    <xf numFmtId="0" fontId="0" fillId="0" borderId="0" xfId="0" applyAlignment="1" applyProtection="1">
      <alignment horizontal="left"/>
      <protection/>
    </xf>
    <xf numFmtId="0" fontId="1" fillId="0" borderId="13" xfId="0" applyFont="1" applyBorder="1" applyAlignment="1" applyProtection="1">
      <alignment horizontal="center"/>
      <protection/>
    </xf>
    <xf numFmtId="0" fontId="1" fillId="0" borderId="10" xfId="0" applyFont="1" applyBorder="1" applyAlignment="1" applyProtection="1">
      <alignment/>
      <protection/>
    </xf>
    <xf numFmtId="0" fontId="1" fillId="7" borderId="13" xfId="0" applyFont="1" applyFill="1" applyBorder="1" applyAlignment="1" applyProtection="1">
      <alignment horizontal="center"/>
      <protection/>
    </xf>
    <xf numFmtId="0" fontId="0" fillId="0" borderId="13" xfId="0" applyBorder="1" applyAlignment="1" applyProtection="1">
      <alignment horizontal="center"/>
      <protection/>
    </xf>
    <xf numFmtId="0" fontId="0" fillId="0" borderId="10" xfId="0" applyBorder="1" applyAlignment="1" applyProtection="1">
      <alignment/>
      <protection/>
    </xf>
    <xf numFmtId="0" fontId="0" fillId="0" borderId="13" xfId="0" applyFill="1" applyBorder="1" applyAlignment="1" applyProtection="1">
      <alignment horizontal="center"/>
      <protection/>
    </xf>
    <xf numFmtId="0" fontId="0" fillId="7" borderId="13" xfId="0" applyFill="1" applyBorder="1" applyAlignment="1" applyProtection="1">
      <alignment horizontal="center"/>
      <protection/>
    </xf>
    <xf numFmtId="0" fontId="5" fillId="0" borderId="11" xfId="0" applyNumberFormat="1" applyFont="1" applyBorder="1" applyAlignment="1" applyProtection="1">
      <alignment horizontal="center" vertical="center"/>
      <protection/>
    </xf>
    <xf numFmtId="0" fontId="9" fillId="0" borderId="0" xfId="0" applyFont="1" applyAlignment="1" applyProtection="1">
      <alignment horizontal="left"/>
      <protection/>
    </xf>
    <xf numFmtId="0" fontId="0" fillId="0" borderId="12" xfId="0" applyBorder="1" applyAlignment="1" applyProtection="1">
      <alignment horizontal="right"/>
      <protection/>
    </xf>
    <xf numFmtId="0" fontId="1" fillId="0" borderId="30" xfId="0" applyFont="1" applyBorder="1" applyAlignment="1" applyProtection="1">
      <alignment horizontal="center"/>
      <protection/>
    </xf>
    <xf numFmtId="0" fontId="1" fillId="0" borderId="33" xfId="0" applyFont="1" applyBorder="1" applyAlignment="1" applyProtection="1">
      <alignment horizontal="center"/>
      <protection/>
    </xf>
    <xf numFmtId="0" fontId="0" fillId="7" borderId="11" xfId="0" applyFill="1" applyBorder="1" applyAlignment="1" applyProtection="1">
      <alignment/>
      <protection/>
    </xf>
    <xf numFmtId="3" fontId="1" fillId="0" borderId="35" xfId="0" applyNumberFormat="1" applyFont="1" applyFill="1" applyBorder="1" applyAlignment="1" applyProtection="1">
      <alignment/>
      <protection/>
    </xf>
    <xf numFmtId="0" fontId="7" fillId="5" borderId="36" xfId="0" applyFont="1" applyFill="1" applyBorder="1" applyAlignment="1" applyProtection="1">
      <alignment/>
      <protection/>
    </xf>
    <xf numFmtId="0" fontId="8" fillId="5" borderId="32" xfId="0" applyFont="1" applyFill="1" applyBorder="1" applyAlignment="1" applyProtection="1">
      <alignment/>
      <protection/>
    </xf>
    <xf numFmtId="0" fontId="7" fillId="5" borderId="36" xfId="0" applyFont="1" applyFill="1" applyBorder="1" applyAlignment="1" applyProtection="1">
      <alignment horizontal="center"/>
      <protection/>
    </xf>
    <xf numFmtId="0" fontId="7" fillId="5" borderId="32" xfId="0" applyFont="1" applyFill="1" applyBorder="1" applyAlignment="1" applyProtection="1">
      <alignment horizontal="center"/>
      <protection/>
    </xf>
    <xf numFmtId="44" fontId="0" fillId="0" borderId="3" xfId="0" applyNumberFormat="1" applyBorder="1" applyAlignment="1" applyProtection="1">
      <alignment/>
      <protection/>
    </xf>
    <xf numFmtId="0" fontId="0" fillId="0" borderId="12" xfId="0" applyBorder="1" applyAlignment="1" applyProtection="1">
      <alignment/>
      <protection/>
    </xf>
    <xf numFmtId="0" fontId="0" fillId="0" borderId="30" xfId="0" applyFill="1" applyBorder="1" applyAlignment="1" applyProtection="1">
      <alignment horizontal="center"/>
      <protection/>
    </xf>
    <xf numFmtId="0" fontId="1" fillId="7" borderId="30" xfId="0" applyFont="1" applyFill="1" applyBorder="1" applyAlignment="1" applyProtection="1">
      <alignment horizontal="center"/>
      <protection/>
    </xf>
    <xf numFmtId="0" fontId="1" fillId="0" borderId="28" xfId="0" applyFont="1" applyBorder="1" applyAlignment="1" applyProtection="1">
      <alignment/>
      <protection/>
    </xf>
    <xf numFmtId="0" fontId="0" fillId="0" borderId="28" xfId="0" applyBorder="1" applyAlignment="1" applyProtection="1">
      <alignment/>
      <protection/>
    </xf>
    <xf numFmtId="0" fontId="1" fillId="0" borderId="33" xfId="0" applyFont="1" applyFill="1" applyBorder="1" applyAlignment="1" applyProtection="1">
      <alignment horizontal="center"/>
      <protection/>
    </xf>
    <xf numFmtId="0" fontId="1" fillId="7" borderId="33" xfId="0" applyFont="1" applyFill="1" applyBorder="1" applyAlignment="1" applyProtection="1">
      <alignment horizontal="center"/>
      <protection/>
    </xf>
    <xf numFmtId="3" fontId="0" fillId="7" borderId="13" xfId="0" applyNumberFormat="1" applyFill="1" applyBorder="1" applyAlignment="1" applyProtection="1">
      <alignment/>
      <protection/>
    </xf>
    <xf numFmtId="44" fontId="0" fillId="0" borderId="5" xfId="0" applyNumberFormat="1" applyBorder="1" applyAlignment="1" applyProtection="1">
      <alignment/>
      <protection/>
    </xf>
    <xf numFmtId="44" fontId="0" fillId="0" borderId="37" xfId="0" applyNumberFormat="1" applyBorder="1" applyAlignment="1" applyProtection="1">
      <alignment/>
      <protection/>
    </xf>
    <xf numFmtId="44" fontId="0" fillId="0" borderId="2" xfId="0" applyNumberFormat="1" applyBorder="1" applyAlignment="1" applyProtection="1">
      <alignment/>
      <protection/>
    </xf>
    <xf numFmtId="44" fontId="0" fillId="0" borderId="6" xfId="0" applyNumberFormat="1" applyBorder="1" applyAlignment="1" applyProtection="1">
      <alignment/>
      <protection/>
    </xf>
    <xf numFmtId="44" fontId="0" fillId="0" borderId="38" xfId="0" applyNumberFormat="1" applyBorder="1" applyAlignment="1" applyProtection="1">
      <alignment/>
      <protection/>
    </xf>
    <xf numFmtId="179" fontId="1" fillId="0" borderId="35" xfId="0" applyNumberFormat="1" applyFont="1" applyFill="1" applyBorder="1" applyAlignment="1" applyProtection="1">
      <alignment/>
      <protection/>
    </xf>
    <xf numFmtId="44" fontId="0" fillId="0" borderId="39" xfId="0" applyNumberFormat="1" applyBorder="1" applyAlignment="1" applyProtection="1">
      <alignment/>
      <protection/>
    </xf>
    <xf numFmtId="0" fontId="0" fillId="0" borderId="40" xfId="0" applyBorder="1" applyAlignment="1" applyProtection="1">
      <alignment/>
      <protection/>
    </xf>
    <xf numFmtId="0" fontId="0" fillId="0" borderId="30" xfId="0" applyFont="1" applyBorder="1" applyAlignment="1" applyProtection="1">
      <alignment horizontal="center"/>
      <protection/>
    </xf>
    <xf numFmtId="44" fontId="0" fillId="0" borderId="0" xfId="0" applyNumberFormat="1" applyFont="1" applyFill="1" applyBorder="1" applyAlignment="1" applyProtection="1">
      <alignment/>
      <protection/>
    </xf>
    <xf numFmtId="0" fontId="0" fillId="0" borderId="33" xfId="0" applyBorder="1" applyAlignment="1" applyProtection="1">
      <alignment horizontal="center"/>
      <protection/>
    </xf>
    <xf numFmtId="0" fontId="0" fillId="0" borderId="13" xfId="0" applyFont="1" applyBorder="1" applyAlignment="1" applyProtection="1">
      <alignment horizontal="center"/>
      <protection/>
    </xf>
    <xf numFmtId="183" fontId="0" fillId="0" borderId="30" xfId="0" applyNumberFormat="1" applyFont="1" applyFill="1" applyBorder="1" applyAlignment="1" applyProtection="1">
      <alignment/>
      <protection/>
    </xf>
    <xf numFmtId="180" fontId="0" fillId="0" borderId="10" xfId="0" applyNumberFormat="1" applyFont="1" applyFill="1" applyBorder="1" applyAlignment="1" applyProtection="1">
      <alignment vertical="center"/>
      <protection/>
    </xf>
    <xf numFmtId="0" fontId="0" fillId="7" borderId="11" xfId="0" applyFont="1" applyFill="1" applyBorder="1" applyAlignment="1" applyProtection="1">
      <alignment horizontal="center"/>
      <protection locked="0"/>
    </xf>
    <xf numFmtId="168" fontId="0" fillId="7" borderId="13" xfId="0" applyNumberFormat="1" applyFont="1" applyFill="1" applyBorder="1" applyAlignment="1" applyProtection="1">
      <alignment horizontal="center"/>
      <protection locked="0"/>
    </xf>
    <xf numFmtId="168" fontId="0" fillId="7" borderId="30" xfId="0" applyNumberFormat="1" applyFont="1" applyFill="1" applyBorder="1" applyAlignment="1" applyProtection="1">
      <alignment horizontal="center" vertical="center" wrapText="1"/>
      <protection locked="0"/>
    </xf>
    <xf numFmtId="44" fontId="0" fillId="0" borderId="30" xfId="0" applyNumberFormat="1" applyFont="1" applyBorder="1" applyAlignment="1" applyProtection="1">
      <alignment horizontal="center" vertical="center" wrapText="1"/>
      <protection locked="0"/>
    </xf>
    <xf numFmtId="0" fontId="0" fillId="0" borderId="0" xfId="0" applyFont="1" applyAlignment="1" applyProtection="1">
      <alignment horizontal="center"/>
      <protection/>
    </xf>
    <xf numFmtId="0" fontId="2" fillId="0" borderId="0" xfId="0" applyFont="1" applyFill="1" applyBorder="1" applyAlignment="1" applyProtection="1">
      <alignment/>
      <protection/>
    </xf>
    <xf numFmtId="37" fontId="0" fillId="0" borderId="10" xfId="0" applyNumberFormat="1" applyFont="1" applyFill="1" applyBorder="1" applyAlignment="1" applyProtection="1">
      <alignment horizontal="left" vertical="center"/>
      <protection/>
    </xf>
    <xf numFmtId="0" fontId="0" fillId="0" borderId="12" xfId="0" applyFont="1" applyFill="1" applyBorder="1" applyAlignment="1" applyProtection="1">
      <alignment/>
      <protection/>
    </xf>
    <xf numFmtId="0" fontId="1" fillId="0" borderId="30" xfId="0" applyFont="1" applyFill="1" applyBorder="1" applyAlignment="1" applyProtection="1">
      <alignment horizontal="center" vertical="center"/>
      <protection/>
    </xf>
    <xf numFmtId="4" fontId="1" fillId="0" borderId="30" xfId="0" applyNumberFormat="1" applyFont="1" applyFill="1" applyBorder="1" applyAlignment="1" applyProtection="1">
      <alignment horizontal="center" vertical="center"/>
      <protection/>
    </xf>
    <xf numFmtId="0" fontId="0" fillId="0" borderId="25" xfId="0" applyFont="1" applyFill="1" applyBorder="1" applyAlignment="1" applyProtection="1">
      <alignment/>
      <protection/>
    </xf>
    <xf numFmtId="42" fontId="5" fillId="0" borderId="13" xfId="0" applyNumberFormat="1" applyFont="1" applyFill="1" applyBorder="1" applyAlignment="1" applyProtection="1">
      <alignment/>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1" fillId="5" borderId="36" xfId="0" applyFont="1" applyFill="1" applyBorder="1" applyAlignment="1" applyProtection="1">
      <alignment/>
      <protection/>
    </xf>
    <xf numFmtId="0" fontId="0" fillId="5" borderId="32" xfId="0" applyFont="1" applyFill="1" applyBorder="1" applyAlignment="1" applyProtection="1">
      <alignment/>
      <protection/>
    </xf>
    <xf numFmtId="0" fontId="7" fillId="0" borderId="0" xfId="0" applyFont="1" applyFill="1" applyBorder="1" applyAlignment="1" applyProtection="1">
      <alignment horizontal="center"/>
      <protection/>
    </xf>
    <xf numFmtId="44" fontId="0" fillId="0" borderId="0" xfId="0" applyNumberFormat="1" applyAlignment="1" applyProtection="1">
      <alignment/>
      <protection/>
    </xf>
    <xf numFmtId="44" fontId="8" fillId="5" borderId="32" xfId="0" applyNumberFormat="1" applyFont="1" applyFill="1" applyBorder="1" applyAlignment="1">
      <alignment/>
    </xf>
    <xf numFmtId="44" fontId="7" fillId="5" borderId="32" xfId="0" applyNumberFormat="1" applyFont="1" applyFill="1" applyBorder="1" applyAlignment="1">
      <alignment horizontal="center"/>
    </xf>
    <xf numFmtId="44" fontId="0" fillId="0" borderId="2" xfId="19" applyNumberFormat="1" applyFont="1" applyFill="1" applyBorder="1" applyAlignment="1" applyProtection="1">
      <alignment horizontal="center" vertical="center" wrapText="1"/>
      <protection/>
    </xf>
    <xf numFmtId="44" fontId="0" fillId="0" borderId="6" xfId="19" applyNumberFormat="1" applyFont="1" applyFill="1" applyBorder="1" applyAlignment="1" applyProtection="1">
      <alignment horizontal="center" vertical="center" wrapText="1"/>
      <protection/>
    </xf>
    <xf numFmtId="44" fontId="0" fillId="0" borderId="0" xfId="19" applyNumberFormat="1" applyFont="1" applyFill="1" applyBorder="1" applyAlignment="1" applyProtection="1">
      <alignment vertical="center" wrapText="1"/>
      <protection/>
    </xf>
    <xf numFmtId="44" fontId="0" fillId="0" borderId="5" xfId="19" applyNumberFormat="1" applyFont="1" applyFill="1" applyBorder="1" applyAlignment="1" applyProtection="1">
      <alignment horizontal="center" vertical="center" wrapText="1"/>
      <protection/>
    </xf>
    <xf numFmtId="44" fontId="0" fillId="0" borderId="0" xfId="0" applyNumberFormat="1" applyFont="1" applyFill="1" applyBorder="1" applyAlignment="1" applyProtection="1">
      <alignment/>
      <protection/>
    </xf>
    <xf numFmtId="44" fontId="0" fillId="0" borderId="3" xfId="19" applyNumberFormat="1" applyFont="1" applyFill="1" applyBorder="1" applyAlignment="1" applyProtection="1">
      <alignment horizontal="center" vertical="center" wrapText="1"/>
      <protection/>
    </xf>
    <xf numFmtId="44" fontId="8" fillId="0" borderId="0" xfId="0" applyNumberFormat="1" applyFont="1" applyFill="1" applyBorder="1" applyAlignment="1" applyProtection="1">
      <alignment/>
      <protection/>
    </xf>
    <xf numFmtId="44" fontId="0" fillId="0" borderId="5" xfId="0" applyNumberFormat="1" applyFont="1" applyFill="1" applyBorder="1" applyAlignment="1" applyProtection="1">
      <alignment horizontal="center"/>
      <protection/>
    </xf>
    <xf numFmtId="44" fontId="0" fillId="0" borderId="2" xfId="0" applyNumberFormat="1" applyFont="1" applyFill="1" applyBorder="1" applyAlignment="1" applyProtection="1">
      <alignment horizontal="center"/>
      <protection/>
    </xf>
    <xf numFmtId="44" fontId="0" fillId="0" borderId="6" xfId="0" applyNumberFormat="1" applyFont="1" applyFill="1" applyBorder="1" applyAlignment="1" applyProtection="1">
      <alignment horizontal="center"/>
      <protection/>
    </xf>
    <xf numFmtId="44" fontId="1" fillId="0" borderId="0" xfId="0" applyNumberFormat="1" applyFont="1" applyFill="1" applyBorder="1" applyAlignment="1" applyProtection="1">
      <alignment/>
      <protection/>
    </xf>
    <xf numFmtId="44" fontId="0" fillId="0" borderId="3" xfId="0" applyNumberFormat="1" applyFont="1" applyFill="1" applyBorder="1" applyAlignment="1" applyProtection="1">
      <alignment horizontal="center"/>
      <protection/>
    </xf>
    <xf numFmtId="44" fontId="0" fillId="0" borderId="0" xfId="0" applyNumberFormat="1" applyFont="1" applyFill="1" applyBorder="1" applyAlignment="1" applyProtection="1">
      <alignment horizontal="center"/>
      <protection/>
    </xf>
    <xf numFmtId="44" fontId="0" fillId="0" borderId="6" xfId="0" applyNumberFormat="1" applyFont="1" applyFill="1" applyBorder="1" applyAlignment="1" applyProtection="1">
      <alignment horizontal="center" vertical="center"/>
      <protection/>
    </xf>
    <xf numFmtId="44" fontId="16" fillId="0" borderId="0"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vertical="center"/>
      <protection/>
    </xf>
    <xf numFmtId="44" fontId="0" fillId="0" borderId="41" xfId="0" applyNumberFormat="1" applyFont="1" applyFill="1" applyBorder="1" applyAlignment="1" applyProtection="1">
      <alignment/>
      <protection/>
    </xf>
    <xf numFmtId="4" fontId="6" fillId="0" borderId="0" xfId="0" applyNumberFormat="1" applyFont="1" applyFill="1" applyBorder="1" applyAlignment="1" applyProtection="1">
      <alignment horizontal="center" vertical="center"/>
      <protection/>
    </xf>
    <xf numFmtId="165" fontId="5" fillId="0" borderId="2" xfId="0" applyNumberFormat="1" applyFont="1" applyFill="1" applyBorder="1" applyAlignment="1" applyProtection="1">
      <alignment horizontal="center" vertical="center"/>
      <protection/>
    </xf>
    <xf numFmtId="164" fontId="5" fillId="0" borderId="2" xfId="0" applyNumberFormat="1" applyFont="1" applyFill="1" applyBorder="1" applyAlignment="1" applyProtection="1" quotePrefix="1">
      <alignment horizontal="center" vertical="center"/>
      <protection/>
    </xf>
    <xf numFmtId="165" fontId="5" fillId="0" borderId="6" xfId="0" applyNumberFormat="1" applyFont="1" applyFill="1" applyBorder="1" applyAlignment="1" applyProtection="1">
      <alignment horizontal="center" vertical="center"/>
      <protection/>
    </xf>
    <xf numFmtId="164" fontId="5" fillId="0" borderId="6" xfId="0" applyNumberFormat="1" applyFont="1" applyFill="1" applyBorder="1" applyAlignment="1" applyProtection="1" quotePrefix="1">
      <alignment horizontal="center" vertical="center"/>
      <protection/>
    </xf>
    <xf numFmtId="165" fontId="16" fillId="0" borderId="5" xfId="0" applyNumberFormat="1" applyFont="1" applyFill="1" applyBorder="1" applyAlignment="1" applyProtection="1">
      <alignment horizontal="center" vertical="center"/>
      <protection/>
    </xf>
    <xf numFmtId="164" fontId="16" fillId="0" borderId="5" xfId="0" applyNumberFormat="1" applyFont="1" applyFill="1" applyBorder="1" applyAlignment="1" applyProtection="1">
      <alignment horizontal="center" vertical="center"/>
      <protection/>
    </xf>
    <xf numFmtId="165" fontId="16" fillId="0" borderId="6" xfId="0" applyNumberFormat="1" applyFont="1" applyFill="1" applyBorder="1" applyAlignment="1" applyProtection="1">
      <alignment horizontal="center" vertical="center"/>
      <protection/>
    </xf>
    <xf numFmtId="0" fontId="0" fillId="0" borderId="13" xfId="0" applyFont="1" applyBorder="1" applyAlignment="1" applyProtection="1">
      <alignment horizontal="center" vertical="top" wrapText="1"/>
      <protection/>
    </xf>
    <xf numFmtId="0" fontId="0" fillId="0" borderId="5" xfId="0" applyFont="1" applyFill="1" applyBorder="1" applyAlignment="1" applyProtection="1">
      <alignment/>
      <protection/>
    </xf>
    <xf numFmtId="3" fontId="0" fillId="0" borderId="5" xfId="0" applyNumberFormat="1" applyFont="1" applyFill="1" applyBorder="1" applyAlignment="1" applyProtection="1">
      <alignment/>
      <protection/>
    </xf>
    <xf numFmtId="0" fontId="0" fillId="0" borderId="2" xfId="0" applyFont="1" applyFill="1" applyBorder="1" applyAlignment="1" applyProtection="1">
      <alignment/>
      <protection/>
    </xf>
    <xf numFmtId="3" fontId="0" fillId="0" borderId="2" xfId="0" applyNumberFormat="1" applyFont="1" applyFill="1" applyBorder="1" applyAlignment="1" applyProtection="1">
      <alignment/>
      <protection/>
    </xf>
    <xf numFmtId="0" fontId="0" fillId="0" borderId="6" xfId="0" applyFont="1" applyFill="1" applyBorder="1" applyAlignment="1" applyProtection="1">
      <alignment/>
      <protection/>
    </xf>
    <xf numFmtId="3" fontId="0" fillId="0" borderId="6" xfId="0" applyNumberFormat="1" applyFont="1" applyFill="1" applyBorder="1" applyAlignment="1" applyProtection="1">
      <alignment/>
      <protection/>
    </xf>
    <xf numFmtId="0" fontId="7" fillId="5" borderId="0" xfId="0" applyFont="1" applyFill="1" applyBorder="1" applyAlignment="1" applyProtection="1">
      <alignment/>
      <protection/>
    </xf>
    <xf numFmtId="44" fontId="0" fillId="0" borderId="10" xfId="0" applyNumberFormat="1" applyFont="1" applyFill="1" applyBorder="1" applyAlignment="1" applyProtection="1">
      <alignment/>
      <protection locked="0"/>
    </xf>
    <xf numFmtId="0" fontId="0" fillId="0" borderId="10" xfId="0" applyBorder="1" applyAlignment="1" applyProtection="1">
      <alignment vertical="top"/>
      <protection/>
    </xf>
    <xf numFmtId="0" fontId="0" fillId="0" borderId="0" xfId="0" applyAlignment="1" applyProtection="1">
      <alignment horizontal="right"/>
      <protection locked="0"/>
    </xf>
    <xf numFmtId="0" fontId="0" fillId="0" borderId="10" xfId="0" applyFill="1" applyBorder="1" applyAlignment="1" applyProtection="1">
      <alignment horizontal="left"/>
      <protection locked="0"/>
    </xf>
    <xf numFmtId="164" fontId="6" fillId="0" borderId="41" xfId="0" applyNumberFormat="1" applyFont="1" applyFill="1" applyBorder="1" applyAlignment="1" applyProtection="1">
      <alignment horizontal="center" vertical="center"/>
      <protection/>
    </xf>
    <xf numFmtId="44" fontId="0" fillId="0" borderId="13" xfId="0" applyNumberFormat="1" applyFill="1" applyBorder="1" applyAlignment="1" applyProtection="1">
      <alignment/>
      <protection/>
    </xf>
    <xf numFmtId="0" fontId="5" fillId="0" borderId="0" xfId="0" applyFont="1" applyAlignment="1" applyProtection="1">
      <alignment/>
      <protection/>
    </xf>
    <xf numFmtId="0" fontId="0" fillId="0" borderId="0" xfId="0" applyAlignment="1" applyProtection="1">
      <alignment wrapText="1"/>
      <protection/>
    </xf>
    <xf numFmtId="0" fontId="5" fillId="6" borderId="0" xfId="0" applyNumberFormat="1" applyFont="1" applyFill="1" applyAlignment="1" applyProtection="1">
      <alignment horizontal="right"/>
      <protection/>
    </xf>
    <xf numFmtId="0" fontId="0" fillId="0" borderId="13" xfId="0" applyBorder="1" applyAlignment="1" applyProtection="1">
      <alignment horizontal="center" vertical="top"/>
      <protection/>
    </xf>
    <xf numFmtId="0" fontId="0" fillId="0" borderId="11" xfId="0" applyBorder="1" applyAlignment="1" applyProtection="1">
      <alignment vertical="top"/>
      <protection/>
    </xf>
    <xf numFmtId="0" fontId="1" fillId="0" borderId="10" xfId="0" applyFont="1" applyBorder="1" applyAlignment="1" applyProtection="1">
      <alignment vertical="top"/>
      <protection/>
    </xf>
    <xf numFmtId="194" fontId="0" fillId="0" borderId="13" xfId="0" applyNumberFormat="1" applyFill="1" applyBorder="1" applyAlignment="1" applyProtection="1">
      <alignment/>
      <protection/>
    </xf>
    <xf numFmtId="194" fontId="1" fillId="0" borderId="35" xfId="0" applyNumberFormat="1" applyFont="1" applyFill="1" applyBorder="1" applyAlignment="1" applyProtection="1">
      <alignment/>
      <protection/>
    </xf>
    <xf numFmtId="194" fontId="1" fillId="0" borderId="13" xfId="0" applyNumberFormat="1" applyFont="1" applyFill="1" applyBorder="1" applyAlignment="1" applyProtection="1">
      <alignment/>
      <protection/>
    </xf>
    <xf numFmtId="0" fontId="5" fillId="0" borderId="11" xfId="0" applyNumberFormat="1" applyFont="1" applyBorder="1" applyAlignment="1" applyProtection="1">
      <alignment horizontal="left" vertical="center"/>
      <protection/>
    </xf>
    <xf numFmtId="0" fontId="27" fillId="0" borderId="0" xfId="0" applyFont="1" applyAlignment="1" applyProtection="1">
      <alignment horizontal="left"/>
      <protection/>
    </xf>
    <xf numFmtId="0" fontId="0" fillId="0" borderId="0" xfId="0" applyAlignment="1" applyProtection="1">
      <alignment vertical="center"/>
      <protection/>
    </xf>
    <xf numFmtId="0" fontId="1" fillId="0" borderId="13"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27" fillId="0" borderId="11" xfId="0" applyFont="1" applyBorder="1" applyAlignment="1" applyProtection="1">
      <alignment vertical="center"/>
      <protection/>
    </xf>
    <xf numFmtId="0" fontId="27" fillId="0" borderId="0" xfId="0" applyFont="1" applyAlignment="1" applyProtection="1">
      <alignment vertical="center"/>
      <protection/>
    </xf>
    <xf numFmtId="0" fontId="0" fillId="0" borderId="12" xfId="0" applyBorder="1" applyAlignment="1" applyProtection="1">
      <alignment vertical="center"/>
      <protection/>
    </xf>
    <xf numFmtId="179" fontId="1" fillId="0" borderId="13" xfId="0" applyNumberFormat="1" applyFont="1" applyFill="1" applyBorder="1" applyAlignment="1" applyProtection="1">
      <alignment vertical="center"/>
      <protection/>
    </xf>
    <xf numFmtId="0" fontId="0" fillId="0" borderId="0" xfId="0" applyAlignment="1" applyProtection="1">
      <alignment horizontal="center" vertical="center"/>
      <protection/>
    </xf>
    <xf numFmtId="42" fontId="1" fillId="0" borderId="13"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179" fontId="1" fillId="0" borderId="35" xfId="0" applyNumberFormat="1" applyFont="1" applyFill="1" applyBorder="1" applyAlignment="1" applyProtection="1">
      <alignment vertic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1" fillId="0" borderId="31" xfId="0" applyFont="1" applyBorder="1" applyAlignment="1" applyProtection="1">
      <alignment horizontal="center"/>
      <protection/>
    </xf>
    <xf numFmtId="0" fontId="16" fillId="0" borderId="10" xfId="0" applyFont="1" applyBorder="1" applyAlignment="1" applyProtection="1">
      <alignment horizontal="left"/>
      <protection/>
    </xf>
    <xf numFmtId="3" fontId="0" fillId="0" borderId="12" xfId="0" applyNumberFormat="1" applyFill="1" applyBorder="1" applyAlignment="1" applyProtection="1">
      <alignment/>
      <protection/>
    </xf>
    <xf numFmtId="3" fontId="0" fillId="0" borderId="3" xfId="0" applyNumberFormat="1" applyBorder="1" applyAlignment="1" applyProtection="1">
      <alignment/>
      <protection/>
    </xf>
    <xf numFmtId="0" fontId="16" fillId="0" borderId="30" xfId="0" applyFont="1" applyBorder="1" applyAlignment="1" applyProtection="1">
      <alignment horizontal="center"/>
      <protection/>
    </xf>
    <xf numFmtId="0" fontId="1" fillId="0" borderId="0" xfId="0" applyFont="1" applyAlignment="1" applyProtection="1">
      <alignment/>
      <protection/>
    </xf>
    <xf numFmtId="0" fontId="16" fillId="0" borderId="33" xfId="0" applyFont="1" applyBorder="1" applyAlignment="1" applyProtection="1">
      <alignment horizontal="center"/>
      <protection/>
    </xf>
    <xf numFmtId="0" fontId="16" fillId="0" borderId="31" xfId="0" applyFont="1" applyBorder="1" applyAlignment="1" applyProtection="1">
      <alignment horizontal="center"/>
      <protection/>
    </xf>
    <xf numFmtId="0" fontId="0" fillId="0" borderId="13" xfId="0" applyBorder="1" applyAlignment="1" applyProtection="1">
      <alignment/>
      <protection/>
    </xf>
    <xf numFmtId="0" fontId="1" fillId="0" borderId="13" xfId="0" applyFont="1" applyBorder="1" applyAlignment="1" applyProtection="1">
      <alignment/>
      <protection/>
    </xf>
    <xf numFmtId="0" fontId="26" fillId="0" borderId="0" xfId="0" applyFont="1" applyAlignment="1" applyProtection="1">
      <alignment horizontal="left"/>
      <protection/>
    </xf>
    <xf numFmtId="0" fontId="1" fillId="0" borderId="0" xfId="0" applyFont="1" applyBorder="1" applyAlignment="1" applyProtection="1">
      <alignment/>
      <protection/>
    </xf>
    <xf numFmtId="0" fontId="0" fillId="0" borderId="33" xfId="0" applyBorder="1" applyAlignment="1" applyProtection="1">
      <alignment/>
      <protection/>
    </xf>
    <xf numFmtId="165" fontId="0" fillId="0" borderId="13" xfId="0" applyNumberFormat="1" applyBorder="1" applyAlignment="1" applyProtection="1">
      <alignment horizontal="center"/>
      <protection/>
    </xf>
    <xf numFmtId="0" fontId="0" fillId="0" borderId="0" xfId="0" applyAlignment="1" applyProtection="1">
      <alignment horizontal="right"/>
      <protection/>
    </xf>
    <xf numFmtId="4" fontId="0" fillId="0" borderId="13" xfId="0" applyNumberFormat="1" applyBorder="1" applyAlignment="1" applyProtection="1">
      <alignment horizontal="right"/>
      <protection/>
    </xf>
    <xf numFmtId="3" fontId="0" fillId="0" borderId="13" xfId="0" applyNumberFormat="1" applyBorder="1" applyAlignment="1" applyProtection="1">
      <alignment horizontal="right"/>
      <protection/>
    </xf>
    <xf numFmtId="3" fontId="0" fillId="0" borderId="5" xfId="0" applyNumberFormat="1" applyBorder="1" applyAlignment="1" applyProtection="1">
      <alignment/>
      <protection/>
    </xf>
    <xf numFmtId="3" fontId="0" fillId="0" borderId="2" xfId="0" applyNumberFormat="1" applyBorder="1" applyAlignment="1" applyProtection="1">
      <alignment/>
      <protection/>
    </xf>
    <xf numFmtId="0" fontId="0" fillId="0" borderId="30" xfId="0"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4" fontId="0" fillId="0" borderId="30" xfId="0" applyNumberFormat="1" applyBorder="1" applyAlignment="1" applyProtection="1">
      <alignment horizontal="right"/>
      <protection/>
    </xf>
    <xf numFmtId="3" fontId="0" fillId="0" borderId="30" xfId="0" applyNumberFormat="1" applyBorder="1" applyAlignment="1" applyProtection="1">
      <alignment horizontal="right"/>
      <protection/>
    </xf>
    <xf numFmtId="3" fontId="0" fillId="0" borderId="6" xfId="0" applyNumberFormat="1" applyBorder="1" applyAlignment="1" applyProtection="1">
      <alignment/>
      <protection/>
    </xf>
    <xf numFmtId="0" fontId="1" fillId="0" borderId="42" xfId="0" applyFont="1" applyBorder="1" applyAlignment="1" applyProtection="1">
      <alignment horizontal="center"/>
      <protection/>
    </xf>
    <xf numFmtId="0" fontId="1" fillId="0" borderId="43" xfId="0" applyFont="1" applyBorder="1" applyAlignment="1" applyProtection="1">
      <alignment/>
      <protection/>
    </xf>
    <xf numFmtId="0" fontId="0" fillId="0" borderId="9" xfId="0" applyBorder="1" applyAlignment="1" applyProtection="1">
      <alignment/>
      <protection/>
    </xf>
    <xf numFmtId="0" fontId="0" fillId="0" borderId="9" xfId="0" applyBorder="1" applyAlignment="1" applyProtection="1">
      <alignment horizontal="center"/>
      <protection/>
    </xf>
    <xf numFmtId="3" fontId="1" fillId="0" borderId="3" xfId="0" applyNumberFormat="1" applyFont="1" applyFill="1" applyBorder="1" applyAlignment="1" applyProtection="1">
      <alignment horizontal="right"/>
      <protection/>
    </xf>
    <xf numFmtId="4" fontId="1" fillId="0" borderId="3" xfId="0" applyNumberFormat="1" applyFont="1" applyFill="1" applyBorder="1" applyAlignment="1" applyProtection="1">
      <alignment horizontal="right"/>
      <protection/>
    </xf>
    <xf numFmtId="0" fontId="0" fillId="0" borderId="8" xfId="0" applyBorder="1" applyAlignment="1" applyProtection="1">
      <alignment/>
      <protection/>
    </xf>
    <xf numFmtId="0" fontId="2" fillId="0" borderId="0" xfId="0" applyFont="1" applyAlignment="1" applyProtection="1">
      <alignment horizontal="left"/>
      <protection/>
    </xf>
    <xf numFmtId="3" fontId="0" fillId="0" borderId="37" xfId="0" applyNumberFormat="1" applyBorder="1" applyAlignment="1" applyProtection="1">
      <alignment/>
      <protection/>
    </xf>
    <xf numFmtId="0" fontId="0" fillId="0" borderId="2" xfId="0" applyBorder="1" applyAlignment="1" applyProtection="1">
      <alignment/>
      <protection/>
    </xf>
    <xf numFmtId="3" fontId="0" fillId="0" borderId="37" xfId="0" applyNumberFormat="1" applyFill="1" applyBorder="1" applyAlignment="1" applyProtection="1">
      <alignment/>
      <protection/>
    </xf>
    <xf numFmtId="0" fontId="0" fillId="0" borderId="6" xfId="0" applyBorder="1" applyAlignment="1" applyProtection="1">
      <alignment/>
      <protection/>
    </xf>
    <xf numFmtId="3" fontId="0" fillId="0" borderId="38" xfId="0" applyNumberFormat="1" applyFill="1" applyBorder="1" applyAlignment="1" applyProtection="1">
      <alignment/>
      <protection/>
    </xf>
    <xf numFmtId="3" fontId="0" fillId="0" borderId="0" xfId="0" applyNumberFormat="1" applyBorder="1" applyAlignment="1" applyProtection="1">
      <alignment/>
      <protection/>
    </xf>
    <xf numFmtId="3" fontId="0" fillId="0" borderId="41" xfId="0" applyNumberFormat="1" applyBorder="1" applyAlignment="1" applyProtection="1">
      <alignment/>
      <protection/>
    </xf>
    <xf numFmtId="0" fontId="0" fillId="0" borderId="10" xfId="0" applyBorder="1" applyAlignment="1" applyProtection="1">
      <alignment vertical="center"/>
      <protection/>
    </xf>
    <xf numFmtId="0" fontId="0" fillId="0" borderId="13" xfId="0" applyBorder="1" applyAlignment="1" applyProtection="1" quotePrefix="1">
      <alignment horizontal="center"/>
      <protection/>
    </xf>
    <xf numFmtId="0" fontId="7" fillId="5" borderId="44" xfId="0" applyFont="1" applyFill="1" applyBorder="1" applyAlignment="1" applyProtection="1">
      <alignment horizontal="left"/>
      <protection/>
    </xf>
    <xf numFmtId="0" fontId="0" fillId="0" borderId="0" xfId="0" applyBorder="1" applyAlignment="1" applyProtection="1">
      <alignment horizontal="center"/>
      <protection/>
    </xf>
    <xf numFmtId="0" fontId="1" fillId="0" borderId="36"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2" xfId="0" applyBorder="1" applyAlignment="1" applyProtection="1">
      <alignment horizontal="center"/>
      <protection/>
    </xf>
    <xf numFmtId="0" fontId="0" fillId="0" borderId="25" xfId="0" applyBorder="1" applyAlignment="1" applyProtection="1">
      <alignment/>
      <protection/>
    </xf>
    <xf numFmtId="0" fontId="1" fillId="0" borderId="29" xfId="0" applyFont="1" applyBorder="1" applyAlignment="1" applyProtection="1">
      <alignment/>
      <protection/>
    </xf>
    <xf numFmtId="0" fontId="0" fillId="0" borderId="31" xfId="0" applyFill="1" applyBorder="1" applyAlignment="1" applyProtection="1">
      <alignment horizontal="center"/>
      <protection/>
    </xf>
    <xf numFmtId="0" fontId="0" fillId="0" borderId="10" xfId="0" applyFill="1" applyBorder="1" applyAlignment="1" applyProtection="1">
      <alignment/>
      <protection/>
    </xf>
    <xf numFmtId="0" fontId="0" fillId="0" borderId="0" xfId="0" applyFill="1" applyBorder="1" applyAlignment="1" applyProtection="1">
      <alignment horizontal="center"/>
      <protection/>
    </xf>
    <xf numFmtId="0" fontId="0" fillId="0" borderId="10" xfId="0" applyFont="1" applyBorder="1" applyAlignment="1" applyProtection="1">
      <alignment/>
      <protection/>
    </xf>
    <xf numFmtId="0" fontId="1" fillId="0" borderId="0" xfId="0" applyFont="1" applyAlignment="1" applyProtection="1">
      <alignment horizontal="left"/>
      <protection/>
    </xf>
    <xf numFmtId="44" fontId="0" fillId="0" borderId="32" xfId="0" applyNumberFormat="1" applyBorder="1" applyAlignment="1" applyProtection="1">
      <alignment/>
      <protection/>
    </xf>
    <xf numFmtId="0" fontId="0" fillId="0" borderId="10" xfId="0" applyFont="1" applyBorder="1" applyAlignment="1" applyProtection="1">
      <alignment/>
      <protection/>
    </xf>
    <xf numFmtId="0" fontId="3" fillId="0" borderId="0" xfId="0" applyFont="1" applyAlignment="1" applyProtection="1">
      <alignment horizontal="left" vertical="center"/>
      <protection/>
    </xf>
    <xf numFmtId="0" fontId="0" fillId="0" borderId="0" xfId="0" applyFill="1" applyAlignment="1" applyProtection="1">
      <alignment vertical="center"/>
      <protection/>
    </xf>
    <xf numFmtId="0" fontId="1" fillId="0" borderId="0" xfId="0" applyFont="1" applyAlignment="1" applyProtection="1">
      <alignment horizontal="lef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1" fillId="0" borderId="24"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7" borderId="3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4" fontId="0" fillId="0" borderId="13" xfId="0" applyNumberFormat="1" applyBorder="1" applyAlignment="1" applyProtection="1">
      <alignment vertical="center"/>
      <protection/>
    </xf>
    <xf numFmtId="44" fontId="0" fillId="0" borderId="13" xfId="0" applyNumberFormat="1" applyBorder="1" applyAlignment="1" applyProtection="1">
      <alignment vertical="center"/>
      <protection/>
    </xf>
    <xf numFmtId="0" fontId="0" fillId="7" borderId="13" xfId="0" applyFill="1" applyBorder="1" applyAlignment="1" applyProtection="1">
      <alignment vertical="center"/>
      <protection/>
    </xf>
    <xf numFmtId="193" fontId="0" fillId="0" borderId="13" xfId="0" applyNumberFormat="1" applyBorder="1" applyAlignment="1" applyProtection="1">
      <alignment vertical="center"/>
      <protection/>
    </xf>
    <xf numFmtId="3" fontId="0" fillId="0" borderId="13" xfId="0" applyNumberFormat="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Border="1" applyAlignment="1" applyProtection="1">
      <alignment horizontal="right" vertical="center"/>
      <protection/>
    </xf>
    <xf numFmtId="0" fontId="0" fillId="0" borderId="13" xfId="0" applyBorder="1" applyAlignment="1" applyProtection="1" quotePrefix="1">
      <alignment horizontal="center" vertical="center"/>
      <protection/>
    </xf>
    <xf numFmtId="42" fontId="0" fillId="0" borderId="13" xfId="0" applyNumberFormat="1" applyBorder="1" applyAlignment="1" applyProtection="1">
      <alignment vertical="center"/>
      <protection/>
    </xf>
    <xf numFmtId="0" fontId="0" fillId="0" borderId="10" xfId="0" applyFont="1" applyFill="1" applyBorder="1" applyAlignment="1" applyProtection="1">
      <alignment vertical="center"/>
      <protection/>
    </xf>
    <xf numFmtId="3" fontId="0" fillId="0" borderId="13" xfId="0" applyNumberFormat="1" applyBorder="1" applyAlignment="1" applyProtection="1">
      <alignment horizontal="center" vertical="center"/>
      <protection/>
    </xf>
    <xf numFmtId="0" fontId="0" fillId="0" borderId="31" xfId="0" applyFill="1" applyBorder="1" applyAlignment="1" applyProtection="1">
      <alignment vertical="center"/>
      <protection/>
    </xf>
    <xf numFmtId="0" fontId="0" fillId="0" borderId="30" xfId="0" applyBorder="1" applyAlignment="1" applyProtection="1">
      <alignment horizontal="center" vertical="center"/>
      <protection/>
    </xf>
    <xf numFmtId="3" fontId="0" fillId="0" borderId="30" xfId="0" applyNumberFormat="1" applyBorder="1" applyAlignment="1" applyProtection="1">
      <alignment vertical="center"/>
      <protection/>
    </xf>
    <xf numFmtId="44" fontId="0" fillId="0" borderId="30" xfId="0" applyNumberFormat="1" applyBorder="1" applyAlignment="1" applyProtection="1">
      <alignment vertical="center"/>
      <protection/>
    </xf>
    <xf numFmtId="0" fontId="0" fillId="7" borderId="30" xfId="0" applyFill="1" applyBorder="1" applyAlignment="1" applyProtection="1">
      <alignment vertical="center"/>
      <protection/>
    </xf>
    <xf numFmtId="0" fontId="1" fillId="0" borderId="10" xfId="0" applyFont="1" applyFill="1" applyBorder="1" applyAlignment="1" applyProtection="1">
      <alignment vertical="center"/>
      <protection/>
    </xf>
    <xf numFmtId="0" fontId="1" fillId="7" borderId="13"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179" fontId="0" fillId="0" borderId="0" xfId="0" applyNumberFormat="1" applyFont="1" applyFill="1" applyBorder="1" applyAlignment="1" applyProtection="1">
      <alignment vertical="center"/>
      <protection/>
    </xf>
    <xf numFmtId="0" fontId="9" fillId="0" borderId="13" xfId="0" applyFont="1" applyBorder="1" applyAlignment="1" applyProtection="1">
      <alignment horizontal="center" vertical="center"/>
      <protection/>
    </xf>
    <xf numFmtId="0" fontId="9" fillId="0" borderId="10" xfId="0" applyFont="1" applyFill="1" applyBorder="1" applyAlignment="1" applyProtection="1">
      <alignment vertical="center"/>
      <protection/>
    </xf>
    <xf numFmtId="0" fontId="27" fillId="0" borderId="12" xfId="0" applyFont="1" applyBorder="1" applyAlignment="1" applyProtection="1">
      <alignment vertical="center"/>
      <protection/>
    </xf>
    <xf numFmtId="3" fontId="0" fillId="0" borderId="13" xfId="0" applyNumberFormat="1" applyFill="1" applyBorder="1" applyAlignment="1" applyProtection="1">
      <alignment horizontal="right"/>
      <protection locked="0"/>
    </xf>
    <xf numFmtId="3" fontId="0" fillId="0" borderId="30" xfId="0" applyNumberFormat="1" applyFill="1" applyBorder="1" applyAlignment="1" applyProtection="1">
      <alignment horizontal="right"/>
      <protection locked="0"/>
    </xf>
    <xf numFmtId="165" fontId="0" fillId="0" borderId="13" xfId="0" applyNumberFormat="1" applyFill="1" applyBorder="1" applyAlignment="1" applyProtection="1">
      <alignment horizontal="center"/>
      <protection locked="0"/>
    </xf>
    <xf numFmtId="165" fontId="0" fillId="0" borderId="30" xfId="0" applyNumberFormat="1" applyFill="1" applyBorder="1" applyAlignment="1" applyProtection="1">
      <alignment horizontal="center"/>
      <protection locked="0"/>
    </xf>
    <xf numFmtId="3" fontId="0" fillId="0" borderId="13" xfId="0" applyNumberFormat="1" applyFill="1" applyBorder="1" applyAlignment="1" applyProtection="1">
      <alignment horizontal="center"/>
      <protection locked="0"/>
    </xf>
    <xf numFmtId="42" fontId="0" fillId="0" borderId="13" xfId="0" applyNumberFormat="1" applyFill="1" applyBorder="1" applyAlignment="1" applyProtection="1">
      <alignment/>
      <protection locked="0"/>
    </xf>
    <xf numFmtId="4" fontId="1" fillId="0" borderId="2" xfId="0" applyNumberFormat="1" applyFont="1" applyFill="1" applyBorder="1" applyAlignment="1" applyProtection="1">
      <alignment horizontal="right"/>
      <protection/>
    </xf>
    <xf numFmtId="179" fontId="1" fillId="0" borderId="13" xfId="0" applyNumberFormat="1" applyFont="1" applyFill="1" applyBorder="1" applyAlignment="1" applyProtection="1">
      <alignment vertical="center"/>
      <protection locked="0"/>
    </xf>
    <xf numFmtId="0" fontId="6" fillId="5" borderId="44" xfId="0" applyFont="1" applyFill="1" applyBorder="1" applyAlignment="1" applyProtection="1">
      <alignment horizontal="left"/>
      <protection/>
    </xf>
    <xf numFmtId="0" fontId="7" fillId="5" borderId="44" xfId="0" applyFont="1" applyFill="1" applyBorder="1" applyAlignment="1" applyProtection="1">
      <alignment horizontal="right"/>
      <protection/>
    </xf>
    <xf numFmtId="0" fontId="7" fillId="5" borderId="10" xfId="0" applyFont="1" applyFill="1" applyBorder="1" applyAlignment="1" applyProtection="1">
      <alignment vertical="center"/>
      <protection/>
    </xf>
    <xf numFmtId="0" fontId="7" fillId="5" borderId="12" xfId="0" applyFont="1" applyFill="1" applyBorder="1" applyAlignment="1" applyProtection="1">
      <alignment vertical="center"/>
      <protection/>
    </xf>
    <xf numFmtId="44" fontId="0" fillId="0" borderId="8" xfId="0" applyNumberFormat="1" applyBorder="1" applyAlignment="1" applyProtection="1">
      <alignment/>
      <protection/>
    </xf>
    <xf numFmtId="44" fontId="0" fillId="0" borderId="0" xfId="0" applyNumberFormat="1" applyBorder="1" applyAlignment="1" applyProtection="1">
      <alignment/>
      <protection/>
    </xf>
    <xf numFmtId="0" fontId="1" fillId="0" borderId="0" xfId="0" applyFont="1" applyFill="1" applyAlignment="1" applyProtection="1">
      <alignment horizontal="center"/>
      <protection/>
    </xf>
    <xf numFmtId="0" fontId="0" fillId="0" borderId="31" xfId="0" applyBorder="1" applyAlignment="1" applyProtection="1">
      <alignment/>
      <protection/>
    </xf>
    <xf numFmtId="44" fontId="0" fillId="7" borderId="13" xfId="0" applyNumberFormat="1" applyFill="1" applyBorder="1" applyAlignment="1" applyProtection="1">
      <alignment/>
      <protection/>
    </xf>
    <xf numFmtId="0" fontId="0" fillId="0" borderId="11" xfId="0" applyFill="1" applyBorder="1" applyAlignment="1" applyProtection="1">
      <alignment vertical="center"/>
      <protection/>
    </xf>
    <xf numFmtId="0" fontId="9" fillId="7" borderId="11" xfId="0" applyFont="1" applyFill="1" applyBorder="1" applyAlignment="1" applyProtection="1">
      <alignment horizontal="center" vertical="center"/>
      <protection/>
    </xf>
    <xf numFmtId="0" fontId="7" fillId="5" borderId="44" xfId="0" applyFont="1" applyFill="1" applyBorder="1" applyAlignment="1" applyProtection="1">
      <alignment horizontal="center"/>
      <protection/>
    </xf>
    <xf numFmtId="16" fontId="0" fillId="0" borderId="13" xfId="0" applyNumberFormat="1" applyBorder="1" applyAlignment="1" applyProtection="1" quotePrefix="1">
      <alignment horizontal="center" vertical="center"/>
      <protection/>
    </xf>
    <xf numFmtId="0" fontId="7" fillId="5" borderId="12" xfId="0" applyFont="1" applyFill="1" applyBorder="1" applyAlignment="1" applyProtection="1">
      <alignment horizontal="center" vertical="center"/>
      <protection/>
    </xf>
    <xf numFmtId="0" fontId="0" fillId="7" borderId="13" xfId="0" applyFont="1" applyFill="1" applyBorder="1" applyAlignment="1" applyProtection="1">
      <alignment/>
      <protection/>
    </xf>
    <xf numFmtId="200" fontId="0" fillId="0" borderId="13" xfId="0" applyNumberFormat="1" applyBorder="1" applyAlignment="1" applyProtection="1">
      <alignment vertical="center"/>
      <protection/>
    </xf>
    <xf numFmtId="0" fontId="7" fillId="5" borderId="0" xfId="0" applyFont="1" applyFill="1" applyBorder="1" applyAlignment="1" applyProtection="1">
      <alignment horizontal="center"/>
      <protection/>
    </xf>
    <xf numFmtId="0" fontId="29" fillId="0" borderId="0" xfId="0" applyFont="1" applyAlignment="1" applyProtection="1">
      <alignment horizontal="center"/>
      <protection/>
    </xf>
    <xf numFmtId="0" fontId="0" fillId="0" borderId="26" xfId="0" applyFont="1" applyFill="1" applyBorder="1" applyAlignment="1" applyProtection="1">
      <alignment horizontal="center"/>
      <protection/>
    </xf>
    <xf numFmtId="0" fontId="0" fillId="0" borderId="29" xfId="0" applyFont="1" applyFill="1" applyBorder="1" applyAlignment="1" applyProtection="1">
      <alignment/>
      <protection/>
    </xf>
    <xf numFmtId="0" fontId="0" fillId="0" borderId="26" xfId="0" applyFont="1" applyFill="1" applyBorder="1" applyAlignment="1" applyProtection="1">
      <alignment/>
      <protection/>
    </xf>
    <xf numFmtId="0" fontId="0" fillId="0" borderId="11" xfId="0" applyFill="1" applyBorder="1" applyAlignment="1" applyProtection="1">
      <alignment/>
      <protection/>
    </xf>
    <xf numFmtId="0" fontId="0" fillId="7" borderId="13" xfId="0" applyFill="1" applyBorder="1" applyAlignment="1" applyProtection="1">
      <alignment/>
      <protection/>
    </xf>
    <xf numFmtId="0" fontId="0" fillId="0" borderId="12" xfId="0" applyFill="1" applyBorder="1" applyAlignment="1" applyProtection="1">
      <alignment/>
      <protection/>
    </xf>
    <xf numFmtId="0" fontId="0" fillId="0" borderId="28"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28" xfId="0" applyFont="1" applyFill="1" applyBorder="1" applyAlignment="1" applyProtection="1">
      <alignment horizontal="left" wrapText="1"/>
      <protection/>
    </xf>
    <xf numFmtId="0" fontId="5" fillId="0" borderId="11" xfId="0" applyNumberFormat="1" applyFont="1" applyFill="1" applyBorder="1" applyAlignment="1" applyProtection="1">
      <alignment horizontal="right" vertical="center"/>
      <protection/>
    </xf>
    <xf numFmtId="0" fontId="0" fillId="0" borderId="23"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28" xfId="0" applyFont="1" applyFill="1" applyBorder="1" applyAlignment="1" applyProtection="1">
      <alignment wrapText="1"/>
      <protection/>
    </xf>
    <xf numFmtId="3" fontId="0" fillId="0" borderId="0" xfId="0" applyNumberFormat="1" applyFont="1" applyFill="1" applyBorder="1" applyAlignment="1" applyProtection="1">
      <alignment horizontal="left"/>
      <protection/>
    </xf>
    <xf numFmtId="3" fontId="0" fillId="0" borderId="28"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3" xfId="0" applyFont="1" applyFill="1" applyBorder="1" applyAlignment="1" applyProtection="1">
      <alignment/>
      <protection/>
    </xf>
    <xf numFmtId="0" fontId="0" fillId="0" borderId="31" xfId="0" applyFont="1" applyFill="1" applyBorder="1" applyAlignment="1" applyProtection="1">
      <alignment/>
      <protection/>
    </xf>
    <xf numFmtId="180" fontId="0" fillId="0" borderId="31" xfId="0" applyNumberFormat="1" applyFont="1" applyFill="1" applyBorder="1" applyAlignment="1" applyProtection="1">
      <alignment vertical="center"/>
      <protection/>
    </xf>
    <xf numFmtId="0" fontId="0" fillId="7" borderId="0" xfId="0" applyFill="1" applyAlignment="1" applyProtection="1">
      <alignment vertical="center"/>
      <protection/>
    </xf>
    <xf numFmtId="181" fontId="0" fillId="0" borderId="13" xfId="0" applyNumberFormat="1" applyFill="1" applyBorder="1" applyAlignment="1" applyProtection="1">
      <alignment horizontal="right" vertical="center"/>
      <protection locked="0"/>
    </xf>
    <xf numFmtId="180" fontId="0" fillId="0" borderId="13" xfId="0" applyNumberFormat="1" applyFill="1" applyBorder="1" applyAlignment="1" applyProtection="1">
      <alignment horizontal="right" vertical="center"/>
      <protection locked="0"/>
    </xf>
    <xf numFmtId="42" fontId="0" fillId="0" borderId="13" xfId="0" applyNumberFormat="1" applyFill="1" applyBorder="1" applyAlignment="1" applyProtection="1">
      <alignment horizontal="right" vertical="center"/>
      <protection locked="0"/>
    </xf>
    <xf numFmtId="0" fontId="5" fillId="0" borderId="0" xfId="0" applyNumberFormat="1" applyFont="1" applyFill="1" applyBorder="1" applyAlignment="1" applyProtection="1">
      <alignment horizontal="center" vertical="center"/>
      <protection/>
    </xf>
    <xf numFmtId="0" fontId="0" fillId="0" borderId="24" xfId="0" applyBorder="1" applyAlignment="1" applyProtection="1">
      <alignment vertical="center"/>
      <protection/>
    </xf>
    <xf numFmtId="3" fontId="0" fillId="0" borderId="44" xfId="0" applyNumberFormat="1" applyFont="1" applyFill="1" applyBorder="1" applyAlignment="1" applyProtection="1">
      <alignment/>
      <protection/>
    </xf>
    <xf numFmtId="0" fontId="7" fillId="5" borderId="5" xfId="0" applyFont="1" applyFill="1" applyBorder="1" applyAlignment="1" applyProtection="1">
      <alignment horizontal="center"/>
      <protection/>
    </xf>
    <xf numFmtId="0" fontId="7" fillId="5" borderId="2" xfId="0" applyFont="1" applyFill="1" applyBorder="1" applyAlignment="1" applyProtection="1">
      <alignment horizontal="center"/>
      <protection/>
    </xf>
    <xf numFmtId="0" fontId="0" fillId="0" borderId="13" xfId="0"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xf>
    <xf numFmtId="164" fontId="5" fillId="0" borderId="45" xfId="0" applyNumberFormat="1" applyFont="1" applyFill="1" applyBorder="1" applyAlignment="1" applyProtection="1">
      <alignment horizontal="center" vertical="center"/>
      <protection/>
    </xf>
    <xf numFmtId="164" fontId="5" fillId="0" borderId="38" xfId="0" applyNumberFormat="1" applyFont="1" applyFill="1" applyBorder="1" applyAlignment="1" applyProtection="1">
      <alignment horizontal="center" vertical="center"/>
      <protection/>
    </xf>
    <xf numFmtId="3" fontId="6" fillId="5" borderId="7" xfId="0" applyNumberFormat="1" applyFont="1" applyFill="1" applyBorder="1" applyAlignment="1" applyProtection="1">
      <alignment horizontal="center" vertical="center"/>
      <protection/>
    </xf>
    <xf numFmtId="4" fontId="6" fillId="5" borderId="39" xfId="0" applyNumberFormat="1" applyFont="1" applyFill="1" applyBorder="1" applyAlignment="1" applyProtection="1">
      <alignment horizontal="center" vertical="center"/>
      <protection/>
    </xf>
    <xf numFmtId="0" fontId="5" fillId="0" borderId="32"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Border="1" applyAlignment="1" applyProtection="1">
      <alignment/>
      <protection/>
    </xf>
    <xf numFmtId="0" fontId="1" fillId="0" borderId="36" xfId="0" applyFont="1" applyBorder="1" applyAlignment="1" applyProtection="1">
      <alignment vertical="top"/>
      <protection/>
    </xf>
    <xf numFmtId="44" fontId="0" fillId="0" borderId="37" xfId="0" applyNumberFormat="1" applyFont="1" applyBorder="1" applyAlignment="1" applyProtection="1">
      <alignment/>
      <protection/>
    </xf>
    <xf numFmtId="0" fontId="5" fillId="0" borderId="13" xfId="0" applyFont="1" applyFill="1" applyBorder="1" applyAlignment="1" applyProtection="1">
      <alignment vertical="center"/>
      <protection/>
    </xf>
    <xf numFmtId="165" fontId="5" fillId="0" borderId="13" xfId="0" applyNumberFormat="1"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44" fontId="7" fillId="5" borderId="32" xfId="0" applyNumberFormat="1" applyFont="1" applyFill="1" applyBorder="1" applyAlignment="1">
      <alignment/>
    </xf>
    <xf numFmtId="174" fontId="0" fillId="0" borderId="3" xfId="0" applyNumberFormat="1" applyFont="1" applyFill="1" applyBorder="1" applyAlignment="1" applyProtection="1">
      <alignment horizontal="center" vertical="center"/>
      <protection/>
    </xf>
    <xf numFmtId="0" fontId="18" fillId="0" borderId="9" xfId="0" applyFont="1" applyFill="1" applyBorder="1" applyAlignment="1" applyProtection="1">
      <alignment horizontal="right" vertical="center"/>
      <protection/>
    </xf>
    <xf numFmtId="164" fontId="5" fillId="0" borderId="6" xfId="0" applyNumberFormat="1" applyFont="1" applyFill="1" applyBorder="1" applyAlignment="1" applyProtection="1">
      <alignment horizontal="center" vertical="center"/>
      <protection/>
    </xf>
    <xf numFmtId="0" fontId="2" fillId="0" borderId="0" xfId="0" applyFont="1" applyAlignment="1" applyProtection="1">
      <alignment horizontal="left"/>
      <protection/>
    </xf>
    <xf numFmtId="0" fontId="16" fillId="0" borderId="9" xfId="0" applyNumberFormat="1" applyFont="1" applyBorder="1" applyAlignment="1" applyProtection="1">
      <alignment vertical="center"/>
      <protection/>
    </xf>
    <xf numFmtId="0" fontId="5" fillId="0" borderId="10" xfId="0" applyNumberFormat="1" applyFont="1" applyFill="1" applyBorder="1" applyAlignment="1" applyProtection="1">
      <alignment horizontal="left" vertical="center"/>
      <protection locked="0"/>
    </xf>
    <xf numFmtId="0" fontId="5" fillId="0" borderId="11" xfId="0" applyNumberFormat="1" applyFont="1" applyFill="1" applyBorder="1" applyAlignment="1" applyProtection="1">
      <alignment horizontal="left" vertical="center"/>
      <protection locked="0"/>
    </xf>
    <xf numFmtId="0" fontId="5" fillId="0" borderId="12"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center" vertical="center"/>
      <protection locked="0"/>
    </xf>
    <xf numFmtId="0" fontId="1" fillId="0" borderId="12" xfId="0" applyFont="1" applyBorder="1" applyAlignment="1">
      <alignment vertical="center"/>
    </xf>
    <xf numFmtId="0" fontId="5" fillId="0" borderId="0" xfId="0" applyFont="1" applyFill="1" applyBorder="1" applyAlignment="1" applyProtection="1">
      <alignment vertical="center" wrapText="1"/>
      <protection/>
    </xf>
    <xf numFmtId="0" fontId="5" fillId="0" borderId="10"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42" fontId="1" fillId="0" borderId="10" xfId="0" applyNumberFormat="1" applyFont="1" applyFill="1" applyBorder="1" applyAlignment="1">
      <alignment horizontal="center" vertical="center"/>
    </xf>
    <xf numFmtId="42" fontId="0" fillId="0" borderId="12" xfId="0" applyNumberFormat="1" applyFont="1" applyBorder="1" applyAlignment="1">
      <alignment vertical="center"/>
    </xf>
    <xf numFmtId="165" fontId="5" fillId="0" borderId="10" xfId="0" applyNumberFormat="1" applyFont="1" applyFill="1" applyBorder="1" applyAlignment="1" applyProtection="1">
      <alignment horizontal="right" vertical="center"/>
      <protection locked="0"/>
    </xf>
    <xf numFmtId="165" fontId="5" fillId="0" borderId="11" xfId="0" applyNumberFormat="1" applyFont="1" applyFill="1" applyBorder="1" applyAlignment="1" applyProtection="1">
      <alignment horizontal="right" vertical="center"/>
      <protection locked="0"/>
    </xf>
    <xf numFmtId="0" fontId="5" fillId="0" borderId="0" xfId="0" applyNumberFormat="1" applyFont="1" applyAlignment="1" applyProtection="1">
      <alignment vertical="top" wrapText="1"/>
      <protection/>
    </xf>
    <xf numFmtId="0" fontId="0" fillId="0" borderId="0" xfId="0" applyAlignment="1">
      <alignment wrapText="1"/>
    </xf>
    <xf numFmtId="0" fontId="16" fillId="0" borderId="10"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0" xfId="0" applyBorder="1" applyAlignment="1" applyProtection="1">
      <alignment horizontal="left" vertical="top" wrapText="1"/>
      <protection/>
    </xf>
    <xf numFmtId="0" fontId="0" fillId="0" borderId="0" xfId="0" applyBorder="1" applyAlignment="1" applyProtection="1">
      <alignment horizontal="justify" vertical="top" wrapText="1"/>
      <protection/>
    </xf>
    <xf numFmtId="0" fontId="13" fillId="0" borderId="10" xfId="18" applyNumberFormat="1" applyFill="1" applyBorder="1" applyAlignment="1" applyProtection="1">
      <alignment horizontal="left" vertical="center"/>
      <protection locked="0"/>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Tabelstandaard" xfId="32"/>
    <cellStyle name="Tabelstandaard financieel" xfId="33"/>
    <cellStyle name="Tabelstandaard negatief" xfId="34"/>
    <cellStyle name="Tabelstandaard Totaal" xfId="35"/>
    <cellStyle name="Tabelstandaard Totaal Negatief" xfId="36"/>
    <cellStyle name="Tabelstandaard Totaal_1077029755_GGZ-01c nacalculatieformulier ribw 2003 versie 040217(1)" xfId="37"/>
    <cellStyle name="Tabelstandaard_1077029755_GGZ-01c nacalculatieformulier ribw 2003 versie 040217(1)" xfId="38"/>
    <cellStyle name="Table  - Opmaakprofiel6" xfId="39"/>
    <cellStyle name="Title  - Opmaakprofiel1" xfId="40"/>
    <cellStyle name="TotCol - Opmaakprofiel5" xfId="41"/>
    <cellStyle name="TotRow - Opmaakprofiel4" xfId="42"/>
    <cellStyle name="Currency" xfId="43"/>
    <cellStyle name="Currency [0]" xfId="44"/>
  </cellStyles>
  <dxfs count="2">
    <dxf>
      <font>
        <color rgb="FFFFFFFF"/>
      </font>
      <fill>
        <patternFill>
          <bgColor rgb="FFFF00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42</xdr:row>
      <xdr:rowOff>0</xdr:rowOff>
    </xdr:to>
    <xdr:sp>
      <xdr:nvSpPr>
        <xdr:cNvPr id="1" name="Rectangle 1"/>
        <xdr:cNvSpPr>
          <a:spLocks/>
        </xdr:cNvSpPr>
      </xdr:nvSpPr>
      <xdr:spPr>
        <a:xfrm>
          <a:off x="10420350" y="352425"/>
          <a:ext cx="0" cy="758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2" name="Group 2"/>
        <xdr:cNvGrpSpPr>
          <a:grpSpLocks/>
        </xdr:cNvGrpSpPr>
      </xdr:nvGrpSpPr>
      <xdr:grpSpPr>
        <a:xfrm>
          <a:off x="10420350" y="8629650"/>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7" name="Rectangle 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8" name="Group 8"/>
        <xdr:cNvGrpSpPr>
          <a:grpSpLocks/>
        </xdr:cNvGrpSpPr>
      </xdr:nvGrpSpPr>
      <xdr:grpSpPr>
        <a:xfrm>
          <a:off x="10420350" y="8629650"/>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3" name="Rectangle 1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4" name="Rectangle 1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 name="Rectangle 1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6" name="Rectangle 1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42</xdr:row>
      <xdr:rowOff>0</xdr:rowOff>
    </xdr:to>
    <xdr:sp>
      <xdr:nvSpPr>
        <xdr:cNvPr id="17" name="Rectangle 17"/>
        <xdr:cNvSpPr>
          <a:spLocks/>
        </xdr:cNvSpPr>
      </xdr:nvSpPr>
      <xdr:spPr>
        <a:xfrm>
          <a:off x="10420350" y="352425"/>
          <a:ext cx="0" cy="758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 name="Rectangle 1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9" name="Rectangle 1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0" name="Rectangle 2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 name="Rectangle 2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2" name="Rectangle 2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3" name="Rectangle 2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4" name="Rectangle 2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 name="Rectangle 2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6" name="Rectangle 2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7" name="Rectangle 2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8" name="Rectangle 2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9" name="Rectangle 2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30" name="Group 30"/>
        <xdr:cNvGrpSpPr>
          <a:grpSpLocks/>
        </xdr:cNvGrpSpPr>
      </xdr:nvGrpSpPr>
      <xdr:grpSpPr>
        <a:xfrm>
          <a:off x="10420350" y="8629650"/>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35" name="Rectangle 3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6" name="Rectangle 3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7" name="Rectangle 3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8" name="Rectangle 3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9" name="Rectangle 3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0" name="Rectangle 4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1" name="Rectangle 4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2" name="Rectangle 4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3" name="Rectangle 4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4" name="Rectangle 4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5" name="Rectangle 4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6" name="Rectangle 4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 name="Rectangle 4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8" name="Rectangle 4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 name="Rectangle 4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0" name="Rectangle 5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 name="Rectangle 5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 name="Rectangle 5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 name="Rectangle 5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 name="Rectangle 5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55" name="Group 55"/>
        <xdr:cNvGrpSpPr>
          <a:grpSpLocks/>
        </xdr:cNvGrpSpPr>
      </xdr:nvGrpSpPr>
      <xdr:grpSpPr>
        <a:xfrm>
          <a:off x="10420350" y="8629650"/>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60" name="Rectangle 6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61" name="Group 61"/>
        <xdr:cNvGrpSpPr>
          <a:grpSpLocks/>
        </xdr:cNvGrpSpPr>
      </xdr:nvGrpSpPr>
      <xdr:grpSpPr>
        <a:xfrm>
          <a:off x="10420350" y="8629650"/>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66" name="Rectangle 6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67" name="Rectangle 6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68" name="Rectangle 6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69" name="Rectangle 6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0" name="Rectangle 7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1" name="Rectangle 7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2" name="Rectangle 7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3" name="Rectangle 7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4" name="Rectangle 7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5" name="Rectangle 7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76" name="Rectangle 7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77" name="Group 77"/>
        <xdr:cNvGrpSpPr>
          <a:grpSpLocks/>
        </xdr:cNvGrpSpPr>
      </xdr:nvGrpSpPr>
      <xdr:grpSpPr>
        <a:xfrm>
          <a:off x="10420350" y="8629650"/>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82" name="Rectangle 8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83" name="Group 83"/>
        <xdr:cNvGrpSpPr>
          <a:grpSpLocks/>
        </xdr:cNvGrpSpPr>
      </xdr:nvGrpSpPr>
      <xdr:grpSpPr>
        <a:xfrm>
          <a:off x="10420350" y="8629650"/>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88" name="Rectangle 8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89" name="Rectangle 8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0" name="Rectangle 9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1" name="Rectangle 9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2" name="Rectangle 9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3" name="Rectangle 9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4" name="Rectangle 9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5" name="Rectangle 9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6" name="Rectangle 9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97" name="Rectangle 9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98" name="Group 98"/>
        <xdr:cNvGrpSpPr>
          <a:grpSpLocks/>
        </xdr:cNvGrpSpPr>
      </xdr:nvGrpSpPr>
      <xdr:grpSpPr>
        <a:xfrm>
          <a:off x="10420350" y="8629650"/>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03" name="Rectangle 10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04" name="Group 104"/>
        <xdr:cNvGrpSpPr>
          <a:grpSpLocks/>
        </xdr:cNvGrpSpPr>
      </xdr:nvGrpSpPr>
      <xdr:grpSpPr>
        <a:xfrm>
          <a:off x="10420350" y="8629650"/>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09" name="Rectangle 10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0" name="Rectangle 11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1" name="Rectangle 11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2" name="Rectangle 11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3" name="Rectangle 11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4" name="Rectangle 11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5" name="Rectangle 11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6" name="Rectangle 11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17" name="Rectangle 11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18" name="Group 118"/>
        <xdr:cNvGrpSpPr>
          <a:grpSpLocks/>
        </xdr:cNvGrpSpPr>
      </xdr:nvGrpSpPr>
      <xdr:grpSpPr>
        <a:xfrm>
          <a:off x="10420350" y="8629650"/>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23" name="Rectangle 12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24" name="Group 124"/>
        <xdr:cNvGrpSpPr>
          <a:grpSpLocks/>
        </xdr:cNvGrpSpPr>
      </xdr:nvGrpSpPr>
      <xdr:grpSpPr>
        <a:xfrm>
          <a:off x="10420350" y="8629650"/>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29" name="Rectangle 12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0" name="Rectangle 13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1" name="Rectangle 13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2" name="Rectangle 13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3" name="Rectangle 13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4" name="Rectangle 13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5" name="Rectangle 13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6" name="Rectangle 13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37" name="Rectangle 13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38" name="Group 138"/>
        <xdr:cNvGrpSpPr>
          <a:grpSpLocks/>
        </xdr:cNvGrpSpPr>
      </xdr:nvGrpSpPr>
      <xdr:grpSpPr>
        <a:xfrm>
          <a:off x="10420350" y="8629650"/>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43" name="Rectangle 14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44" name="Group 144"/>
        <xdr:cNvGrpSpPr>
          <a:grpSpLocks/>
        </xdr:cNvGrpSpPr>
      </xdr:nvGrpSpPr>
      <xdr:grpSpPr>
        <a:xfrm>
          <a:off x="10420350" y="8629650"/>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49" name="Rectangle 14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0" name="Rectangle 15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1" name="Rectangle 15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2" name="Rectangle 15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3" name="Rectangle 15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4" name="Rectangle 15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5" name="Rectangle 15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6" name="Rectangle 15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57" name="Rectangle 15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58" name="Group 158"/>
        <xdr:cNvGrpSpPr>
          <a:grpSpLocks/>
        </xdr:cNvGrpSpPr>
      </xdr:nvGrpSpPr>
      <xdr:grpSpPr>
        <a:xfrm>
          <a:off x="10420350" y="8629650"/>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63" name="Rectangle 16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164" name="Group 164"/>
        <xdr:cNvGrpSpPr>
          <a:grpSpLocks/>
        </xdr:cNvGrpSpPr>
      </xdr:nvGrpSpPr>
      <xdr:grpSpPr>
        <a:xfrm>
          <a:off x="10420350" y="8629650"/>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169" name="Rectangle 16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0" name="Rectangle 17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1" name="Rectangle 17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2" name="Rectangle 17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3" name="Rectangle 17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4" name="Rectangle 17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5" name="Rectangle 17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6" name="Rectangle 17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7" name="Rectangle 17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8" name="Rectangle 17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79" name="Rectangle 17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0" name="Rectangle 18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1" name="Rectangle 18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2" name="Rectangle 18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3" name="Rectangle 18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4" name="Rectangle 18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185" name="Rectangle 18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186" name="Group 186"/>
        <xdr:cNvGrpSpPr>
          <a:grpSpLocks/>
        </xdr:cNvGrpSpPr>
      </xdr:nvGrpSpPr>
      <xdr:grpSpPr>
        <a:xfrm>
          <a:off x="10420350" y="79343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191" name="Rectangle 19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192" name="Group 192"/>
        <xdr:cNvGrpSpPr>
          <a:grpSpLocks/>
        </xdr:cNvGrpSpPr>
      </xdr:nvGrpSpPr>
      <xdr:grpSpPr>
        <a:xfrm>
          <a:off x="10420350" y="79343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197" name="Rectangle 19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198" name="Rectangle 19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199" name="Rectangle 19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0" name="Rectangle 20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1" name="Rectangle 20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2" name="Rectangle 20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3" name="Rectangle 20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4" name="Rectangle 20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5" name="Rectangle 20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06" name="Rectangle 20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07" name="Rectangle 20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208" name="Group 208"/>
        <xdr:cNvGrpSpPr>
          <a:grpSpLocks/>
        </xdr:cNvGrpSpPr>
      </xdr:nvGrpSpPr>
      <xdr:grpSpPr>
        <a:xfrm>
          <a:off x="10420350" y="8629650"/>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213" name="Rectangle 21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4" name="Rectangle 21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5" name="Rectangle 21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6" name="Rectangle 21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7" name="Rectangle 21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8" name="Rectangle 21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19" name="Rectangle 21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20" name="Rectangle 22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21" name="Rectangle 22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22" name="Group 222"/>
        <xdr:cNvGrpSpPr>
          <a:grpSpLocks/>
        </xdr:cNvGrpSpPr>
      </xdr:nvGrpSpPr>
      <xdr:grpSpPr>
        <a:xfrm>
          <a:off x="10420350" y="79343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27" name="Rectangle 22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28" name="Group 228"/>
        <xdr:cNvGrpSpPr>
          <a:grpSpLocks/>
        </xdr:cNvGrpSpPr>
      </xdr:nvGrpSpPr>
      <xdr:grpSpPr>
        <a:xfrm>
          <a:off x="10420350" y="79343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33" name="Rectangle 23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4" name="Rectangle 23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5" name="Rectangle 23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6" name="Rectangle 23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7" name="Rectangle 23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8" name="Rectangle 23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9" name="Rectangle 23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40" name="Rectangle 24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41" name="Rectangle 24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42" name="Rectangle 24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43" name="Rectangle 24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244" name="Group 244"/>
        <xdr:cNvGrpSpPr>
          <a:grpSpLocks/>
        </xdr:cNvGrpSpPr>
      </xdr:nvGrpSpPr>
      <xdr:grpSpPr>
        <a:xfrm>
          <a:off x="10420350" y="8629650"/>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249" name="Rectangle 24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0" name="Rectangle 25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1" name="Rectangle 25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2" name="Rectangle 25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3" name="Rectangle 25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4" name="Rectangle 25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5" name="Rectangle 25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6" name="Rectangle 25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257" name="Rectangle 25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58" name="Group 258"/>
        <xdr:cNvGrpSpPr>
          <a:grpSpLocks/>
        </xdr:cNvGrpSpPr>
      </xdr:nvGrpSpPr>
      <xdr:grpSpPr>
        <a:xfrm>
          <a:off x="10420350" y="79343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63" name="Rectangle 26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64" name="Group 264"/>
        <xdr:cNvGrpSpPr>
          <a:grpSpLocks/>
        </xdr:cNvGrpSpPr>
      </xdr:nvGrpSpPr>
      <xdr:grpSpPr>
        <a:xfrm>
          <a:off x="10420350" y="79343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69" name="Rectangle 26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0" name="Rectangle 27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1" name="Rectangle 27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2" name="Rectangle 27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3" name="Rectangle 27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4" name="Rectangle 27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5" name="Rectangle 27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6" name="Rectangle 27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7" name="Rectangle 27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78" name="Group 278"/>
        <xdr:cNvGrpSpPr>
          <a:grpSpLocks/>
        </xdr:cNvGrpSpPr>
      </xdr:nvGrpSpPr>
      <xdr:grpSpPr>
        <a:xfrm>
          <a:off x="10420350" y="79343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83" name="Rectangle 28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84" name="Group 284"/>
        <xdr:cNvGrpSpPr>
          <a:grpSpLocks/>
        </xdr:cNvGrpSpPr>
      </xdr:nvGrpSpPr>
      <xdr:grpSpPr>
        <a:xfrm>
          <a:off x="10420350" y="79343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89" name="Rectangle 28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0" name="Rectangle 29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1" name="Rectangle 29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2" name="Rectangle 29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3" name="Rectangle 29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4" name="Rectangle 29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5" name="Rectangle 29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6" name="Rectangle 29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7" name="Rectangle 29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98" name="Group 298"/>
        <xdr:cNvGrpSpPr>
          <a:grpSpLocks/>
        </xdr:cNvGrpSpPr>
      </xdr:nvGrpSpPr>
      <xdr:grpSpPr>
        <a:xfrm>
          <a:off x="10420350" y="79343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03" name="Rectangle 30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04" name="Group 304"/>
        <xdr:cNvGrpSpPr>
          <a:grpSpLocks/>
        </xdr:cNvGrpSpPr>
      </xdr:nvGrpSpPr>
      <xdr:grpSpPr>
        <a:xfrm>
          <a:off x="10420350" y="79343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09" name="Rectangle 30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0" name="Rectangle 31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1" name="Rectangle 31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2" name="Rectangle 31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3" name="Rectangle 31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4" name="Rectangle 31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5" name="Rectangle 31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6" name="Rectangle 31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7" name="Rectangle 31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18" name="Group 318"/>
        <xdr:cNvGrpSpPr>
          <a:grpSpLocks/>
        </xdr:cNvGrpSpPr>
      </xdr:nvGrpSpPr>
      <xdr:grpSpPr>
        <a:xfrm>
          <a:off x="10420350" y="79343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23" name="Rectangle 32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24" name="Group 324"/>
        <xdr:cNvGrpSpPr>
          <a:grpSpLocks/>
        </xdr:cNvGrpSpPr>
      </xdr:nvGrpSpPr>
      <xdr:grpSpPr>
        <a:xfrm>
          <a:off x="10420350" y="79343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29" name="Rectangle 32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0" name="Rectangle 33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1" name="Rectangle 33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2" name="Rectangle 33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3" name="Rectangle 33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4" name="Rectangle 33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5" name="Rectangle 33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6" name="Rectangle 33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7" name="Rectangle 33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8" name="Rectangle 33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9" name="Rectangle 33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40" name="Rectangle 34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41" name="Rectangle 34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42" name="Rectangle 34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43" name="Rectangle 34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44" name="Rectangle 34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345" name="Rectangle 34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46" name="Group 346"/>
        <xdr:cNvGrpSpPr>
          <a:grpSpLocks/>
        </xdr:cNvGrpSpPr>
      </xdr:nvGrpSpPr>
      <xdr:grpSpPr>
        <a:xfrm>
          <a:off x="10420350" y="793432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51" name="Rectangle 35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52" name="Group 352"/>
        <xdr:cNvGrpSpPr>
          <a:grpSpLocks/>
        </xdr:cNvGrpSpPr>
      </xdr:nvGrpSpPr>
      <xdr:grpSpPr>
        <a:xfrm>
          <a:off x="10420350" y="793432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57" name="Rectangle 35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58" name="Rectangle 35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59" name="Rectangle 35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0" name="Rectangle 36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1" name="Rectangle 36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2" name="Rectangle 36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3" name="Rectangle 36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4" name="Rectangle 36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5" name="Rectangle 36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66" name="Group 366"/>
        <xdr:cNvGrpSpPr>
          <a:grpSpLocks/>
        </xdr:cNvGrpSpPr>
      </xdr:nvGrpSpPr>
      <xdr:grpSpPr>
        <a:xfrm>
          <a:off x="10420350" y="793432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71" name="Rectangle 37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72" name="Group 372"/>
        <xdr:cNvGrpSpPr>
          <a:grpSpLocks/>
        </xdr:cNvGrpSpPr>
      </xdr:nvGrpSpPr>
      <xdr:grpSpPr>
        <a:xfrm>
          <a:off x="10420350" y="793432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77" name="Rectangle 37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78" name="Rectangle 37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79" name="Rectangle 37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0" name="Rectangle 38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1" name="Rectangle 38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2" name="Rectangle 38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3" name="Rectangle 38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4" name="Rectangle 38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5" name="Rectangle 38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86" name="Group 386"/>
        <xdr:cNvGrpSpPr>
          <a:grpSpLocks/>
        </xdr:cNvGrpSpPr>
      </xdr:nvGrpSpPr>
      <xdr:grpSpPr>
        <a:xfrm>
          <a:off x="10420350" y="793432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91" name="Rectangle 39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92" name="Group 392"/>
        <xdr:cNvGrpSpPr>
          <a:grpSpLocks/>
        </xdr:cNvGrpSpPr>
      </xdr:nvGrpSpPr>
      <xdr:grpSpPr>
        <a:xfrm>
          <a:off x="10420350" y="793432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97" name="Rectangle 39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98" name="Rectangle 39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99" name="Rectangle 39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0" name="Rectangle 40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1" name="Rectangle 40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2" name="Rectangle 40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3" name="Rectangle 40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4" name="Rectangle 40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5" name="Rectangle 40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06" name="Group 406"/>
        <xdr:cNvGrpSpPr>
          <a:grpSpLocks/>
        </xdr:cNvGrpSpPr>
      </xdr:nvGrpSpPr>
      <xdr:grpSpPr>
        <a:xfrm>
          <a:off x="10420350" y="793432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11" name="Rectangle 41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12" name="Group 412"/>
        <xdr:cNvGrpSpPr>
          <a:grpSpLocks/>
        </xdr:cNvGrpSpPr>
      </xdr:nvGrpSpPr>
      <xdr:grpSpPr>
        <a:xfrm>
          <a:off x="10420350" y="793432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17" name="Rectangle 41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18" name="Rectangle 41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19" name="Rectangle 41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0" name="Rectangle 42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1" name="Rectangle 42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2" name="Rectangle 42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3" name="Rectangle 42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4" name="Rectangle 42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5" name="Rectangle 42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26" name="Group 426"/>
        <xdr:cNvGrpSpPr>
          <a:grpSpLocks/>
        </xdr:cNvGrpSpPr>
      </xdr:nvGrpSpPr>
      <xdr:grpSpPr>
        <a:xfrm>
          <a:off x="10420350" y="793432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31" name="Rectangle 43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32" name="Group 432"/>
        <xdr:cNvGrpSpPr>
          <a:grpSpLocks/>
        </xdr:cNvGrpSpPr>
      </xdr:nvGrpSpPr>
      <xdr:grpSpPr>
        <a:xfrm>
          <a:off x="10420350" y="793432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37" name="Rectangle 43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38" name="Rectangle 43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39" name="Rectangle 43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0" name="Rectangle 44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1" name="Rectangle 44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2" name="Rectangle 44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3" name="Rectangle 44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4" name="Rectangle 44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5" name="Rectangle 44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46" name="Group 446"/>
        <xdr:cNvGrpSpPr>
          <a:grpSpLocks/>
        </xdr:cNvGrpSpPr>
      </xdr:nvGrpSpPr>
      <xdr:grpSpPr>
        <a:xfrm>
          <a:off x="10420350" y="793432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51" name="Rectangle 45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52" name="Group 452"/>
        <xdr:cNvGrpSpPr>
          <a:grpSpLocks/>
        </xdr:cNvGrpSpPr>
      </xdr:nvGrpSpPr>
      <xdr:grpSpPr>
        <a:xfrm>
          <a:off x="10420350" y="793432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57" name="Rectangle 45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58" name="Rectangle 45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59" name="Rectangle 45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0" name="Rectangle 460"/>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1" name="Rectangle 461"/>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2" name="Rectangle 462"/>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3" name="Rectangle 463"/>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4" name="Rectangle 464"/>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5" name="Rectangle 465"/>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6" name="Rectangle 466"/>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7" name="Rectangle 467"/>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8" name="Rectangle 468"/>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9" name="Rectangle 469"/>
        <xdr:cNvSpPr>
          <a:spLocks/>
        </xdr:cNvSpPr>
      </xdr:nvSpPr>
      <xdr:spPr>
        <a:xfrm>
          <a:off x="1042035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0" name="Rectangle 47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1" name="Rectangle 47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2" name="Rectangle 47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3" name="Rectangle 47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4" name="Rectangle 47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5" name="Rectangle 47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6" name="Rectangle 47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7" name="Rectangle 47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8" name="Rectangle 47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79" name="Rectangle 47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80" name="Rectangle 48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81" name="Rectangle 48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82" name="Rectangle 48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83" name="Rectangle 48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484" name="Group 484"/>
        <xdr:cNvGrpSpPr>
          <a:grpSpLocks/>
        </xdr:cNvGrpSpPr>
      </xdr:nvGrpSpPr>
      <xdr:grpSpPr>
        <a:xfrm>
          <a:off x="10420350" y="8629650"/>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489" name="Rectangle 48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0" name="Rectangle 49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1" name="Rectangle 49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2" name="Rectangle 49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3" name="Rectangle 49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4" name="Rectangle 49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5" name="Rectangle 49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6" name="Rectangle 49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7" name="Rectangle 49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8" name="Rectangle 49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499" name="Rectangle 49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grpSp>
      <xdr:nvGrpSpPr>
        <xdr:cNvPr id="500" name="Group 500"/>
        <xdr:cNvGrpSpPr>
          <a:grpSpLocks/>
        </xdr:cNvGrpSpPr>
      </xdr:nvGrpSpPr>
      <xdr:grpSpPr>
        <a:xfrm>
          <a:off x="10420350" y="8629650"/>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46</xdr:row>
      <xdr:rowOff>0</xdr:rowOff>
    </xdr:from>
    <xdr:to>
      <xdr:col>13</xdr:col>
      <xdr:colOff>0</xdr:colOff>
      <xdr:row>46</xdr:row>
      <xdr:rowOff>0</xdr:rowOff>
    </xdr:to>
    <xdr:sp>
      <xdr:nvSpPr>
        <xdr:cNvPr id="505" name="Rectangle 50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06" name="Rectangle 50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07" name="Rectangle 50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08" name="Rectangle 50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09" name="Rectangle 50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0" name="Rectangle 51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1" name="Rectangle 51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2" name="Rectangle 51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3" name="Rectangle 51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4" name="Rectangle 51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5" name="Rectangle 51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6" name="Rectangle 51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7" name="Rectangle 51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8" name="Rectangle 51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19" name="Rectangle 51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0" name="Rectangle 52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1" name="Rectangle 52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2" name="Rectangle 52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3" name="Rectangle 52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4" name="Rectangle 52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5" name="Rectangle 52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6" name="Rectangle 52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7" name="Rectangle 52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8" name="Rectangle 52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29" name="Rectangle 52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0" name="Rectangle 53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1" name="Rectangle 53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2" name="Rectangle 53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3" name="Rectangle 53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4" name="Rectangle 53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5" name="Rectangle 53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6" name="Rectangle 53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7" name="Rectangle 53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8" name="Rectangle 53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39" name="Rectangle 53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0" name="Rectangle 54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1" name="Rectangle 54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2" name="Rectangle 542"/>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3" name="Rectangle 543"/>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4" name="Rectangle 544"/>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5" name="Rectangle 545"/>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6" name="Rectangle 546"/>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7" name="Rectangle 547"/>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8" name="Rectangle 548"/>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49" name="Rectangle 549"/>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50" name="Rectangle 550"/>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0</xdr:rowOff>
    </xdr:from>
    <xdr:to>
      <xdr:col>13</xdr:col>
      <xdr:colOff>0</xdr:colOff>
      <xdr:row>46</xdr:row>
      <xdr:rowOff>0</xdr:rowOff>
    </xdr:to>
    <xdr:sp>
      <xdr:nvSpPr>
        <xdr:cNvPr id="551" name="Rectangle 551"/>
        <xdr:cNvSpPr>
          <a:spLocks/>
        </xdr:cNvSpPr>
      </xdr:nvSpPr>
      <xdr:spPr>
        <a:xfrm>
          <a:off x="10420350" y="8629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276225</xdr:colOff>
      <xdr:row>1</xdr:row>
      <xdr:rowOff>28575</xdr:rowOff>
    </xdr:from>
    <xdr:to>
      <xdr:col>12</xdr:col>
      <xdr:colOff>828675</xdr:colOff>
      <xdr:row>3</xdr:row>
      <xdr:rowOff>133350</xdr:rowOff>
    </xdr:to>
    <xdr:pic>
      <xdr:nvPicPr>
        <xdr:cNvPr id="552" name="LogoKop1"/>
        <xdr:cNvPicPr preferRelativeResize="1">
          <a:picLocks noChangeAspect="1"/>
        </xdr:cNvPicPr>
      </xdr:nvPicPr>
      <xdr:blipFill>
        <a:blip r:embed="rId2"/>
        <a:stretch>
          <a:fillRect/>
        </a:stretch>
      </xdr:blipFill>
      <xdr:spPr>
        <a:xfrm>
          <a:off x="8867775" y="209550"/>
          <a:ext cx="1466850" cy="571500"/>
        </a:xfrm>
        <a:prstGeom prst="rect">
          <a:avLst/>
        </a:prstGeom>
        <a:noFill/>
        <a:ln w="9525" cmpd="sng">
          <a:noFill/>
        </a:ln>
      </xdr:spPr>
    </xdr:pic>
    <xdr:clientData/>
  </xdr:twoCellAnchor>
  <xdr:twoCellAnchor>
    <xdr:from>
      <xdr:col>2</xdr:col>
      <xdr:colOff>66675</xdr:colOff>
      <xdr:row>14</xdr:row>
      <xdr:rowOff>0</xdr:rowOff>
    </xdr:from>
    <xdr:to>
      <xdr:col>2</xdr:col>
      <xdr:colOff>180975</xdr:colOff>
      <xdr:row>14</xdr:row>
      <xdr:rowOff>0</xdr:rowOff>
    </xdr:to>
    <xdr:sp>
      <xdr:nvSpPr>
        <xdr:cNvPr id="553" name="Rectangle 554"/>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4" name="Rectangle 555"/>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5" name="Rectangle 556"/>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6" name="Rectangle 557"/>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7" name="Rectangle 558"/>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8" name="Rectangle 559"/>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9" name="Rectangle 560"/>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18</xdr:row>
      <xdr:rowOff>47625</xdr:rowOff>
    </xdr:from>
    <xdr:to>
      <xdr:col>2</xdr:col>
      <xdr:colOff>180975</xdr:colOff>
      <xdr:row>18</xdr:row>
      <xdr:rowOff>123825</xdr:rowOff>
    </xdr:to>
    <xdr:sp>
      <xdr:nvSpPr>
        <xdr:cNvPr id="560" name="Rectangle 561"/>
        <xdr:cNvSpPr>
          <a:spLocks/>
        </xdr:cNvSpPr>
      </xdr:nvSpPr>
      <xdr:spPr>
        <a:xfrm>
          <a:off x="1228725" y="33242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18</xdr:row>
      <xdr:rowOff>0</xdr:rowOff>
    </xdr:from>
    <xdr:to>
      <xdr:col>2</xdr:col>
      <xdr:colOff>180975</xdr:colOff>
      <xdr:row>18</xdr:row>
      <xdr:rowOff>0</xdr:rowOff>
    </xdr:to>
    <xdr:sp>
      <xdr:nvSpPr>
        <xdr:cNvPr id="561" name="Rectangle 563"/>
        <xdr:cNvSpPr>
          <a:spLocks/>
        </xdr:cNvSpPr>
      </xdr:nvSpPr>
      <xdr:spPr>
        <a:xfrm>
          <a:off x="1228725" y="32766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47625</xdr:rowOff>
    </xdr:from>
    <xdr:to>
      <xdr:col>2</xdr:col>
      <xdr:colOff>180975</xdr:colOff>
      <xdr:row>14</xdr:row>
      <xdr:rowOff>123825</xdr:rowOff>
    </xdr:to>
    <xdr:sp>
      <xdr:nvSpPr>
        <xdr:cNvPr id="562" name="Rectangle 564"/>
        <xdr:cNvSpPr>
          <a:spLocks/>
        </xdr:cNvSpPr>
      </xdr:nvSpPr>
      <xdr:spPr>
        <a:xfrm>
          <a:off x="1228725" y="26384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63" name="Rectangle 572"/>
        <xdr:cNvSpPr>
          <a:spLocks/>
        </xdr:cNvSpPr>
      </xdr:nvSpPr>
      <xdr:spPr>
        <a:xfrm>
          <a:off x="1053465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64" name="Group 573"/>
        <xdr:cNvGrpSpPr>
          <a:grpSpLocks/>
        </xdr:cNvGrpSpPr>
      </xdr:nvGrpSpPr>
      <xdr:grpSpPr>
        <a:xfrm>
          <a:off x="10534650" y="6486525"/>
          <a:ext cx="0" cy="0"/>
          <a:chOff x="769" y="35"/>
          <a:chExt cx="110" cy="41"/>
        </a:xfrm>
        <a:solidFill>
          <a:srgbClr val="FFFFFF"/>
        </a:solidFill>
      </xdr:grpSpPr>
      <xdr:sp>
        <xdr:nvSpPr>
          <xdr:cNvPr id="565"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6"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7"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8"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69" name="Rectangle 57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70" name="Group 579"/>
        <xdr:cNvGrpSpPr>
          <a:grpSpLocks/>
        </xdr:cNvGrpSpPr>
      </xdr:nvGrpSpPr>
      <xdr:grpSpPr>
        <a:xfrm>
          <a:off x="10534650" y="6486525"/>
          <a:ext cx="0" cy="0"/>
          <a:chOff x="769" y="35"/>
          <a:chExt cx="110" cy="41"/>
        </a:xfrm>
        <a:solidFill>
          <a:srgbClr val="FFFFFF"/>
        </a:solidFill>
      </xdr:grpSpPr>
      <xdr:sp>
        <xdr:nvSpPr>
          <xdr:cNvPr id="571" name="Rectangle 5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2" name="Rectangle 5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73" name="Picture 5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74" name="Rectangle 5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75" name="Rectangle 58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6" name="Rectangle 58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7" name="Rectangle 58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8" name="Rectangle 58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79" name="Rectangle 588"/>
        <xdr:cNvSpPr>
          <a:spLocks/>
        </xdr:cNvSpPr>
      </xdr:nvSpPr>
      <xdr:spPr>
        <a:xfrm>
          <a:off x="1053465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0" name="Rectangle 58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1" name="Rectangle 59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2" name="Rectangle 59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3" name="Rectangle 59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4" name="Rectangle 59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5" name="Rectangle 59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6" name="Rectangle 59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7" name="Rectangle 59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8" name="Rectangle 59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9" name="Rectangle 59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0" name="Rectangle 59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1" name="Rectangle 60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92" name="Group 601"/>
        <xdr:cNvGrpSpPr>
          <a:grpSpLocks/>
        </xdr:cNvGrpSpPr>
      </xdr:nvGrpSpPr>
      <xdr:grpSpPr>
        <a:xfrm>
          <a:off x="10534650" y="6486525"/>
          <a:ext cx="0" cy="0"/>
          <a:chOff x="769" y="35"/>
          <a:chExt cx="110" cy="41"/>
        </a:xfrm>
        <a:solidFill>
          <a:srgbClr val="FFFFFF"/>
        </a:solidFill>
      </xdr:grpSpPr>
      <xdr:sp>
        <xdr:nvSpPr>
          <xdr:cNvPr id="593" name="Rectangle 6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94" name="Rectangle 6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5" name="Picture 6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6" name="Rectangle 6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97" name="Rectangle 60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8" name="Rectangle 60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9" name="Rectangle 60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0" name="Rectangle 60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1" name="Rectangle 61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2" name="Rectangle 61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3" name="Rectangle 61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4" name="Rectangle 61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5" name="Rectangle 61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6" name="Rectangle 61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7" name="Rectangle 61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8" name="Rectangle 61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9" name="Rectangle 61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0" name="Rectangle 61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1" name="Rectangle 62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2" name="Rectangle 62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3" name="Rectangle 62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4" name="Rectangle 62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5" name="Rectangle 62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6" name="Rectangle 62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17" name="Group 626"/>
        <xdr:cNvGrpSpPr>
          <a:grpSpLocks/>
        </xdr:cNvGrpSpPr>
      </xdr:nvGrpSpPr>
      <xdr:grpSpPr>
        <a:xfrm>
          <a:off x="10534650" y="6486525"/>
          <a:ext cx="0" cy="0"/>
          <a:chOff x="769" y="35"/>
          <a:chExt cx="110" cy="41"/>
        </a:xfrm>
        <a:solidFill>
          <a:srgbClr val="FFFFFF"/>
        </a:solidFill>
      </xdr:grpSpPr>
      <xdr:sp>
        <xdr:nvSpPr>
          <xdr:cNvPr id="618"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9"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0"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1"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22" name="Rectangle 63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23" name="Group 632"/>
        <xdr:cNvGrpSpPr>
          <a:grpSpLocks/>
        </xdr:cNvGrpSpPr>
      </xdr:nvGrpSpPr>
      <xdr:grpSpPr>
        <a:xfrm>
          <a:off x="10534650" y="6486525"/>
          <a:ext cx="0" cy="0"/>
          <a:chOff x="769" y="35"/>
          <a:chExt cx="110" cy="41"/>
        </a:xfrm>
        <a:solidFill>
          <a:srgbClr val="FFFFFF"/>
        </a:solidFill>
      </xdr:grpSpPr>
      <xdr:sp>
        <xdr:nvSpPr>
          <xdr:cNvPr id="624" name="Rectangle 6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25" name="Rectangle 6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6" name="Picture 6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7" name="Rectangle 6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28" name="Rectangle 63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29" name="Rectangle 63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0" name="Rectangle 63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1" name="Rectangle 64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2" name="Rectangle 64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3" name="Rectangle 64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4" name="Rectangle 64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5" name="Rectangle 64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6" name="Rectangle 64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7" name="Rectangle 64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8" name="Rectangle 64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39" name="Group 648"/>
        <xdr:cNvGrpSpPr>
          <a:grpSpLocks/>
        </xdr:cNvGrpSpPr>
      </xdr:nvGrpSpPr>
      <xdr:grpSpPr>
        <a:xfrm>
          <a:off x="10534650" y="6486525"/>
          <a:ext cx="0" cy="0"/>
          <a:chOff x="769" y="35"/>
          <a:chExt cx="110" cy="41"/>
        </a:xfrm>
        <a:solidFill>
          <a:srgbClr val="FFFFFF"/>
        </a:solidFill>
      </xdr:grpSpPr>
      <xdr:sp>
        <xdr:nvSpPr>
          <xdr:cNvPr id="640"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1"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2"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3"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44" name="Rectangle 65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45" name="Group 654"/>
        <xdr:cNvGrpSpPr>
          <a:grpSpLocks/>
        </xdr:cNvGrpSpPr>
      </xdr:nvGrpSpPr>
      <xdr:grpSpPr>
        <a:xfrm>
          <a:off x="10534650" y="6486525"/>
          <a:ext cx="0" cy="0"/>
          <a:chOff x="769" y="35"/>
          <a:chExt cx="110" cy="41"/>
        </a:xfrm>
        <a:solidFill>
          <a:srgbClr val="FFFFFF"/>
        </a:solidFill>
      </xdr:grpSpPr>
      <xdr:sp>
        <xdr:nvSpPr>
          <xdr:cNvPr id="646" name="Rectangle 6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7" name="Rectangle 6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8" name="Picture 6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9" name="Rectangle 6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50" name="Rectangle 65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1" name="Rectangle 66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2" name="Rectangle 66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3" name="Rectangle 66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4" name="Rectangle 66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5" name="Rectangle 66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6" name="Rectangle 66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7" name="Rectangle 66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8" name="Rectangle 66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9" name="Rectangle 66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60" name="Group 669"/>
        <xdr:cNvGrpSpPr>
          <a:grpSpLocks/>
        </xdr:cNvGrpSpPr>
      </xdr:nvGrpSpPr>
      <xdr:grpSpPr>
        <a:xfrm>
          <a:off x="10534650" y="6486525"/>
          <a:ext cx="0" cy="0"/>
          <a:chOff x="769" y="35"/>
          <a:chExt cx="110" cy="41"/>
        </a:xfrm>
        <a:solidFill>
          <a:srgbClr val="FFFFFF"/>
        </a:solidFill>
      </xdr:grpSpPr>
      <xdr:sp>
        <xdr:nvSpPr>
          <xdr:cNvPr id="661"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2"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3"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4"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65" name="Rectangle 67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66" name="Group 675"/>
        <xdr:cNvGrpSpPr>
          <a:grpSpLocks/>
        </xdr:cNvGrpSpPr>
      </xdr:nvGrpSpPr>
      <xdr:grpSpPr>
        <a:xfrm>
          <a:off x="10534650" y="6486525"/>
          <a:ext cx="0" cy="0"/>
          <a:chOff x="769" y="35"/>
          <a:chExt cx="110" cy="41"/>
        </a:xfrm>
        <a:solidFill>
          <a:srgbClr val="FFFFFF"/>
        </a:solidFill>
      </xdr:grpSpPr>
      <xdr:sp>
        <xdr:nvSpPr>
          <xdr:cNvPr id="667" name="Rectangle 6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8" name="Rectangle 6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9" name="Picture 6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70" name="Rectangle 6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71" name="Rectangle 68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2" name="Rectangle 68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3" name="Rectangle 68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4" name="Rectangle 68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5" name="Rectangle 68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6" name="Rectangle 68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7" name="Rectangle 68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8" name="Rectangle 68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9" name="Rectangle 68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80" name="Group 689"/>
        <xdr:cNvGrpSpPr>
          <a:grpSpLocks/>
        </xdr:cNvGrpSpPr>
      </xdr:nvGrpSpPr>
      <xdr:grpSpPr>
        <a:xfrm>
          <a:off x="10534650" y="6486525"/>
          <a:ext cx="0" cy="0"/>
          <a:chOff x="769" y="35"/>
          <a:chExt cx="110" cy="41"/>
        </a:xfrm>
        <a:solidFill>
          <a:srgbClr val="FFFFFF"/>
        </a:solidFill>
      </xdr:grpSpPr>
      <xdr:sp>
        <xdr:nvSpPr>
          <xdr:cNvPr id="681"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2"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3"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4"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85" name="Rectangle 69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86" name="Group 695"/>
        <xdr:cNvGrpSpPr>
          <a:grpSpLocks/>
        </xdr:cNvGrpSpPr>
      </xdr:nvGrpSpPr>
      <xdr:grpSpPr>
        <a:xfrm>
          <a:off x="10534650" y="6486525"/>
          <a:ext cx="0" cy="0"/>
          <a:chOff x="769" y="35"/>
          <a:chExt cx="110" cy="41"/>
        </a:xfrm>
        <a:solidFill>
          <a:srgbClr val="FFFFFF"/>
        </a:solidFill>
      </xdr:grpSpPr>
      <xdr:sp>
        <xdr:nvSpPr>
          <xdr:cNvPr id="687" name="Rectangle 6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8" name="Rectangle 6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9" name="Picture 6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90" name="Rectangle 6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91" name="Rectangle 70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2" name="Rectangle 70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3" name="Rectangle 70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4" name="Rectangle 70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5" name="Rectangle 70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6" name="Rectangle 70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7" name="Rectangle 70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8" name="Rectangle 70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9" name="Rectangle 70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00" name="Group 709"/>
        <xdr:cNvGrpSpPr>
          <a:grpSpLocks/>
        </xdr:cNvGrpSpPr>
      </xdr:nvGrpSpPr>
      <xdr:grpSpPr>
        <a:xfrm>
          <a:off x="10534650" y="6486525"/>
          <a:ext cx="0" cy="0"/>
          <a:chOff x="769" y="35"/>
          <a:chExt cx="110" cy="41"/>
        </a:xfrm>
        <a:solidFill>
          <a:srgbClr val="FFFFFF"/>
        </a:solidFill>
      </xdr:grpSpPr>
      <xdr:sp>
        <xdr:nvSpPr>
          <xdr:cNvPr id="701"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2"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3"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4"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05" name="Rectangle 71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06" name="Group 715"/>
        <xdr:cNvGrpSpPr>
          <a:grpSpLocks/>
        </xdr:cNvGrpSpPr>
      </xdr:nvGrpSpPr>
      <xdr:grpSpPr>
        <a:xfrm>
          <a:off x="10534650" y="6486525"/>
          <a:ext cx="0" cy="0"/>
          <a:chOff x="769" y="35"/>
          <a:chExt cx="110" cy="41"/>
        </a:xfrm>
        <a:solidFill>
          <a:srgbClr val="FFFFFF"/>
        </a:solidFill>
      </xdr:grpSpPr>
      <xdr:sp>
        <xdr:nvSpPr>
          <xdr:cNvPr id="707" name="Rectangle 7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8" name="Rectangle 7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9" name="Picture 7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10" name="Rectangle 7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11" name="Rectangle 72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2" name="Rectangle 72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3" name="Rectangle 72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4" name="Rectangle 72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5" name="Rectangle 72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6" name="Rectangle 72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7" name="Rectangle 72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8" name="Rectangle 72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9" name="Rectangle 72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20" name="Group 729"/>
        <xdr:cNvGrpSpPr>
          <a:grpSpLocks/>
        </xdr:cNvGrpSpPr>
      </xdr:nvGrpSpPr>
      <xdr:grpSpPr>
        <a:xfrm>
          <a:off x="10534650" y="6486525"/>
          <a:ext cx="0" cy="0"/>
          <a:chOff x="769" y="35"/>
          <a:chExt cx="110" cy="41"/>
        </a:xfrm>
        <a:solidFill>
          <a:srgbClr val="FFFFFF"/>
        </a:solidFill>
      </xdr:grpSpPr>
      <xdr:sp>
        <xdr:nvSpPr>
          <xdr:cNvPr id="721"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2"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3"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4"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25" name="Rectangle 73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26" name="Group 735"/>
        <xdr:cNvGrpSpPr>
          <a:grpSpLocks/>
        </xdr:cNvGrpSpPr>
      </xdr:nvGrpSpPr>
      <xdr:grpSpPr>
        <a:xfrm>
          <a:off x="10534650" y="6486525"/>
          <a:ext cx="0" cy="0"/>
          <a:chOff x="769" y="35"/>
          <a:chExt cx="110" cy="41"/>
        </a:xfrm>
        <a:solidFill>
          <a:srgbClr val="FFFFFF"/>
        </a:solidFill>
      </xdr:grpSpPr>
      <xdr:sp>
        <xdr:nvSpPr>
          <xdr:cNvPr id="727" name="Rectangle 7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8" name="Rectangle 7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9" name="Picture 7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30" name="Rectangle 7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31" name="Rectangle 74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2" name="Rectangle 74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3" name="Rectangle 74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4" name="Rectangle 74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5" name="Rectangle 74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6" name="Rectangle 74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7" name="Rectangle 74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8" name="Rectangle 74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9" name="Rectangle 74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0" name="Rectangle 74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1" name="Rectangle 75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2" name="Rectangle 75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3" name="Rectangle 75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4" name="Rectangle 75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5" name="Rectangle 75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6" name="Rectangle 75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7" name="Rectangle 75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48" name="Group 757"/>
        <xdr:cNvGrpSpPr>
          <a:grpSpLocks/>
        </xdr:cNvGrpSpPr>
      </xdr:nvGrpSpPr>
      <xdr:grpSpPr>
        <a:xfrm>
          <a:off x="10534650" y="2933700"/>
          <a:ext cx="0" cy="0"/>
          <a:chOff x="769" y="35"/>
          <a:chExt cx="110" cy="41"/>
        </a:xfrm>
        <a:solidFill>
          <a:srgbClr val="FFFFFF"/>
        </a:solidFill>
      </xdr:grpSpPr>
      <xdr:sp>
        <xdr:nvSpPr>
          <xdr:cNvPr id="749"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0"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1"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2"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53" name="Rectangle 76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54" name="Group 763"/>
        <xdr:cNvGrpSpPr>
          <a:grpSpLocks/>
        </xdr:cNvGrpSpPr>
      </xdr:nvGrpSpPr>
      <xdr:grpSpPr>
        <a:xfrm>
          <a:off x="10534650" y="2933700"/>
          <a:ext cx="0" cy="0"/>
          <a:chOff x="769" y="35"/>
          <a:chExt cx="110" cy="41"/>
        </a:xfrm>
        <a:solidFill>
          <a:srgbClr val="FFFFFF"/>
        </a:solidFill>
      </xdr:grpSpPr>
      <xdr:sp>
        <xdr:nvSpPr>
          <xdr:cNvPr id="755" name="Rectangle 7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6" name="Rectangle 7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7" name="Picture 7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8" name="Rectangle 7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59" name="Rectangle 76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0" name="Rectangle 76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1" name="Rectangle 77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2" name="Rectangle 77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3" name="Rectangle 77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4" name="Rectangle 77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5" name="Rectangle 77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6" name="Rectangle 77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7" name="Rectangle 77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68" name="Rectangle 77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69" name="Rectangle 77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70" name="Group 779"/>
        <xdr:cNvGrpSpPr>
          <a:grpSpLocks/>
        </xdr:cNvGrpSpPr>
      </xdr:nvGrpSpPr>
      <xdr:grpSpPr>
        <a:xfrm>
          <a:off x="10534650" y="6486525"/>
          <a:ext cx="0" cy="0"/>
          <a:chOff x="769" y="35"/>
          <a:chExt cx="110" cy="41"/>
        </a:xfrm>
        <a:solidFill>
          <a:srgbClr val="FFFFFF"/>
        </a:solidFill>
      </xdr:grpSpPr>
      <xdr:sp>
        <xdr:nvSpPr>
          <xdr:cNvPr id="771" name="Rectangle 7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72" name="Rectangle 7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73" name="Picture 7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4" name="Rectangle 7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75" name="Rectangle 78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6" name="Rectangle 78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7" name="Rectangle 78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8" name="Rectangle 78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9" name="Rectangle 78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0" name="Rectangle 78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1" name="Rectangle 79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2" name="Rectangle 79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3" name="Rectangle 79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84" name="Group 793"/>
        <xdr:cNvGrpSpPr>
          <a:grpSpLocks/>
        </xdr:cNvGrpSpPr>
      </xdr:nvGrpSpPr>
      <xdr:grpSpPr>
        <a:xfrm>
          <a:off x="10534650" y="2933700"/>
          <a:ext cx="0" cy="0"/>
          <a:chOff x="769" y="35"/>
          <a:chExt cx="110" cy="41"/>
        </a:xfrm>
        <a:solidFill>
          <a:srgbClr val="FFFFFF"/>
        </a:solidFill>
      </xdr:grpSpPr>
      <xdr:sp>
        <xdr:nvSpPr>
          <xdr:cNvPr id="785"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6"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7"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8"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89" name="Rectangle 79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90" name="Group 799"/>
        <xdr:cNvGrpSpPr>
          <a:grpSpLocks/>
        </xdr:cNvGrpSpPr>
      </xdr:nvGrpSpPr>
      <xdr:grpSpPr>
        <a:xfrm>
          <a:off x="10534650" y="2933700"/>
          <a:ext cx="0" cy="0"/>
          <a:chOff x="769" y="35"/>
          <a:chExt cx="110" cy="41"/>
        </a:xfrm>
        <a:solidFill>
          <a:srgbClr val="FFFFFF"/>
        </a:solidFill>
      </xdr:grpSpPr>
      <xdr:sp>
        <xdr:nvSpPr>
          <xdr:cNvPr id="791" name="Rectangle 80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2" name="Rectangle 80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93" name="Picture 80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94" name="Rectangle 80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95" name="Rectangle 80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6" name="Rectangle 80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7" name="Rectangle 80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8" name="Rectangle 80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9" name="Rectangle 80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0" name="Rectangle 80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1" name="Rectangle 81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2" name="Rectangle 81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3" name="Rectangle 81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04" name="Rectangle 81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05" name="Rectangle 81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806" name="Group 815"/>
        <xdr:cNvGrpSpPr>
          <a:grpSpLocks/>
        </xdr:cNvGrpSpPr>
      </xdr:nvGrpSpPr>
      <xdr:grpSpPr>
        <a:xfrm>
          <a:off x="10534650" y="6486525"/>
          <a:ext cx="0" cy="0"/>
          <a:chOff x="769" y="35"/>
          <a:chExt cx="110" cy="41"/>
        </a:xfrm>
        <a:solidFill>
          <a:srgbClr val="FFFFFF"/>
        </a:solidFill>
      </xdr:grpSpPr>
      <xdr:sp>
        <xdr:nvSpPr>
          <xdr:cNvPr id="807" name="Rectangle 8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8" name="Rectangle 8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9" name="Picture 8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0" name="Rectangle 8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811" name="Rectangle 82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2" name="Rectangle 82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3" name="Rectangle 82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4" name="Rectangle 82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5" name="Rectangle 82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6" name="Rectangle 82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7" name="Rectangle 82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8" name="Rectangle 82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9" name="Rectangle 82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20" name="Group 829"/>
        <xdr:cNvGrpSpPr>
          <a:grpSpLocks/>
        </xdr:cNvGrpSpPr>
      </xdr:nvGrpSpPr>
      <xdr:grpSpPr>
        <a:xfrm>
          <a:off x="10534650" y="2933700"/>
          <a:ext cx="0" cy="0"/>
          <a:chOff x="769" y="35"/>
          <a:chExt cx="110" cy="41"/>
        </a:xfrm>
        <a:solidFill>
          <a:srgbClr val="FFFFFF"/>
        </a:solidFill>
      </xdr:grpSpPr>
      <xdr:sp>
        <xdr:nvSpPr>
          <xdr:cNvPr id="821"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2"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3"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4"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25" name="Rectangle 83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26" name="Group 835"/>
        <xdr:cNvGrpSpPr>
          <a:grpSpLocks/>
        </xdr:cNvGrpSpPr>
      </xdr:nvGrpSpPr>
      <xdr:grpSpPr>
        <a:xfrm>
          <a:off x="10534650" y="2933700"/>
          <a:ext cx="0" cy="0"/>
          <a:chOff x="769" y="35"/>
          <a:chExt cx="110" cy="41"/>
        </a:xfrm>
        <a:solidFill>
          <a:srgbClr val="FFFFFF"/>
        </a:solidFill>
      </xdr:grpSpPr>
      <xdr:sp>
        <xdr:nvSpPr>
          <xdr:cNvPr id="827" name="Rectangle 8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8" name="Rectangle 8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9" name="Picture 8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30" name="Rectangle 8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31" name="Rectangle 84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2" name="Rectangle 84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3" name="Rectangle 84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4" name="Rectangle 84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5" name="Rectangle 84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6" name="Rectangle 84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7" name="Rectangle 84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8" name="Rectangle 84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9" name="Rectangle 84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40" name="Group 849"/>
        <xdr:cNvGrpSpPr>
          <a:grpSpLocks/>
        </xdr:cNvGrpSpPr>
      </xdr:nvGrpSpPr>
      <xdr:grpSpPr>
        <a:xfrm>
          <a:off x="10534650" y="2933700"/>
          <a:ext cx="0" cy="0"/>
          <a:chOff x="769" y="35"/>
          <a:chExt cx="110" cy="41"/>
        </a:xfrm>
        <a:solidFill>
          <a:srgbClr val="FFFFFF"/>
        </a:solidFill>
      </xdr:grpSpPr>
      <xdr:sp>
        <xdr:nvSpPr>
          <xdr:cNvPr id="841"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2"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3"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4"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45" name="Rectangle 85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46" name="Group 855"/>
        <xdr:cNvGrpSpPr>
          <a:grpSpLocks/>
        </xdr:cNvGrpSpPr>
      </xdr:nvGrpSpPr>
      <xdr:grpSpPr>
        <a:xfrm>
          <a:off x="10534650" y="2933700"/>
          <a:ext cx="0" cy="0"/>
          <a:chOff x="769" y="35"/>
          <a:chExt cx="110" cy="41"/>
        </a:xfrm>
        <a:solidFill>
          <a:srgbClr val="FFFFFF"/>
        </a:solidFill>
      </xdr:grpSpPr>
      <xdr:sp>
        <xdr:nvSpPr>
          <xdr:cNvPr id="847" name="Rectangle 8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8" name="Rectangle 8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9" name="Picture 8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50" name="Rectangle 8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51" name="Rectangle 86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2" name="Rectangle 86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3" name="Rectangle 86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4" name="Rectangle 86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5" name="Rectangle 86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6" name="Rectangle 86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7" name="Rectangle 86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8" name="Rectangle 86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9" name="Rectangle 86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60" name="Group 869"/>
        <xdr:cNvGrpSpPr>
          <a:grpSpLocks/>
        </xdr:cNvGrpSpPr>
      </xdr:nvGrpSpPr>
      <xdr:grpSpPr>
        <a:xfrm>
          <a:off x="10534650" y="2933700"/>
          <a:ext cx="0" cy="0"/>
          <a:chOff x="769" y="35"/>
          <a:chExt cx="110" cy="41"/>
        </a:xfrm>
        <a:solidFill>
          <a:srgbClr val="FFFFFF"/>
        </a:solidFill>
      </xdr:grpSpPr>
      <xdr:sp>
        <xdr:nvSpPr>
          <xdr:cNvPr id="861"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2"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3"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4"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65" name="Rectangle 87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66" name="Group 875"/>
        <xdr:cNvGrpSpPr>
          <a:grpSpLocks/>
        </xdr:cNvGrpSpPr>
      </xdr:nvGrpSpPr>
      <xdr:grpSpPr>
        <a:xfrm>
          <a:off x="10534650" y="2933700"/>
          <a:ext cx="0" cy="0"/>
          <a:chOff x="769" y="35"/>
          <a:chExt cx="110" cy="41"/>
        </a:xfrm>
        <a:solidFill>
          <a:srgbClr val="FFFFFF"/>
        </a:solidFill>
      </xdr:grpSpPr>
      <xdr:sp>
        <xdr:nvSpPr>
          <xdr:cNvPr id="867" name="Rectangle 8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8" name="Rectangle 8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9" name="Picture 8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0" name="Rectangle 8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71" name="Rectangle 88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2" name="Rectangle 88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3" name="Rectangle 88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4" name="Rectangle 88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5" name="Rectangle 88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6" name="Rectangle 88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7" name="Rectangle 88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8" name="Rectangle 88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9" name="Rectangle 88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80" name="Group 889"/>
        <xdr:cNvGrpSpPr>
          <a:grpSpLocks/>
        </xdr:cNvGrpSpPr>
      </xdr:nvGrpSpPr>
      <xdr:grpSpPr>
        <a:xfrm>
          <a:off x="10534650" y="2933700"/>
          <a:ext cx="0" cy="0"/>
          <a:chOff x="769" y="35"/>
          <a:chExt cx="110" cy="41"/>
        </a:xfrm>
        <a:solidFill>
          <a:srgbClr val="FFFFFF"/>
        </a:solidFill>
      </xdr:grpSpPr>
      <xdr:sp>
        <xdr:nvSpPr>
          <xdr:cNvPr id="881"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2"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3"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4"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85" name="Rectangle 89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86" name="Group 895"/>
        <xdr:cNvGrpSpPr>
          <a:grpSpLocks/>
        </xdr:cNvGrpSpPr>
      </xdr:nvGrpSpPr>
      <xdr:grpSpPr>
        <a:xfrm>
          <a:off x="10534650" y="2933700"/>
          <a:ext cx="0" cy="0"/>
          <a:chOff x="769" y="35"/>
          <a:chExt cx="110" cy="41"/>
        </a:xfrm>
        <a:solidFill>
          <a:srgbClr val="FFFFFF"/>
        </a:solidFill>
      </xdr:grpSpPr>
      <xdr:sp>
        <xdr:nvSpPr>
          <xdr:cNvPr id="887" name="Rectangle 8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8" name="Rectangle 8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9" name="Picture 8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90" name="Rectangle 8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91" name="Rectangle 90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2" name="Rectangle 90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3" name="Rectangle 90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4" name="Rectangle 90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5" name="Rectangle 90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6" name="Rectangle 90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7" name="Rectangle 90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8" name="Rectangle 90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9" name="Rectangle 90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0" name="Rectangle 90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1" name="Rectangle 91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2" name="Rectangle 91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3" name="Rectangle 91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4" name="Rectangle 91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5" name="Rectangle 91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6" name="Rectangle 91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7" name="Rectangle 91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08" name="Group 917"/>
        <xdr:cNvGrpSpPr>
          <a:grpSpLocks/>
        </xdr:cNvGrpSpPr>
      </xdr:nvGrpSpPr>
      <xdr:grpSpPr>
        <a:xfrm>
          <a:off x="10534650" y="2933700"/>
          <a:ext cx="0" cy="0"/>
          <a:chOff x="769" y="35"/>
          <a:chExt cx="110" cy="41"/>
        </a:xfrm>
        <a:solidFill>
          <a:srgbClr val="FFFFFF"/>
        </a:solidFill>
      </xdr:grpSpPr>
      <xdr:sp>
        <xdr:nvSpPr>
          <xdr:cNvPr id="909"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0"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1"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2"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13" name="Rectangle 92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14" name="Group 923"/>
        <xdr:cNvGrpSpPr>
          <a:grpSpLocks/>
        </xdr:cNvGrpSpPr>
      </xdr:nvGrpSpPr>
      <xdr:grpSpPr>
        <a:xfrm>
          <a:off x="10534650" y="2933700"/>
          <a:ext cx="0" cy="0"/>
          <a:chOff x="769" y="35"/>
          <a:chExt cx="110" cy="41"/>
        </a:xfrm>
        <a:solidFill>
          <a:srgbClr val="FFFFFF"/>
        </a:solidFill>
      </xdr:grpSpPr>
      <xdr:sp>
        <xdr:nvSpPr>
          <xdr:cNvPr id="915" name="Rectangle 9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6" name="Rectangle 9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7" name="Picture 9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8" name="Rectangle 9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19" name="Rectangle 92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0" name="Rectangle 92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1" name="Rectangle 93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2" name="Rectangle 93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3" name="Rectangle 93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4" name="Rectangle 93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5" name="Rectangle 93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6" name="Rectangle 93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7" name="Rectangle 93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28" name="Group 937"/>
        <xdr:cNvGrpSpPr>
          <a:grpSpLocks/>
        </xdr:cNvGrpSpPr>
      </xdr:nvGrpSpPr>
      <xdr:grpSpPr>
        <a:xfrm>
          <a:off x="10534650" y="2933700"/>
          <a:ext cx="0" cy="0"/>
          <a:chOff x="769" y="35"/>
          <a:chExt cx="110" cy="41"/>
        </a:xfrm>
        <a:solidFill>
          <a:srgbClr val="FFFFFF"/>
        </a:solidFill>
      </xdr:grpSpPr>
      <xdr:sp>
        <xdr:nvSpPr>
          <xdr:cNvPr id="929"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0"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1"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2"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33" name="Rectangle 94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34" name="Group 943"/>
        <xdr:cNvGrpSpPr>
          <a:grpSpLocks/>
        </xdr:cNvGrpSpPr>
      </xdr:nvGrpSpPr>
      <xdr:grpSpPr>
        <a:xfrm>
          <a:off x="10534650" y="2933700"/>
          <a:ext cx="0" cy="0"/>
          <a:chOff x="769" y="35"/>
          <a:chExt cx="110" cy="41"/>
        </a:xfrm>
        <a:solidFill>
          <a:srgbClr val="FFFFFF"/>
        </a:solidFill>
      </xdr:grpSpPr>
      <xdr:sp>
        <xdr:nvSpPr>
          <xdr:cNvPr id="935" name="Rectangle 9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6" name="Rectangle 9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7" name="Picture 9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8" name="Rectangle 9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39" name="Rectangle 94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0" name="Rectangle 94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1" name="Rectangle 95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2" name="Rectangle 95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3" name="Rectangle 95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4" name="Rectangle 95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5" name="Rectangle 95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6" name="Rectangle 95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7" name="Rectangle 95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48" name="Group 957"/>
        <xdr:cNvGrpSpPr>
          <a:grpSpLocks/>
        </xdr:cNvGrpSpPr>
      </xdr:nvGrpSpPr>
      <xdr:grpSpPr>
        <a:xfrm>
          <a:off x="10534650" y="2933700"/>
          <a:ext cx="0" cy="0"/>
          <a:chOff x="769" y="35"/>
          <a:chExt cx="110" cy="41"/>
        </a:xfrm>
        <a:solidFill>
          <a:srgbClr val="FFFFFF"/>
        </a:solidFill>
      </xdr:grpSpPr>
      <xdr:sp>
        <xdr:nvSpPr>
          <xdr:cNvPr id="949"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0"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1"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2"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53" name="Rectangle 96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54" name="Group 963"/>
        <xdr:cNvGrpSpPr>
          <a:grpSpLocks/>
        </xdr:cNvGrpSpPr>
      </xdr:nvGrpSpPr>
      <xdr:grpSpPr>
        <a:xfrm>
          <a:off x="10534650" y="2933700"/>
          <a:ext cx="0" cy="0"/>
          <a:chOff x="769" y="35"/>
          <a:chExt cx="110" cy="41"/>
        </a:xfrm>
        <a:solidFill>
          <a:srgbClr val="FFFFFF"/>
        </a:solidFill>
      </xdr:grpSpPr>
      <xdr:sp>
        <xdr:nvSpPr>
          <xdr:cNvPr id="955" name="Rectangle 9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6" name="Rectangle 9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7" name="Picture 9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8" name="Rectangle 9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59" name="Rectangle 96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0" name="Rectangle 96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1" name="Rectangle 97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2" name="Rectangle 97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3" name="Rectangle 97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4" name="Rectangle 97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5" name="Rectangle 97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6" name="Rectangle 97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7" name="Rectangle 97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68" name="Group 977"/>
        <xdr:cNvGrpSpPr>
          <a:grpSpLocks/>
        </xdr:cNvGrpSpPr>
      </xdr:nvGrpSpPr>
      <xdr:grpSpPr>
        <a:xfrm>
          <a:off x="10534650" y="2933700"/>
          <a:ext cx="0" cy="0"/>
          <a:chOff x="769" y="35"/>
          <a:chExt cx="110" cy="41"/>
        </a:xfrm>
        <a:solidFill>
          <a:srgbClr val="FFFFFF"/>
        </a:solidFill>
      </xdr:grpSpPr>
      <xdr:sp>
        <xdr:nvSpPr>
          <xdr:cNvPr id="969"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0"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1"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2"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73" name="Rectangle 98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74" name="Group 983"/>
        <xdr:cNvGrpSpPr>
          <a:grpSpLocks/>
        </xdr:cNvGrpSpPr>
      </xdr:nvGrpSpPr>
      <xdr:grpSpPr>
        <a:xfrm>
          <a:off x="10534650" y="2933700"/>
          <a:ext cx="0" cy="0"/>
          <a:chOff x="769" y="35"/>
          <a:chExt cx="110" cy="41"/>
        </a:xfrm>
        <a:solidFill>
          <a:srgbClr val="FFFFFF"/>
        </a:solidFill>
      </xdr:grpSpPr>
      <xdr:sp>
        <xdr:nvSpPr>
          <xdr:cNvPr id="975" name="Rectangle 9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6" name="Rectangle 9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7" name="Picture 9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8" name="Rectangle 9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79" name="Rectangle 98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0" name="Rectangle 98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1" name="Rectangle 99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2" name="Rectangle 99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3" name="Rectangle 99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4" name="Rectangle 99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5" name="Rectangle 99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6" name="Rectangle 99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7" name="Rectangle 99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88" name="Group 997"/>
        <xdr:cNvGrpSpPr>
          <a:grpSpLocks/>
        </xdr:cNvGrpSpPr>
      </xdr:nvGrpSpPr>
      <xdr:grpSpPr>
        <a:xfrm>
          <a:off x="10534650" y="2933700"/>
          <a:ext cx="0" cy="0"/>
          <a:chOff x="769" y="35"/>
          <a:chExt cx="110" cy="41"/>
        </a:xfrm>
        <a:solidFill>
          <a:srgbClr val="FFFFFF"/>
        </a:solidFill>
      </xdr:grpSpPr>
      <xdr:sp>
        <xdr:nvSpPr>
          <xdr:cNvPr id="989"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0"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1"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2"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93" name="Rectangle 100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94" name="Group 1003"/>
        <xdr:cNvGrpSpPr>
          <a:grpSpLocks/>
        </xdr:cNvGrpSpPr>
      </xdr:nvGrpSpPr>
      <xdr:grpSpPr>
        <a:xfrm>
          <a:off x="10534650" y="2933700"/>
          <a:ext cx="0" cy="0"/>
          <a:chOff x="769" y="35"/>
          <a:chExt cx="110" cy="41"/>
        </a:xfrm>
        <a:solidFill>
          <a:srgbClr val="FFFFFF"/>
        </a:solidFill>
      </xdr:grpSpPr>
      <xdr:sp>
        <xdr:nvSpPr>
          <xdr:cNvPr id="995" name="Rectangle 10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6" name="Rectangle 10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7" name="Picture 10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8" name="Rectangle 10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99" name="Rectangle 100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0" name="Rectangle 100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1" name="Rectangle 101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2" name="Rectangle 101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3" name="Rectangle 101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4" name="Rectangle 101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5" name="Rectangle 101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6" name="Rectangle 101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7" name="Rectangle 101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1008" name="Group 1017"/>
        <xdr:cNvGrpSpPr>
          <a:grpSpLocks/>
        </xdr:cNvGrpSpPr>
      </xdr:nvGrpSpPr>
      <xdr:grpSpPr>
        <a:xfrm>
          <a:off x="10534650" y="2933700"/>
          <a:ext cx="0" cy="0"/>
          <a:chOff x="769" y="35"/>
          <a:chExt cx="110" cy="41"/>
        </a:xfrm>
        <a:solidFill>
          <a:srgbClr val="FFFFFF"/>
        </a:solidFill>
      </xdr:grpSpPr>
      <xdr:sp>
        <xdr:nvSpPr>
          <xdr:cNvPr id="1009"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0"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1"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2"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1013" name="Rectangle 102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1014" name="Group 1023"/>
        <xdr:cNvGrpSpPr>
          <a:grpSpLocks/>
        </xdr:cNvGrpSpPr>
      </xdr:nvGrpSpPr>
      <xdr:grpSpPr>
        <a:xfrm>
          <a:off x="10534650" y="2933700"/>
          <a:ext cx="0" cy="0"/>
          <a:chOff x="769" y="35"/>
          <a:chExt cx="110" cy="41"/>
        </a:xfrm>
        <a:solidFill>
          <a:srgbClr val="FFFFFF"/>
        </a:solidFill>
      </xdr:grpSpPr>
      <xdr:sp>
        <xdr:nvSpPr>
          <xdr:cNvPr id="1015" name="Rectangle 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6" name="Rectangle 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7" name="Picture 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8" name="Rectangle 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1019" name="Rectangle 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0" name="Rectangle 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1" name="Rectangle 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2" name="Rectangle 7"/>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3" name="Rectangle 8"/>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4" name="Rectangle 9"/>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5" name="Rectangle 10"/>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6" name="Rectangle 11"/>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7" name="Rectangle 12"/>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8" name="Rectangle 13"/>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9" name="Rectangle 14"/>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30" name="Rectangle 15"/>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31" name="Rectangle 16"/>
        <xdr:cNvSpPr>
          <a:spLocks/>
        </xdr:cNvSpPr>
      </xdr:nvSpPr>
      <xdr:spPr>
        <a:xfrm>
          <a:off x="10534650" y="2933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2" name="Rectangle 1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3" name="Rectangle 1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4" name="Rectangle 1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5" name="Rectangle 2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6" name="Rectangle 2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7" name="Rectangle 2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8" name="Rectangle 2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9" name="Rectangle 2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0" name="Rectangle 2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1" name="Rectangle 2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2" name="Rectangle 2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3" name="Rectangle 2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4" name="Rectangle 2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5" name="Rectangle 3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1046" name="Group 31"/>
        <xdr:cNvGrpSpPr>
          <a:grpSpLocks/>
        </xdr:cNvGrpSpPr>
      </xdr:nvGrpSpPr>
      <xdr:grpSpPr>
        <a:xfrm>
          <a:off x="10534650" y="6486525"/>
          <a:ext cx="0" cy="0"/>
          <a:chOff x="769" y="35"/>
          <a:chExt cx="110" cy="41"/>
        </a:xfrm>
        <a:solidFill>
          <a:srgbClr val="FFFFFF"/>
        </a:solidFill>
      </xdr:grpSpPr>
      <xdr:sp>
        <xdr:nvSpPr>
          <xdr:cNvPr id="1047" name="Rectangle 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48" name="Rectangle 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49" name="Picture 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50" name="Rectangle 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1051" name="Rectangle 3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2" name="Rectangle 3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3" name="Rectangle 3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4" name="Rectangle 3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5" name="Rectangle 4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6" name="Rectangle 4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7" name="Rectangle 4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8" name="Rectangle 4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9" name="Rectangle 4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0" name="Rectangle 4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1" name="Rectangle 4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1062" name="Group 47"/>
        <xdr:cNvGrpSpPr>
          <a:grpSpLocks/>
        </xdr:cNvGrpSpPr>
      </xdr:nvGrpSpPr>
      <xdr:grpSpPr>
        <a:xfrm>
          <a:off x="10534650" y="6486525"/>
          <a:ext cx="0" cy="0"/>
          <a:chOff x="769" y="35"/>
          <a:chExt cx="110" cy="41"/>
        </a:xfrm>
        <a:solidFill>
          <a:srgbClr val="FFFFFF"/>
        </a:solidFill>
      </xdr:grpSpPr>
      <xdr:sp>
        <xdr:nvSpPr>
          <xdr:cNvPr id="1063" name="Rectangle 4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4" name="Rectangle 4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65" name="Picture 5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66" name="Rectangle 5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1067" name="Rectangle 5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8" name="Rectangle 5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9" name="Rectangle 5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0" name="Rectangle 5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1" name="Rectangle 5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2" name="Rectangle 5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3" name="Rectangle 5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4" name="Rectangle 5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5" name="Rectangle 6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6" name="Rectangle 6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7" name="Rectangle 6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8" name="Rectangle 6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9" name="Rectangle 6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0" name="Rectangle 6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1" name="Rectangle 6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2" name="Rectangle 6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3" name="Rectangle 6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4" name="Rectangle 6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5" name="Rectangle 7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6" name="Rectangle 7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7" name="Rectangle 7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8" name="Rectangle 7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9" name="Rectangle 7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0" name="Rectangle 7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1" name="Rectangle 7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2" name="Rectangle 7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3" name="Rectangle 7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4" name="Rectangle 7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5" name="Rectangle 8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6" name="Rectangle 8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7" name="Rectangle 8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8" name="Rectangle 8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9" name="Rectangle 8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0" name="Rectangle 8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1" name="Rectangle 8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2" name="Rectangle 8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3" name="Rectangle 8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4" name="Rectangle 89"/>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5" name="Rectangle 90"/>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6" name="Rectangle 91"/>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7" name="Rectangle 92"/>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8" name="Rectangle 93"/>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9" name="Rectangle 94"/>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0" name="Rectangle 95"/>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1" name="Rectangle 96"/>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2" name="Rectangle 97"/>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3" name="Rectangle 98"/>
        <xdr:cNvSpPr>
          <a:spLocks/>
        </xdr:cNvSpPr>
      </xdr:nvSpPr>
      <xdr:spPr>
        <a:xfrm>
          <a:off x="10534650" y="648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0</xdr:row>
      <xdr:rowOff>19050</xdr:rowOff>
    </xdr:from>
    <xdr:to>
      <xdr:col>12</xdr:col>
      <xdr:colOff>733425</xdr:colOff>
      <xdr:row>3</xdr:row>
      <xdr:rowOff>28575</xdr:rowOff>
    </xdr:to>
    <xdr:pic>
      <xdr:nvPicPr>
        <xdr:cNvPr id="1" name="Picture 3"/>
        <xdr:cNvPicPr preferRelativeResize="1">
          <a:picLocks noChangeAspect="1"/>
        </xdr:cNvPicPr>
      </xdr:nvPicPr>
      <xdr:blipFill>
        <a:blip r:embed="rId1"/>
        <a:stretch>
          <a:fillRect/>
        </a:stretch>
      </xdr:blipFill>
      <xdr:spPr>
        <a:xfrm>
          <a:off x="8191500" y="19050"/>
          <a:ext cx="1114425" cy="628650"/>
        </a:xfrm>
        <a:prstGeom prst="rect">
          <a:avLst/>
        </a:prstGeom>
        <a:noFill/>
        <a:ln w="9525" cmpd="sng">
          <a:noFill/>
        </a:ln>
      </xdr:spPr>
    </xdr:pic>
    <xdr:clientData/>
  </xdr:twoCellAnchor>
  <xdr:twoCellAnchor>
    <xdr:from>
      <xdr:col>11</xdr:col>
      <xdr:colOff>552450</xdr:colOff>
      <xdr:row>45</xdr:row>
      <xdr:rowOff>19050</xdr:rowOff>
    </xdr:from>
    <xdr:to>
      <xdr:col>12</xdr:col>
      <xdr:colOff>733425</xdr:colOff>
      <xdr:row>48</xdr:row>
      <xdr:rowOff>28575</xdr:rowOff>
    </xdr:to>
    <xdr:pic>
      <xdr:nvPicPr>
        <xdr:cNvPr id="2" name="Picture 4"/>
        <xdr:cNvPicPr preferRelativeResize="1">
          <a:picLocks noChangeAspect="1"/>
        </xdr:cNvPicPr>
      </xdr:nvPicPr>
      <xdr:blipFill>
        <a:blip r:embed="rId1"/>
        <a:stretch>
          <a:fillRect/>
        </a:stretch>
      </xdr:blipFill>
      <xdr:spPr>
        <a:xfrm>
          <a:off x="8191500" y="8039100"/>
          <a:ext cx="1114425" cy="628650"/>
        </a:xfrm>
        <a:prstGeom prst="rect">
          <a:avLst/>
        </a:prstGeom>
        <a:noFill/>
        <a:ln w="9525" cmpd="sng">
          <a:noFill/>
        </a:ln>
      </xdr:spPr>
    </xdr:pic>
    <xdr:clientData/>
  </xdr:twoCellAnchor>
  <xdr:twoCellAnchor>
    <xdr:from>
      <xdr:col>11</xdr:col>
      <xdr:colOff>552450</xdr:colOff>
      <xdr:row>90</xdr:row>
      <xdr:rowOff>19050</xdr:rowOff>
    </xdr:from>
    <xdr:to>
      <xdr:col>12</xdr:col>
      <xdr:colOff>733425</xdr:colOff>
      <xdr:row>93</xdr:row>
      <xdr:rowOff>28575</xdr:rowOff>
    </xdr:to>
    <xdr:pic>
      <xdr:nvPicPr>
        <xdr:cNvPr id="3" name="Picture 5"/>
        <xdr:cNvPicPr preferRelativeResize="1">
          <a:picLocks noChangeAspect="1"/>
        </xdr:cNvPicPr>
      </xdr:nvPicPr>
      <xdr:blipFill>
        <a:blip r:embed="rId1"/>
        <a:stretch>
          <a:fillRect/>
        </a:stretch>
      </xdr:blipFill>
      <xdr:spPr>
        <a:xfrm>
          <a:off x="8191500" y="15859125"/>
          <a:ext cx="1114425" cy="628650"/>
        </a:xfrm>
        <a:prstGeom prst="rect">
          <a:avLst/>
        </a:prstGeom>
        <a:noFill/>
        <a:ln w="9525" cmpd="sng">
          <a:noFill/>
        </a:ln>
      </xdr:spPr>
    </xdr:pic>
    <xdr:clientData/>
  </xdr:twoCellAnchor>
  <xdr:twoCellAnchor>
    <xdr:from>
      <xdr:col>11</xdr:col>
      <xdr:colOff>552450</xdr:colOff>
      <xdr:row>136</xdr:row>
      <xdr:rowOff>19050</xdr:rowOff>
    </xdr:from>
    <xdr:to>
      <xdr:col>12</xdr:col>
      <xdr:colOff>733425</xdr:colOff>
      <xdr:row>139</xdr:row>
      <xdr:rowOff>28575</xdr:rowOff>
    </xdr:to>
    <xdr:pic>
      <xdr:nvPicPr>
        <xdr:cNvPr id="4" name="Picture 6"/>
        <xdr:cNvPicPr preferRelativeResize="1">
          <a:picLocks noChangeAspect="1"/>
        </xdr:cNvPicPr>
      </xdr:nvPicPr>
      <xdr:blipFill>
        <a:blip r:embed="rId1"/>
        <a:stretch>
          <a:fillRect/>
        </a:stretch>
      </xdr:blipFill>
      <xdr:spPr>
        <a:xfrm>
          <a:off x="8191500" y="23850600"/>
          <a:ext cx="1114425" cy="628650"/>
        </a:xfrm>
        <a:prstGeom prst="rect">
          <a:avLst/>
        </a:prstGeom>
        <a:noFill/>
        <a:ln w="9525" cmpd="sng">
          <a:noFill/>
        </a:ln>
      </xdr:spPr>
    </xdr:pic>
    <xdr:clientData/>
  </xdr:twoCellAnchor>
  <xdr:twoCellAnchor>
    <xdr:from>
      <xdr:col>11</xdr:col>
      <xdr:colOff>552450</xdr:colOff>
      <xdr:row>182</xdr:row>
      <xdr:rowOff>19050</xdr:rowOff>
    </xdr:from>
    <xdr:to>
      <xdr:col>12</xdr:col>
      <xdr:colOff>733425</xdr:colOff>
      <xdr:row>185</xdr:row>
      <xdr:rowOff>28575</xdr:rowOff>
    </xdr:to>
    <xdr:pic>
      <xdr:nvPicPr>
        <xdr:cNvPr id="5" name="Picture 7"/>
        <xdr:cNvPicPr preferRelativeResize="1">
          <a:picLocks noChangeAspect="1"/>
        </xdr:cNvPicPr>
      </xdr:nvPicPr>
      <xdr:blipFill>
        <a:blip r:embed="rId1"/>
        <a:stretch>
          <a:fillRect/>
        </a:stretch>
      </xdr:blipFill>
      <xdr:spPr>
        <a:xfrm>
          <a:off x="8191500" y="31842075"/>
          <a:ext cx="1114425" cy="628650"/>
        </a:xfrm>
        <a:prstGeom prst="rect">
          <a:avLst/>
        </a:prstGeom>
        <a:noFill/>
        <a:ln w="9525" cmpd="sng">
          <a:noFill/>
        </a:ln>
      </xdr:spPr>
    </xdr:pic>
    <xdr:clientData/>
  </xdr:twoCellAnchor>
  <xdr:twoCellAnchor>
    <xdr:from>
      <xdr:col>11</xdr:col>
      <xdr:colOff>552450</xdr:colOff>
      <xdr:row>220</xdr:row>
      <xdr:rowOff>19050</xdr:rowOff>
    </xdr:from>
    <xdr:to>
      <xdr:col>12</xdr:col>
      <xdr:colOff>733425</xdr:colOff>
      <xdr:row>223</xdr:row>
      <xdr:rowOff>28575</xdr:rowOff>
    </xdr:to>
    <xdr:pic>
      <xdr:nvPicPr>
        <xdr:cNvPr id="6" name="Picture 8"/>
        <xdr:cNvPicPr preferRelativeResize="1">
          <a:picLocks noChangeAspect="1"/>
        </xdr:cNvPicPr>
      </xdr:nvPicPr>
      <xdr:blipFill>
        <a:blip r:embed="rId1"/>
        <a:stretch>
          <a:fillRect/>
        </a:stretch>
      </xdr:blipFill>
      <xdr:spPr>
        <a:xfrm>
          <a:off x="8191500" y="38461950"/>
          <a:ext cx="1114425" cy="628650"/>
        </a:xfrm>
        <a:prstGeom prst="rect">
          <a:avLst/>
        </a:prstGeom>
        <a:noFill/>
        <a:ln w="9525" cmpd="sng">
          <a:noFill/>
        </a:ln>
      </xdr:spPr>
    </xdr:pic>
    <xdr:clientData/>
  </xdr:twoCellAnchor>
  <xdr:twoCellAnchor>
    <xdr:from>
      <xdr:col>11</xdr:col>
      <xdr:colOff>552450</xdr:colOff>
      <xdr:row>257</xdr:row>
      <xdr:rowOff>19050</xdr:rowOff>
    </xdr:from>
    <xdr:to>
      <xdr:col>12</xdr:col>
      <xdr:colOff>733425</xdr:colOff>
      <xdr:row>260</xdr:row>
      <xdr:rowOff>28575</xdr:rowOff>
    </xdr:to>
    <xdr:pic>
      <xdr:nvPicPr>
        <xdr:cNvPr id="7" name="Picture 9"/>
        <xdr:cNvPicPr preferRelativeResize="1">
          <a:picLocks noChangeAspect="1"/>
        </xdr:cNvPicPr>
      </xdr:nvPicPr>
      <xdr:blipFill>
        <a:blip r:embed="rId1"/>
        <a:stretch>
          <a:fillRect/>
        </a:stretch>
      </xdr:blipFill>
      <xdr:spPr>
        <a:xfrm>
          <a:off x="8191500" y="44910375"/>
          <a:ext cx="1114425" cy="628650"/>
        </a:xfrm>
        <a:prstGeom prst="rect">
          <a:avLst/>
        </a:prstGeom>
        <a:noFill/>
        <a:ln w="9525" cmpd="sng">
          <a:noFill/>
        </a:ln>
      </xdr:spPr>
    </xdr:pic>
    <xdr:clientData/>
  </xdr:twoCellAnchor>
  <xdr:twoCellAnchor>
    <xdr:from>
      <xdr:col>11</xdr:col>
      <xdr:colOff>552450</xdr:colOff>
      <xdr:row>303</xdr:row>
      <xdr:rowOff>19050</xdr:rowOff>
    </xdr:from>
    <xdr:to>
      <xdr:col>12</xdr:col>
      <xdr:colOff>733425</xdr:colOff>
      <xdr:row>306</xdr:row>
      <xdr:rowOff>0</xdr:rowOff>
    </xdr:to>
    <xdr:pic>
      <xdr:nvPicPr>
        <xdr:cNvPr id="8" name="Picture 10"/>
        <xdr:cNvPicPr preferRelativeResize="1">
          <a:picLocks noChangeAspect="1"/>
        </xdr:cNvPicPr>
      </xdr:nvPicPr>
      <xdr:blipFill>
        <a:blip r:embed="rId1"/>
        <a:stretch>
          <a:fillRect/>
        </a:stretch>
      </xdr:blipFill>
      <xdr:spPr>
        <a:xfrm>
          <a:off x="8191500" y="52901850"/>
          <a:ext cx="1114425" cy="600075"/>
        </a:xfrm>
        <a:prstGeom prst="rect">
          <a:avLst/>
        </a:prstGeom>
        <a:noFill/>
        <a:ln w="9525" cmpd="sng">
          <a:noFill/>
        </a:ln>
      </xdr:spPr>
    </xdr:pic>
    <xdr:clientData/>
  </xdr:twoCellAnchor>
  <xdr:twoCellAnchor>
    <xdr:from>
      <xdr:col>11</xdr:col>
      <xdr:colOff>552450</xdr:colOff>
      <xdr:row>348</xdr:row>
      <xdr:rowOff>19050</xdr:rowOff>
    </xdr:from>
    <xdr:to>
      <xdr:col>12</xdr:col>
      <xdr:colOff>733425</xdr:colOff>
      <xdr:row>351</xdr:row>
      <xdr:rowOff>28575</xdr:rowOff>
    </xdr:to>
    <xdr:pic>
      <xdr:nvPicPr>
        <xdr:cNvPr id="9" name="Picture 11"/>
        <xdr:cNvPicPr preferRelativeResize="1">
          <a:picLocks noChangeAspect="1"/>
        </xdr:cNvPicPr>
      </xdr:nvPicPr>
      <xdr:blipFill>
        <a:blip r:embed="rId1"/>
        <a:stretch>
          <a:fillRect/>
        </a:stretch>
      </xdr:blipFill>
      <xdr:spPr>
        <a:xfrm>
          <a:off x="8191500" y="60721875"/>
          <a:ext cx="1114425" cy="628650"/>
        </a:xfrm>
        <a:prstGeom prst="rect">
          <a:avLst/>
        </a:prstGeom>
        <a:noFill/>
        <a:ln w="9525" cmpd="sng">
          <a:noFill/>
        </a:ln>
      </xdr:spPr>
    </xdr:pic>
    <xdr:clientData/>
  </xdr:twoCellAnchor>
  <xdr:twoCellAnchor>
    <xdr:from>
      <xdr:col>11</xdr:col>
      <xdr:colOff>552450</xdr:colOff>
      <xdr:row>390</xdr:row>
      <xdr:rowOff>19050</xdr:rowOff>
    </xdr:from>
    <xdr:to>
      <xdr:col>12</xdr:col>
      <xdr:colOff>733425</xdr:colOff>
      <xdr:row>393</xdr:row>
      <xdr:rowOff>28575</xdr:rowOff>
    </xdr:to>
    <xdr:pic>
      <xdr:nvPicPr>
        <xdr:cNvPr id="10" name="Picture 25"/>
        <xdr:cNvPicPr preferRelativeResize="1">
          <a:picLocks noChangeAspect="1"/>
        </xdr:cNvPicPr>
      </xdr:nvPicPr>
      <xdr:blipFill>
        <a:blip r:embed="rId1"/>
        <a:stretch>
          <a:fillRect/>
        </a:stretch>
      </xdr:blipFill>
      <xdr:spPr>
        <a:xfrm>
          <a:off x="8191500" y="68027550"/>
          <a:ext cx="1114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0</xdr:row>
      <xdr:rowOff>19050</xdr:rowOff>
    </xdr:from>
    <xdr:to>
      <xdr:col>12</xdr:col>
      <xdr:colOff>733425</xdr:colOff>
      <xdr:row>3</xdr:row>
      <xdr:rowOff>28575</xdr:rowOff>
    </xdr:to>
    <xdr:pic>
      <xdr:nvPicPr>
        <xdr:cNvPr id="1" name="Picture 61"/>
        <xdr:cNvPicPr preferRelativeResize="1">
          <a:picLocks noChangeAspect="1"/>
        </xdr:cNvPicPr>
      </xdr:nvPicPr>
      <xdr:blipFill>
        <a:blip r:embed="rId1"/>
        <a:stretch>
          <a:fillRect/>
        </a:stretch>
      </xdr:blipFill>
      <xdr:spPr>
        <a:xfrm>
          <a:off x="8877300" y="19050"/>
          <a:ext cx="1038225" cy="628650"/>
        </a:xfrm>
        <a:prstGeom prst="rect">
          <a:avLst/>
        </a:prstGeom>
        <a:noFill/>
        <a:ln w="9525" cmpd="sng">
          <a:noFill/>
        </a:ln>
      </xdr:spPr>
    </xdr:pic>
    <xdr:clientData/>
  </xdr:twoCellAnchor>
  <xdr:twoCellAnchor>
    <xdr:from>
      <xdr:col>11</xdr:col>
      <xdr:colOff>552450</xdr:colOff>
      <xdr:row>35</xdr:row>
      <xdr:rowOff>19050</xdr:rowOff>
    </xdr:from>
    <xdr:to>
      <xdr:col>12</xdr:col>
      <xdr:colOff>733425</xdr:colOff>
      <xdr:row>38</xdr:row>
      <xdr:rowOff>28575</xdr:rowOff>
    </xdr:to>
    <xdr:pic>
      <xdr:nvPicPr>
        <xdr:cNvPr id="2" name="Picture 62"/>
        <xdr:cNvPicPr preferRelativeResize="1">
          <a:picLocks noChangeAspect="1"/>
        </xdr:cNvPicPr>
      </xdr:nvPicPr>
      <xdr:blipFill>
        <a:blip r:embed="rId1"/>
        <a:stretch>
          <a:fillRect/>
        </a:stretch>
      </xdr:blipFill>
      <xdr:spPr>
        <a:xfrm>
          <a:off x="8877300" y="6124575"/>
          <a:ext cx="1038225" cy="628650"/>
        </a:xfrm>
        <a:prstGeom prst="rect">
          <a:avLst/>
        </a:prstGeom>
        <a:noFill/>
        <a:ln w="9525" cmpd="sng">
          <a:noFill/>
        </a:ln>
      </xdr:spPr>
    </xdr:pic>
    <xdr:clientData/>
  </xdr:twoCellAnchor>
  <xdr:twoCellAnchor>
    <xdr:from>
      <xdr:col>11</xdr:col>
      <xdr:colOff>552450</xdr:colOff>
      <xdr:row>80</xdr:row>
      <xdr:rowOff>19050</xdr:rowOff>
    </xdr:from>
    <xdr:to>
      <xdr:col>12</xdr:col>
      <xdr:colOff>733425</xdr:colOff>
      <xdr:row>83</xdr:row>
      <xdr:rowOff>28575</xdr:rowOff>
    </xdr:to>
    <xdr:pic>
      <xdr:nvPicPr>
        <xdr:cNvPr id="3" name="Picture 63"/>
        <xdr:cNvPicPr preferRelativeResize="1">
          <a:picLocks noChangeAspect="1"/>
        </xdr:cNvPicPr>
      </xdr:nvPicPr>
      <xdr:blipFill>
        <a:blip r:embed="rId1"/>
        <a:stretch>
          <a:fillRect/>
        </a:stretch>
      </xdr:blipFill>
      <xdr:spPr>
        <a:xfrm>
          <a:off x="8877300" y="13887450"/>
          <a:ext cx="1038225" cy="628650"/>
        </a:xfrm>
        <a:prstGeom prst="rect">
          <a:avLst/>
        </a:prstGeom>
        <a:noFill/>
        <a:ln w="9525" cmpd="sng">
          <a:noFill/>
        </a:ln>
      </xdr:spPr>
    </xdr:pic>
    <xdr:clientData/>
  </xdr:twoCellAnchor>
  <xdr:twoCellAnchor>
    <xdr:from>
      <xdr:col>11</xdr:col>
      <xdr:colOff>552450</xdr:colOff>
      <xdr:row>106</xdr:row>
      <xdr:rowOff>19050</xdr:rowOff>
    </xdr:from>
    <xdr:to>
      <xdr:col>12</xdr:col>
      <xdr:colOff>733425</xdr:colOff>
      <xdr:row>109</xdr:row>
      <xdr:rowOff>28575</xdr:rowOff>
    </xdr:to>
    <xdr:pic>
      <xdr:nvPicPr>
        <xdr:cNvPr id="4" name="Picture 64"/>
        <xdr:cNvPicPr preferRelativeResize="1">
          <a:picLocks noChangeAspect="1"/>
        </xdr:cNvPicPr>
      </xdr:nvPicPr>
      <xdr:blipFill>
        <a:blip r:embed="rId1"/>
        <a:stretch>
          <a:fillRect/>
        </a:stretch>
      </xdr:blipFill>
      <xdr:spPr>
        <a:xfrm>
          <a:off x="8877300" y="18449925"/>
          <a:ext cx="1038225" cy="628650"/>
        </a:xfrm>
        <a:prstGeom prst="rect">
          <a:avLst/>
        </a:prstGeom>
        <a:noFill/>
        <a:ln w="9525" cmpd="sng">
          <a:noFill/>
        </a:ln>
      </xdr:spPr>
    </xdr:pic>
    <xdr:clientData/>
  </xdr:twoCellAnchor>
  <xdr:twoCellAnchor>
    <xdr:from>
      <xdr:col>11</xdr:col>
      <xdr:colOff>552450</xdr:colOff>
      <xdr:row>140</xdr:row>
      <xdr:rowOff>19050</xdr:rowOff>
    </xdr:from>
    <xdr:to>
      <xdr:col>12</xdr:col>
      <xdr:colOff>733425</xdr:colOff>
      <xdr:row>143</xdr:row>
      <xdr:rowOff>28575</xdr:rowOff>
    </xdr:to>
    <xdr:pic>
      <xdr:nvPicPr>
        <xdr:cNvPr id="5" name="Picture 65"/>
        <xdr:cNvPicPr preferRelativeResize="1">
          <a:picLocks noChangeAspect="1"/>
        </xdr:cNvPicPr>
      </xdr:nvPicPr>
      <xdr:blipFill>
        <a:blip r:embed="rId1"/>
        <a:stretch>
          <a:fillRect/>
        </a:stretch>
      </xdr:blipFill>
      <xdr:spPr>
        <a:xfrm>
          <a:off x="8877300" y="24384000"/>
          <a:ext cx="1038225" cy="628650"/>
        </a:xfrm>
        <a:prstGeom prst="rect">
          <a:avLst/>
        </a:prstGeom>
        <a:noFill/>
        <a:ln w="9525" cmpd="sng">
          <a:noFill/>
        </a:ln>
      </xdr:spPr>
    </xdr:pic>
    <xdr:clientData/>
  </xdr:twoCellAnchor>
  <xdr:twoCellAnchor>
    <xdr:from>
      <xdr:col>11</xdr:col>
      <xdr:colOff>552450</xdr:colOff>
      <xdr:row>178</xdr:row>
      <xdr:rowOff>19050</xdr:rowOff>
    </xdr:from>
    <xdr:to>
      <xdr:col>12</xdr:col>
      <xdr:colOff>733425</xdr:colOff>
      <xdr:row>181</xdr:row>
      <xdr:rowOff>28575</xdr:rowOff>
    </xdr:to>
    <xdr:pic>
      <xdr:nvPicPr>
        <xdr:cNvPr id="6" name="Picture 66"/>
        <xdr:cNvPicPr preferRelativeResize="1">
          <a:picLocks noChangeAspect="1"/>
        </xdr:cNvPicPr>
      </xdr:nvPicPr>
      <xdr:blipFill>
        <a:blip r:embed="rId1"/>
        <a:stretch>
          <a:fillRect/>
        </a:stretch>
      </xdr:blipFill>
      <xdr:spPr>
        <a:xfrm>
          <a:off x="8877300" y="31003875"/>
          <a:ext cx="1038225" cy="628650"/>
        </a:xfrm>
        <a:prstGeom prst="rect">
          <a:avLst/>
        </a:prstGeom>
        <a:noFill/>
        <a:ln w="9525" cmpd="sng">
          <a:noFill/>
        </a:ln>
      </xdr:spPr>
    </xdr:pic>
    <xdr:clientData/>
  </xdr:twoCellAnchor>
  <xdr:twoCellAnchor>
    <xdr:from>
      <xdr:col>11</xdr:col>
      <xdr:colOff>552450</xdr:colOff>
      <xdr:row>224</xdr:row>
      <xdr:rowOff>19050</xdr:rowOff>
    </xdr:from>
    <xdr:to>
      <xdr:col>12</xdr:col>
      <xdr:colOff>733425</xdr:colOff>
      <xdr:row>227</xdr:row>
      <xdr:rowOff>28575</xdr:rowOff>
    </xdr:to>
    <xdr:pic>
      <xdr:nvPicPr>
        <xdr:cNvPr id="7" name="Picture 67"/>
        <xdr:cNvPicPr preferRelativeResize="1">
          <a:picLocks noChangeAspect="1"/>
        </xdr:cNvPicPr>
      </xdr:nvPicPr>
      <xdr:blipFill>
        <a:blip r:embed="rId1"/>
        <a:stretch>
          <a:fillRect/>
        </a:stretch>
      </xdr:blipFill>
      <xdr:spPr>
        <a:xfrm>
          <a:off x="8877300" y="38823900"/>
          <a:ext cx="1038225" cy="628650"/>
        </a:xfrm>
        <a:prstGeom prst="rect">
          <a:avLst/>
        </a:prstGeom>
        <a:noFill/>
        <a:ln w="9525" cmpd="sng">
          <a:noFill/>
        </a:ln>
      </xdr:spPr>
    </xdr:pic>
    <xdr:clientData/>
  </xdr:twoCellAnchor>
  <xdr:twoCellAnchor>
    <xdr:from>
      <xdr:col>11</xdr:col>
      <xdr:colOff>552450</xdr:colOff>
      <xdr:row>269</xdr:row>
      <xdr:rowOff>19050</xdr:rowOff>
    </xdr:from>
    <xdr:to>
      <xdr:col>12</xdr:col>
      <xdr:colOff>733425</xdr:colOff>
      <xdr:row>272</xdr:row>
      <xdr:rowOff>28575</xdr:rowOff>
    </xdr:to>
    <xdr:pic>
      <xdr:nvPicPr>
        <xdr:cNvPr id="8" name="Picture 68"/>
        <xdr:cNvPicPr preferRelativeResize="1">
          <a:picLocks noChangeAspect="1"/>
        </xdr:cNvPicPr>
      </xdr:nvPicPr>
      <xdr:blipFill>
        <a:blip r:embed="rId1"/>
        <a:stretch>
          <a:fillRect/>
        </a:stretch>
      </xdr:blipFill>
      <xdr:spPr>
        <a:xfrm>
          <a:off x="8877300" y="46567725"/>
          <a:ext cx="1038225" cy="628650"/>
        </a:xfrm>
        <a:prstGeom prst="rect">
          <a:avLst/>
        </a:prstGeom>
        <a:noFill/>
        <a:ln w="9525" cmpd="sng">
          <a:noFill/>
        </a:ln>
      </xdr:spPr>
    </xdr:pic>
    <xdr:clientData/>
  </xdr:twoCellAnchor>
  <xdr:twoCellAnchor>
    <xdr:from>
      <xdr:col>11</xdr:col>
      <xdr:colOff>552450</xdr:colOff>
      <xdr:row>303</xdr:row>
      <xdr:rowOff>19050</xdr:rowOff>
    </xdr:from>
    <xdr:to>
      <xdr:col>12</xdr:col>
      <xdr:colOff>733425</xdr:colOff>
      <xdr:row>306</xdr:row>
      <xdr:rowOff>28575</xdr:rowOff>
    </xdr:to>
    <xdr:pic>
      <xdr:nvPicPr>
        <xdr:cNvPr id="9" name="Picture 69"/>
        <xdr:cNvPicPr preferRelativeResize="1">
          <a:picLocks noChangeAspect="1"/>
        </xdr:cNvPicPr>
      </xdr:nvPicPr>
      <xdr:blipFill>
        <a:blip r:embed="rId1"/>
        <a:stretch>
          <a:fillRect/>
        </a:stretch>
      </xdr:blipFill>
      <xdr:spPr>
        <a:xfrm>
          <a:off x="8877300" y="52501800"/>
          <a:ext cx="1038225" cy="628650"/>
        </a:xfrm>
        <a:prstGeom prst="rect">
          <a:avLst/>
        </a:prstGeom>
        <a:noFill/>
        <a:ln w="9525" cmpd="sng">
          <a:noFill/>
        </a:ln>
      </xdr:spPr>
    </xdr:pic>
    <xdr:clientData/>
  </xdr:twoCellAnchor>
  <xdr:twoCellAnchor>
    <xdr:from>
      <xdr:col>11</xdr:col>
      <xdr:colOff>552450</xdr:colOff>
      <xdr:row>326</xdr:row>
      <xdr:rowOff>19050</xdr:rowOff>
    </xdr:from>
    <xdr:to>
      <xdr:col>12</xdr:col>
      <xdr:colOff>733425</xdr:colOff>
      <xdr:row>329</xdr:row>
      <xdr:rowOff>28575</xdr:rowOff>
    </xdr:to>
    <xdr:pic>
      <xdr:nvPicPr>
        <xdr:cNvPr id="10" name="Picture 74"/>
        <xdr:cNvPicPr preferRelativeResize="1">
          <a:picLocks noChangeAspect="1"/>
        </xdr:cNvPicPr>
      </xdr:nvPicPr>
      <xdr:blipFill>
        <a:blip r:embed="rId1"/>
        <a:stretch>
          <a:fillRect/>
        </a:stretch>
      </xdr:blipFill>
      <xdr:spPr>
        <a:xfrm>
          <a:off x="8877300" y="56549925"/>
          <a:ext cx="103822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dimension ref="A1:X50"/>
  <sheetViews>
    <sheetView showGridLines="0" tabSelected="1" workbookViewId="0" topLeftCell="A1">
      <selection activeCell="F11" sqref="F11"/>
    </sheetView>
  </sheetViews>
  <sheetFormatPr defaultColWidth="9.140625" defaultRowHeight="13.5" customHeight="1" zeroHeight="1"/>
  <cols>
    <col min="1" max="2" width="8.7109375" style="18" customWidth="1"/>
    <col min="3" max="4" width="13.7109375" style="18" customWidth="1"/>
    <col min="5" max="5" width="14.7109375" style="18" customWidth="1"/>
    <col min="6" max="6" width="16.7109375" style="18" customWidth="1"/>
    <col min="7" max="7" width="7.7109375" style="18" customWidth="1"/>
    <col min="8" max="9" width="8.7109375" style="18" customWidth="1"/>
    <col min="10" max="13" width="13.7109375" style="18" customWidth="1"/>
    <col min="14" max="14" width="1.7109375" style="18" customWidth="1"/>
    <col min="15" max="15" width="6.00390625" style="18" hidden="1" customWidth="1"/>
    <col min="16" max="17" width="10.7109375" style="19" hidden="1" customWidth="1"/>
    <col min="18" max="19" width="10.7109375" style="4" hidden="1" customWidth="1"/>
    <col min="20" max="21" width="12.7109375" style="19" hidden="1" customWidth="1"/>
    <col min="22" max="23" width="12.7109375" style="3" hidden="1" customWidth="1"/>
    <col min="24" max="24" width="1.7109375" style="18" hidden="1" customWidth="1"/>
    <col min="25" max="16384" width="0" style="18" hidden="1" customWidth="1"/>
  </cols>
  <sheetData>
    <row r="1" spans="1:24" s="9" customFormat="1" ht="14.25" customHeight="1">
      <c r="A1" s="63" t="b">
        <v>1</v>
      </c>
      <c r="B1" s="8"/>
      <c r="C1" s="8"/>
      <c r="D1" s="8"/>
      <c r="E1" s="8"/>
      <c r="F1" s="8"/>
      <c r="G1" s="8"/>
      <c r="H1" s="8"/>
      <c r="I1" s="8"/>
      <c r="N1" s="8"/>
      <c r="O1" s="65"/>
      <c r="P1" s="10"/>
      <c r="Q1" s="10"/>
      <c r="R1" s="11"/>
      <c r="S1" s="11"/>
      <c r="T1" s="10"/>
      <c r="U1" s="10"/>
      <c r="V1" s="12"/>
      <c r="W1" s="12"/>
      <c r="X1" s="8"/>
    </row>
    <row r="2" spans="1:24" s="9" customFormat="1" ht="24.75" customHeight="1">
      <c r="A2" s="533" t="s">
        <v>669</v>
      </c>
      <c r="B2" s="13"/>
      <c r="C2" s="13"/>
      <c r="D2" s="13"/>
      <c r="E2" s="14"/>
      <c r="F2" s="14"/>
      <c r="G2" s="14"/>
      <c r="H2" s="14"/>
      <c r="I2" s="15"/>
      <c r="J2" s="16"/>
      <c r="K2" s="8"/>
      <c r="L2" s="14"/>
      <c r="M2" s="17"/>
      <c r="N2" s="8"/>
      <c r="O2" s="65"/>
      <c r="P2" s="10"/>
      <c r="Q2" s="10"/>
      <c r="R2" s="11"/>
      <c r="S2" s="11"/>
      <c r="T2" s="10"/>
      <c r="U2" s="10"/>
      <c r="V2" s="12"/>
      <c r="W2" s="12"/>
      <c r="X2" s="8"/>
    </row>
    <row r="3" spans="15:23" ht="12" customHeight="1">
      <c r="O3" s="65"/>
      <c r="P3" s="10"/>
      <c r="Q3" s="10"/>
      <c r="R3" s="11"/>
      <c r="S3" s="11"/>
      <c r="T3" s="10"/>
      <c r="U3" s="10"/>
      <c r="V3" s="12"/>
      <c r="W3" s="12"/>
    </row>
    <row r="4" ht="12" customHeight="1">
      <c r="O4" s="65"/>
    </row>
    <row r="5" spans="1:13" ht="19.5" customHeight="1">
      <c r="A5" s="64" t="s">
        <v>329</v>
      </c>
      <c r="B5" s="20"/>
      <c r="C5" s="20"/>
      <c r="D5" s="20"/>
      <c r="E5" s="20"/>
      <c r="F5" s="20"/>
      <c r="G5" s="20"/>
      <c r="H5" s="20"/>
      <c r="I5" s="20"/>
      <c r="J5" s="20"/>
      <c r="K5" s="20"/>
      <c r="L5" s="20"/>
      <c r="M5" s="530" t="s">
        <v>483</v>
      </c>
    </row>
    <row r="6" ht="13.5" customHeight="1"/>
    <row r="7" spans="12:13" ht="12" customHeight="1">
      <c r="L7" s="548" t="s">
        <v>304</v>
      </c>
      <c r="M7" s="549"/>
    </row>
    <row r="8" spans="1:13" ht="16.5" customHeight="1">
      <c r="A8" s="21" t="s">
        <v>650</v>
      </c>
      <c r="L8" s="524" t="s">
        <v>305</v>
      </c>
      <c r="M8" s="29" t="s">
        <v>328</v>
      </c>
    </row>
    <row r="9" spans="12:13" ht="13.5" customHeight="1">
      <c r="L9" s="524" t="s">
        <v>310</v>
      </c>
      <c r="M9" s="525">
        <v>38366</v>
      </c>
    </row>
    <row r="10" spans="1:13" ht="13.5" customHeight="1">
      <c r="A10" s="22" t="str">
        <f>IF(OR($F11=0),"U dient het CTG/ZAio registratienummer in te vullen.","")</f>
        <v>U dient het CTG/ZAio registratienummer in te vullen.</v>
      </c>
      <c r="B10" s="23"/>
      <c r="C10" s="23"/>
      <c r="D10" s="24"/>
      <c r="E10" s="25" t="s">
        <v>307</v>
      </c>
      <c r="F10" s="25" t="s">
        <v>308</v>
      </c>
      <c r="L10" s="524" t="s">
        <v>309</v>
      </c>
      <c r="M10" s="29"/>
    </row>
    <row r="11" spans="1:13" ht="13.5" customHeight="1">
      <c r="A11" s="26" t="s">
        <v>593</v>
      </c>
      <c r="B11" s="27"/>
      <c r="C11" s="27"/>
      <c r="D11" s="28"/>
      <c r="E11" s="29">
        <v>650</v>
      </c>
      <c r="F11" s="30"/>
      <c r="L11" s="524" t="s">
        <v>306</v>
      </c>
      <c r="M11" s="29"/>
    </row>
    <row r="12" ht="12" customHeight="1" thickBot="1">
      <c r="O12" s="65"/>
    </row>
    <row r="13" spans="2:23" s="31" customFormat="1" ht="13.5" customHeight="1">
      <c r="B13" s="32"/>
      <c r="C13" s="33" t="s">
        <v>311</v>
      </c>
      <c r="D13" s="34"/>
      <c r="E13" s="34"/>
      <c r="F13" s="34"/>
      <c r="G13" s="34"/>
      <c r="H13" s="34"/>
      <c r="I13" s="35"/>
      <c r="J13" s="35"/>
      <c r="K13" s="35"/>
      <c r="L13" s="36"/>
      <c r="O13" s="65"/>
      <c r="P13" s="19"/>
      <c r="Q13" s="19"/>
      <c r="R13" s="4"/>
      <c r="S13" s="4"/>
      <c r="T13" s="19"/>
      <c r="U13" s="19"/>
      <c r="V13" s="3"/>
      <c r="W13" s="3"/>
    </row>
    <row r="14" spans="2:23" s="31" customFormat="1" ht="13.5" customHeight="1">
      <c r="B14" s="37"/>
      <c r="D14" s="38"/>
      <c r="E14" s="38"/>
      <c r="F14" s="38"/>
      <c r="G14" s="38"/>
      <c r="H14" s="38"/>
      <c r="I14" s="39"/>
      <c r="J14" s="39"/>
      <c r="K14" s="39"/>
      <c r="L14" s="40"/>
      <c r="O14" s="65"/>
      <c r="P14" s="19"/>
      <c r="Q14" s="19"/>
      <c r="R14" s="4"/>
      <c r="S14" s="4"/>
      <c r="T14" s="19"/>
      <c r="U14" s="19"/>
      <c r="V14" s="3"/>
      <c r="W14" s="3"/>
    </row>
    <row r="15" spans="2:23" s="31" customFormat="1" ht="13.5" customHeight="1">
      <c r="B15" s="37"/>
      <c r="C15" s="38"/>
      <c r="D15" s="550" t="s">
        <v>312</v>
      </c>
      <c r="E15" s="550"/>
      <c r="F15" s="550"/>
      <c r="G15" s="550"/>
      <c r="H15" s="550"/>
      <c r="I15" s="550"/>
      <c r="J15" s="550"/>
      <c r="K15" s="550"/>
      <c r="L15" s="40"/>
      <c r="O15" s="65"/>
      <c r="P15" s="19"/>
      <c r="Q15" s="19"/>
      <c r="R15" s="4"/>
      <c r="S15" s="4"/>
      <c r="T15" s="19"/>
      <c r="U15" s="19"/>
      <c r="V15" s="3"/>
      <c r="W15" s="3"/>
    </row>
    <row r="16" spans="2:23" s="31" customFormat="1" ht="13.5" customHeight="1">
      <c r="B16" s="37"/>
      <c r="C16" s="38"/>
      <c r="D16" s="550"/>
      <c r="E16" s="550"/>
      <c r="F16" s="550"/>
      <c r="G16" s="550"/>
      <c r="H16" s="550"/>
      <c r="I16" s="550"/>
      <c r="J16" s="550"/>
      <c r="K16" s="550"/>
      <c r="L16" s="40"/>
      <c r="O16" s="65"/>
      <c r="P16" s="19"/>
      <c r="Q16" s="19"/>
      <c r="R16" s="4"/>
      <c r="S16" s="4"/>
      <c r="T16" s="19"/>
      <c r="U16" s="19"/>
      <c r="V16" s="3"/>
      <c r="W16" s="3"/>
    </row>
    <row r="17" spans="2:23" s="31" customFormat="1" ht="13.5" customHeight="1">
      <c r="B17" s="37"/>
      <c r="C17" s="38"/>
      <c r="D17" s="550"/>
      <c r="E17" s="550"/>
      <c r="F17" s="550"/>
      <c r="G17" s="550"/>
      <c r="H17" s="550"/>
      <c r="I17" s="550"/>
      <c r="J17" s="550"/>
      <c r="K17" s="550"/>
      <c r="L17" s="40"/>
      <c r="O17" s="65"/>
      <c r="P17" s="19"/>
      <c r="Q17" s="19"/>
      <c r="R17" s="4"/>
      <c r="S17" s="4"/>
      <c r="T17" s="19"/>
      <c r="U17" s="19"/>
      <c r="V17" s="3"/>
      <c r="W17" s="3"/>
    </row>
    <row r="18" spans="2:23" s="31" customFormat="1" ht="13.5" customHeight="1">
      <c r="B18" s="37"/>
      <c r="C18" s="38"/>
      <c r="D18" s="41"/>
      <c r="E18" s="41"/>
      <c r="F18" s="41"/>
      <c r="G18" s="41"/>
      <c r="H18" s="41"/>
      <c r="I18" s="41"/>
      <c r="J18" s="41"/>
      <c r="K18" s="41"/>
      <c r="L18" s="40"/>
      <c r="O18" s="65"/>
      <c r="P18" s="19"/>
      <c r="Q18" s="19"/>
      <c r="R18" s="4"/>
      <c r="S18" s="4"/>
      <c r="T18" s="19"/>
      <c r="U18" s="19"/>
      <c r="V18" s="3"/>
      <c r="W18" s="3"/>
    </row>
    <row r="19" spans="2:23" s="31" customFormat="1" ht="13.5" customHeight="1">
      <c r="B19" s="37"/>
      <c r="C19" s="38"/>
      <c r="D19" s="551" t="s">
        <v>313</v>
      </c>
      <c r="E19" s="551"/>
      <c r="F19" s="551"/>
      <c r="G19" s="551"/>
      <c r="H19" s="551"/>
      <c r="I19" s="551"/>
      <c r="J19" s="551"/>
      <c r="K19" s="551"/>
      <c r="L19" s="40"/>
      <c r="O19" s="65"/>
      <c r="P19" s="19"/>
      <c r="Q19" s="19"/>
      <c r="R19" s="4"/>
      <c r="S19" s="4"/>
      <c r="T19" s="19"/>
      <c r="U19" s="19"/>
      <c r="V19" s="3"/>
      <c r="W19" s="3"/>
    </row>
    <row r="20" spans="2:23" s="31" customFormat="1" ht="13.5" customHeight="1">
      <c r="B20" s="37"/>
      <c r="C20" s="38"/>
      <c r="D20" s="551"/>
      <c r="E20" s="551"/>
      <c r="F20" s="551"/>
      <c r="G20" s="551"/>
      <c r="H20" s="551"/>
      <c r="I20" s="551"/>
      <c r="J20" s="551"/>
      <c r="K20" s="551"/>
      <c r="L20" s="40"/>
      <c r="O20" s="65"/>
      <c r="P20" s="19"/>
      <c r="Q20" s="19"/>
      <c r="R20" s="4"/>
      <c r="S20" s="4"/>
      <c r="T20" s="19"/>
      <c r="U20" s="19"/>
      <c r="V20" s="3"/>
      <c r="W20" s="3"/>
    </row>
    <row r="21" spans="2:23" s="31" customFormat="1" ht="13.5" customHeight="1">
      <c r="B21" s="37"/>
      <c r="C21" s="38"/>
      <c r="D21" s="39"/>
      <c r="E21" s="39"/>
      <c r="F21" s="39"/>
      <c r="G21" s="39"/>
      <c r="H21" s="39"/>
      <c r="I21" s="39"/>
      <c r="J21" s="39"/>
      <c r="K21" s="39"/>
      <c r="L21" s="40"/>
      <c r="O21" s="65"/>
      <c r="P21" s="19"/>
      <c r="Q21" s="19"/>
      <c r="R21" s="4"/>
      <c r="S21" s="4"/>
      <c r="T21" s="19"/>
      <c r="U21" s="19"/>
      <c r="V21" s="3"/>
      <c r="W21" s="3"/>
    </row>
    <row r="22" spans="2:23" s="31" customFormat="1" ht="13.5" customHeight="1">
      <c r="B22" s="37"/>
      <c r="C22" s="521"/>
      <c r="D22" s="522" t="str">
        <f>IF(A1=TRUE,"      Invulvelden gearceerd","      Invulvelden niet gearceerd")</f>
        <v>      Invulvelden gearceerd</v>
      </c>
      <c r="E22" s="519"/>
      <c r="F22" s="520"/>
      <c r="G22" s="42"/>
      <c r="I22" s="43"/>
      <c r="L22" s="44"/>
      <c r="O22" s="65"/>
      <c r="P22" s="19"/>
      <c r="Q22" s="19"/>
      <c r="R22" s="4"/>
      <c r="S22" s="4"/>
      <c r="T22" s="19"/>
      <c r="U22" s="19"/>
      <c r="V22" s="3"/>
      <c r="W22" s="3"/>
    </row>
    <row r="23" spans="1:23" s="31" customFormat="1" ht="13.5" customHeight="1" thickBot="1">
      <c r="A23" s="45"/>
      <c r="B23" s="46"/>
      <c r="C23" s="47"/>
      <c r="D23" s="47"/>
      <c r="E23" s="48"/>
      <c r="F23" s="48"/>
      <c r="G23" s="47"/>
      <c r="H23" s="47"/>
      <c r="I23" s="49"/>
      <c r="J23" s="48"/>
      <c r="K23" s="48"/>
      <c r="L23" s="50"/>
      <c r="M23" s="45"/>
      <c r="O23" s="65"/>
      <c r="P23" s="19"/>
      <c r="Q23" s="19"/>
      <c r="R23" s="4"/>
      <c r="S23" s="4"/>
      <c r="T23" s="19"/>
      <c r="U23" s="19"/>
      <c r="V23" s="3"/>
      <c r="W23" s="3"/>
    </row>
    <row r="24" ht="12" customHeight="1">
      <c r="O24" s="65"/>
    </row>
    <row r="25" spans="1:13" ht="13.5" customHeight="1">
      <c r="A25" s="22" t="s">
        <v>314</v>
      </c>
      <c r="B25" s="23"/>
      <c r="C25" s="23"/>
      <c r="D25" s="23"/>
      <c r="E25" s="23"/>
      <c r="F25" s="24"/>
      <c r="H25" s="22" t="s">
        <v>315</v>
      </c>
      <c r="I25" s="23"/>
      <c r="J25" s="23"/>
      <c r="K25" s="23"/>
      <c r="L25" s="23"/>
      <c r="M25" s="24"/>
    </row>
    <row r="26" spans="1:13" ht="19.5" customHeight="1">
      <c r="A26" s="26" t="s">
        <v>316</v>
      </c>
      <c r="B26" s="28"/>
      <c r="C26" s="534"/>
      <c r="D26" s="535"/>
      <c r="E26" s="535"/>
      <c r="F26" s="536"/>
      <c r="H26" s="26" t="s">
        <v>316</v>
      </c>
      <c r="I26" s="28"/>
      <c r="J26" s="534"/>
      <c r="K26" s="535"/>
      <c r="L26" s="535"/>
      <c r="M26" s="536"/>
    </row>
    <row r="27" spans="1:13" ht="19.5" customHeight="1">
      <c r="A27" s="26" t="s">
        <v>317</v>
      </c>
      <c r="B27" s="28"/>
      <c r="C27" s="534"/>
      <c r="D27" s="535"/>
      <c r="E27" s="535"/>
      <c r="F27" s="536"/>
      <c r="H27" s="26" t="s">
        <v>317</v>
      </c>
      <c r="I27" s="28"/>
      <c r="J27" s="534"/>
      <c r="K27" s="535"/>
      <c r="L27" s="535"/>
      <c r="M27" s="536"/>
    </row>
    <row r="28" spans="1:13" ht="19.5" customHeight="1">
      <c r="A28" s="26" t="s">
        <v>318</v>
      </c>
      <c r="B28" s="28"/>
      <c r="C28" s="540"/>
      <c r="D28" s="541"/>
      <c r="E28" s="534"/>
      <c r="F28" s="536"/>
      <c r="H28" s="26" t="s">
        <v>318</v>
      </c>
      <c r="I28" s="28"/>
      <c r="J28" s="540"/>
      <c r="K28" s="541"/>
      <c r="L28" s="534"/>
      <c r="M28" s="536"/>
    </row>
    <row r="29" spans="1:13" ht="19.5" customHeight="1">
      <c r="A29" s="26" t="s">
        <v>319</v>
      </c>
      <c r="B29" s="28"/>
      <c r="C29" s="534"/>
      <c r="D29" s="535"/>
      <c r="E29" s="535"/>
      <c r="F29" s="536"/>
      <c r="H29" s="26" t="s">
        <v>319</v>
      </c>
      <c r="I29" s="28"/>
      <c r="J29" s="534"/>
      <c r="K29" s="535"/>
      <c r="L29" s="535"/>
      <c r="M29" s="536"/>
    </row>
    <row r="30" spans="1:13" ht="19.5" customHeight="1">
      <c r="A30" s="26" t="s">
        <v>320</v>
      </c>
      <c r="B30" s="28"/>
      <c r="C30" s="534"/>
      <c r="D30" s="535"/>
      <c r="E30" s="535"/>
      <c r="F30" s="536"/>
      <c r="H30" s="26" t="s">
        <v>320</v>
      </c>
      <c r="I30" s="28"/>
      <c r="J30" s="534"/>
      <c r="K30" s="535"/>
      <c r="L30" s="535"/>
      <c r="M30" s="536"/>
    </row>
    <row r="31" spans="1:13" ht="19.5" customHeight="1">
      <c r="A31" s="26" t="s">
        <v>321</v>
      </c>
      <c r="B31" s="28"/>
      <c r="C31" s="552"/>
      <c r="D31" s="535"/>
      <c r="E31" s="535"/>
      <c r="F31" s="536"/>
      <c r="H31" s="26" t="s">
        <v>321</v>
      </c>
      <c r="I31" s="28"/>
      <c r="J31" s="552"/>
      <c r="K31" s="535"/>
      <c r="L31" s="535"/>
      <c r="M31" s="536"/>
    </row>
    <row r="32" ht="14.25" customHeight="1">
      <c r="O32" s="65"/>
    </row>
    <row r="33" spans="1:13" ht="14.25" customHeight="1">
      <c r="A33" s="22" t="s">
        <v>322</v>
      </c>
      <c r="B33" s="23"/>
      <c r="C33" s="23"/>
      <c r="D33" s="23"/>
      <c r="E33" s="23"/>
      <c r="F33" s="24"/>
      <c r="H33" s="22" t="s">
        <v>323</v>
      </c>
      <c r="I33" s="23"/>
      <c r="J33" s="23"/>
      <c r="K33" s="23"/>
      <c r="L33" s="23"/>
      <c r="M33" s="24"/>
    </row>
    <row r="34" spans="1:15" ht="14.25" customHeight="1">
      <c r="A34" s="51"/>
      <c r="B34" s="52"/>
      <c r="C34" s="52"/>
      <c r="D34" s="52"/>
      <c r="E34" s="52"/>
      <c r="F34" s="53"/>
      <c r="H34" s="51"/>
      <c r="I34" s="52"/>
      <c r="J34" s="52"/>
      <c r="K34" s="52"/>
      <c r="L34" s="52"/>
      <c r="M34" s="53"/>
      <c r="O34" s="65"/>
    </row>
    <row r="35" spans="1:15" ht="14.25" customHeight="1">
      <c r="A35" s="54"/>
      <c r="B35" s="55"/>
      <c r="C35" s="55"/>
      <c r="D35" s="55"/>
      <c r="E35" s="55"/>
      <c r="F35" s="56"/>
      <c r="H35" s="54"/>
      <c r="I35" s="55"/>
      <c r="J35" s="55"/>
      <c r="K35" s="55"/>
      <c r="L35" s="55"/>
      <c r="M35" s="56"/>
      <c r="O35" s="65"/>
    </row>
    <row r="36" spans="1:18" ht="14.25" customHeight="1">
      <c r="A36" s="57"/>
      <c r="B36" s="58"/>
      <c r="C36" s="58"/>
      <c r="D36" s="58"/>
      <c r="E36" s="58"/>
      <c r="F36" s="59" t="s">
        <v>324</v>
      </c>
      <c r="H36" s="57"/>
      <c r="I36" s="58"/>
      <c r="J36" s="58"/>
      <c r="K36" s="58"/>
      <c r="L36" s="58"/>
      <c r="M36" s="59" t="s">
        <v>324</v>
      </c>
      <c r="O36" s="65"/>
      <c r="Q36" s="517" t="s">
        <v>625</v>
      </c>
      <c r="R36" s="518" t="s">
        <v>626</v>
      </c>
    </row>
    <row r="37" spans="1:18" ht="14.25" customHeight="1">
      <c r="A37" s="544"/>
      <c r="B37" s="545"/>
      <c r="C37" s="60" t="s">
        <v>325</v>
      </c>
      <c r="D37" s="534"/>
      <c r="E37" s="535"/>
      <c r="F37" s="60" t="s">
        <v>326</v>
      </c>
      <c r="H37" s="544"/>
      <c r="I37" s="545"/>
      <c r="J37" s="60" t="s">
        <v>325</v>
      </c>
      <c r="K37" s="534"/>
      <c r="L37" s="535"/>
      <c r="M37" s="60" t="s">
        <v>326</v>
      </c>
      <c r="Q37" s="515">
        <v>38353</v>
      </c>
      <c r="R37" s="516">
        <v>38717</v>
      </c>
    </row>
    <row r="38" ht="12" customHeight="1">
      <c r="O38" s="65"/>
    </row>
    <row r="39" spans="1:15" ht="15.75" customHeight="1">
      <c r="A39" s="539" t="s">
        <v>663</v>
      </c>
      <c r="B39" s="539"/>
      <c r="C39" s="539"/>
      <c r="D39" s="539"/>
      <c r="E39" s="539"/>
      <c r="F39" s="539"/>
      <c r="G39" s="539"/>
      <c r="H39" s="539"/>
      <c r="I39" s="539"/>
      <c r="J39" s="539"/>
      <c r="K39" s="539"/>
      <c r="L39" s="539"/>
      <c r="M39" s="539"/>
      <c r="O39" s="65"/>
    </row>
    <row r="40" spans="1:15" ht="15.75" customHeight="1">
      <c r="A40" s="539"/>
      <c r="B40" s="539"/>
      <c r="C40" s="539"/>
      <c r="D40" s="539"/>
      <c r="E40" s="539"/>
      <c r="F40" s="539"/>
      <c r="G40" s="539"/>
      <c r="H40" s="539"/>
      <c r="I40" s="539"/>
      <c r="J40" s="539"/>
      <c r="K40" s="539"/>
      <c r="L40" s="539"/>
      <c r="M40" s="539"/>
      <c r="O40" s="65"/>
    </row>
    <row r="41" spans="1:15" ht="15.75" customHeight="1">
      <c r="A41" s="539"/>
      <c r="B41" s="539"/>
      <c r="C41" s="539"/>
      <c r="D41" s="539"/>
      <c r="E41" s="539"/>
      <c r="F41" s="539"/>
      <c r="G41" s="539"/>
      <c r="H41" s="539"/>
      <c r="I41" s="539"/>
      <c r="J41" s="539"/>
      <c r="K41" s="539"/>
      <c r="L41" s="539"/>
      <c r="M41" s="539"/>
      <c r="O41" s="65"/>
    </row>
    <row r="42" ht="12" customHeight="1">
      <c r="O42" s="65"/>
    </row>
    <row r="43" spans="1:9" ht="14.25" customHeight="1">
      <c r="A43" s="526" t="str">
        <f>"Partijen verzoeken de "&amp;'Budget 2005'!C22&amp;" vast te stellen op:"</f>
        <v>Partijen verzoeken de Totale financiële afspraken t.l.v. de contracteerruimten 2005 vast te stellen op:</v>
      </c>
      <c r="B43" s="527"/>
      <c r="C43" s="527"/>
      <c r="D43" s="527"/>
      <c r="E43" s="527"/>
      <c r="F43" s="527"/>
      <c r="G43" s="527"/>
      <c r="H43" s="542">
        <f>'Budget 2005'!M22</f>
        <v>0</v>
      </c>
      <c r="I43" s="543"/>
    </row>
    <row r="44" spans="1:13" ht="14.25" customHeight="1">
      <c r="A44" s="526" t="s">
        <v>651</v>
      </c>
      <c r="B44" s="527"/>
      <c r="C44" s="527"/>
      <c r="D44" s="527"/>
      <c r="E44" s="527"/>
      <c r="F44" s="527"/>
      <c r="G44" s="527"/>
      <c r="H44" s="537"/>
      <c r="I44" s="538"/>
      <c r="M44" s="62"/>
    </row>
    <row r="45" spans="1:9" ht="14.25" customHeight="1">
      <c r="A45" s="526" t="s">
        <v>327</v>
      </c>
      <c r="B45" s="527"/>
      <c r="C45" s="527"/>
      <c r="D45" s="527"/>
      <c r="E45" s="527"/>
      <c r="F45" s="527"/>
      <c r="G45" s="527"/>
      <c r="H45" s="537"/>
      <c r="I45" s="538"/>
    </row>
    <row r="46" spans="1:23" s="62" customFormat="1" ht="12" customHeight="1">
      <c r="A46" s="221"/>
      <c r="O46" s="65"/>
      <c r="P46" s="19"/>
      <c r="Q46" s="19"/>
      <c r="R46" s="4"/>
      <c r="S46" s="4"/>
      <c r="T46" s="19"/>
      <c r="U46" s="19"/>
      <c r="V46" s="3"/>
      <c r="W46" s="3"/>
    </row>
    <row r="47" spans="1:14" ht="84.75" customHeight="1">
      <c r="A47" s="546" t="s">
        <v>621</v>
      </c>
      <c r="B47" s="547"/>
      <c r="C47" s="547"/>
      <c r="D47" s="547"/>
      <c r="E47" s="547"/>
      <c r="F47" s="547"/>
      <c r="G47" s="547"/>
      <c r="H47" s="547"/>
      <c r="I47" s="547"/>
      <c r="J47" s="547"/>
      <c r="K47" s="547"/>
      <c r="L47" s="547"/>
      <c r="M47" s="547"/>
      <c r="N47" s="547"/>
    </row>
    <row r="48" spans="1:17" ht="12.75">
      <c r="A48" s="18" t="s">
        <v>623</v>
      </c>
      <c r="B48" s="343"/>
      <c r="C48" s="343"/>
      <c r="D48" s="31"/>
      <c r="F48" s="344"/>
      <c r="G48" s="344"/>
      <c r="H48" s="344"/>
      <c r="K48" s="345" t="s">
        <v>0</v>
      </c>
      <c r="L48" s="61" t="s">
        <v>592</v>
      </c>
      <c r="N48" s="343"/>
      <c r="Q48" s="5" t="s">
        <v>1</v>
      </c>
    </row>
    <row r="49" spans="7:17" ht="12" customHeight="1">
      <c r="G49" s="508"/>
      <c r="Q49" s="365" t="s">
        <v>592</v>
      </c>
    </row>
    <row r="50" spans="1:17" ht="14.25" customHeight="1">
      <c r="A50" s="220" t="s">
        <v>482</v>
      </c>
      <c r="O50" s="65"/>
      <c r="Q50" s="366" t="s">
        <v>622</v>
      </c>
    </row>
    <row r="51" ht="13.5" customHeight="1" hidden="1"/>
    <row r="52" ht="13.5" customHeight="1" hidden="1"/>
  </sheetData>
  <sheetProtection password="CA05" sheet="1" objects="1" scenarios="1"/>
  <mergeCells count="26">
    <mergeCell ref="J30:M30"/>
    <mergeCell ref="A37:B37"/>
    <mergeCell ref="D37:E37"/>
    <mergeCell ref="C27:F27"/>
    <mergeCell ref="C31:F31"/>
    <mergeCell ref="J31:M31"/>
    <mergeCell ref="A47:N47"/>
    <mergeCell ref="L7:M7"/>
    <mergeCell ref="C29:F29"/>
    <mergeCell ref="C30:F30"/>
    <mergeCell ref="L28:M28"/>
    <mergeCell ref="J27:M27"/>
    <mergeCell ref="J28:K28"/>
    <mergeCell ref="J29:M29"/>
    <mergeCell ref="D15:K17"/>
    <mergeCell ref="D19:K20"/>
    <mergeCell ref="C26:F26"/>
    <mergeCell ref="J26:M26"/>
    <mergeCell ref="H45:I45"/>
    <mergeCell ref="A39:M41"/>
    <mergeCell ref="C28:D28"/>
    <mergeCell ref="E28:F28"/>
    <mergeCell ref="H43:I43"/>
    <mergeCell ref="H44:I44"/>
    <mergeCell ref="H37:I37"/>
    <mergeCell ref="K37:L37"/>
  </mergeCells>
  <conditionalFormatting sqref="A10:D10">
    <cfRule type="expression" priority="1" dxfId="0" stopIfTrue="1">
      <formula>$A10&lt;&gt;""</formula>
    </cfRule>
  </conditionalFormatting>
  <conditionalFormatting sqref="L48 C26:C31 E28 J26:J31 A37 M37 A34:F36 J37:K37 F37 C37:D37 H37 H34:M36 D22:E22 F11 L28 H44:H45">
    <cfRule type="expression" priority="2" dxfId="1" stopIfTrue="1">
      <formula>$A$1=TRUE</formula>
    </cfRule>
  </conditionalFormatting>
  <dataValidations count="6">
    <dataValidation type="whole" operator="greaterThanOrEqual" allowBlank="1" showInputMessage="1" showErrorMessage="1" errorTitle="Onjuiste invoer:" error="- de invoer moet een geheel getal zijn&#10;- de invoer mag niet negatief zijn" sqref="G49">
      <formula1>$P49</formula1>
    </dataValidation>
    <dataValidation type="whole" allowBlank="1" showInputMessage="1" showErrorMessage="1" errorTitle="Invoer onjuist" error="U dient een bestaand instellingsnummer in te vullen." sqref="F11">
      <formula1>1</formula1>
      <formula2>9999</formula2>
    </dataValidation>
    <dataValidation type="list" allowBlank="1" showInputMessage="1" showErrorMessage="1" errorTitle="Invoer onjuist" error="U kunt in deze cel alleen &quot;JA&quot; of &quot;NEE&quot; invullen." sqref="L48">
      <formula1>$Q$49:$Q$50</formula1>
    </dataValidation>
    <dataValidation type="whole" operator="greaterThanOrEqual" allowBlank="1" showInputMessage="1" showErrorMessage="1" errorTitle="Onjuiste invoer:" error="- de invoer moet een geheel getal zijn&#10;- de invoer mag niet negatief zijn" sqref="M44">
      <formula1>$P50</formula1>
    </dataValidation>
    <dataValidation type="date" allowBlank="1" showInputMessage="1" showErrorMessage="1" errorTitle="Invoer onjuist" error="De datum dient in het jaar 2005 te liggen.&#10;&#10;Datumnotatie: DD-MM-JJJJ." sqref="A37:B37 H37:I37">
      <formula1>$Q37</formula1>
      <formula2>$R37</formula2>
    </dataValidation>
    <dataValidation type="whole" operator="greaterThanOrEqual" allowBlank="1" showInputMessage="1" showErrorMessage="1" errorTitle="Invoer onjuist" error="Er dient een geheel getal groter of gelijk aan nul te worden ingevuld." sqref="H44:I45">
      <formula1>0</formula1>
    </dataValidation>
  </dataValidations>
  <printOptions/>
  <pageMargins left="0.43" right="0.42" top="0.32" bottom="0.1968503937007874" header="0.19"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Blad3"/>
  <dimension ref="A1:AD435"/>
  <sheetViews>
    <sheetView showGridLines="0" zoomScaleSheetLayoutView="100" workbookViewId="0" topLeftCell="B24">
      <selection activeCell="G33" sqref="G33"/>
    </sheetView>
  </sheetViews>
  <sheetFormatPr defaultColWidth="9.140625" defaultRowHeight="13.5" customHeight="1" zeroHeight="1"/>
  <cols>
    <col min="1" max="1" width="0" style="31" hidden="1" customWidth="1"/>
    <col min="2" max="2" width="6.7109375" style="240" customWidth="1"/>
    <col min="3" max="3" width="9.7109375" style="31" customWidth="1"/>
    <col min="4" max="4" width="20.7109375" style="31" customWidth="1"/>
    <col min="5" max="5" width="26.7109375" style="31" customWidth="1"/>
    <col min="6" max="6" width="10.7109375" style="31" customWidth="1"/>
    <col min="7" max="8" width="13.140625" style="31" customWidth="1"/>
    <col min="9" max="9" width="13.140625" style="31" hidden="1" customWidth="1"/>
    <col min="10" max="10" width="13.7109375" style="31" customWidth="1"/>
    <col min="11" max="11" width="12.7109375" style="31" hidden="1" customWidth="1"/>
    <col min="12" max="13" width="14.00390625" style="31" customWidth="1"/>
    <col min="14" max="14" width="5.7109375" style="31" customWidth="1"/>
    <col min="15" max="15" width="12.7109375" style="31" hidden="1" customWidth="1"/>
    <col min="16" max="16384" width="13.7109375" style="31" hidden="1" customWidth="1"/>
  </cols>
  <sheetData>
    <row r="1" spans="1:11" ht="18" customHeight="1">
      <c r="A1" s="233" t="s">
        <v>92</v>
      </c>
      <c r="B1" s="232" t="b">
        <f>Voorblad!A1</f>
        <v>1</v>
      </c>
      <c r="I1" s="233" t="s">
        <v>92</v>
      </c>
      <c r="K1" s="233" t="s">
        <v>92</v>
      </c>
    </row>
    <row r="2" spans="2:13" ht="18" customHeight="1">
      <c r="B2" s="234" t="s">
        <v>653</v>
      </c>
      <c r="C2" s="234"/>
      <c r="D2" s="234"/>
      <c r="E2" s="250"/>
      <c r="F2" s="352" t="str">
        <f>CONCATENATE(Voorblad!$E$11," / ",Voorblad!$F$11)</f>
        <v>650 / </v>
      </c>
      <c r="G2" s="234"/>
      <c r="H2" s="236"/>
      <c r="I2" s="234"/>
      <c r="J2" s="236" t="str">
        <f>"versie: "&amp;TEXT(Voorblad!$M$9,"dd-mm-jjjj")</f>
        <v>versie: 14-01-2005</v>
      </c>
      <c r="K2" s="236"/>
      <c r="L2" s="238"/>
      <c r="M2" s="239">
        <v>1</v>
      </c>
    </row>
    <row r="3" ht="12.75"/>
    <row r="4" ht="13.5" customHeight="1"/>
    <row r="5" ht="13.5" customHeight="1">
      <c r="B5" s="241" t="str">
        <f>"Financiële afspraken ten laste van de contracteerruimte van zorgkantoor "&amp;Voorblad!J26&amp;""</f>
        <v>Financiële afspraken ten laste van de contracteerruimte van zorgkantoor </v>
      </c>
    </row>
    <row r="6" ht="13.5" customHeight="1"/>
    <row r="7" spans="2:4" ht="13.5" customHeight="1">
      <c r="B7" s="251" t="s">
        <v>8</v>
      </c>
      <c r="D7" s="353" t="str">
        <f>""&amp;Voorblad!C26&amp;" ("&amp;F2&amp;")"</f>
        <v> (650 / )</v>
      </c>
    </row>
    <row r="8" ht="13.5" customHeight="1"/>
    <row r="9" ht="13.5" customHeight="1"/>
    <row r="10" spans="2:13" s="354" customFormat="1" ht="15.75" customHeight="1">
      <c r="B10" s="355" t="s">
        <v>2</v>
      </c>
      <c r="C10" s="356" t="str">
        <f>"Financiële afspraken t.l.v. de contracteerruimte exclusief geoormerkte gelden (van regel "&amp;B434&amp;")"</f>
        <v>Financiële afspraken t.l.v. de contracteerruimte exclusief geoormerkte gelden (van regel 1032)</v>
      </c>
      <c r="D10" s="357"/>
      <c r="E10" s="357"/>
      <c r="F10" s="357"/>
      <c r="G10" s="357"/>
      <c r="H10" s="357"/>
      <c r="I10" s="357"/>
      <c r="J10" s="357"/>
      <c r="K10" s="357"/>
      <c r="L10" s="359"/>
      <c r="M10" s="360">
        <f>L434-M20</f>
        <v>0</v>
      </c>
    </row>
    <row r="11" spans="2:13" s="354" customFormat="1" ht="13.5" customHeight="1">
      <c r="B11" s="361"/>
      <c r="C11" s="361"/>
      <c r="M11" s="105"/>
    </row>
    <row r="12" spans="2:13" s="354" customFormat="1" ht="15.75" customHeight="1">
      <c r="B12" s="355" t="s">
        <v>3</v>
      </c>
      <c r="C12" s="356" t="str">
        <f>"Financiële afspraken t.l.v. de contracteerruimte Advies, Instructie en Voorlichting (AIV) (van regel "&amp;B200&amp;" en "&amp;B253&amp;")"</f>
        <v>Financiële afspraken t.l.v. de contracteerruimte Advies, Instructie en Voorlichting (AIV) (van regel 508 en 619)</v>
      </c>
      <c r="D12" s="357"/>
      <c r="E12" s="357"/>
      <c r="F12" s="357"/>
      <c r="G12" s="357"/>
      <c r="H12" s="357"/>
      <c r="I12" s="357"/>
      <c r="J12" s="357"/>
      <c r="K12" s="357"/>
      <c r="L12" s="359"/>
      <c r="M12" s="360">
        <f>M200+M253</f>
        <v>0</v>
      </c>
    </row>
    <row r="13" spans="2:13" s="354" customFormat="1" ht="13.5" customHeight="1">
      <c r="B13" s="361"/>
      <c r="C13" s="361"/>
      <c r="M13" s="105"/>
    </row>
    <row r="14" spans="2:13" s="354" customFormat="1" ht="15.75" customHeight="1">
      <c r="B14" s="355" t="s">
        <v>4</v>
      </c>
      <c r="C14" s="356" t="str">
        <f>"Financiële afspraak t.l.v. de contracteerruimte Voedingsvoorlichting (van regel "&amp;B254&amp;")"</f>
        <v>Financiële afspraak t.l.v. de contracteerruimte Voedingsvoorlichting (van regel 620)</v>
      </c>
      <c r="D14" s="357"/>
      <c r="E14" s="357"/>
      <c r="F14" s="357"/>
      <c r="G14" s="357"/>
      <c r="H14" s="357"/>
      <c r="I14" s="357"/>
      <c r="J14" s="357"/>
      <c r="K14" s="357"/>
      <c r="L14" s="359"/>
      <c r="M14" s="360">
        <f>M254</f>
        <v>0</v>
      </c>
    </row>
    <row r="15" spans="2:13" s="354" customFormat="1" ht="13.5" customHeight="1">
      <c r="B15" s="361"/>
      <c r="C15" s="361"/>
      <c r="M15" s="105"/>
    </row>
    <row r="16" spans="2:13" s="354" customFormat="1" ht="15.75" customHeight="1">
      <c r="B16" s="355" t="s">
        <v>5</v>
      </c>
      <c r="C16" s="356" t="s">
        <v>630</v>
      </c>
      <c r="D16" s="357"/>
      <c r="E16" s="357"/>
      <c r="F16" s="357"/>
      <c r="G16" s="357"/>
      <c r="H16" s="357"/>
      <c r="I16" s="357"/>
      <c r="J16" s="357"/>
      <c r="K16" s="357"/>
      <c r="L16" s="359"/>
      <c r="M16" s="362" t="s">
        <v>10</v>
      </c>
    </row>
    <row r="17" spans="2:13" s="354" customFormat="1" ht="13.5" customHeight="1">
      <c r="B17" s="361"/>
      <c r="C17" s="361"/>
      <c r="M17" s="105"/>
    </row>
    <row r="18" spans="2:13" s="354" customFormat="1" ht="15.75" customHeight="1">
      <c r="B18" s="355" t="s">
        <v>6</v>
      </c>
      <c r="C18" s="356" t="str">
        <f>"Financiële afspraken t.l.v. de contracteerruimte Extra zorg in AWBZ-instellingen (verpleeghuizen) (van regel "&amp;B155&amp;")"</f>
        <v>Financiële afspraken t.l.v. de contracteerruimte Extra zorg in AWBZ-instellingen (verpleeghuizen) (van regel 411)</v>
      </c>
      <c r="D18" s="357"/>
      <c r="E18" s="357"/>
      <c r="F18" s="357"/>
      <c r="G18" s="357"/>
      <c r="H18" s="357"/>
      <c r="I18" s="357"/>
      <c r="J18" s="357"/>
      <c r="K18" s="357"/>
      <c r="L18" s="359"/>
      <c r="M18" s="360">
        <f>M155</f>
        <v>0</v>
      </c>
    </row>
    <row r="19" spans="2:3" s="354" customFormat="1" ht="13.5" customHeight="1">
      <c r="B19" s="361"/>
      <c r="C19" s="361"/>
    </row>
    <row r="20" spans="2:13" s="354" customFormat="1" ht="15.75" customHeight="1">
      <c r="B20" s="355" t="s">
        <v>7</v>
      </c>
      <c r="C20" s="356" t="s">
        <v>631</v>
      </c>
      <c r="D20" s="357"/>
      <c r="E20" s="357"/>
      <c r="F20" s="357"/>
      <c r="G20" s="357"/>
      <c r="H20" s="357"/>
      <c r="I20" s="357"/>
      <c r="J20" s="357"/>
      <c r="K20" s="475" t="s">
        <v>607</v>
      </c>
      <c r="L20" s="359"/>
      <c r="M20" s="464">
        <v>0</v>
      </c>
    </row>
    <row r="21" spans="2:13" s="354" customFormat="1" ht="13.5" customHeight="1" thickBot="1">
      <c r="B21" s="361"/>
      <c r="C21" s="361"/>
      <c r="M21" s="105"/>
    </row>
    <row r="22" spans="2:13" s="354" customFormat="1" ht="15.75" customHeight="1" thickBot="1">
      <c r="B22" s="355" t="s">
        <v>606</v>
      </c>
      <c r="C22" s="356" t="s">
        <v>632</v>
      </c>
      <c r="D22" s="357"/>
      <c r="E22" s="357"/>
      <c r="F22" s="357"/>
      <c r="G22" s="357"/>
      <c r="H22" s="357"/>
      <c r="I22" s="357"/>
      <c r="J22" s="357"/>
      <c r="K22" s="357"/>
      <c r="L22" s="363"/>
      <c r="M22" s="364">
        <f>M10+M12+M14+M18+M20</f>
        <v>0</v>
      </c>
    </row>
    <row r="23" ht="13.5" customHeight="1"/>
    <row r="24" ht="13.5" customHeight="1"/>
    <row r="25" ht="13.5" customHeight="1"/>
    <row r="26" ht="13.5" customHeight="1">
      <c r="B26" s="241" t="s">
        <v>78</v>
      </c>
    </row>
    <row r="27" ht="13.5" customHeight="1">
      <c r="B27" s="242"/>
    </row>
    <row r="28" ht="13.5" customHeight="1">
      <c r="B28" s="242" t="s">
        <v>81</v>
      </c>
    </row>
    <row r="29" ht="13.5" customHeight="1">
      <c r="B29" s="242" t="s">
        <v>82</v>
      </c>
    </row>
    <row r="30" ht="13.5" customHeight="1">
      <c r="B30" s="242" t="s">
        <v>273</v>
      </c>
    </row>
    <row r="31" ht="13.5" customHeight="1"/>
    <row r="32" spans="2:16" ht="13.5" customHeight="1">
      <c r="B32" s="243" t="s">
        <v>66</v>
      </c>
      <c r="C32" s="244" t="s">
        <v>67</v>
      </c>
      <c r="D32" s="238"/>
      <c r="E32" s="238"/>
      <c r="F32" s="262"/>
      <c r="G32" s="243" t="s">
        <v>76</v>
      </c>
      <c r="I32" s="245" t="s">
        <v>77</v>
      </c>
      <c r="P32" s="5" t="s">
        <v>1</v>
      </c>
    </row>
    <row r="33" spans="2:16" ht="13.5" customHeight="1">
      <c r="B33" s="246">
        <v>3</v>
      </c>
      <c r="C33" s="247" t="s">
        <v>68</v>
      </c>
      <c r="D33" s="238"/>
      <c r="E33" s="238"/>
      <c r="F33" s="262"/>
      <c r="G33" s="222"/>
      <c r="I33" s="249"/>
      <c r="P33" s="365" t="s">
        <v>58</v>
      </c>
    </row>
    <row r="34" spans="2:16" ht="13.5" customHeight="1">
      <c r="B34" s="246">
        <v>4</v>
      </c>
      <c r="C34" s="247" t="s">
        <v>69</v>
      </c>
      <c r="D34" s="238"/>
      <c r="E34" s="238"/>
      <c r="F34" s="262"/>
      <c r="G34" s="222"/>
      <c r="I34" s="249"/>
      <c r="P34" s="366" t="s">
        <v>59</v>
      </c>
    </row>
    <row r="35" spans="2:9" ht="13.5" customHeight="1">
      <c r="B35" s="246">
        <v>5</v>
      </c>
      <c r="C35" s="247" t="s">
        <v>70</v>
      </c>
      <c r="D35" s="238"/>
      <c r="E35" s="238"/>
      <c r="F35" s="262"/>
      <c r="G35" s="222"/>
      <c r="I35" s="249"/>
    </row>
    <row r="36" spans="2:9" ht="13.5" customHeight="1">
      <c r="B36" s="246">
        <v>6</v>
      </c>
      <c r="C36" s="247" t="s">
        <v>71</v>
      </c>
      <c r="D36" s="238"/>
      <c r="E36" s="238"/>
      <c r="F36" s="262"/>
      <c r="G36" s="222"/>
      <c r="I36" s="249"/>
    </row>
    <row r="37" spans="2:9" ht="13.5" customHeight="1">
      <c r="B37" s="246">
        <v>7</v>
      </c>
      <c r="C37" s="247" t="s">
        <v>72</v>
      </c>
      <c r="D37" s="238"/>
      <c r="E37" s="238"/>
      <c r="F37" s="262"/>
      <c r="G37" s="222"/>
      <c r="I37" s="249"/>
    </row>
    <row r="38" spans="2:9" ht="13.5" customHeight="1">
      <c r="B38" s="246">
        <v>8</v>
      </c>
      <c r="C38" s="247" t="s">
        <v>73</v>
      </c>
      <c r="D38" s="238"/>
      <c r="E38" s="238"/>
      <c r="F38" s="262"/>
      <c r="G38" s="222"/>
      <c r="I38" s="249"/>
    </row>
    <row r="39" spans="2:9" ht="13.5" customHeight="1">
      <c r="B39" s="246">
        <v>9</v>
      </c>
      <c r="C39" s="247" t="s">
        <v>80</v>
      </c>
      <c r="D39" s="238"/>
      <c r="E39" s="238"/>
      <c r="F39" s="262"/>
      <c r="G39" s="222"/>
      <c r="I39" s="249"/>
    </row>
    <row r="40" spans="2:9" ht="13.5" customHeight="1">
      <c r="B40" s="246">
        <v>11</v>
      </c>
      <c r="C40" s="247" t="s">
        <v>74</v>
      </c>
      <c r="D40" s="238"/>
      <c r="E40" s="238"/>
      <c r="F40" s="262"/>
      <c r="G40" s="222"/>
      <c r="I40" s="249"/>
    </row>
    <row r="41" spans="2:9" ht="13.5" customHeight="1">
      <c r="B41" s="246">
        <v>16</v>
      </c>
      <c r="C41" s="247" t="s">
        <v>75</v>
      </c>
      <c r="D41" s="238"/>
      <c r="E41" s="238"/>
      <c r="F41" s="262"/>
      <c r="G41" s="222"/>
      <c r="I41" s="249"/>
    </row>
    <row r="42" ht="13.5" customHeight="1"/>
    <row r="43" ht="13.5" customHeight="1"/>
    <row r="44" ht="13.5" customHeight="1">
      <c r="B44" s="31"/>
    </row>
    <row r="45" ht="13.5" customHeight="1">
      <c r="B45" s="532" t="s">
        <v>666</v>
      </c>
    </row>
    <row r="46" spans="1:11" ht="18" customHeight="1">
      <c r="A46" s="233" t="s">
        <v>92</v>
      </c>
      <c r="B46" s="232">
        <f>Voorblad!A22</f>
        <v>0</v>
      </c>
      <c r="I46" s="471"/>
      <c r="J46" s="45"/>
      <c r="K46" s="471"/>
    </row>
    <row r="47" spans="2:13" ht="18" customHeight="1">
      <c r="B47" s="234" t="str">
        <f>$B$2</f>
        <v>Budget 2005 AWBZ-instellingen sector V&amp;V</v>
      </c>
      <c r="C47" s="234"/>
      <c r="D47" s="234"/>
      <c r="E47" s="250"/>
      <c r="F47" s="352" t="str">
        <f>$F$2</f>
        <v>650 / </v>
      </c>
      <c r="G47" s="234"/>
      <c r="H47" s="236"/>
      <c r="I47" s="234"/>
      <c r="J47" s="236" t="str">
        <f>$J$2</f>
        <v>versie: 14-01-2005</v>
      </c>
      <c r="K47" s="236"/>
      <c r="L47" s="238"/>
      <c r="M47" s="239">
        <f>M2+1</f>
        <v>2</v>
      </c>
    </row>
    <row r="48" ht="12.75"/>
    <row r="49" ht="13.5" customHeight="1">
      <c r="B49" s="241" t="s">
        <v>345</v>
      </c>
    </row>
    <row r="50" ht="13.5" customHeight="1"/>
    <row r="51" spans="2:8" ht="13.5" customHeight="1">
      <c r="B51" s="251" t="s">
        <v>343</v>
      </c>
      <c r="H51" s="253" t="s">
        <v>536</v>
      </c>
    </row>
    <row r="52" ht="13.5" customHeight="1">
      <c r="H52" s="367" t="s">
        <v>537</v>
      </c>
    </row>
    <row r="53" spans="2:16" ht="13.5" customHeight="1">
      <c r="B53" s="368" t="s">
        <v>89</v>
      </c>
      <c r="C53" s="262"/>
      <c r="D53" s="246" t="str">
        <f>IF(AND(G38="JA",G39="JA"),"ja","nee")</f>
        <v>nee</v>
      </c>
      <c r="H53" s="254" t="s">
        <v>560</v>
      </c>
      <c r="P53" s="5" t="s">
        <v>585</v>
      </c>
    </row>
    <row r="54" spans="2:16" ht="13.5" customHeight="1">
      <c r="B54" s="246">
        <f>M47*100+1</f>
        <v>201</v>
      </c>
      <c r="C54" s="247" t="s">
        <v>11</v>
      </c>
      <c r="D54" s="238"/>
      <c r="E54" s="238"/>
      <c r="F54" s="238"/>
      <c r="G54" s="369"/>
      <c r="H54" s="457"/>
      <c r="P54" s="370">
        <f>H54</f>
        <v>0</v>
      </c>
    </row>
    <row r="55" spans="2:16" ht="13.5" customHeight="1">
      <c r="B55" s="246">
        <f>B54+1</f>
        <v>202</v>
      </c>
      <c r="C55" s="247" t="s">
        <v>498</v>
      </c>
      <c r="D55" s="238"/>
      <c r="E55" s="238"/>
      <c r="F55" s="238"/>
      <c r="G55" s="369"/>
      <c r="H55" s="457"/>
      <c r="P55" s="370">
        <f>H55</f>
        <v>0</v>
      </c>
    </row>
    <row r="56" ht="13.5" customHeight="1"/>
    <row r="57" spans="7:12" ht="13.5" customHeight="1">
      <c r="G57" s="371" t="s">
        <v>93</v>
      </c>
      <c r="H57" s="371" t="s">
        <v>93</v>
      </c>
      <c r="J57" s="371" t="s">
        <v>538</v>
      </c>
      <c r="L57" s="371" t="s">
        <v>13</v>
      </c>
    </row>
    <row r="58" spans="3:12" ht="13.5" customHeight="1">
      <c r="C58" s="372" t="s">
        <v>558</v>
      </c>
      <c r="G58" s="373">
        <v>2003</v>
      </c>
      <c r="H58" s="373">
        <v>2004</v>
      </c>
      <c r="J58" s="374" t="s">
        <v>14</v>
      </c>
      <c r="L58" s="374" t="s">
        <v>12</v>
      </c>
    </row>
    <row r="59" spans="2:12" ht="13.5" customHeight="1">
      <c r="B59" s="246">
        <f>B55+1</f>
        <v>203</v>
      </c>
      <c r="C59" s="247" t="s">
        <v>541</v>
      </c>
      <c r="D59" s="238"/>
      <c r="E59" s="238"/>
      <c r="F59" s="238"/>
      <c r="G59" s="223"/>
      <c r="H59" s="223"/>
      <c r="J59" s="375">
        <f>ROUND((G59+H59)/2/365,2)</f>
        <v>0</v>
      </c>
      <c r="K59" s="472"/>
      <c r="L59" s="376">
        <f>ROUND(IF(J59+(0.03*H54)&gt;H54,H54,J59+(0.03*H54)),0)</f>
        <v>0</v>
      </c>
    </row>
    <row r="60" spans="2:12" ht="13.5" customHeight="1">
      <c r="B60" s="246">
        <f>B59+1</f>
        <v>204</v>
      </c>
      <c r="C60" s="247" t="s">
        <v>542</v>
      </c>
      <c r="D60" s="238"/>
      <c r="E60" s="238"/>
      <c r="F60" s="238"/>
      <c r="G60" s="223"/>
      <c r="H60" s="223"/>
      <c r="J60" s="375">
        <f>ROUND((G60+H60)/2/365,2)</f>
        <v>0</v>
      </c>
      <c r="K60" s="472"/>
      <c r="L60" s="376">
        <f>ROUND(IF(J60+(0.03*H55)&gt;H55,H55,J60+(0.03*H55)),0)</f>
        <v>0</v>
      </c>
    </row>
    <row r="61" ht="13.5" customHeight="1"/>
    <row r="62" spans="2:13" ht="13.5" customHeight="1">
      <c r="B62" s="377">
        <f>IF(AND(H65+H73&gt;L59,H81&gt;L60),"U wijkt af van het aantal te bezetten bedden (regel "&amp;B59&amp;" en "&amp;B60&amp;"),",IF(H65+H73&gt;L59,"U wijkt af van het aantal te bezetten bedden (regel "&amp;B59&amp;"),",IF(H81&gt;L60,"U wijkt af van het aantal te bezetten bedden (regel "&amp;B60&amp;"),","")))</f>
      </c>
      <c r="F62" s="131"/>
      <c r="G62" s="253" t="s">
        <v>86</v>
      </c>
      <c r="H62" s="253" t="s">
        <v>83</v>
      </c>
      <c r="J62" s="253" t="s">
        <v>93</v>
      </c>
      <c r="L62" s="253" t="s">
        <v>83</v>
      </c>
      <c r="M62" s="253" t="s">
        <v>93</v>
      </c>
    </row>
    <row r="63" spans="3:19" ht="13.5" customHeight="1">
      <c r="C63" s="377">
        <f>IF(OR(H65+H73&gt;L59,H81&gt;L60),"u dient hiervoor een nadere motivering bij te voegen!","")</f>
      </c>
      <c r="F63" s="131"/>
      <c r="G63" s="367" t="s">
        <v>85</v>
      </c>
      <c r="H63" s="367" t="s">
        <v>499</v>
      </c>
      <c r="J63" s="367" t="s">
        <v>539</v>
      </c>
      <c r="L63" s="367" t="s">
        <v>499</v>
      </c>
      <c r="M63" s="367" t="s">
        <v>500</v>
      </c>
      <c r="S63" s="5">
        <v>38718</v>
      </c>
    </row>
    <row r="64" spans="6:24" ht="13.5" customHeight="1">
      <c r="F64" s="378"/>
      <c r="G64" s="379"/>
      <c r="H64" s="254" t="s">
        <v>88</v>
      </c>
      <c r="J64" s="254" t="s">
        <v>88</v>
      </c>
      <c r="L64" s="254" t="s">
        <v>87</v>
      </c>
      <c r="M64" s="254" t="s">
        <v>87</v>
      </c>
      <c r="P64" s="5" t="s">
        <v>584</v>
      </c>
      <c r="Q64" s="5" t="s">
        <v>608</v>
      </c>
      <c r="R64" s="5" t="s">
        <v>609</v>
      </c>
      <c r="S64" s="5" t="s">
        <v>501</v>
      </c>
      <c r="T64" s="5" t="s">
        <v>90</v>
      </c>
      <c r="U64" s="6" t="s">
        <v>91</v>
      </c>
      <c r="V64" s="6" t="s">
        <v>85</v>
      </c>
      <c r="W64" s="6" t="s">
        <v>655</v>
      </c>
      <c r="X64" s="321"/>
    </row>
    <row r="65" spans="2:24" ht="13.5" customHeight="1">
      <c r="B65" s="246">
        <f>B60+1</f>
        <v>205</v>
      </c>
      <c r="C65" s="247" t="s">
        <v>603</v>
      </c>
      <c r="D65" s="238"/>
      <c r="E65" s="238"/>
      <c r="F65" s="262"/>
      <c r="G65" s="380">
        <v>38353</v>
      </c>
      <c r="H65" s="457"/>
      <c r="I65" s="339"/>
      <c r="J65" s="457"/>
      <c r="K65" s="381"/>
      <c r="L65" s="382">
        <f>ROUND(H65/365*$S65,2)</f>
        <v>0</v>
      </c>
      <c r="M65" s="383">
        <f>ROUND(J65/365*$S65,0)</f>
        <v>0</v>
      </c>
      <c r="P65" s="370">
        <f>H65</f>
        <v>0</v>
      </c>
      <c r="Q65" s="384">
        <v>0</v>
      </c>
      <c r="R65" s="384">
        <f>H65*365</f>
        <v>0</v>
      </c>
      <c r="S65" s="384">
        <f aca="true" t="shared" si="0" ref="S65:S70">IF(OR(G65=0,H65=0),0,$S$63-G65)</f>
        <v>0</v>
      </c>
      <c r="T65" s="326">
        <v>38353</v>
      </c>
      <c r="U65" s="326">
        <v>38353</v>
      </c>
      <c r="V65" s="327">
        <v>38353</v>
      </c>
      <c r="W65" s="327"/>
      <c r="X65" s="4"/>
    </row>
    <row r="66" spans="2:24" ht="13.5" customHeight="1">
      <c r="B66" s="246">
        <f aca="true" t="shared" si="1" ref="B66:B71">B65+1</f>
        <v>206</v>
      </c>
      <c r="C66" s="247" t="s">
        <v>640</v>
      </c>
      <c r="D66" s="238"/>
      <c r="E66" s="238"/>
      <c r="F66" s="262"/>
      <c r="G66" s="459"/>
      <c r="H66" s="457"/>
      <c r="I66" s="339"/>
      <c r="J66" s="457"/>
      <c r="K66" s="381"/>
      <c r="L66" s="382">
        <f>IF(AND(G66="",H66="",J66=""),"",ROUND(H66/365*$S66,2))</f>
      </c>
      <c r="M66" s="383">
        <f>IF(AND(G66="",H66="",J66=""),"",ROUND(J66/365*$S66,0))</f>
      </c>
      <c r="Q66" s="385">
        <f>IF(H66&lt;0,MAX(H66*365,-SUM(J65)),0)</f>
        <v>0</v>
      </c>
      <c r="R66" s="385">
        <f>IF(H66&gt;0,H66*365,0)</f>
        <v>0</v>
      </c>
      <c r="S66" s="385">
        <f t="shared" si="0"/>
        <v>0</v>
      </c>
      <c r="T66" s="322">
        <f>MAX(V$65:V65)</f>
        <v>38353</v>
      </c>
      <c r="U66" s="322">
        <f>IF(G67&gt;0,V67,38718)</f>
        <v>38718</v>
      </c>
      <c r="V66" s="514">
        <f>IF(G66=0,V65,IF(G66&lt;MAX(V$65:V65),MAX(V$65:V65),G66))</f>
        <v>38353</v>
      </c>
      <c r="W66" s="514">
        <f>IF(G66="",0,G66)</f>
        <v>0</v>
      </c>
      <c r="X66" s="4"/>
    </row>
    <row r="67" spans="2:24" ht="13.5" customHeight="1">
      <c r="B67" s="246">
        <f t="shared" si="1"/>
        <v>207</v>
      </c>
      <c r="C67" s="247" t="s">
        <v>640</v>
      </c>
      <c r="D67" s="238"/>
      <c r="E67" s="238"/>
      <c r="F67" s="262"/>
      <c r="G67" s="459"/>
      <c r="H67" s="457"/>
      <c r="I67" s="339"/>
      <c r="J67" s="457"/>
      <c r="K67" s="381"/>
      <c r="L67" s="382">
        <f>IF(AND(G67="",H67="",J67=""),"",ROUND(H67/365*$S67,2))</f>
      </c>
      <c r="M67" s="383">
        <f>IF(AND(G67="",H67="",J67=""),"",ROUND(J67/365*$S67,0))</f>
      </c>
      <c r="Q67" s="385">
        <f>IF(H67&lt;0,MAX(H67*365,-SUM(J65:J66)),0)</f>
        <v>0</v>
      </c>
      <c r="R67" s="385">
        <f>IF(H67&gt;0,H67*365,0)</f>
        <v>0</v>
      </c>
      <c r="S67" s="385">
        <f t="shared" si="0"/>
        <v>0</v>
      </c>
      <c r="T67" s="322">
        <f>MAX(V$65:V66)</f>
        <v>38353</v>
      </c>
      <c r="U67" s="322">
        <f>IF(G68&gt;0,V68,38718)</f>
        <v>38718</v>
      </c>
      <c r="V67" s="323">
        <f>IF(G67=0,V66,IF(G67&lt;MAX(V$65:V66),MAX(V$65:V66),G67))</f>
        <v>38353</v>
      </c>
      <c r="W67" s="514">
        <f>IF(G67="",0,G67)</f>
        <v>0</v>
      </c>
      <c r="X67" s="4"/>
    </row>
    <row r="68" spans="2:24" ht="13.5" customHeight="1">
      <c r="B68" s="246">
        <f t="shared" si="1"/>
        <v>208</v>
      </c>
      <c r="C68" s="247" t="s">
        <v>640</v>
      </c>
      <c r="D68" s="238"/>
      <c r="E68" s="238"/>
      <c r="F68" s="262"/>
      <c r="G68" s="459"/>
      <c r="H68" s="457"/>
      <c r="I68" s="339"/>
      <c r="J68" s="457"/>
      <c r="K68" s="381"/>
      <c r="L68" s="382">
        <f>IF(AND(G68="",H68="",J68=""),"",ROUND(H68/365*$S68,2))</f>
      </c>
      <c r="M68" s="383">
        <f>IF(AND(G68="",H68="",J68=""),"",ROUND(J68/365*$S68,0))</f>
      </c>
      <c r="Q68" s="385">
        <f>IF(H68&lt;0,MAX(H68*365,-SUM(J65:J67)),0)</f>
        <v>0</v>
      </c>
      <c r="R68" s="385">
        <f>IF(H68&gt;0,H68*365,0)</f>
        <v>0</v>
      </c>
      <c r="S68" s="385">
        <f t="shared" si="0"/>
        <v>0</v>
      </c>
      <c r="T68" s="322">
        <f>MAX(V$65:V67)</f>
        <v>38353</v>
      </c>
      <c r="U68" s="322">
        <f>IF(G69&gt;0,V69,38718)</f>
        <v>38718</v>
      </c>
      <c r="V68" s="323">
        <f>IF(G68=0,V67,IF(G68&lt;MAX(V$65:V67),MAX(V$65:V67),G68))</f>
        <v>38353</v>
      </c>
      <c r="W68" s="514">
        <f>IF(G68="",0,G68)</f>
        <v>0</v>
      </c>
      <c r="X68" s="4"/>
    </row>
    <row r="69" spans="2:23" ht="13.5" customHeight="1">
      <c r="B69" s="246">
        <f t="shared" si="1"/>
        <v>209</v>
      </c>
      <c r="C69" s="247" t="s">
        <v>640</v>
      </c>
      <c r="D69" s="238"/>
      <c r="E69" s="238"/>
      <c r="F69" s="262"/>
      <c r="G69" s="459"/>
      <c r="H69" s="457"/>
      <c r="I69" s="339"/>
      <c r="J69" s="457"/>
      <c r="K69" s="381"/>
      <c r="L69" s="382">
        <f>IF(AND(G69="",H69="",J69=""),"",ROUND(H69/365*$S69,2))</f>
      </c>
      <c r="M69" s="383">
        <f>IF(AND(G69="",H69="",J69=""),"",ROUND(J69/365*$S69,0))</f>
      </c>
      <c r="Q69" s="385">
        <f>IF(H69&lt;0,MAX(H69*365,-SUM(J65:J68)),0)</f>
        <v>0</v>
      </c>
      <c r="R69" s="385">
        <f>IF(H69&gt;0,H69*365,0)</f>
        <v>0</v>
      </c>
      <c r="S69" s="385">
        <f t="shared" si="0"/>
        <v>0</v>
      </c>
      <c r="T69" s="322">
        <f>MAX(V$65:V68)</f>
        <v>38353</v>
      </c>
      <c r="U69" s="322">
        <f>IF(G70&gt;0,V70,38718)</f>
        <v>38718</v>
      </c>
      <c r="V69" s="323">
        <f>IF(G69=0,V68,IF(G69&lt;MAX(V$65:V68),MAX(V$65:V68),G69))</f>
        <v>38353</v>
      </c>
      <c r="W69" s="514">
        <f>IF(G69="",0,G69)</f>
        <v>0</v>
      </c>
    </row>
    <row r="70" spans="2:23" ht="13.5" customHeight="1">
      <c r="B70" s="386">
        <f t="shared" si="1"/>
        <v>210</v>
      </c>
      <c r="C70" s="247" t="s">
        <v>640</v>
      </c>
      <c r="D70" s="387"/>
      <c r="E70" s="387"/>
      <c r="F70" s="388"/>
      <c r="G70" s="460"/>
      <c r="H70" s="458"/>
      <c r="I70" s="339"/>
      <c r="J70" s="458"/>
      <c r="K70" s="381"/>
      <c r="L70" s="389">
        <f>IF(AND(G70="",H70="",J70=""),"",ROUND(H70/365*$S70,2))</f>
      </c>
      <c r="M70" s="390">
        <f>IF(AND(G70="",H70="",J70=""),"",ROUND(J70/365*$S70,0))</f>
      </c>
      <c r="Q70" s="391">
        <f>IF(H70&lt;0,MAX(H70*365,-SUM(J65:J69)),0)</f>
        <v>0</v>
      </c>
      <c r="R70" s="391">
        <f>IF(H70&gt;0,H70*365,0)</f>
        <v>0</v>
      </c>
      <c r="S70" s="391">
        <f t="shared" si="0"/>
        <v>0</v>
      </c>
      <c r="T70" s="324">
        <f>MAX(V$65:V69)</f>
        <v>38353</v>
      </c>
      <c r="U70" s="328">
        <v>38718</v>
      </c>
      <c r="V70" s="325">
        <f>IF(G70=0,V69,IF(G70&lt;MAX(V$65:V69),MAX(V$65:V69),G70))</f>
        <v>38353</v>
      </c>
      <c r="W70" s="531">
        <f>IF(G70="",0,G70)</f>
        <v>0</v>
      </c>
    </row>
    <row r="71" spans="2:24" ht="13.5" customHeight="1">
      <c r="B71" s="392">
        <f t="shared" si="1"/>
        <v>211</v>
      </c>
      <c r="C71" s="393" t="s">
        <v>600</v>
      </c>
      <c r="D71" s="394"/>
      <c r="E71" s="394"/>
      <c r="F71" s="394"/>
      <c r="G71" s="395"/>
      <c r="H71" s="396">
        <f>SUM(H65:H70)</f>
        <v>0</v>
      </c>
      <c r="I71" s="463"/>
      <c r="J71" s="396">
        <f>SUM(J65:J70)</f>
        <v>0</v>
      </c>
      <c r="K71" s="463"/>
      <c r="L71" s="397">
        <f>SUM(L65:L70)</f>
        <v>0</v>
      </c>
      <c r="M71" s="396">
        <f>SUM(M65:M70)</f>
        <v>0</v>
      </c>
      <c r="T71" s="398"/>
      <c r="U71" s="38"/>
      <c r="V71" s="38"/>
      <c r="W71" s="38"/>
      <c r="X71" s="38"/>
    </row>
    <row r="72" spans="8:18" ht="13.5" customHeight="1">
      <c r="H72" s="381"/>
      <c r="I72" s="381"/>
      <c r="J72" s="381"/>
      <c r="K72" s="381"/>
      <c r="L72" s="381"/>
      <c r="M72" s="381"/>
      <c r="R72" s="341"/>
    </row>
    <row r="73" spans="2:24" ht="13.5" customHeight="1">
      <c r="B73" s="246">
        <f>B71+1</f>
        <v>212</v>
      </c>
      <c r="C73" s="247" t="s">
        <v>604</v>
      </c>
      <c r="D73" s="238"/>
      <c r="E73" s="238"/>
      <c r="F73" s="262"/>
      <c r="G73" s="380">
        <v>38353</v>
      </c>
      <c r="H73" s="457"/>
      <c r="I73" s="339"/>
      <c r="J73" s="457"/>
      <c r="K73" s="381"/>
      <c r="L73" s="382">
        <f>ROUND(H73/365*$S73,2)</f>
        <v>0</v>
      </c>
      <c r="M73" s="383">
        <f>ROUND(J73/365*$S73,0)</f>
        <v>0</v>
      </c>
      <c r="P73" s="370">
        <f>H73</f>
        <v>0</v>
      </c>
      <c r="Q73" s="384">
        <v>0</v>
      </c>
      <c r="R73" s="384">
        <f>H73*365</f>
        <v>0</v>
      </c>
      <c r="S73" s="384">
        <f aca="true" t="shared" si="2" ref="S73:S78">IF(OR(G73=0,H73=0),0,$S$63-G73)</f>
        <v>0</v>
      </c>
      <c r="T73" s="326">
        <v>38353</v>
      </c>
      <c r="U73" s="326">
        <v>38353</v>
      </c>
      <c r="V73" s="327">
        <v>38353</v>
      </c>
      <c r="W73" s="327"/>
      <c r="X73" s="4"/>
    </row>
    <row r="74" spans="2:24" ht="13.5" customHeight="1">
      <c r="B74" s="246">
        <f aca="true" t="shared" si="3" ref="B74:B79">B73+1</f>
        <v>213</v>
      </c>
      <c r="C74" s="247" t="s">
        <v>639</v>
      </c>
      <c r="D74" s="238"/>
      <c r="E74" s="238"/>
      <c r="F74" s="262"/>
      <c r="G74" s="459"/>
      <c r="H74" s="457"/>
      <c r="I74" s="339"/>
      <c r="J74" s="457"/>
      <c r="K74" s="381"/>
      <c r="L74" s="382">
        <f>IF(AND(G74="",H74="",J74=""),"",ROUND(H74/365*$S74,2))</f>
      </c>
      <c r="M74" s="383">
        <f>IF(AND(G74="",H74="",J74=""),"",ROUND(J74/365*$S74,0))</f>
      </c>
      <c r="Q74" s="385">
        <f>IF(H74&lt;0,MAX(H74*365,-SUM(J73)),0)</f>
        <v>0</v>
      </c>
      <c r="R74" s="385">
        <f>IF(H74&gt;0,H74*365,0)</f>
        <v>0</v>
      </c>
      <c r="S74" s="385">
        <f t="shared" si="2"/>
        <v>0</v>
      </c>
      <c r="T74" s="322">
        <f>MAX(V$73:V73)</f>
        <v>38353</v>
      </c>
      <c r="U74" s="322">
        <f>IF(G75&gt;0,V75,38718)</f>
        <v>38718</v>
      </c>
      <c r="V74" s="514">
        <f>IF(G74=0,V73,IF(G74&lt;MAX(V$73:V73),MAX(V$73:V73),G74))</f>
        <v>38353</v>
      </c>
      <c r="W74" s="514">
        <f>IF(G74="",0,G74)</f>
        <v>0</v>
      </c>
      <c r="X74" s="4"/>
    </row>
    <row r="75" spans="2:24" ht="13.5" customHeight="1">
      <c r="B75" s="246">
        <f t="shared" si="3"/>
        <v>214</v>
      </c>
      <c r="C75" s="247" t="s">
        <v>639</v>
      </c>
      <c r="D75" s="238"/>
      <c r="E75" s="238"/>
      <c r="F75" s="262"/>
      <c r="G75" s="459"/>
      <c r="H75" s="457"/>
      <c r="I75" s="339"/>
      <c r="J75" s="457"/>
      <c r="K75" s="381"/>
      <c r="L75" s="382">
        <f>IF(AND(G75="",H75="",J75=""),"",ROUND(H75/365*$S75,2))</f>
      </c>
      <c r="M75" s="383">
        <f>IF(AND(G75="",H75="",J75=""),"",ROUND(J75/365*$S75,0))</f>
      </c>
      <c r="Q75" s="385">
        <f>IF(H75&lt;0,MAX(H75*365,-SUM(J73:J74)),0)</f>
        <v>0</v>
      </c>
      <c r="R75" s="385">
        <f>IF(H75&gt;0,H75*365,0)</f>
        <v>0</v>
      </c>
      <c r="S75" s="385">
        <f t="shared" si="2"/>
        <v>0</v>
      </c>
      <c r="T75" s="322">
        <f>MAX(V$73:V74)</f>
        <v>38353</v>
      </c>
      <c r="U75" s="322">
        <f>IF(G76&gt;0,V76,38718)</f>
        <v>38718</v>
      </c>
      <c r="V75" s="323">
        <f>IF(G75=0,V74,IF(G75&lt;MAX(V$73:V74),MAX(V$73:V74),G75))</f>
        <v>38353</v>
      </c>
      <c r="W75" s="514">
        <f>IF(G75="",0,G75)</f>
        <v>0</v>
      </c>
      <c r="X75" s="4"/>
    </row>
    <row r="76" spans="2:24" ht="13.5" customHeight="1">
      <c r="B76" s="246">
        <f t="shared" si="3"/>
        <v>215</v>
      </c>
      <c r="C76" s="247" t="s">
        <v>639</v>
      </c>
      <c r="D76" s="238"/>
      <c r="E76" s="238"/>
      <c r="F76" s="262"/>
      <c r="G76" s="459"/>
      <c r="H76" s="457"/>
      <c r="I76" s="339"/>
      <c r="J76" s="457"/>
      <c r="K76" s="381"/>
      <c r="L76" s="382">
        <f>IF(AND(G76="",H76="",J76=""),"",ROUND(H76/365*$S76,2))</f>
      </c>
      <c r="M76" s="383">
        <f>IF(AND(G76="",H76="",J76=""),"",ROUND(J76/365*$S76,0))</f>
      </c>
      <c r="Q76" s="385">
        <f>IF(H76&lt;0,MAX(H76*365,-SUM(J73:J75)),0)</f>
        <v>0</v>
      </c>
      <c r="R76" s="385">
        <f>IF(H76&gt;0,H76*365,0)</f>
        <v>0</v>
      </c>
      <c r="S76" s="385">
        <f t="shared" si="2"/>
        <v>0</v>
      </c>
      <c r="T76" s="322">
        <f>MAX(V$73:V75)</f>
        <v>38353</v>
      </c>
      <c r="U76" s="322">
        <f>IF(G77&gt;0,V77,38718)</f>
        <v>38718</v>
      </c>
      <c r="V76" s="323">
        <f>IF(G76=0,V75,IF(G76&lt;MAX(V$73:V75),MAX(V$73:V75),G76))</f>
        <v>38353</v>
      </c>
      <c r="W76" s="514">
        <f>IF(G76="",0,G76)</f>
        <v>0</v>
      </c>
      <c r="X76" s="4"/>
    </row>
    <row r="77" spans="2:23" ht="13.5" customHeight="1">
      <c r="B77" s="246">
        <f t="shared" si="3"/>
        <v>216</v>
      </c>
      <c r="C77" s="247" t="s">
        <v>639</v>
      </c>
      <c r="D77" s="238"/>
      <c r="E77" s="238"/>
      <c r="F77" s="262"/>
      <c r="G77" s="459"/>
      <c r="H77" s="457"/>
      <c r="I77" s="339"/>
      <c r="J77" s="457"/>
      <c r="K77" s="381"/>
      <c r="L77" s="382">
        <f>IF(AND(G77="",H77="",J77=""),"",ROUND(H77/365*$S77,2))</f>
      </c>
      <c r="M77" s="383">
        <f>IF(AND(G77="",H77="",J77=""),"",ROUND(J77/365*$S77,0))</f>
      </c>
      <c r="Q77" s="385">
        <f>IF(H77&lt;0,MAX(H77*365,-SUM(J73:J76)),0)</f>
        <v>0</v>
      </c>
      <c r="R77" s="385">
        <f>IF(H77&gt;0,H77*365,0)</f>
        <v>0</v>
      </c>
      <c r="S77" s="385">
        <f t="shared" si="2"/>
        <v>0</v>
      </c>
      <c r="T77" s="322">
        <f>MAX(V$73:V76)</f>
        <v>38353</v>
      </c>
      <c r="U77" s="322">
        <f>IF(G78&gt;0,V78,38718)</f>
        <v>38718</v>
      </c>
      <c r="V77" s="323">
        <f>IF(G77=0,V76,IF(G77&lt;MAX(V$73:V76),MAX(V$73:V76),G77))</f>
        <v>38353</v>
      </c>
      <c r="W77" s="514">
        <f>IF(G77="",0,G77)</f>
        <v>0</v>
      </c>
    </row>
    <row r="78" spans="2:23" ht="13.5" customHeight="1">
      <c r="B78" s="386">
        <f t="shared" si="3"/>
        <v>217</v>
      </c>
      <c r="C78" s="247" t="s">
        <v>639</v>
      </c>
      <c r="D78" s="387"/>
      <c r="E78" s="387"/>
      <c r="F78" s="388"/>
      <c r="G78" s="460"/>
      <c r="H78" s="458"/>
      <c r="I78" s="339"/>
      <c r="J78" s="458"/>
      <c r="K78" s="381"/>
      <c r="L78" s="389">
        <f>IF(AND(G78="",H78="",J78=""),"",ROUND(H78/365*$S78,2))</f>
      </c>
      <c r="M78" s="390">
        <f>IF(AND(G78="",H78="",J78=""),"",ROUND(J78/365*$S78,0))</f>
      </c>
      <c r="Q78" s="391">
        <f>IF(H78&lt;0,MAX(H78*365,-SUM(J73:J77)),0)</f>
        <v>0</v>
      </c>
      <c r="R78" s="391">
        <f>IF(H78&gt;0,H78*365,0)</f>
        <v>0</v>
      </c>
      <c r="S78" s="391">
        <f t="shared" si="2"/>
        <v>0</v>
      </c>
      <c r="T78" s="324">
        <f>MAX(V$73:V77)</f>
        <v>38353</v>
      </c>
      <c r="U78" s="328">
        <v>38718</v>
      </c>
      <c r="V78" s="325">
        <f>IF(G78=0,V77,IF(G78&lt;MAX(V$73:V77),MAX(V$73:V77),G78))</f>
        <v>38353</v>
      </c>
      <c r="W78" s="531">
        <f>IF(G78="",0,G78)</f>
        <v>0</v>
      </c>
    </row>
    <row r="79" spans="2:24" ht="13.5" customHeight="1">
      <c r="B79" s="392">
        <f t="shared" si="3"/>
        <v>218</v>
      </c>
      <c r="C79" s="393" t="s">
        <v>601</v>
      </c>
      <c r="D79" s="394"/>
      <c r="E79" s="394"/>
      <c r="F79" s="394"/>
      <c r="G79" s="395"/>
      <c r="H79" s="396">
        <f>SUM(H73:H78)</f>
        <v>0</v>
      </c>
      <c r="I79" s="463"/>
      <c r="J79" s="396">
        <f>SUM(J73:J78)</f>
        <v>0</v>
      </c>
      <c r="K79" s="463"/>
      <c r="L79" s="397">
        <f>SUM(L73:L78)</f>
        <v>0</v>
      </c>
      <c r="M79" s="396">
        <f>SUM(M73:M78)</f>
        <v>0</v>
      </c>
      <c r="T79" s="398"/>
      <c r="U79" s="38"/>
      <c r="V79" s="38"/>
      <c r="W79" s="38"/>
      <c r="X79" s="38"/>
    </row>
    <row r="80" spans="8:13" ht="13.5" customHeight="1">
      <c r="H80" s="381"/>
      <c r="I80" s="381"/>
      <c r="J80" s="381"/>
      <c r="K80" s="381"/>
      <c r="L80" s="381"/>
      <c r="M80" s="381"/>
    </row>
    <row r="81" spans="2:24" ht="13.5" customHeight="1">
      <c r="B81" s="246">
        <f>B79+1</f>
        <v>219</v>
      </c>
      <c r="C81" s="247" t="s">
        <v>605</v>
      </c>
      <c r="D81" s="238"/>
      <c r="E81" s="238"/>
      <c r="F81" s="262"/>
      <c r="G81" s="380">
        <v>38353</v>
      </c>
      <c r="H81" s="457"/>
      <c r="I81" s="339"/>
      <c r="J81" s="457"/>
      <c r="K81" s="381"/>
      <c r="L81" s="382">
        <f>ROUND(H81/365*$S81,2)</f>
        <v>0</v>
      </c>
      <c r="M81" s="383">
        <f>ROUND(J81/365*$S81,0)</f>
        <v>0</v>
      </c>
      <c r="P81" s="370">
        <f>H81</f>
        <v>0</v>
      </c>
      <c r="Q81" s="384">
        <v>0</v>
      </c>
      <c r="R81" s="384">
        <f>H81*365</f>
        <v>0</v>
      </c>
      <c r="S81" s="384">
        <f>IF(OR(G81=0,H81=0),0,$S$63-G81)</f>
        <v>0</v>
      </c>
      <c r="T81" s="326">
        <v>38353</v>
      </c>
      <c r="U81" s="326">
        <v>38353</v>
      </c>
      <c r="V81" s="327">
        <v>38353</v>
      </c>
      <c r="W81" s="327"/>
      <c r="X81" s="4"/>
    </row>
    <row r="82" spans="2:24" ht="13.5" customHeight="1">
      <c r="B82" s="246">
        <f>B81+1</f>
        <v>220</v>
      </c>
      <c r="C82" s="247" t="s">
        <v>638</v>
      </c>
      <c r="D82" s="238"/>
      <c r="E82" s="238"/>
      <c r="F82" s="262"/>
      <c r="G82" s="459"/>
      <c r="H82" s="457"/>
      <c r="I82" s="339"/>
      <c r="J82" s="457"/>
      <c r="K82" s="381"/>
      <c r="L82" s="382">
        <f>IF(AND(G82="",H82="",J82=""),"",ROUND(H82/365*$S82,2))</f>
      </c>
      <c r="M82" s="383">
        <f>IF(AND(G82="",H82="",J82=""),"",ROUND(J82/365*$S82,0))</f>
      </c>
      <c r="Q82" s="385">
        <f>IF(H82&lt;0,MAX(H82*365,-SUM(J81)),0)</f>
        <v>0</v>
      </c>
      <c r="R82" s="385">
        <f>IF(H82&gt;0,H82*365,0)</f>
        <v>0</v>
      </c>
      <c r="S82" s="385">
        <f>IF(OR(G82=0,H82=0),0,$S$63-G82)</f>
        <v>0</v>
      </c>
      <c r="T82" s="322">
        <f>MAX(V$81:V81)</f>
        <v>38353</v>
      </c>
      <c r="U82" s="322">
        <f>IF(G83&gt;0,V83,38718)</f>
        <v>38718</v>
      </c>
      <c r="V82" s="323">
        <f>IF(G82=0,V81,IF(G82&lt;MAX(V$81:V81),MAX(V$81:V81),G82))</f>
        <v>38353</v>
      </c>
      <c r="W82" s="514">
        <f>IF(G82="",0,G82)</f>
        <v>0</v>
      </c>
      <c r="X82" s="4"/>
    </row>
    <row r="83" spans="2:23" ht="13.5" customHeight="1">
      <c r="B83" s="246">
        <f>B82+1</f>
        <v>221</v>
      </c>
      <c r="C83" s="247" t="s">
        <v>638</v>
      </c>
      <c r="D83" s="238"/>
      <c r="E83" s="238"/>
      <c r="F83" s="262"/>
      <c r="G83" s="459"/>
      <c r="H83" s="457"/>
      <c r="I83" s="339"/>
      <c r="J83" s="457"/>
      <c r="K83" s="381"/>
      <c r="L83" s="382">
        <f>IF(AND(G83="",H83="",J83=""),"",ROUND(H83/365*$S83,2))</f>
      </c>
      <c r="M83" s="383">
        <f>IF(AND(G83="",H83="",J83=""),"",ROUND(J83/365*$S83,0))</f>
      </c>
      <c r="Q83" s="385">
        <f>IF(H83&lt;0,MAX(H83*365,-SUM(J81:J82)),0)</f>
        <v>0</v>
      </c>
      <c r="R83" s="385">
        <f>IF(H83&gt;0,H83*365,0)</f>
        <v>0</v>
      </c>
      <c r="S83" s="385">
        <f>IF(OR(G83=0,H83=0),0,$S$63-G83)</f>
        <v>0</v>
      </c>
      <c r="T83" s="322">
        <f>MAX(V$81:V82)</f>
        <v>38353</v>
      </c>
      <c r="U83" s="322">
        <f>IF(G84&gt;0,V84,38718)</f>
        <v>38718</v>
      </c>
      <c r="V83" s="323">
        <f>IF(G83=0,V82,IF(G83&lt;MAX(V$81:V82),MAX(V$81:V82),G83))</f>
        <v>38353</v>
      </c>
      <c r="W83" s="514">
        <f>IF(G83="",0,G83)</f>
        <v>0</v>
      </c>
    </row>
    <row r="84" spans="2:23" ht="13.5" customHeight="1">
      <c r="B84" s="386">
        <f>B83+1</f>
        <v>222</v>
      </c>
      <c r="C84" s="247" t="s">
        <v>638</v>
      </c>
      <c r="D84" s="387"/>
      <c r="E84" s="387"/>
      <c r="F84" s="388"/>
      <c r="G84" s="460"/>
      <c r="H84" s="458"/>
      <c r="I84" s="339"/>
      <c r="J84" s="458"/>
      <c r="K84" s="381"/>
      <c r="L84" s="389">
        <f>IF(AND(G84="",H84="",J84=""),"",ROUND(H84/365*$S84,2))</f>
      </c>
      <c r="M84" s="390">
        <f>IF(AND(G84="",H84="",J84=""),"",ROUND(J84/365*$S84,0))</f>
      </c>
      <c r="Q84" s="391">
        <f>IF(H84&lt;0,MAX(H84*365,-SUM(J81:J83)),0)</f>
        <v>0</v>
      </c>
      <c r="R84" s="391">
        <f>IF(H84&gt;0,H84*365,0)</f>
        <v>0</v>
      </c>
      <c r="S84" s="391">
        <f>IF(OR(G84=0,H84=0),0,$S$63-G84)</f>
        <v>0</v>
      </c>
      <c r="T84" s="324">
        <f>MAX(V$81:V83)</f>
        <v>38353</v>
      </c>
      <c r="U84" s="328">
        <v>38718</v>
      </c>
      <c r="V84" s="325">
        <f>IF(G84=0,V83,IF(G84&lt;MAX(V$81:V83),MAX(V$81:V83),G84))</f>
        <v>38353</v>
      </c>
      <c r="W84" s="531">
        <f>IF(G84="",0,G84)</f>
        <v>0</v>
      </c>
    </row>
    <row r="85" spans="2:24" ht="13.5" customHeight="1">
      <c r="B85" s="392">
        <f>B84+1</f>
        <v>223</v>
      </c>
      <c r="C85" s="393" t="s">
        <v>602</v>
      </c>
      <c r="D85" s="394"/>
      <c r="E85" s="394"/>
      <c r="F85" s="394"/>
      <c r="G85" s="395"/>
      <c r="H85" s="396">
        <f>SUM(H81:H84)</f>
        <v>0</v>
      </c>
      <c r="I85" s="463"/>
      <c r="J85" s="396">
        <f>SUM(J81:J84)</f>
        <v>0</v>
      </c>
      <c r="K85" s="463"/>
      <c r="L85" s="397">
        <f>SUM(L81:L84)</f>
        <v>0</v>
      </c>
      <c r="M85" s="396">
        <f>SUM(M81:M84)</f>
        <v>0</v>
      </c>
      <c r="S85" s="398"/>
      <c r="T85" s="38"/>
      <c r="U85" s="38"/>
      <c r="V85" s="38"/>
      <c r="W85" s="38"/>
      <c r="X85" s="38"/>
    </row>
    <row r="86" ht="13.5" customHeight="1"/>
    <row r="87" spans="1:13" ht="13.5" customHeight="1">
      <c r="A87" s="247"/>
      <c r="B87" s="246">
        <f>B85+1</f>
        <v>224</v>
      </c>
      <c r="C87" s="238" t="str">
        <f>"Aantal crisisbedden 2005 welke deel uit maakt van de productieafspraken op regels "&amp;B71&amp;" en "&amp;B79&amp;""</f>
        <v>Aantal crisisbedden 2005 welke deel uit maakt van de productieafspraken op regels 211 en 218</v>
      </c>
      <c r="D87" s="238"/>
      <c r="E87" s="238"/>
      <c r="F87" s="238"/>
      <c r="G87" s="238"/>
      <c r="H87" s="238"/>
      <c r="I87" s="238"/>
      <c r="J87" s="238"/>
      <c r="K87" s="238"/>
      <c r="L87" s="457"/>
      <c r="M87" s="45"/>
    </row>
    <row r="88" ht="13.5" customHeight="1"/>
    <row r="89" ht="13.5" customHeight="1">
      <c r="B89" s="399" t="s">
        <v>561</v>
      </c>
    </row>
    <row r="90" ht="13.5" customHeight="1">
      <c r="B90" s="399" t="s">
        <v>562</v>
      </c>
    </row>
    <row r="91" spans="1:11" ht="18" customHeight="1">
      <c r="A91" s="233" t="s">
        <v>92</v>
      </c>
      <c r="B91" s="232">
        <f>Voorblad!A56</f>
        <v>0</v>
      </c>
      <c r="I91" s="471"/>
      <c r="J91" s="45"/>
      <c r="K91" s="471"/>
    </row>
    <row r="92" spans="2:13" ht="18" customHeight="1">
      <c r="B92" s="234" t="str">
        <f>$B$2</f>
        <v>Budget 2005 AWBZ-instellingen sector V&amp;V</v>
      </c>
      <c r="C92" s="234"/>
      <c r="D92" s="234"/>
      <c r="E92" s="250"/>
      <c r="F92" s="352" t="str">
        <f>$F$2</f>
        <v>650 / </v>
      </c>
      <c r="G92" s="234"/>
      <c r="H92" s="236"/>
      <c r="I92" s="234"/>
      <c r="J92" s="236" t="str">
        <f>$J$2</f>
        <v>versie: 14-01-2005</v>
      </c>
      <c r="K92" s="236"/>
      <c r="L92" s="238"/>
      <c r="M92" s="239">
        <f>M47+1</f>
        <v>3</v>
      </c>
    </row>
    <row r="93" ht="12.75"/>
    <row r="94" ht="13.5" customHeight="1"/>
    <row r="95" spans="2:8" ht="13.5" customHeight="1">
      <c r="B95" s="251" t="s">
        <v>344</v>
      </c>
      <c r="H95" s="253" t="s">
        <v>536</v>
      </c>
    </row>
    <row r="96" ht="13.5" customHeight="1">
      <c r="H96" s="367" t="s">
        <v>537</v>
      </c>
    </row>
    <row r="97" spans="2:16" ht="13.5" customHeight="1">
      <c r="B97" s="368" t="s">
        <v>89</v>
      </c>
      <c r="C97" s="262"/>
      <c r="D97" s="246" t="str">
        <f>IF(G39="JA","ja","nee")</f>
        <v>nee</v>
      </c>
      <c r="H97" s="254" t="s">
        <v>560</v>
      </c>
      <c r="P97" s="5" t="s">
        <v>585</v>
      </c>
    </row>
    <row r="98" spans="2:16" ht="13.5" customHeight="1">
      <c r="B98" s="246">
        <f>M92*100+1</f>
        <v>301</v>
      </c>
      <c r="C98" s="247" t="s">
        <v>16</v>
      </c>
      <c r="D98" s="238"/>
      <c r="E98" s="238"/>
      <c r="F98" s="238"/>
      <c r="G98" s="369"/>
      <c r="H98" s="223"/>
      <c r="P98" s="370">
        <f>H98</f>
        <v>0</v>
      </c>
    </row>
    <row r="99" ht="13.5" customHeight="1"/>
    <row r="100" spans="7:12" ht="13.5" customHeight="1">
      <c r="G100" s="371" t="s">
        <v>93</v>
      </c>
      <c r="H100" s="371" t="s">
        <v>93</v>
      </c>
      <c r="J100" s="371" t="s">
        <v>538</v>
      </c>
      <c r="L100" s="371" t="s">
        <v>13</v>
      </c>
    </row>
    <row r="101" spans="3:12" ht="13.5" customHeight="1">
      <c r="C101" s="372" t="s">
        <v>559</v>
      </c>
      <c r="G101" s="373">
        <v>2003</v>
      </c>
      <c r="H101" s="373">
        <v>2004</v>
      </c>
      <c r="J101" s="374" t="s">
        <v>624</v>
      </c>
      <c r="L101" s="374" t="s">
        <v>15</v>
      </c>
    </row>
    <row r="102" spans="2:12" ht="13.5" customHeight="1">
      <c r="B102" s="246">
        <f>B98+1</f>
        <v>302</v>
      </c>
      <c r="C102" s="247" t="s">
        <v>540</v>
      </c>
      <c r="D102" s="238"/>
      <c r="E102" s="238"/>
      <c r="F102" s="238"/>
      <c r="G102" s="223"/>
      <c r="H102" s="223"/>
      <c r="J102" s="375">
        <f>ROUND((G102+H102)/2/365,2)</f>
        <v>0</v>
      </c>
      <c r="K102" s="472"/>
      <c r="L102" s="376">
        <f>ROUND(IF(J102+(0.03*H98)&gt;H98,H98,J102+(0.03*H98)),0)</f>
        <v>0</v>
      </c>
    </row>
    <row r="103" ht="13.5" customHeight="1"/>
    <row r="104" spans="2:13" ht="13.5" customHeight="1">
      <c r="B104" s="377">
        <f>IF(H107+H115+H121+H129&gt;L102,"U wijkt af van het aantal te bezetten plaatsen (regel "&amp;B102&amp;"),","")</f>
      </c>
      <c r="F104" s="131"/>
      <c r="G104" s="253" t="s">
        <v>86</v>
      </c>
      <c r="H104" s="253" t="s">
        <v>83</v>
      </c>
      <c r="J104" s="253" t="s">
        <v>93</v>
      </c>
      <c r="L104" s="253" t="s">
        <v>83</v>
      </c>
      <c r="M104" s="253" t="s">
        <v>93</v>
      </c>
    </row>
    <row r="105" spans="3:20" ht="13.5" customHeight="1">
      <c r="C105" s="377">
        <f>IF(H107+H115+H121+H129&gt;L102,"u dient hiervoor een nadere motivering bij te voegen!","")</f>
      </c>
      <c r="F105" s="131"/>
      <c r="G105" s="367" t="s">
        <v>85</v>
      </c>
      <c r="H105" s="367" t="s">
        <v>84</v>
      </c>
      <c r="J105" s="367" t="s">
        <v>543</v>
      </c>
      <c r="L105" s="367" t="s">
        <v>84</v>
      </c>
      <c r="M105" s="367" t="s">
        <v>543</v>
      </c>
      <c r="T105" s="5">
        <v>38718</v>
      </c>
    </row>
    <row r="106" spans="3:23" ht="13.5" customHeight="1">
      <c r="C106" s="266"/>
      <c r="F106" s="378"/>
      <c r="G106" s="379"/>
      <c r="H106" s="254" t="s">
        <v>88</v>
      </c>
      <c r="J106" s="254" t="s">
        <v>88</v>
      </c>
      <c r="L106" s="254" t="s">
        <v>87</v>
      </c>
      <c r="M106" s="254" t="s">
        <v>87</v>
      </c>
      <c r="P106" s="5" t="s">
        <v>584</v>
      </c>
      <c r="Q106" s="5" t="s">
        <v>549</v>
      </c>
      <c r="R106" s="5" t="s">
        <v>548</v>
      </c>
      <c r="S106" s="5" t="s">
        <v>501</v>
      </c>
      <c r="T106" s="5" t="s">
        <v>90</v>
      </c>
      <c r="U106" s="6" t="s">
        <v>91</v>
      </c>
      <c r="V106" s="6" t="s">
        <v>85</v>
      </c>
      <c r="W106" s="6" t="s">
        <v>655</v>
      </c>
    </row>
    <row r="107" spans="2:23" ht="13.5" customHeight="1">
      <c r="B107" s="246">
        <f>B102+1</f>
        <v>303</v>
      </c>
      <c r="C107" s="247" t="s">
        <v>577</v>
      </c>
      <c r="D107" s="238"/>
      <c r="E107" s="238"/>
      <c r="F107" s="262"/>
      <c r="G107" s="380">
        <v>38353</v>
      </c>
      <c r="H107" s="457"/>
      <c r="I107" s="339"/>
      <c r="J107" s="457"/>
      <c r="K107" s="381"/>
      <c r="L107" s="382">
        <f>ROUND(H107/365*$S107,2)</f>
        <v>0</v>
      </c>
      <c r="M107" s="383">
        <f>ROUND(J107/365*$S107,0)</f>
        <v>0</v>
      </c>
      <c r="P107" s="370">
        <f>H107</f>
        <v>0</v>
      </c>
      <c r="Q107" s="384">
        <v>0</v>
      </c>
      <c r="R107" s="384">
        <f>H107*365</f>
        <v>0</v>
      </c>
      <c r="S107" s="384">
        <f aca="true" t="shared" si="4" ref="S107:S112">IF(OR(G107=0,H107=0),0,$S$63-G107)</f>
        <v>0</v>
      </c>
      <c r="T107" s="326">
        <v>38353</v>
      </c>
      <c r="U107" s="326">
        <v>38353</v>
      </c>
      <c r="V107" s="327">
        <v>38353</v>
      </c>
      <c r="W107" s="327"/>
    </row>
    <row r="108" spans="2:23" ht="13.5" customHeight="1">
      <c r="B108" s="246">
        <f aca="true" t="shared" si="5" ref="B108:B113">B107+1</f>
        <v>304</v>
      </c>
      <c r="C108" s="247" t="s">
        <v>636</v>
      </c>
      <c r="D108" s="238"/>
      <c r="E108" s="238"/>
      <c r="F108" s="262"/>
      <c r="G108" s="459"/>
      <c r="H108" s="457"/>
      <c r="I108" s="339"/>
      <c r="J108" s="457"/>
      <c r="K108" s="381"/>
      <c r="L108" s="382">
        <f>IF(AND(G108="",H108="",J108=""),"",ROUND(H108/365*$S108,2))</f>
      </c>
      <c r="M108" s="383">
        <f>IF(AND(G108="",H108="",J108=""),"",ROUND(J108/365*$S108,0))</f>
      </c>
      <c r="P108" s="400"/>
      <c r="Q108" s="385">
        <f>IF(H108&lt;0,MAX(H108*365,-SUM(J107)),0)</f>
        <v>0</v>
      </c>
      <c r="R108" s="385">
        <f>IF(H108&gt;0,H108*365,0)</f>
        <v>0</v>
      </c>
      <c r="S108" s="385">
        <f t="shared" si="4"/>
        <v>0</v>
      </c>
      <c r="T108" s="322">
        <f>MAX(V$107:V107)</f>
        <v>38353</v>
      </c>
      <c r="U108" s="322">
        <f>IF(G109&gt;0,V109,38718)</f>
        <v>38718</v>
      </c>
      <c r="V108" s="323">
        <f>IF(G108=0,V107,IF(G108&lt;MAX(V$107:V107),MAX(V$107:V107),G108))</f>
        <v>38353</v>
      </c>
      <c r="W108" s="514">
        <f>IF(G108="",0,G108)</f>
        <v>0</v>
      </c>
    </row>
    <row r="109" spans="2:23" ht="13.5" customHeight="1">
      <c r="B109" s="246">
        <f t="shared" si="5"/>
        <v>305</v>
      </c>
      <c r="C109" s="247" t="s">
        <v>636</v>
      </c>
      <c r="D109" s="238"/>
      <c r="E109" s="238"/>
      <c r="F109" s="262"/>
      <c r="G109" s="459"/>
      <c r="H109" s="457"/>
      <c r="I109" s="339"/>
      <c r="J109" s="457"/>
      <c r="K109" s="381"/>
      <c r="L109" s="382">
        <f>IF(AND(G109="",H109="",J109=""),"",ROUND(H109/365*$S109,2))</f>
      </c>
      <c r="M109" s="383">
        <f>IF(AND(G109="",H109="",J109=""),"",ROUND(J109/365*$S109,0))</f>
      </c>
      <c r="P109" s="400"/>
      <c r="Q109" s="385">
        <f>IF(H109&lt;0,MAX(H109*365,-SUM(J107:J108)),0)</f>
        <v>0</v>
      </c>
      <c r="R109" s="385">
        <f>IF(H109&gt;0,H109*365,0)</f>
        <v>0</v>
      </c>
      <c r="S109" s="385">
        <f t="shared" si="4"/>
        <v>0</v>
      </c>
      <c r="T109" s="322">
        <f>MAX(V$107:V108)</f>
        <v>38353</v>
      </c>
      <c r="U109" s="322">
        <f>IF(G110&gt;0,V110,38718)</f>
        <v>38718</v>
      </c>
      <c r="V109" s="323">
        <f>IF(G109=0,V108,IF(G109&lt;MAX(V$107:V108),MAX(V$107:V108),G109))</f>
        <v>38353</v>
      </c>
      <c r="W109" s="514">
        <f>IF(G109="",0,G109)</f>
        <v>0</v>
      </c>
    </row>
    <row r="110" spans="2:23" ht="13.5" customHeight="1">
      <c r="B110" s="246">
        <f t="shared" si="5"/>
        <v>306</v>
      </c>
      <c r="C110" s="247" t="s">
        <v>636</v>
      </c>
      <c r="D110" s="238"/>
      <c r="E110" s="238"/>
      <c r="F110" s="262"/>
      <c r="G110" s="459"/>
      <c r="H110" s="457"/>
      <c r="I110" s="339"/>
      <c r="J110" s="457"/>
      <c r="K110" s="381"/>
      <c r="L110" s="382">
        <f>IF(AND(G110="",H110="",J110=""),"",ROUND(H110/365*$S110,2))</f>
      </c>
      <c r="M110" s="383">
        <f>IF(AND(G110="",H110="",J110=""),"",ROUND(J110/365*$S110,0))</f>
      </c>
      <c r="P110" s="400"/>
      <c r="Q110" s="385">
        <f>IF(H110&lt;0,MAX(H110*365,-SUM(J107:J109)),0)</f>
        <v>0</v>
      </c>
      <c r="R110" s="385">
        <f>IF(H110&gt;0,H110*365,0)</f>
        <v>0</v>
      </c>
      <c r="S110" s="385">
        <f t="shared" si="4"/>
        <v>0</v>
      </c>
      <c r="T110" s="322">
        <f>MAX(V$107:V109)</f>
        <v>38353</v>
      </c>
      <c r="U110" s="322">
        <f>IF(G111&gt;0,V111,38718)</f>
        <v>38718</v>
      </c>
      <c r="V110" s="323">
        <f>IF(G110=0,V109,IF(G110&lt;MAX(V$107:V109),MAX(V$107:V109),G110))</f>
        <v>38353</v>
      </c>
      <c r="W110" s="514">
        <f>IF(G110="",0,G110)</f>
        <v>0</v>
      </c>
    </row>
    <row r="111" spans="2:23" ht="13.5" customHeight="1">
      <c r="B111" s="246">
        <f t="shared" si="5"/>
        <v>307</v>
      </c>
      <c r="C111" s="247" t="s">
        <v>636</v>
      </c>
      <c r="D111" s="238"/>
      <c r="E111" s="238"/>
      <c r="F111" s="262"/>
      <c r="G111" s="459"/>
      <c r="H111" s="457"/>
      <c r="I111" s="339"/>
      <c r="J111" s="457"/>
      <c r="K111" s="381"/>
      <c r="L111" s="382">
        <f>IF(AND(G111="",H111="",J111=""),"",ROUND(H111/365*$S111,2))</f>
      </c>
      <c r="M111" s="383">
        <f>IF(AND(G111="",H111="",J111=""),"",ROUND(J111/365*$S111,0))</f>
      </c>
      <c r="P111" s="400"/>
      <c r="Q111" s="385">
        <f>IF(H111&lt;0,MAX(H111*365,-SUM(J107:J110)),0)</f>
        <v>0</v>
      </c>
      <c r="R111" s="385">
        <f>IF(H111&gt;0,H111*365,0)</f>
        <v>0</v>
      </c>
      <c r="S111" s="385">
        <f t="shared" si="4"/>
        <v>0</v>
      </c>
      <c r="T111" s="322">
        <f>MAX(V$107:V110)</f>
        <v>38353</v>
      </c>
      <c r="U111" s="322">
        <f>IF(G112&gt;0,V112,38718)</f>
        <v>38718</v>
      </c>
      <c r="V111" s="323">
        <f>IF(G111=0,V110,IF(G111&lt;MAX(V$107:V110),MAX(V$107:V110),G111))</f>
        <v>38353</v>
      </c>
      <c r="W111" s="514">
        <f>IF(G111="",0,G111)</f>
        <v>0</v>
      </c>
    </row>
    <row r="112" spans="2:23" ht="13.5" customHeight="1">
      <c r="B112" s="386">
        <f t="shared" si="5"/>
        <v>308</v>
      </c>
      <c r="C112" s="247" t="s">
        <v>636</v>
      </c>
      <c r="D112" s="387"/>
      <c r="E112" s="387"/>
      <c r="F112" s="388"/>
      <c r="G112" s="460"/>
      <c r="H112" s="458"/>
      <c r="I112" s="339"/>
      <c r="J112" s="458"/>
      <c r="K112" s="381"/>
      <c r="L112" s="389">
        <f>IF(AND(G112="",H112="",J112=""),"",ROUND(H112/365*$S112,2))</f>
      </c>
      <c r="M112" s="390">
        <f>IF(AND(G112="",H112="",J112=""),"",ROUND(J112/365*$S112,0))</f>
      </c>
      <c r="P112" s="400"/>
      <c r="Q112" s="391">
        <f>IF(H112&lt;0,MAX(H112*365,-SUM(J107:J111)),0)</f>
        <v>0</v>
      </c>
      <c r="R112" s="391">
        <f>IF(H112&gt;0,H112*365,0)</f>
        <v>0</v>
      </c>
      <c r="S112" s="391">
        <f t="shared" si="4"/>
        <v>0</v>
      </c>
      <c r="T112" s="324">
        <f>MAX(V$107:V111)</f>
        <v>38353</v>
      </c>
      <c r="U112" s="328">
        <v>38718</v>
      </c>
      <c r="V112" s="325">
        <f>IF(G112=0,V111,IF(G112&lt;MAX(V$107:V111),MAX(V$107:V111),G112))</f>
        <v>38353</v>
      </c>
      <c r="W112" s="531">
        <f>IF(G112="",0,G112)</f>
        <v>0</v>
      </c>
    </row>
    <row r="113" spans="2:23" ht="13.5" customHeight="1">
      <c r="B113" s="392">
        <f t="shared" si="5"/>
        <v>309</v>
      </c>
      <c r="C113" s="393" t="s">
        <v>578</v>
      </c>
      <c r="D113" s="394"/>
      <c r="E113" s="394"/>
      <c r="F113" s="394"/>
      <c r="G113" s="395"/>
      <c r="H113" s="396">
        <f>SUM(H107:H112)</f>
        <v>0</v>
      </c>
      <c r="I113" s="463"/>
      <c r="J113" s="396">
        <f>SUM(J107:J112)</f>
        <v>0</v>
      </c>
      <c r="K113" s="463"/>
      <c r="L113" s="397">
        <f>SUM(L107:L112)</f>
        <v>0</v>
      </c>
      <c r="M113" s="396">
        <f>SUM(M107:M112)</f>
        <v>0</v>
      </c>
      <c r="T113" s="398"/>
      <c r="U113" s="38"/>
      <c r="V113" s="38"/>
      <c r="W113" s="38"/>
    </row>
    <row r="114" ht="13.5" customHeight="1"/>
    <row r="115" spans="2:23" ht="13.5" customHeight="1">
      <c r="B115" s="246">
        <f>B113+1</f>
        <v>310</v>
      </c>
      <c r="C115" s="247" t="s">
        <v>582</v>
      </c>
      <c r="D115" s="238"/>
      <c r="E115" s="238"/>
      <c r="F115" s="262"/>
      <c r="G115" s="380">
        <v>38353</v>
      </c>
      <c r="H115" s="457"/>
      <c r="I115" s="339"/>
      <c r="J115" s="457"/>
      <c r="K115" s="381"/>
      <c r="L115" s="382">
        <f>ROUND(H115/365*$S115,2)</f>
        <v>0</v>
      </c>
      <c r="M115" s="383">
        <f>ROUND(J115/365*$S115,0)</f>
        <v>0</v>
      </c>
      <c r="P115" s="370">
        <f>H115</f>
        <v>0</v>
      </c>
      <c r="Q115" s="384">
        <v>0</v>
      </c>
      <c r="R115" s="384">
        <f>H115*365</f>
        <v>0</v>
      </c>
      <c r="S115" s="384">
        <f>IF(OR(G115=0,H115=0),0,$S$63-G115)</f>
        <v>0</v>
      </c>
      <c r="T115" s="326">
        <v>38353</v>
      </c>
      <c r="U115" s="326">
        <v>38353</v>
      </c>
      <c r="V115" s="327">
        <v>38353</v>
      </c>
      <c r="W115" s="327"/>
    </row>
    <row r="116" spans="2:23" ht="13.5" customHeight="1">
      <c r="B116" s="246">
        <f>B115+1</f>
        <v>311</v>
      </c>
      <c r="C116" s="247" t="s">
        <v>635</v>
      </c>
      <c r="D116" s="238"/>
      <c r="E116" s="238"/>
      <c r="F116" s="262"/>
      <c r="G116" s="459"/>
      <c r="H116" s="457"/>
      <c r="I116" s="339"/>
      <c r="J116" s="457"/>
      <c r="K116" s="381"/>
      <c r="L116" s="382">
        <f>IF(AND(G116="",H116="",J116=""),"",ROUND(H116/365*$S116,2))</f>
      </c>
      <c r="M116" s="383">
        <f>IF(AND(G116="",H116="",J116=""),"",ROUND(J116/365*$S116,0))</f>
      </c>
      <c r="P116" s="400"/>
      <c r="Q116" s="385">
        <f>IF(H116&lt;0,MAX(H116*365,-SUM(J115)),0)</f>
        <v>0</v>
      </c>
      <c r="R116" s="385">
        <f>IF(H116&gt;0,H116*365,0)</f>
        <v>0</v>
      </c>
      <c r="S116" s="385">
        <f>IF(OR(G116=0,H116=0),0,$S$63-G116)</f>
        <v>0</v>
      </c>
      <c r="T116" s="322">
        <f>MAX(V$115:V115)</f>
        <v>38353</v>
      </c>
      <c r="U116" s="322">
        <f>IF(G117&gt;0,V117,38718)</f>
        <v>38718</v>
      </c>
      <c r="V116" s="323">
        <f>IF(G116=0,V115,IF(G116&lt;MAX(V$115:V115),MAX(V$115:V115),G116))</f>
        <v>38353</v>
      </c>
      <c r="W116" s="514">
        <f>IF(G116="",0,G116)</f>
        <v>0</v>
      </c>
    </row>
    <row r="117" spans="2:23" ht="13.5" customHeight="1">
      <c r="B117" s="246">
        <f>B116+1</f>
        <v>312</v>
      </c>
      <c r="C117" s="247" t="s">
        <v>635</v>
      </c>
      <c r="D117" s="238"/>
      <c r="E117" s="238"/>
      <c r="F117" s="262"/>
      <c r="G117" s="459"/>
      <c r="H117" s="457"/>
      <c r="I117" s="339"/>
      <c r="J117" s="457"/>
      <c r="K117" s="381"/>
      <c r="L117" s="382">
        <f>IF(AND(G117="",H117="",J117=""),"",ROUND(H117/365*$S117,2))</f>
      </c>
      <c r="M117" s="383">
        <f>IF(AND(G117="",H117="",J117=""),"",ROUND(J117/365*$S117,0))</f>
      </c>
      <c r="P117" s="400"/>
      <c r="Q117" s="401">
        <f>IF(H117&lt;0,MAX(H117*365,-SUM(J115:J116)),0)</f>
        <v>0</v>
      </c>
      <c r="R117" s="402">
        <f>IF(H117&gt;0,H117*365,0)</f>
        <v>0</v>
      </c>
      <c r="S117" s="385">
        <f>IF(OR(G117=0,H117=0),0,$S$63-G117)</f>
        <v>0</v>
      </c>
      <c r="T117" s="322">
        <f>MAX(V$115:V116)</f>
        <v>38353</v>
      </c>
      <c r="U117" s="322">
        <f>IF(G118&gt;0,V118,38718)</f>
        <v>38718</v>
      </c>
      <c r="V117" s="323">
        <f>IF(G117=0,V116,IF(G117&lt;MAX(V$115:V116),MAX(V$115:V116),G117))</f>
        <v>38353</v>
      </c>
      <c r="W117" s="514">
        <f>IF(G117="",0,G117)</f>
        <v>0</v>
      </c>
    </row>
    <row r="118" spans="2:23" ht="13.5" customHeight="1">
      <c r="B118" s="386">
        <f>B117+1</f>
        <v>313</v>
      </c>
      <c r="C118" s="247" t="s">
        <v>635</v>
      </c>
      <c r="D118" s="387"/>
      <c r="E118" s="387"/>
      <c r="F118" s="388"/>
      <c r="G118" s="460"/>
      <c r="H118" s="458"/>
      <c r="I118" s="339"/>
      <c r="J118" s="458"/>
      <c r="K118" s="381"/>
      <c r="L118" s="389">
        <f>IF(AND(G118="",H118="",J118=""),"",ROUND(H118/365*$S118,2))</f>
      </c>
      <c r="M118" s="390">
        <f>IF(AND(G118="",H118="",J118=""),"",ROUND(J118/365*$S118,0))</f>
      </c>
      <c r="P118" s="400"/>
      <c r="Q118" s="403">
        <f>IF(H118&lt;0,MAX(H118*365,-SUM(J115:J117)),0)</f>
        <v>0</v>
      </c>
      <c r="R118" s="404">
        <f>IF(H118&gt;0,H118*365,0)</f>
        <v>0</v>
      </c>
      <c r="S118" s="391">
        <f>IF(OR(G118=0,H118=0),0,$S$63-G118)</f>
        <v>0</v>
      </c>
      <c r="T118" s="324">
        <f>MAX(V$115:V117)</f>
        <v>38353</v>
      </c>
      <c r="U118" s="328">
        <v>38718</v>
      </c>
      <c r="V118" s="325">
        <f>IF(G118=0,V117,IF(G118&lt;MAX(V$115:V117),MAX(V$115:V117),G118))</f>
        <v>38353</v>
      </c>
      <c r="W118" s="531">
        <f>IF(G118="",0,G118)</f>
        <v>0</v>
      </c>
    </row>
    <row r="119" spans="2:23" ht="13.5" customHeight="1">
      <c r="B119" s="392">
        <f>B118+1</f>
        <v>314</v>
      </c>
      <c r="C119" s="393" t="s">
        <v>579</v>
      </c>
      <c r="D119" s="394"/>
      <c r="E119" s="394"/>
      <c r="F119" s="394"/>
      <c r="G119" s="395"/>
      <c r="H119" s="396">
        <f>SUM(H115:H118)</f>
        <v>0</v>
      </c>
      <c r="I119" s="463"/>
      <c r="J119" s="396">
        <f>SUM(J115:J118)</f>
        <v>0</v>
      </c>
      <c r="K119" s="463"/>
      <c r="L119" s="397">
        <f>SUM(L115:L118)</f>
        <v>0</v>
      </c>
      <c r="M119" s="396">
        <f>SUM(M115:M118)</f>
        <v>0</v>
      </c>
      <c r="P119" s="405"/>
      <c r="T119" s="398"/>
      <c r="U119" s="38"/>
      <c r="V119" s="38"/>
      <c r="W119" s="38"/>
    </row>
    <row r="120" ht="13.5" customHeight="1">
      <c r="P120" s="406"/>
    </row>
    <row r="121" spans="2:23" ht="13.5" customHeight="1">
      <c r="B121" s="246">
        <f>B119+1</f>
        <v>315</v>
      </c>
      <c r="C121" s="247" t="s">
        <v>583</v>
      </c>
      <c r="D121" s="238"/>
      <c r="E121" s="238"/>
      <c r="F121" s="262"/>
      <c r="G121" s="380">
        <v>38353</v>
      </c>
      <c r="H121" s="457"/>
      <c r="I121" s="339"/>
      <c r="J121" s="457"/>
      <c r="K121" s="381"/>
      <c r="L121" s="382">
        <f>ROUND(H121/365*$S121,2)</f>
        <v>0</v>
      </c>
      <c r="M121" s="383">
        <f>ROUND(J121/365*$S121,0)</f>
        <v>0</v>
      </c>
      <c r="P121" s="370">
        <f>H121</f>
        <v>0</v>
      </c>
      <c r="Q121" s="384">
        <v>0</v>
      </c>
      <c r="R121" s="384">
        <f>H121*365</f>
        <v>0</v>
      </c>
      <c r="S121" s="384">
        <f aca="true" t="shared" si="6" ref="S121:S126">IF(OR(G121=0,H121=0),0,$S$63-G121)</f>
        <v>0</v>
      </c>
      <c r="T121" s="326">
        <v>38353</v>
      </c>
      <c r="U121" s="326">
        <v>38353</v>
      </c>
      <c r="V121" s="327">
        <v>38353</v>
      </c>
      <c r="W121" s="327"/>
    </row>
    <row r="122" spans="2:23" ht="13.5" customHeight="1">
      <c r="B122" s="246">
        <f aca="true" t="shared" si="7" ref="B122:B127">B121+1</f>
        <v>316</v>
      </c>
      <c r="C122" s="247" t="s">
        <v>637</v>
      </c>
      <c r="D122" s="238"/>
      <c r="E122" s="238"/>
      <c r="F122" s="262"/>
      <c r="G122" s="459"/>
      <c r="H122" s="457"/>
      <c r="I122" s="339"/>
      <c r="J122" s="457"/>
      <c r="K122" s="381"/>
      <c r="L122" s="382">
        <f>IF(AND(G122="",H122="",J122=""),"",ROUND(H122/365*$S122,2))</f>
      </c>
      <c r="M122" s="383">
        <f>IF(AND(G122="",H122="",J122=""),"",ROUND(J122/365*$S122,0))</f>
      </c>
      <c r="P122" s="400"/>
      <c r="Q122" s="385">
        <f>IF(H122&lt;0,MAX(H122*365,-SUM(J121)),0)</f>
        <v>0</v>
      </c>
      <c r="R122" s="385">
        <f>IF(H122&gt;0,H122*365,0)</f>
        <v>0</v>
      </c>
      <c r="S122" s="385">
        <f t="shared" si="6"/>
        <v>0</v>
      </c>
      <c r="T122" s="322">
        <f>MAX(V$121:V121)</f>
        <v>38353</v>
      </c>
      <c r="U122" s="322">
        <f>IF(G123&gt;0,V123,38718)</f>
        <v>38718</v>
      </c>
      <c r="V122" s="323">
        <f>IF(G122=0,V121,IF(G122&lt;MAX(V$121:V121),MAX(V$121:V121),G122))</f>
        <v>38353</v>
      </c>
      <c r="W122" s="514">
        <f>IF(G122="",0,G122)</f>
        <v>0</v>
      </c>
    </row>
    <row r="123" spans="2:23" ht="13.5" customHeight="1">
      <c r="B123" s="246">
        <f t="shared" si="7"/>
        <v>317</v>
      </c>
      <c r="C123" s="247" t="s">
        <v>637</v>
      </c>
      <c r="D123" s="238"/>
      <c r="E123" s="238"/>
      <c r="F123" s="262"/>
      <c r="G123" s="459"/>
      <c r="H123" s="457"/>
      <c r="I123" s="339"/>
      <c r="J123" s="457"/>
      <c r="K123" s="381"/>
      <c r="L123" s="382">
        <f>IF(AND(G123="",H123="",J123=""),"",ROUND(H123/365*$S123,2))</f>
      </c>
      <c r="M123" s="383">
        <f>IF(AND(G123="",H123="",J123=""),"",ROUND(J123/365*$S123,0))</f>
      </c>
      <c r="P123" s="400"/>
      <c r="Q123" s="385">
        <f>IF(H123&lt;0,MAX(H123*365,-SUM(J121:J122)),0)</f>
        <v>0</v>
      </c>
      <c r="R123" s="385">
        <f>IF(H123&gt;0,H123*365,0)</f>
        <v>0</v>
      </c>
      <c r="S123" s="385">
        <f t="shared" si="6"/>
        <v>0</v>
      </c>
      <c r="T123" s="322">
        <f>MAX(V$121:V122)</f>
        <v>38353</v>
      </c>
      <c r="U123" s="322">
        <f>IF(G124&gt;0,V124,38718)</f>
        <v>38718</v>
      </c>
      <c r="V123" s="323">
        <f>IF(G123=0,V122,IF(G123&lt;MAX(V$121:V122),MAX(V$121:V122),G123))</f>
        <v>38353</v>
      </c>
      <c r="W123" s="514">
        <f>IF(G123="",0,G123)</f>
        <v>0</v>
      </c>
    </row>
    <row r="124" spans="2:23" ht="13.5" customHeight="1">
      <c r="B124" s="246">
        <f t="shared" si="7"/>
        <v>318</v>
      </c>
      <c r="C124" s="247" t="s">
        <v>637</v>
      </c>
      <c r="D124" s="238"/>
      <c r="E124" s="238"/>
      <c r="F124" s="262"/>
      <c r="G124" s="459"/>
      <c r="H124" s="457"/>
      <c r="I124" s="339"/>
      <c r="J124" s="457"/>
      <c r="K124" s="381"/>
      <c r="L124" s="382">
        <f>IF(AND(G124="",H124="",J124=""),"",ROUND(H124/365*$S124,2))</f>
      </c>
      <c r="M124" s="383">
        <f>IF(AND(G124="",H124="",J124=""),"",ROUND(J124/365*$S124,0))</f>
      </c>
      <c r="P124" s="400"/>
      <c r="Q124" s="385">
        <f>IF(H124&lt;0,MAX(H124*365,-SUM(J121:J123)),0)</f>
        <v>0</v>
      </c>
      <c r="R124" s="385">
        <f>IF(H124&gt;0,H124*365,0)</f>
        <v>0</v>
      </c>
      <c r="S124" s="385">
        <f t="shared" si="6"/>
        <v>0</v>
      </c>
      <c r="T124" s="322">
        <f>MAX(V$121:V123)</f>
        <v>38353</v>
      </c>
      <c r="U124" s="322">
        <f>IF(G125&gt;0,V125,38718)</f>
        <v>38718</v>
      </c>
      <c r="V124" s="323">
        <f>IF(G124=0,V123,IF(G124&lt;MAX(V$121:V123),MAX(V$121:V123),G124))</f>
        <v>38353</v>
      </c>
      <c r="W124" s="514">
        <f>IF(G124="",0,G124)</f>
        <v>0</v>
      </c>
    </row>
    <row r="125" spans="2:23" ht="13.5" customHeight="1">
      <c r="B125" s="246">
        <f t="shared" si="7"/>
        <v>319</v>
      </c>
      <c r="C125" s="247" t="s">
        <v>637</v>
      </c>
      <c r="D125" s="238"/>
      <c r="E125" s="238"/>
      <c r="F125" s="262"/>
      <c r="G125" s="459"/>
      <c r="H125" s="457"/>
      <c r="I125" s="339"/>
      <c r="J125" s="457"/>
      <c r="K125" s="381"/>
      <c r="L125" s="382">
        <f>IF(AND(G125="",H125="",J125=""),"",ROUND(H125/365*$S125,2))</f>
      </c>
      <c r="M125" s="383">
        <f>IF(AND(G125="",H125="",J125=""),"",ROUND(J125/365*$S125,0))</f>
      </c>
      <c r="P125" s="400"/>
      <c r="Q125" s="385">
        <f>IF(H125&lt;0,MAX(H125*365,-SUM(J121:J124)),0)</f>
        <v>0</v>
      </c>
      <c r="R125" s="385">
        <f>IF(H125&gt;0,H125*365,0)</f>
        <v>0</v>
      </c>
      <c r="S125" s="385">
        <f t="shared" si="6"/>
        <v>0</v>
      </c>
      <c r="T125" s="322">
        <f>MAX(V$121:V124)</f>
        <v>38353</v>
      </c>
      <c r="U125" s="322">
        <f>IF(G126&gt;0,V126,38718)</f>
        <v>38718</v>
      </c>
      <c r="V125" s="323">
        <f>IF(G125=0,V124,IF(G125&lt;MAX(V$121:V124),MAX(V$121:V124),G125))</f>
        <v>38353</v>
      </c>
      <c r="W125" s="514">
        <f>IF(G125="",0,G125)</f>
        <v>0</v>
      </c>
    </row>
    <row r="126" spans="2:23" ht="13.5" customHeight="1">
      <c r="B126" s="386">
        <f t="shared" si="7"/>
        <v>320</v>
      </c>
      <c r="C126" s="247" t="s">
        <v>637</v>
      </c>
      <c r="D126" s="387"/>
      <c r="E126" s="387"/>
      <c r="F126" s="388"/>
      <c r="G126" s="460"/>
      <c r="H126" s="458"/>
      <c r="I126" s="339"/>
      <c r="J126" s="458"/>
      <c r="K126" s="381"/>
      <c r="L126" s="389">
        <f>IF(AND(G126="",H126="",J126=""),"",ROUND(H126/365*$S126,2))</f>
      </c>
      <c r="M126" s="390">
        <f>IF(AND(G126="",H126="",J126=""),"",ROUND(J126/365*$S126,0))</f>
      </c>
      <c r="P126" s="400"/>
      <c r="Q126" s="391">
        <f>IF(H126&lt;0,MAX(H126*365,-SUM(J121:J125)),0)</f>
        <v>0</v>
      </c>
      <c r="R126" s="391">
        <f>IF(H126&gt;0,H126*365,0)</f>
        <v>0</v>
      </c>
      <c r="S126" s="391">
        <f t="shared" si="6"/>
        <v>0</v>
      </c>
      <c r="T126" s="324">
        <f>MAX(V$121:V125)</f>
        <v>38353</v>
      </c>
      <c r="U126" s="328">
        <v>38718</v>
      </c>
      <c r="V126" s="325">
        <f>IF(G126=0,V125,IF(G126&lt;MAX(V$121:V125),MAX(V$121:V125),G126))</f>
        <v>38353</v>
      </c>
      <c r="W126" s="531">
        <f>IF(G126="",0,G126)</f>
        <v>0</v>
      </c>
    </row>
    <row r="127" spans="2:23" ht="13.5" customHeight="1">
      <c r="B127" s="392">
        <f t="shared" si="7"/>
        <v>321</v>
      </c>
      <c r="C127" s="393" t="s">
        <v>580</v>
      </c>
      <c r="D127" s="394"/>
      <c r="E127" s="394"/>
      <c r="F127" s="394"/>
      <c r="G127" s="395"/>
      <c r="H127" s="396">
        <f>SUM(H121:H126)</f>
        <v>0</v>
      </c>
      <c r="I127" s="463"/>
      <c r="J127" s="396">
        <f>SUM(J121:J126)</f>
        <v>0</v>
      </c>
      <c r="K127" s="463"/>
      <c r="L127" s="397">
        <f>SUM(L121:L126)</f>
        <v>0</v>
      </c>
      <c r="M127" s="396">
        <f>SUM(M121:M126)</f>
        <v>0</v>
      </c>
      <c r="T127" s="398"/>
      <c r="U127" s="38"/>
      <c r="V127" s="38"/>
      <c r="W127" s="38"/>
    </row>
    <row r="128" spans="8:13" ht="13.5" customHeight="1">
      <c r="H128" s="381"/>
      <c r="I128" s="381"/>
      <c r="J128" s="381"/>
      <c r="K128" s="381"/>
      <c r="L128" s="381"/>
      <c r="M128" s="381"/>
    </row>
    <row r="129" spans="2:23" ht="13.5" customHeight="1">
      <c r="B129" s="246">
        <f>B127+1</f>
        <v>322</v>
      </c>
      <c r="C129" s="247" t="s">
        <v>633</v>
      </c>
      <c r="D129" s="238"/>
      <c r="E129" s="238"/>
      <c r="F129" s="262"/>
      <c r="G129" s="380">
        <v>38353</v>
      </c>
      <c r="H129" s="457"/>
      <c r="I129" s="339"/>
      <c r="J129" s="457"/>
      <c r="K129" s="381"/>
      <c r="L129" s="382">
        <f>ROUND(H129/365*$S129,2)</f>
        <v>0</v>
      </c>
      <c r="M129" s="383">
        <f>ROUND(J129/365*$S129,0)</f>
        <v>0</v>
      </c>
      <c r="P129" s="370">
        <f>H129</f>
        <v>0</v>
      </c>
      <c r="Q129" s="384">
        <v>0</v>
      </c>
      <c r="R129" s="384">
        <f>H129*365</f>
        <v>0</v>
      </c>
      <c r="S129" s="384">
        <f>IF(OR(G129=0,H129=0),0,$S$63-G129)</f>
        <v>0</v>
      </c>
      <c r="T129" s="326">
        <v>38353</v>
      </c>
      <c r="U129" s="326">
        <v>38353</v>
      </c>
      <c r="V129" s="327">
        <v>38353</v>
      </c>
      <c r="W129" s="327"/>
    </row>
    <row r="130" spans="2:23" ht="13.5" customHeight="1">
      <c r="B130" s="246">
        <f>B129+1</f>
        <v>323</v>
      </c>
      <c r="C130" s="247" t="s">
        <v>634</v>
      </c>
      <c r="D130" s="238"/>
      <c r="E130" s="238"/>
      <c r="F130" s="262"/>
      <c r="G130" s="459"/>
      <c r="H130" s="457"/>
      <c r="I130" s="339"/>
      <c r="J130" s="457"/>
      <c r="K130" s="381"/>
      <c r="L130" s="382">
        <f>IF(AND(G130="",H130="",J130=""),"",ROUND(H130/365*$S130,2))</f>
      </c>
      <c r="M130" s="383">
        <f>IF(AND(G130="",H130="",J130=""),"",ROUND(J130/365*$S130,0))</f>
      </c>
      <c r="P130" s="400"/>
      <c r="Q130" s="385">
        <f>IF(H130&lt;0,MAX(H130*365,-SUM(J129)),0)</f>
        <v>0</v>
      </c>
      <c r="R130" s="385">
        <f>IF(H130&gt;0,H130*365,0)</f>
        <v>0</v>
      </c>
      <c r="S130" s="385">
        <f>IF(OR(G130=0,H130=0),0,$S$63-G130)</f>
        <v>0</v>
      </c>
      <c r="T130" s="322">
        <f>MAX(V$129:V129)</f>
        <v>38353</v>
      </c>
      <c r="U130" s="322">
        <f>IF(G131&gt;0,V131,38718)</f>
        <v>38718</v>
      </c>
      <c r="V130" s="323">
        <f>IF(G130=0,V129,IF(G130&lt;MAX(V$129:V129),MAX(V$129:V129),G130))</f>
        <v>38353</v>
      </c>
      <c r="W130" s="514">
        <f>IF(G130="",0,G130)</f>
        <v>0</v>
      </c>
    </row>
    <row r="131" spans="2:23" ht="13.5" customHeight="1">
      <c r="B131" s="246">
        <f>B130+1</f>
        <v>324</v>
      </c>
      <c r="C131" s="247" t="s">
        <v>634</v>
      </c>
      <c r="D131" s="238"/>
      <c r="E131" s="238"/>
      <c r="F131" s="262"/>
      <c r="G131" s="459"/>
      <c r="H131" s="457"/>
      <c r="I131" s="339"/>
      <c r="J131" s="457"/>
      <c r="K131" s="381"/>
      <c r="L131" s="382">
        <f>IF(AND(G131="",H131="",J131=""),"",ROUND(H131/365*$S131,2))</f>
      </c>
      <c r="M131" s="383">
        <f>IF(AND(G131="",H131="",J131=""),"",ROUND(J131/365*$S131,0))</f>
      </c>
      <c r="P131" s="400"/>
      <c r="Q131" s="401">
        <f>IF(H131&lt;0,MAX(H131*365,-SUM(J129:J130)),0)</f>
        <v>0</v>
      </c>
      <c r="R131" s="402">
        <f>IF(H131&gt;0,H131*365,0)</f>
        <v>0</v>
      </c>
      <c r="S131" s="385">
        <f>IF(OR(G131=0,H131=0),0,$S$63-G131)</f>
        <v>0</v>
      </c>
      <c r="T131" s="322">
        <f>MAX(V$129:V130)</f>
        <v>38353</v>
      </c>
      <c r="U131" s="322">
        <f>IF(G132&gt;0,V132,38718)</f>
        <v>38718</v>
      </c>
      <c r="V131" s="323">
        <f>IF(G131=0,V130,IF(G131&lt;MAX(V$129:V130),MAX(V$129:V130),G131))</f>
        <v>38353</v>
      </c>
      <c r="W131" s="514">
        <f>IF(G131="",0,G131)</f>
        <v>0</v>
      </c>
    </row>
    <row r="132" spans="2:23" ht="13.5" customHeight="1">
      <c r="B132" s="386">
        <f>B131+1</f>
        <v>325</v>
      </c>
      <c r="C132" s="247" t="s">
        <v>634</v>
      </c>
      <c r="D132" s="387"/>
      <c r="E132" s="387"/>
      <c r="F132" s="388"/>
      <c r="G132" s="460"/>
      <c r="H132" s="458"/>
      <c r="I132" s="339"/>
      <c r="J132" s="458"/>
      <c r="K132" s="381"/>
      <c r="L132" s="389">
        <f>IF(AND(G132="",H132="",J132=""),"",ROUND(H132/365*$S132,2))</f>
      </c>
      <c r="M132" s="390">
        <f>IF(AND(G132="",H132="",J132=""),"",ROUND(J132/365*$S132,0))</f>
      </c>
      <c r="P132" s="400"/>
      <c r="Q132" s="403">
        <f>IF(H132&lt;0,MAX(H132*365,-SUM(J129:J131)),0)</f>
        <v>0</v>
      </c>
      <c r="R132" s="404">
        <f>IF(H132&gt;0,H132*365,0)</f>
        <v>0</v>
      </c>
      <c r="S132" s="391">
        <f>IF(OR(G132=0,H132=0),0,$S$63-G132)</f>
        <v>0</v>
      </c>
      <c r="T132" s="324">
        <f>MAX(V$129:V131)</f>
        <v>38353</v>
      </c>
      <c r="U132" s="328">
        <v>38718</v>
      </c>
      <c r="V132" s="325">
        <f>IF(G132=0,V131,IF(G132&lt;MAX(V$129:V131),MAX(V$129:V131),G132))</f>
        <v>38353</v>
      </c>
      <c r="W132" s="531">
        <f>IF(G132="",0,G132)</f>
        <v>0</v>
      </c>
    </row>
    <row r="133" spans="2:24" ht="13.5" customHeight="1">
      <c r="B133" s="392">
        <f>B132+1</f>
        <v>326</v>
      </c>
      <c r="C133" s="393" t="s">
        <v>581</v>
      </c>
      <c r="D133" s="394"/>
      <c r="E133" s="394"/>
      <c r="F133" s="394"/>
      <c r="G133" s="395"/>
      <c r="H133" s="396">
        <f>SUM(H129:H132)</f>
        <v>0</v>
      </c>
      <c r="I133" s="463"/>
      <c r="J133" s="396">
        <f>SUM(J129:J132)</f>
        <v>0</v>
      </c>
      <c r="K133" s="463"/>
      <c r="L133" s="397">
        <f>SUM(L129:L132)</f>
        <v>0</v>
      </c>
      <c r="M133" s="396">
        <f>SUM(M129:M132)</f>
        <v>0</v>
      </c>
      <c r="S133" s="398"/>
      <c r="T133" s="38"/>
      <c r="U133" s="38"/>
      <c r="V133" s="38"/>
      <c r="W133" s="38"/>
      <c r="X133" s="38"/>
    </row>
    <row r="134" ht="13.5" customHeight="1"/>
    <row r="135" ht="13.5" customHeight="1">
      <c r="B135" s="399" t="s">
        <v>628</v>
      </c>
    </row>
    <row r="136" ht="13.5" customHeight="1">
      <c r="B136" s="399" t="s">
        <v>627</v>
      </c>
    </row>
    <row r="137" spans="1:11" ht="18" customHeight="1">
      <c r="A137" s="233" t="s">
        <v>92</v>
      </c>
      <c r="B137" s="232">
        <f>Voorblad!A93</f>
        <v>0</v>
      </c>
      <c r="I137" s="471"/>
      <c r="J137" s="45"/>
      <c r="K137" s="471"/>
    </row>
    <row r="138" spans="2:13" ht="18" customHeight="1">
      <c r="B138" s="234" t="str">
        <f>$B$2</f>
        <v>Budget 2005 AWBZ-instellingen sector V&amp;V</v>
      </c>
      <c r="C138" s="234"/>
      <c r="D138" s="234"/>
      <c r="E138" s="250"/>
      <c r="F138" s="352" t="str">
        <f>$F$2</f>
        <v>650 / </v>
      </c>
      <c r="G138" s="234"/>
      <c r="H138" s="236"/>
      <c r="I138" s="234"/>
      <c r="J138" s="236" t="str">
        <f>$J$2</f>
        <v>versie: 14-01-2005</v>
      </c>
      <c r="K138" s="236"/>
      <c r="L138" s="238"/>
      <c r="M138" s="239">
        <f>M92+1</f>
        <v>4</v>
      </c>
    </row>
    <row r="139" ht="12.75"/>
    <row r="140" ht="13.5" customHeight="1">
      <c r="B140" s="241" t="s">
        <v>94</v>
      </c>
    </row>
    <row r="141" spans="7:22" ht="13.5" customHeight="1">
      <c r="G141" s="386"/>
      <c r="H141" s="253" t="s">
        <v>63</v>
      </c>
      <c r="I141" s="264" t="s">
        <v>64</v>
      </c>
      <c r="J141" s="253" t="s">
        <v>93</v>
      </c>
      <c r="K141" s="264" t="s">
        <v>65</v>
      </c>
      <c r="L141" s="253" t="s">
        <v>53</v>
      </c>
      <c r="M141" s="253" t="s">
        <v>55</v>
      </c>
      <c r="Q141" s="257" t="s">
        <v>62</v>
      </c>
      <c r="R141" s="258"/>
      <c r="T141" s="465"/>
      <c r="U141" s="466" t="s">
        <v>569</v>
      </c>
      <c r="V141" s="412">
        <f>Voorblad!F11</f>
        <v>0</v>
      </c>
    </row>
    <row r="142" spans="2:18" ht="13.5" customHeight="1">
      <c r="B142" s="251" t="s">
        <v>565</v>
      </c>
      <c r="G142" s="254" t="s">
        <v>30</v>
      </c>
      <c r="H142" s="254" t="s">
        <v>50</v>
      </c>
      <c r="I142" s="268" t="s">
        <v>57</v>
      </c>
      <c r="J142" s="254" t="s">
        <v>87</v>
      </c>
      <c r="K142" s="268" t="s">
        <v>54</v>
      </c>
      <c r="L142" s="254" t="s">
        <v>658</v>
      </c>
      <c r="M142" s="254" t="s">
        <v>56</v>
      </c>
      <c r="Q142" s="259" t="s">
        <v>61</v>
      </c>
      <c r="R142" s="260" t="s">
        <v>60</v>
      </c>
    </row>
    <row r="143" spans="2:22" ht="13.5" customHeight="1">
      <c r="B143" s="246">
        <f>M138*100+1</f>
        <v>401</v>
      </c>
      <c r="C143" s="407" t="s">
        <v>95</v>
      </c>
      <c r="D143" s="238"/>
      <c r="E143" s="238"/>
      <c r="F143" s="262"/>
      <c r="G143" s="246" t="s">
        <v>33</v>
      </c>
      <c r="H143" s="246" t="str">
        <f>IF(AND($G$38="ja",$G$39="ja"),"ja","nee")</f>
        <v>nee</v>
      </c>
      <c r="I143" s="269"/>
      <c r="J143" s="223"/>
      <c r="K143" s="473"/>
      <c r="L143" s="225"/>
      <c r="M143" s="349">
        <f>IF(H143="ja",ROUND(J143*L143,0),0)</f>
        <v>0</v>
      </c>
      <c r="Q143" s="270">
        <v>0</v>
      </c>
      <c r="R143" s="276">
        <v>117.5</v>
      </c>
      <c r="T143" s="409"/>
      <c r="U143" s="476" t="s">
        <v>568</v>
      </c>
      <c r="V143" s="409"/>
    </row>
    <row r="144" spans="2:22" ht="13.5" customHeight="1">
      <c r="B144" s="246">
        <f>B143+1</f>
        <v>402</v>
      </c>
      <c r="C144" s="407" t="s">
        <v>495</v>
      </c>
      <c r="D144" s="238"/>
      <c r="E144" s="238"/>
      <c r="F144" s="262"/>
      <c r="G144" s="246" t="s">
        <v>33</v>
      </c>
      <c r="H144" s="246" t="str">
        <f>IF(AND($G$38="ja",$G$39="ja"),"ja","nee")</f>
        <v>nee</v>
      </c>
      <c r="I144" s="269"/>
      <c r="J144" s="223"/>
      <c r="K144" s="473"/>
      <c r="L144" s="225"/>
      <c r="M144" s="349">
        <f>IF(H144="ja",ROUND(J144*L144,0),0)</f>
        <v>0</v>
      </c>
      <c r="Q144" s="272">
        <v>0</v>
      </c>
      <c r="R144" s="271">
        <v>101.3</v>
      </c>
      <c r="T144" s="411" t="s">
        <v>566</v>
      </c>
      <c r="U144" s="412" t="s">
        <v>567</v>
      </c>
      <c r="V144" s="412" t="s">
        <v>573</v>
      </c>
    </row>
    <row r="145" spans="2:22" ht="13.5" customHeight="1">
      <c r="B145" s="246">
        <f>B144+1</f>
        <v>403</v>
      </c>
      <c r="C145" s="407" t="s">
        <v>496</v>
      </c>
      <c r="D145" s="238"/>
      <c r="E145" s="238"/>
      <c r="F145" s="262"/>
      <c r="G145" s="246" t="s">
        <v>33</v>
      </c>
      <c r="H145" s="246" t="str">
        <f>IF($G$39="ja","ja","nee")</f>
        <v>nee</v>
      </c>
      <c r="I145" s="269"/>
      <c r="J145" s="223"/>
      <c r="K145" s="473"/>
      <c r="L145" s="225"/>
      <c r="M145" s="349">
        <f>IF(H145="ja",ROUND(J145*L145,0),0)</f>
        <v>0</v>
      </c>
      <c r="Q145" s="273">
        <v>0</v>
      </c>
      <c r="R145" s="274">
        <v>94.4</v>
      </c>
      <c r="T145" s="365">
        <v>1348</v>
      </c>
      <c r="U145" s="365">
        <v>1358</v>
      </c>
      <c r="V145" s="365">
        <v>4110</v>
      </c>
    </row>
    <row r="146" spans="2:30" ht="13.5" customHeight="1">
      <c r="B146" s="246">
        <f>B145+1</f>
        <v>404</v>
      </c>
      <c r="C146" s="407" t="s">
        <v>564</v>
      </c>
      <c r="D146" s="238"/>
      <c r="E146" s="238"/>
      <c r="F146" s="262"/>
      <c r="G146" s="246" t="s">
        <v>33</v>
      </c>
      <c r="H146" s="408" t="str">
        <f>IF(ISERROR(VLOOKUP($V$141,$T$145:$T$152,1,FALSE)=TRUE),"nee",IF(VLOOKUP($V$141,$T$145:$T$152,1,FALSE)=$V$141,"ja","nee"))</f>
        <v>nee</v>
      </c>
      <c r="I146" s="269"/>
      <c r="J146" s="223"/>
      <c r="K146" s="473"/>
      <c r="L146" s="342">
        <f>10.12+2.94</f>
        <v>13.059999999999999</v>
      </c>
      <c r="M146" s="349">
        <f>IF(H146="ja",ROUND(J146*L146,0),0)</f>
        <v>0</v>
      </c>
      <c r="Q146" s="469"/>
      <c r="R146" s="469"/>
      <c r="T146" s="413">
        <v>1349</v>
      </c>
      <c r="U146" s="413">
        <v>8121</v>
      </c>
      <c r="V146" s="413">
        <v>4280</v>
      </c>
      <c r="Y146" s="410"/>
      <c r="Z146" s="410"/>
      <c r="AA146" s="410"/>
      <c r="AB146" s="410"/>
      <c r="AC146" s="410"/>
      <c r="AD146" s="410"/>
    </row>
    <row r="147" spans="2:30" ht="13.5" customHeight="1" thickBot="1">
      <c r="B147" s="246">
        <f>B146+1</f>
        <v>405</v>
      </c>
      <c r="C147" s="407" t="s">
        <v>563</v>
      </c>
      <c r="D147" s="238"/>
      <c r="E147" s="238"/>
      <c r="F147" s="262"/>
      <c r="G147" s="246" t="s">
        <v>33</v>
      </c>
      <c r="H147" s="408" t="str">
        <f>IF(ISERROR(VLOOKUP($V$141,$U$145:$U$148,1,FALSE)=TRUE),"nee",IF(VLOOKUP($V$141,$U$145:$U$148,1,FALSE)=$V$141,"ja","nee"))</f>
        <v>nee</v>
      </c>
      <c r="I147" s="269"/>
      <c r="J147" s="223"/>
      <c r="K147" s="473"/>
      <c r="L147" s="342">
        <f>3.52</f>
        <v>3.52</v>
      </c>
      <c r="M147" s="349">
        <f>IF(H147="ja",ROUND(J147*L147,0),0)</f>
        <v>0</v>
      </c>
      <c r="Q147" s="470"/>
      <c r="R147" s="470"/>
      <c r="T147" s="413">
        <v>1360</v>
      </c>
      <c r="U147" s="413">
        <v>8214</v>
      </c>
      <c r="V147" s="413">
        <v>5420</v>
      </c>
      <c r="Y147" s="410"/>
      <c r="Z147" s="410"/>
      <c r="AA147" s="410"/>
      <c r="AB147" s="410"/>
      <c r="AC147" s="410"/>
      <c r="AD147" s="410"/>
    </row>
    <row r="148" spans="2:22" ht="13.5" customHeight="1" thickBot="1">
      <c r="B148" s="243">
        <f>B147+1</f>
        <v>406</v>
      </c>
      <c r="C148" s="244" t="str">
        <f>"Totaal toeslagen dagen (regel "&amp;B143&amp;" t/m regel "&amp;B147&amp;")"</f>
        <v>Totaal toeslagen dagen (regel 401 t/m regel 405)</v>
      </c>
      <c r="D148" s="238"/>
      <c r="E148" s="238"/>
      <c r="F148" s="238"/>
      <c r="G148" s="238"/>
      <c r="H148" s="238"/>
      <c r="I148" s="238"/>
      <c r="J148" s="238"/>
      <c r="K148" s="238"/>
      <c r="L148" s="277"/>
      <c r="M148" s="350">
        <f>SUM(M143:M147)</f>
        <v>0</v>
      </c>
      <c r="T148" s="413">
        <v>1374</v>
      </c>
      <c r="U148" s="413">
        <v>8227</v>
      </c>
      <c r="V148" s="413">
        <v>8108</v>
      </c>
    </row>
    <row r="149" spans="20:22" ht="13.5" customHeight="1">
      <c r="T149" s="413">
        <v>1407</v>
      </c>
      <c r="U149" s="413"/>
      <c r="V149" s="413">
        <v>8109</v>
      </c>
    </row>
    <row r="150" spans="2:22" ht="13.5" customHeight="1">
      <c r="B150" s="251" t="s">
        <v>17</v>
      </c>
      <c r="T150" s="413">
        <v>8131</v>
      </c>
      <c r="U150" s="413"/>
      <c r="V150" s="413">
        <v>8111</v>
      </c>
    </row>
    <row r="151" spans="2:22" ht="13.5" customHeight="1">
      <c r="B151" s="246">
        <f>B148+1</f>
        <v>407</v>
      </c>
      <c r="C151" s="407" t="s">
        <v>18</v>
      </c>
      <c r="D151" s="238"/>
      <c r="E151" s="238"/>
      <c r="F151" s="262"/>
      <c r="G151" s="246" t="s">
        <v>33</v>
      </c>
      <c r="H151" s="246" t="str">
        <f>IF(AND($G$38="ja",$G$39="ja"),"ja","nee")</f>
        <v>nee</v>
      </c>
      <c r="I151" s="269"/>
      <c r="J151" s="223"/>
      <c r="K151" s="226"/>
      <c r="L151" s="225"/>
      <c r="M151" s="349">
        <f>IF(H151="ja",ROUND(J151*L151,0),0)</f>
        <v>0</v>
      </c>
      <c r="Q151" s="270">
        <v>0</v>
      </c>
      <c r="R151" s="270">
        <v>94.4</v>
      </c>
      <c r="T151" s="413">
        <v>8225</v>
      </c>
      <c r="U151" s="413"/>
      <c r="V151" s="413">
        <v>8113</v>
      </c>
    </row>
    <row r="152" spans="2:22" ht="13.5" customHeight="1">
      <c r="B152" s="246">
        <f>B151+1</f>
        <v>408</v>
      </c>
      <c r="C152" s="407" t="s">
        <v>19</v>
      </c>
      <c r="D152" s="238"/>
      <c r="E152" s="238"/>
      <c r="F152" s="262"/>
      <c r="G152" s="246" t="s">
        <v>33</v>
      </c>
      <c r="H152" s="246" t="str">
        <f>IF(AND($G$38="ja",$G$39="ja"),"ja","nee")</f>
        <v>nee</v>
      </c>
      <c r="I152" s="269"/>
      <c r="J152" s="223"/>
      <c r="K152" s="226"/>
      <c r="L152" s="225"/>
      <c r="M152" s="349">
        <f>IF(H152="ja",ROUND(J152*L152,0),0)</f>
        <v>0</v>
      </c>
      <c r="Q152" s="272">
        <v>0</v>
      </c>
      <c r="R152" s="272">
        <v>94.4</v>
      </c>
      <c r="T152" s="366">
        <v>8239</v>
      </c>
      <c r="U152" s="366"/>
      <c r="V152" s="413">
        <v>8124</v>
      </c>
    </row>
    <row r="153" spans="2:22" ht="13.5" customHeight="1">
      <c r="B153" s="246">
        <f>B152+1</f>
        <v>409</v>
      </c>
      <c r="C153" s="407" t="s">
        <v>20</v>
      </c>
      <c r="D153" s="238"/>
      <c r="E153" s="238"/>
      <c r="F153" s="262"/>
      <c r="G153" s="246" t="s">
        <v>33</v>
      </c>
      <c r="H153" s="246" t="str">
        <f>IF(AND($G$38="ja",$G$39="ja"),"ja","nee")</f>
        <v>nee</v>
      </c>
      <c r="I153" s="269"/>
      <c r="J153" s="223"/>
      <c r="K153" s="226"/>
      <c r="L153" s="225"/>
      <c r="M153" s="349">
        <f>IF(H153="ja",ROUND(J153*L153,0),0)</f>
        <v>0</v>
      </c>
      <c r="Q153" s="272">
        <v>0</v>
      </c>
      <c r="R153" s="272">
        <v>94.4</v>
      </c>
      <c r="V153" s="413">
        <v>8127</v>
      </c>
    </row>
    <row r="154" spans="2:22" ht="13.5" customHeight="1" thickBot="1">
      <c r="B154" s="246">
        <f>B153+1</f>
        <v>410</v>
      </c>
      <c r="C154" s="407" t="s">
        <v>21</v>
      </c>
      <c r="D154" s="238"/>
      <c r="E154" s="238"/>
      <c r="F154" s="262"/>
      <c r="G154" s="246" t="s">
        <v>33</v>
      </c>
      <c r="H154" s="246" t="str">
        <f>IF(AND($G$38="ja",$G$39="ja"),"ja","nee")</f>
        <v>nee</v>
      </c>
      <c r="I154" s="269"/>
      <c r="J154" s="223"/>
      <c r="K154" s="226"/>
      <c r="L154" s="225"/>
      <c r="M154" s="349">
        <f>IF(H154="ja",ROUND(J154*L154,0),0)</f>
        <v>0</v>
      </c>
      <c r="Q154" s="273">
        <v>0</v>
      </c>
      <c r="R154" s="273">
        <v>94.4</v>
      </c>
      <c r="V154" s="413">
        <v>8136</v>
      </c>
    </row>
    <row r="155" spans="2:22" ht="13.5" customHeight="1" thickBot="1">
      <c r="B155" s="243">
        <f>B154+1</f>
        <v>411</v>
      </c>
      <c r="C155" s="244" t="str">
        <f>"Totaal toeslagen dagen ten behoeve van Cliënten met een hoge zorgvraag (regel "&amp;B151&amp;" t/m regel "&amp;B154&amp;")"</f>
        <v>Totaal toeslagen dagen ten behoeve van Cliënten met een hoge zorgvraag (regel 407 t/m regel 410)</v>
      </c>
      <c r="D155" s="238"/>
      <c r="E155" s="238"/>
      <c r="F155" s="238"/>
      <c r="G155" s="238"/>
      <c r="H155" s="238"/>
      <c r="I155" s="238"/>
      <c r="J155" s="238"/>
      <c r="K155" s="238"/>
      <c r="L155" s="277"/>
      <c r="M155" s="350">
        <f>SUM(M151:M154)</f>
        <v>0</v>
      </c>
      <c r="V155" s="413">
        <v>8137</v>
      </c>
    </row>
    <row r="156" ht="13.5" customHeight="1">
      <c r="V156" s="413">
        <v>8141</v>
      </c>
    </row>
    <row r="157" spans="2:22" ht="13.5" customHeight="1">
      <c r="B157" s="241" t="s">
        <v>576</v>
      </c>
      <c r="H157" s="253" t="s">
        <v>63</v>
      </c>
      <c r="J157" s="253" t="s">
        <v>93</v>
      </c>
      <c r="V157" s="413">
        <v>8142</v>
      </c>
    </row>
    <row r="158" spans="8:22" ht="13.5" customHeight="1">
      <c r="H158" s="254" t="s">
        <v>50</v>
      </c>
      <c r="J158" s="254" t="s">
        <v>87</v>
      </c>
      <c r="V158" s="413">
        <v>8145</v>
      </c>
    </row>
    <row r="159" spans="2:22" ht="13.5" customHeight="1">
      <c r="B159" s="386">
        <f>B155+1</f>
        <v>412</v>
      </c>
      <c r="C159" s="238" t="s">
        <v>555</v>
      </c>
      <c r="D159" s="387"/>
      <c r="E159" s="387"/>
      <c r="F159" s="387"/>
      <c r="G159" s="387"/>
      <c r="H159" s="246" t="str">
        <f>IF(AND($G$38="ja",$G$39="ja"),"ja","nee")</f>
        <v>nee</v>
      </c>
      <c r="J159" s="461"/>
      <c r="V159" s="413">
        <v>8161</v>
      </c>
    </row>
    <row r="160" spans="1:22" ht="13.5" customHeight="1">
      <c r="A160" s="387"/>
      <c r="B160" s="246">
        <f>B159+1</f>
        <v>413</v>
      </c>
      <c r="C160" s="247" t="s">
        <v>497</v>
      </c>
      <c r="D160" s="238"/>
      <c r="E160" s="238"/>
      <c r="F160" s="238"/>
      <c r="G160" s="238"/>
      <c r="H160" s="246" t="str">
        <f>IF(AND($G$38="ja",$G$39="ja"),"ja","nee")</f>
        <v>nee</v>
      </c>
      <c r="J160" s="461"/>
      <c r="V160" s="413">
        <v>8170</v>
      </c>
    </row>
    <row r="161" spans="13:22" ht="13.5" customHeight="1">
      <c r="M161" s="45"/>
      <c r="V161" s="413">
        <v>8173</v>
      </c>
    </row>
    <row r="162" spans="2:22" ht="13.5" customHeight="1">
      <c r="B162" s="241" t="s">
        <v>641</v>
      </c>
      <c r="H162" s="253" t="s">
        <v>55</v>
      </c>
      <c r="J162" s="289"/>
      <c r="V162" s="413">
        <v>8187</v>
      </c>
    </row>
    <row r="163" spans="8:22" ht="13.5" customHeight="1">
      <c r="H163" s="254" t="s">
        <v>56</v>
      </c>
      <c r="V163" s="413">
        <v>8193</v>
      </c>
    </row>
    <row r="164" spans="2:22" ht="13.5" customHeight="1">
      <c r="B164" s="246">
        <f>B160+1</f>
        <v>414</v>
      </c>
      <c r="C164" s="238" t="s">
        <v>643</v>
      </c>
      <c r="D164" s="238"/>
      <c r="E164" s="238"/>
      <c r="F164" s="238"/>
      <c r="G164" s="238"/>
      <c r="H164" s="462"/>
      <c r="I164" s="414"/>
      <c r="J164" s="289"/>
      <c r="K164" s="38"/>
      <c r="L164" s="38"/>
      <c r="V164" s="413">
        <v>8199</v>
      </c>
    </row>
    <row r="165" ht="13.5" customHeight="1">
      <c r="V165" s="413">
        <v>8200</v>
      </c>
    </row>
    <row r="166" spans="2:22" ht="13.5" customHeight="1">
      <c r="B166" s="241" t="s">
        <v>346</v>
      </c>
      <c r="G166" s="386"/>
      <c r="H166" s="253" t="s">
        <v>63</v>
      </c>
      <c r="I166" s="264" t="s">
        <v>64</v>
      </c>
      <c r="J166" s="253" t="s">
        <v>51</v>
      </c>
      <c r="K166" s="264" t="s">
        <v>65</v>
      </c>
      <c r="L166" s="253" t="s">
        <v>53</v>
      </c>
      <c r="M166" s="253" t="s">
        <v>55</v>
      </c>
      <c r="Q166" s="257" t="s">
        <v>62</v>
      </c>
      <c r="R166" s="258"/>
      <c r="V166" s="413">
        <v>8217</v>
      </c>
    </row>
    <row r="167" spans="3:22" ht="13.5" customHeight="1">
      <c r="C167" s="265"/>
      <c r="D167" s="266"/>
      <c r="E167" s="266"/>
      <c r="F167" s="415"/>
      <c r="G167" s="254" t="s">
        <v>30</v>
      </c>
      <c r="H167" s="254" t="s">
        <v>50</v>
      </c>
      <c r="I167" s="268" t="s">
        <v>57</v>
      </c>
      <c r="J167" s="254" t="s">
        <v>52</v>
      </c>
      <c r="K167" s="268" t="s">
        <v>54</v>
      </c>
      <c r="L167" s="254" t="s">
        <v>54</v>
      </c>
      <c r="M167" s="254" t="s">
        <v>56</v>
      </c>
      <c r="Q167" s="259" t="s">
        <v>61</v>
      </c>
      <c r="R167" s="260" t="s">
        <v>60</v>
      </c>
      <c r="V167" s="413">
        <v>8230</v>
      </c>
    </row>
    <row r="168" spans="2:22" ht="13.5" customHeight="1">
      <c r="B168" s="246">
        <f>B164+1</f>
        <v>415</v>
      </c>
      <c r="C168" s="246" t="s">
        <v>31</v>
      </c>
      <c r="D168" s="247" t="s">
        <v>32</v>
      </c>
      <c r="E168" s="238"/>
      <c r="F168" s="262"/>
      <c r="G168" s="246" t="s">
        <v>33</v>
      </c>
      <c r="H168" s="246" t="str">
        <f aca="true" t="shared" si="8" ref="H168:H174">IF($G$39="ja","ja","nee")</f>
        <v>nee</v>
      </c>
      <c r="I168" s="269"/>
      <c r="J168" s="223"/>
      <c r="K168" s="226"/>
      <c r="L168" s="225"/>
      <c r="M168" s="349">
        <f aca="true" t="shared" si="9" ref="M168:M177">IF(H168="ja",ROUND(J168*L168,0),0)</f>
        <v>0</v>
      </c>
      <c r="Q168" s="270">
        <v>0</v>
      </c>
      <c r="R168" s="271">
        <v>72.8</v>
      </c>
      <c r="V168" s="413">
        <v>8231</v>
      </c>
    </row>
    <row r="169" spans="2:22" ht="13.5" customHeight="1">
      <c r="B169" s="246">
        <f aca="true" t="shared" si="10" ref="B169:B178">B168+1</f>
        <v>416</v>
      </c>
      <c r="C169" s="246" t="s">
        <v>34</v>
      </c>
      <c r="D169" s="247" t="s">
        <v>35</v>
      </c>
      <c r="E169" s="238"/>
      <c r="F169" s="262"/>
      <c r="G169" s="246" t="s">
        <v>36</v>
      </c>
      <c r="H169" s="246" t="str">
        <f t="shared" si="8"/>
        <v>nee</v>
      </c>
      <c r="I169" s="269"/>
      <c r="J169" s="223"/>
      <c r="K169" s="226"/>
      <c r="L169" s="225"/>
      <c r="M169" s="349">
        <f t="shared" si="9"/>
        <v>0</v>
      </c>
      <c r="Q169" s="272">
        <v>0</v>
      </c>
      <c r="R169" s="271">
        <v>38.3</v>
      </c>
      <c r="V169" s="413">
        <v>8233</v>
      </c>
    </row>
    <row r="170" spans="2:22" ht="13.5" customHeight="1">
      <c r="B170" s="246">
        <f t="shared" si="10"/>
        <v>417</v>
      </c>
      <c r="C170" s="246" t="s">
        <v>37</v>
      </c>
      <c r="D170" s="247" t="s">
        <v>38</v>
      </c>
      <c r="E170" s="238"/>
      <c r="F170" s="262"/>
      <c r="G170" s="246" t="s">
        <v>33</v>
      </c>
      <c r="H170" s="246" t="str">
        <f t="shared" si="8"/>
        <v>nee</v>
      </c>
      <c r="I170" s="269"/>
      <c r="J170" s="223"/>
      <c r="K170" s="226"/>
      <c r="L170" s="225"/>
      <c r="M170" s="349">
        <f t="shared" si="9"/>
        <v>0</v>
      </c>
      <c r="Q170" s="272">
        <v>0</v>
      </c>
      <c r="R170" s="271">
        <v>57.3</v>
      </c>
      <c r="V170" s="413">
        <v>8239</v>
      </c>
    </row>
    <row r="171" spans="2:22" ht="13.5" customHeight="1">
      <c r="B171" s="246">
        <f t="shared" si="10"/>
        <v>418</v>
      </c>
      <c r="C171" s="246" t="s">
        <v>39</v>
      </c>
      <c r="D171" s="247" t="s">
        <v>40</v>
      </c>
      <c r="E171" s="238"/>
      <c r="F171" s="262"/>
      <c r="G171" s="246" t="s">
        <v>33</v>
      </c>
      <c r="H171" s="246" t="str">
        <f t="shared" si="8"/>
        <v>nee</v>
      </c>
      <c r="I171" s="269"/>
      <c r="J171" s="223"/>
      <c r="K171" s="226"/>
      <c r="L171" s="225"/>
      <c r="M171" s="349">
        <f t="shared" si="9"/>
        <v>0</v>
      </c>
      <c r="Q171" s="272">
        <v>0</v>
      </c>
      <c r="R171" s="271">
        <v>44.3</v>
      </c>
      <c r="V171" s="413">
        <v>8262</v>
      </c>
    </row>
    <row r="172" spans="2:22" ht="13.5" customHeight="1">
      <c r="B172" s="246">
        <f t="shared" si="10"/>
        <v>419</v>
      </c>
      <c r="C172" s="246" t="s">
        <v>41</v>
      </c>
      <c r="D172" s="247" t="s">
        <v>42</v>
      </c>
      <c r="E172" s="238"/>
      <c r="F172" s="262"/>
      <c r="G172" s="246" t="s">
        <v>33</v>
      </c>
      <c r="H172" s="246" t="str">
        <f t="shared" si="8"/>
        <v>nee</v>
      </c>
      <c r="I172" s="269"/>
      <c r="J172" s="223"/>
      <c r="K172" s="226"/>
      <c r="L172" s="225"/>
      <c r="M172" s="349">
        <f t="shared" si="9"/>
        <v>0</v>
      </c>
      <c r="Q172" s="272">
        <v>0</v>
      </c>
      <c r="R172" s="271">
        <v>44.3</v>
      </c>
      <c r="V172" s="413">
        <v>8282</v>
      </c>
    </row>
    <row r="173" spans="2:22" ht="13.5" customHeight="1">
      <c r="B173" s="246">
        <f t="shared" si="10"/>
        <v>420</v>
      </c>
      <c r="C173" s="246" t="s">
        <v>43</v>
      </c>
      <c r="D173" s="247" t="s">
        <v>44</v>
      </c>
      <c r="E173" s="238"/>
      <c r="F173" s="262"/>
      <c r="G173" s="246" t="s">
        <v>33</v>
      </c>
      <c r="H173" s="246" t="str">
        <f t="shared" si="8"/>
        <v>nee</v>
      </c>
      <c r="I173" s="269"/>
      <c r="J173" s="223"/>
      <c r="K173" s="226"/>
      <c r="L173" s="225"/>
      <c r="M173" s="349">
        <f t="shared" si="9"/>
        <v>0</v>
      </c>
      <c r="Q173" s="272">
        <v>0</v>
      </c>
      <c r="R173" s="271">
        <v>57.7</v>
      </c>
      <c r="V173" s="413">
        <v>8287</v>
      </c>
    </row>
    <row r="174" spans="2:22" ht="13.5" customHeight="1">
      <c r="B174" s="246">
        <f t="shared" si="10"/>
        <v>421</v>
      </c>
      <c r="C174" s="246" t="s">
        <v>45</v>
      </c>
      <c r="D174" s="247" t="s">
        <v>46</v>
      </c>
      <c r="E174" s="238"/>
      <c r="F174" s="262"/>
      <c r="G174" s="246" t="s">
        <v>33</v>
      </c>
      <c r="H174" s="246" t="str">
        <f t="shared" si="8"/>
        <v>nee</v>
      </c>
      <c r="I174" s="269"/>
      <c r="J174" s="223"/>
      <c r="K174" s="226"/>
      <c r="L174" s="225"/>
      <c r="M174" s="349">
        <f t="shared" si="9"/>
        <v>0</v>
      </c>
      <c r="Q174" s="272">
        <v>0</v>
      </c>
      <c r="R174" s="271">
        <v>44.3</v>
      </c>
      <c r="V174" s="413">
        <v>8303</v>
      </c>
    </row>
    <row r="175" spans="2:22" ht="13.5" customHeight="1">
      <c r="B175" s="246">
        <f t="shared" si="10"/>
        <v>422</v>
      </c>
      <c r="C175" s="246" t="s">
        <v>47</v>
      </c>
      <c r="D175" s="247" t="s">
        <v>48</v>
      </c>
      <c r="E175" s="238"/>
      <c r="F175" s="262"/>
      <c r="G175" s="246" t="s">
        <v>36</v>
      </c>
      <c r="H175" s="246" t="str">
        <f>IF(AND($G$39="ja",$G$38="ja"),"ja","nee")</f>
        <v>nee</v>
      </c>
      <c r="I175" s="269"/>
      <c r="J175" s="223"/>
      <c r="K175" s="226"/>
      <c r="L175" s="225"/>
      <c r="M175" s="349">
        <f t="shared" si="9"/>
        <v>0</v>
      </c>
      <c r="Q175" s="272">
        <v>0</v>
      </c>
      <c r="R175" s="271">
        <v>71.3</v>
      </c>
      <c r="V175" s="366">
        <v>8312</v>
      </c>
    </row>
    <row r="176" spans="2:18" ht="13.5" customHeight="1">
      <c r="B176" s="246">
        <f t="shared" si="10"/>
        <v>423</v>
      </c>
      <c r="C176" s="246" t="s">
        <v>49</v>
      </c>
      <c r="D176" s="247" t="s">
        <v>656</v>
      </c>
      <c r="E176" s="238"/>
      <c r="F176" s="262"/>
      <c r="G176" s="246" t="s">
        <v>33</v>
      </c>
      <c r="H176" s="246" t="str">
        <f>IF(AND($G$39="ja",$G$38="ja"),"ja","nee")</f>
        <v>nee</v>
      </c>
      <c r="I176" s="269"/>
      <c r="J176" s="223"/>
      <c r="K176" s="226"/>
      <c r="L176" s="225"/>
      <c r="M176" s="349">
        <f t="shared" si="9"/>
        <v>0</v>
      </c>
      <c r="Q176" s="272">
        <v>0</v>
      </c>
      <c r="R176" s="271">
        <v>126.3</v>
      </c>
    </row>
    <row r="177" spans="2:18" ht="13.5" customHeight="1" thickBot="1">
      <c r="B177" s="246">
        <f t="shared" si="10"/>
        <v>424</v>
      </c>
      <c r="C177" s="416" t="s">
        <v>546</v>
      </c>
      <c r="D177" s="417" t="s">
        <v>545</v>
      </c>
      <c r="E177" s="238"/>
      <c r="F177" s="238"/>
      <c r="G177" s="281" t="s">
        <v>544</v>
      </c>
      <c r="H177" s="246" t="str">
        <f>IF(AND($G$39="ja",$G$38="ja"),"ja","nee")</f>
        <v>nee</v>
      </c>
      <c r="I177" s="237"/>
      <c r="J177" s="223"/>
      <c r="K177" s="226"/>
      <c r="L177" s="225"/>
      <c r="M177" s="349">
        <f t="shared" si="9"/>
        <v>0</v>
      </c>
      <c r="Q177" s="273">
        <v>0</v>
      </c>
      <c r="R177" s="274">
        <v>21.8</v>
      </c>
    </row>
    <row r="178" spans="2:13" ht="13.5" customHeight="1" thickBot="1">
      <c r="B178" s="243">
        <f t="shared" si="10"/>
        <v>425</v>
      </c>
      <c r="C178" s="244" t="str">
        <f>"Totaal prestaties intramurale zorg (regel "&amp;B168&amp;" t/m regel "&amp;B177&amp;")"</f>
        <v>Totaal prestaties intramurale zorg (regel 415 t/m regel 424)</v>
      </c>
      <c r="D178" s="266"/>
      <c r="E178" s="266"/>
      <c r="F178" s="266"/>
      <c r="G178" s="238"/>
      <c r="H178" s="238"/>
      <c r="I178" s="238"/>
      <c r="J178" s="238"/>
      <c r="K178" s="238"/>
      <c r="L178" s="238"/>
      <c r="M178" s="350">
        <f>SUM(M168:M177)</f>
        <v>0</v>
      </c>
    </row>
    <row r="179" ht="13.5" customHeight="1"/>
    <row r="180" spans="2:22" ht="13.5" customHeight="1">
      <c r="B180" s="399"/>
      <c r="V180" s="410"/>
    </row>
    <row r="181" spans="2:22" ht="13.5" customHeight="1">
      <c r="B181" s="289" t="s">
        <v>667</v>
      </c>
      <c r="V181" s="410"/>
    </row>
    <row r="182" spans="2:22" ht="13.5" customHeight="1">
      <c r="B182" s="289" t="s">
        <v>644</v>
      </c>
      <c r="V182" s="410"/>
    </row>
    <row r="183" spans="1:11" ht="18" customHeight="1">
      <c r="A183" s="233" t="s">
        <v>92</v>
      </c>
      <c r="B183" s="232">
        <f>Voorblad!A122</f>
        <v>0</v>
      </c>
      <c r="I183" s="471"/>
      <c r="J183" s="45"/>
      <c r="K183" s="471"/>
    </row>
    <row r="184" spans="2:13" ht="18" customHeight="1">
      <c r="B184" s="234" t="str">
        <f>$B$2</f>
        <v>Budget 2005 AWBZ-instellingen sector V&amp;V</v>
      </c>
      <c r="C184" s="234"/>
      <c r="D184" s="234"/>
      <c r="E184" s="250"/>
      <c r="F184" s="352" t="str">
        <f>$F$2</f>
        <v>650 / </v>
      </c>
      <c r="G184" s="234"/>
      <c r="H184" s="236"/>
      <c r="I184" s="234"/>
      <c r="J184" s="236" t="str">
        <f>$J$2</f>
        <v>versie: 14-01-2005</v>
      </c>
      <c r="K184" s="236"/>
      <c r="L184" s="238"/>
      <c r="M184" s="239">
        <f>M138+1</f>
        <v>5</v>
      </c>
    </row>
    <row r="185" ht="12.75"/>
    <row r="186" ht="13.5" customHeight="1">
      <c r="B186" s="241" t="s">
        <v>347</v>
      </c>
    </row>
    <row r="187" spans="7:18" ht="13.5" customHeight="1">
      <c r="G187" s="386"/>
      <c r="H187" s="253" t="s">
        <v>63</v>
      </c>
      <c r="I187" s="264" t="s">
        <v>64</v>
      </c>
      <c r="J187" s="253" t="s">
        <v>51</v>
      </c>
      <c r="K187" s="264" t="s">
        <v>65</v>
      </c>
      <c r="L187" s="253" t="s">
        <v>53</v>
      </c>
      <c r="M187" s="253" t="s">
        <v>55</v>
      </c>
      <c r="Q187" s="257" t="s">
        <v>62</v>
      </c>
      <c r="R187" s="258"/>
    </row>
    <row r="188" spans="2:18" ht="13.5" customHeight="1">
      <c r="B188" s="251" t="s">
        <v>330</v>
      </c>
      <c r="C188" s="265"/>
      <c r="D188" s="266"/>
      <c r="E188" s="266"/>
      <c r="F188" s="415"/>
      <c r="G188" s="254" t="s">
        <v>30</v>
      </c>
      <c r="H188" s="254" t="s">
        <v>50</v>
      </c>
      <c r="I188" s="268" t="s">
        <v>57</v>
      </c>
      <c r="J188" s="254" t="s">
        <v>52</v>
      </c>
      <c r="K188" s="268" t="s">
        <v>54</v>
      </c>
      <c r="L188" s="254" t="s">
        <v>54</v>
      </c>
      <c r="M188" s="254" t="s">
        <v>56</v>
      </c>
      <c r="Q188" s="259" t="s">
        <v>61</v>
      </c>
      <c r="R188" s="260" t="s">
        <v>60</v>
      </c>
    </row>
    <row r="189" spans="2:18" ht="13.5" customHeight="1">
      <c r="B189" s="246">
        <f>501</f>
        <v>501</v>
      </c>
      <c r="C189" s="246" t="s">
        <v>96</v>
      </c>
      <c r="D189" s="247" t="s">
        <v>97</v>
      </c>
      <c r="E189" s="238"/>
      <c r="F189" s="262"/>
      <c r="G189" s="246" t="s">
        <v>98</v>
      </c>
      <c r="H189" s="246" t="str">
        <f>IF($G$33="ja","ja","nee")</f>
        <v>nee</v>
      </c>
      <c r="I189" s="269"/>
      <c r="J189" s="223"/>
      <c r="K189" s="226"/>
      <c r="L189" s="225"/>
      <c r="M189" s="349">
        <f>IF(H189="ja",ROUND(J189*L189,0),0)</f>
        <v>0</v>
      </c>
      <c r="Q189" s="270">
        <v>0</v>
      </c>
      <c r="R189" s="270">
        <v>14.1</v>
      </c>
    </row>
    <row r="190" spans="2:18" ht="13.5" customHeight="1">
      <c r="B190" s="246">
        <f>B189+1</f>
        <v>502</v>
      </c>
      <c r="C190" s="246" t="s">
        <v>99</v>
      </c>
      <c r="D190" s="247" t="s">
        <v>68</v>
      </c>
      <c r="E190" s="238"/>
      <c r="F190" s="262"/>
      <c r="G190" s="246" t="s">
        <v>98</v>
      </c>
      <c r="H190" s="246" t="str">
        <f>IF($G$33="ja","ja","nee")</f>
        <v>nee</v>
      </c>
      <c r="I190" s="269"/>
      <c r="J190" s="223"/>
      <c r="K190" s="226"/>
      <c r="L190" s="225"/>
      <c r="M190" s="349">
        <f>IF(H190="ja",ROUND(J190*L190,0),0)</f>
        <v>0</v>
      </c>
      <c r="Q190" s="273">
        <v>0</v>
      </c>
      <c r="R190" s="273">
        <v>26.3</v>
      </c>
    </row>
    <row r="191" ht="13.5" customHeight="1">
      <c r="M191" s="45"/>
    </row>
    <row r="192" spans="2:13" ht="13.5" customHeight="1">
      <c r="B192" s="251" t="s">
        <v>331</v>
      </c>
      <c r="M192" s="45"/>
    </row>
    <row r="193" spans="2:18" ht="13.5" customHeight="1">
      <c r="B193" s="246">
        <f>B190+1</f>
        <v>503</v>
      </c>
      <c r="C193" s="246" t="s">
        <v>100</v>
      </c>
      <c r="D193" s="247" t="s">
        <v>69</v>
      </c>
      <c r="E193" s="238"/>
      <c r="F193" s="262"/>
      <c r="G193" s="246" t="s">
        <v>98</v>
      </c>
      <c r="H193" s="246" t="str">
        <f>IF($G$34="ja","ja","nee")</f>
        <v>nee</v>
      </c>
      <c r="I193" s="269"/>
      <c r="J193" s="223"/>
      <c r="K193" s="226"/>
      <c r="L193" s="225"/>
      <c r="M193" s="349">
        <f>IF(H193="ja",ROUND(J193*L193,0),0)</f>
        <v>0</v>
      </c>
      <c r="Q193" s="270">
        <v>0</v>
      </c>
      <c r="R193" s="270">
        <v>39.1</v>
      </c>
    </row>
    <row r="194" spans="2:18" ht="13.5" customHeight="1">
      <c r="B194" s="246">
        <f>B193+1</f>
        <v>504</v>
      </c>
      <c r="C194" s="246" t="s">
        <v>101</v>
      </c>
      <c r="D194" s="247" t="s">
        <v>102</v>
      </c>
      <c r="E194" s="238"/>
      <c r="F194" s="262"/>
      <c r="G194" s="246" t="s">
        <v>98</v>
      </c>
      <c r="H194" s="246" t="str">
        <f>IF($G$34="ja","ja","nee")</f>
        <v>nee</v>
      </c>
      <c r="I194" s="269"/>
      <c r="J194" s="223"/>
      <c r="K194" s="226"/>
      <c r="L194" s="225"/>
      <c r="M194" s="349">
        <f>IF(H194="ja",ROUND(J194*L194,0),0)</f>
        <v>0</v>
      </c>
      <c r="Q194" s="273">
        <v>0</v>
      </c>
      <c r="R194" s="273">
        <f>R193+2.8</f>
        <v>41.9</v>
      </c>
    </row>
    <row r="195" ht="13.5" customHeight="1">
      <c r="M195" s="45"/>
    </row>
    <row r="196" spans="2:13" ht="13.5" customHeight="1">
      <c r="B196" s="251" t="s">
        <v>332</v>
      </c>
      <c r="M196" s="45"/>
    </row>
    <row r="197" spans="2:18" ht="13.5" customHeight="1">
      <c r="B197" s="246">
        <f>B194+1</f>
        <v>505</v>
      </c>
      <c r="C197" s="246" t="s">
        <v>103</v>
      </c>
      <c r="D197" s="247" t="s">
        <v>70</v>
      </c>
      <c r="E197" s="238"/>
      <c r="F197" s="262"/>
      <c r="G197" s="246" t="s">
        <v>98</v>
      </c>
      <c r="H197" s="246" t="str">
        <f>IF($G$35="ja","ja","nee")</f>
        <v>nee</v>
      </c>
      <c r="I197" s="269"/>
      <c r="J197" s="223"/>
      <c r="K197" s="226"/>
      <c r="L197" s="225"/>
      <c r="M197" s="349">
        <f>IF(H197="ja",ROUND(J197*L197,0),0)</f>
        <v>0</v>
      </c>
      <c r="Q197" s="270">
        <v>0</v>
      </c>
      <c r="R197" s="270">
        <v>59.4</v>
      </c>
    </row>
    <row r="198" spans="2:18" ht="13.5" customHeight="1">
      <c r="B198" s="246">
        <f>B197+1</f>
        <v>506</v>
      </c>
      <c r="C198" s="246" t="s">
        <v>104</v>
      </c>
      <c r="D198" s="247" t="s">
        <v>107</v>
      </c>
      <c r="E198" s="238"/>
      <c r="F198" s="262"/>
      <c r="G198" s="246" t="s">
        <v>98</v>
      </c>
      <c r="H198" s="246" t="str">
        <f>IF($G$35="ja","ja","nee")</f>
        <v>nee</v>
      </c>
      <c r="I198" s="269"/>
      <c r="J198" s="223"/>
      <c r="K198" s="226"/>
      <c r="L198" s="225"/>
      <c r="M198" s="349">
        <f>IF(H198="ja",ROUND(J198*L198,0),0)</f>
        <v>0</v>
      </c>
      <c r="Q198" s="272">
        <v>0</v>
      </c>
      <c r="R198" s="272">
        <f>R197+4.2</f>
        <v>63.6</v>
      </c>
    </row>
    <row r="199" spans="2:18" ht="13.5" customHeight="1">
      <c r="B199" s="246">
        <f>B198+1</f>
        <v>507</v>
      </c>
      <c r="C199" s="246" t="s">
        <v>105</v>
      </c>
      <c r="D199" s="247" t="s">
        <v>108</v>
      </c>
      <c r="E199" s="238"/>
      <c r="F199" s="262"/>
      <c r="G199" s="246" t="s">
        <v>98</v>
      </c>
      <c r="H199" s="246" t="str">
        <f>IF($G$35="ja","ja","nee")</f>
        <v>nee</v>
      </c>
      <c r="I199" s="269"/>
      <c r="J199" s="223"/>
      <c r="K199" s="226"/>
      <c r="L199" s="225"/>
      <c r="M199" s="349">
        <f>IF(H199="ja",ROUND(J199*L199,0),0)</f>
        <v>0</v>
      </c>
      <c r="Q199" s="272">
        <v>0</v>
      </c>
      <c r="R199" s="272">
        <f>R197+4.9</f>
        <v>64.3</v>
      </c>
    </row>
    <row r="200" spans="2:18" ht="13.5" customHeight="1">
      <c r="B200" s="246">
        <f>B199+1</f>
        <v>508</v>
      </c>
      <c r="C200" s="246" t="s">
        <v>106</v>
      </c>
      <c r="D200" s="247" t="s">
        <v>109</v>
      </c>
      <c r="E200" s="238"/>
      <c r="F200" s="262"/>
      <c r="G200" s="246" t="s">
        <v>98</v>
      </c>
      <c r="H200" s="246" t="str">
        <f>IF($G$35="ja","ja","nee")</f>
        <v>nee</v>
      </c>
      <c r="I200" s="269"/>
      <c r="J200" s="223"/>
      <c r="K200" s="226"/>
      <c r="L200" s="225"/>
      <c r="M200" s="349">
        <f>IF(H200="ja",ROUND(J200*L200,0),0)</f>
        <v>0</v>
      </c>
      <c r="Q200" s="273">
        <v>0</v>
      </c>
      <c r="R200" s="273">
        <f>R197</f>
        <v>59.4</v>
      </c>
    </row>
    <row r="201" spans="3:13" ht="13.5" customHeight="1">
      <c r="C201" s="418"/>
      <c r="M201" s="45"/>
    </row>
    <row r="202" spans="2:13" ht="13.5" customHeight="1">
      <c r="B202" s="251" t="s">
        <v>333</v>
      </c>
      <c r="M202" s="45"/>
    </row>
    <row r="203" spans="2:18" ht="13.5" customHeight="1">
      <c r="B203" s="246">
        <f>B200+1</f>
        <v>509</v>
      </c>
      <c r="C203" s="246" t="s">
        <v>110</v>
      </c>
      <c r="D203" s="247" t="s">
        <v>113</v>
      </c>
      <c r="E203" s="238"/>
      <c r="F203" s="262"/>
      <c r="G203" s="246" t="s">
        <v>98</v>
      </c>
      <c r="H203" s="246" t="str">
        <f>IF($G$36="ja","ja","nee")</f>
        <v>nee</v>
      </c>
      <c r="I203" s="269"/>
      <c r="J203" s="223"/>
      <c r="K203" s="226"/>
      <c r="L203" s="225"/>
      <c r="M203" s="349">
        <f>IF(H203="ja",ROUND(J203*L203,0),0)</f>
        <v>0</v>
      </c>
      <c r="Q203" s="270">
        <v>0</v>
      </c>
      <c r="R203" s="270">
        <v>44.2</v>
      </c>
    </row>
    <row r="204" spans="2:18" ht="13.5" customHeight="1">
      <c r="B204" s="246">
        <f>B203+1</f>
        <v>510</v>
      </c>
      <c r="C204" s="246" t="s">
        <v>111</v>
      </c>
      <c r="D204" s="247" t="s">
        <v>114</v>
      </c>
      <c r="E204" s="238"/>
      <c r="F204" s="262"/>
      <c r="G204" s="246" t="s">
        <v>98</v>
      </c>
      <c r="H204" s="246" t="str">
        <f>IF($G$36="ja","ja","nee")</f>
        <v>nee</v>
      </c>
      <c r="I204" s="269"/>
      <c r="J204" s="223"/>
      <c r="K204" s="226"/>
      <c r="L204" s="225"/>
      <c r="M204" s="349">
        <f>IF(H204="ja",ROUND(J204*L204,0),0)</f>
        <v>0</v>
      </c>
      <c r="Q204" s="272">
        <v>0</v>
      </c>
      <c r="R204" s="272">
        <f>R203+3.2</f>
        <v>47.400000000000006</v>
      </c>
    </row>
    <row r="205" spans="2:18" ht="13.5" customHeight="1">
      <c r="B205" s="246">
        <f>B204+1</f>
        <v>511</v>
      </c>
      <c r="C205" s="246" t="s">
        <v>112</v>
      </c>
      <c r="D205" s="247" t="s">
        <v>115</v>
      </c>
      <c r="E205" s="238"/>
      <c r="F205" s="262"/>
      <c r="G205" s="246" t="s">
        <v>98</v>
      </c>
      <c r="H205" s="246" t="str">
        <f>IF($G$36="ja","ja","nee")</f>
        <v>nee</v>
      </c>
      <c r="I205" s="269"/>
      <c r="J205" s="223"/>
      <c r="K205" s="226"/>
      <c r="L205" s="225"/>
      <c r="M205" s="349">
        <f>IF(H205="ja",ROUND(J205*L205,0),0)</f>
        <v>0</v>
      </c>
      <c r="Q205" s="273">
        <v>0</v>
      </c>
      <c r="R205" s="273">
        <f>R203+27.7</f>
        <v>71.9</v>
      </c>
    </row>
    <row r="206" spans="13:20" ht="13.5" customHeight="1">
      <c r="M206" s="45"/>
      <c r="T206" s="481" t="s">
        <v>612</v>
      </c>
    </row>
    <row r="207" spans="2:20" ht="13.5" customHeight="1">
      <c r="B207" s="251" t="s">
        <v>334</v>
      </c>
      <c r="M207" s="45"/>
      <c r="T207" s="481" t="s">
        <v>613</v>
      </c>
    </row>
    <row r="208" spans="2:20" ht="13.5" customHeight="1">
      <c r="B208" s="246">
        <f>B205+1</f>
        <v>512</v>
      </c>
      <c r="C208" s="246" t="s">
        <v>116</v>
      </c>
      <c r="D208" s="247" t="s">
        <v>117</v>
      </c>
      <c r="E208" s="238"/>
      <c r="F208" s="262"/>
      <c r="G208" s="246" t="s">
        <v>98</v>
      </c>
      <c r="H208" s="246" t="str">
        <f>IF($G$37="ja","ja","nee")</f>
        <v>nee</v>
      </c>
      <c r="I208" s="269"/>
      <c r="J208" s="223"/>
      <c r="K208" s="226"/>
      <c r="L208" s="225"/>
      <c r="M208" s="349">
        <f>IF(H208="ja",ROUND(J208*L208,0),0)</f>
        <v>0</v>
      </c>
      <c r="Q208" s="270">
        <v>0</v>
      </c>
      <c r="R208" s="270">
        <v>45.4</v>
      </c>
      <c r="T208" s="174">
        <f>IF(M208&gt;0,J208,0)</f>
        <v>0</v>
      </c>
    </row>
    <row r="209" spans="2:18" ht="13.5" customHeight="1">
      <c r="B209" s="246">
        <f>B208+1</f>
        <v>513</v>
      </c>
      <c r="C209" s="281" t="s">
        <v>657</v>
      </c>
      <c r="D209" s="419" t="s">
        <v>118</v>
      </c>
      <c r="E209" s="238"/>
      <c r="F209" s="262"/>
      <c r="G209" s="246" t="s">
        <v>98</v>
      </c>
      <c r="H209" s="246" t="str">
        <f>IF($G$37="ja","ja","nee")</f>
        <v>nee</v>
      </c>
      <c r="I209" s="269"/>
      <c r="J209" s="223"/>
      <c r="K209" s="226"/>
      <c r="L209" s="225"/>
      <c r="M209" s="349">
        <f>IF(H209="ja",ROUND(J209*L209,0),0)</f>
        <v>0</v>
      </c>
      <c r="Q209" s="273">
        <v>0</v>
      </c>
      <c r="R209" s="273">
        <f>R208+39</f>
        <v>84.4</v>
      </c>
    </row>
    <row r="210" spans="11:13" ht="13.5" customHeight="1">
      <c r="K210" s="237"/>
      <c r="M210" s="45"/>
    </row>
    <row r="211" spans="2:13" ht="13.5" customHeight="1">
      <c r="B211" s="251" t="s">
        <v>335</v>
      </c>
      <c r="M211" s="45"/>
    </row>
    <row r="212" spans="2:20" ht="13.5" customHeight="1">
      <c r="B212" s="246">
        <f>B209+1</f>
        <v>514</v>
      </c>
      <c r="C212" s="246" t="s">
        <v>119</v>
      </c>
      <c r="D212" s="247" t="s">
        <v>125</v>
      </c>
      <c r="E212" s="238"/>
      <c r="F212" s="262"/>
      <c r="G212" s="246" t="s">
        <v>98</v>
      </c>
      <c r="H212" s="246" t="str">
        <f aca="true" t="shared" si="11" ref="H212:H217">IF($G$38="ja","ja","nee")</f>
        <v>nee</v>
      </c>
      <c r="I212" s="269"/>
      <c r="J212" s="223"/>
      <c r="K212" s="226"/>
      <c r="L212" s="225"/>
      <c r="M212" s="349">
        <f aca="true" t="shared" si="12" ref="M212:M217">IF(H212="ja",ROUND(J212*L212,0),0)</f>
        <v>0</v>
      </c>
      <c r="Q212" s="270">
        <v>0</v>
      </c>
      <c r="R212" s="276">
        <v>86.6</v>
      </c>
      <c r="T212" s="331">
        <f aca="true" t="shared" si="13" ref="T212:T217">IF(M212&gt;0,J212,0)</f>
        <v>0</v>
      </c>
    </row>
    <row r="213" spans="2:20" ht="13.5" customHeight="1">
      <c r="B213" s="246">
        <f>B212+1</f>
        <v>515</v>
      </c>
      <c r="C213" s="246" t="s">
        <v>120</v>
      </c>
      <c r="D213" s="247" t="s">
        <v>126</v>
      </c>
      <c r="E213" s="238"/>
      <c r="F213" s="262"/>
      <c r="G213" s="246" t="s">
        <v>98</v>
      </c>
      <c r="H213" s="246" t="str">
        <f t="shared" si="11"/>
        <v>nee</v>
      </c>
      <c r="I213" s="269"/>
      <c r="J213" s="223"/>
      <c r="K213" s="226"/>
      <c r="L213" s="225"/>
      <c r="M213" s="349">
        <f t="shared" si="12"/>
        <v>0</v>
      </c>
      <c r="Q213" s="272">
        <v>0</v>
      </c>
      <c r="R213" s="271">
        <f>R212</f>
        <v>86.6</v>
      </c>
      <c r="T213" s="333">
        <f t="shared" si="13"/>
        <v>0</v>
      </c>
    </row>
    <row r="214" spans="2:20" ht="13.5" customHeight="1">
      <c r="B214" s="246">
        <f>B213+1</f>
        <v>516</v>
      </c>
      <c r="C214" s="246" t="s">
        <v>121</v>
      </c>
      <c r="D214" s="247" t="s">
        <v>127</v>
      </c>
      <c r="E214" s="238"/>
      <c r="F214" s="262"/>
      <c r="G214" s="246" t="s">
        <v>98</v>
      </c>
      <c r="H214" s="246" t="str">
        <f t="shared" si="11"/>
        <v>nee</v>
      </c>
      <c r="I214" s="269"/>
      <c r="J214" s="223"/>
      <c r="K214" s="226"/>
      <c r="L214" s="225"/>
      <c r="M214" s="349">
        <f t="shared" si="12"/>
        <v>0</v>
      </c>
      <c r="Q214" s="272">
        <v>0</v>
      </c>
      <c r="R214" s="271">
        <f>R212</f>
        <v>86.6</v>
      </c>
      <c r="T214" s="333">
        <f t="shared" si="13"/>
        <v>0</v>
      </c>
    </row>
    <row r="215" spans="2:20" ht="13.5" customHeight="1">
      <c r="B215" s="246">
        <f>B214+1</f>
        <v>517</v>
      </c>
      <c r="C215" s="246" t="s">
        <v>122</v>
      </c>
      <c r="D215" s="247" t="s">
        <v>128</v>
      </c>
      <c r="E215" s="238"/>
      <c r="F215" s="262"/>
      <c r="G215" s="246" t="s">
        <v>98</v>
      </c>
      <c r="H215" s="246" t="str">
        <f t="shared" si="11"/>
        <v>nee</v>
      </c>
      <c r="I215" s="269"/>
      <c r="J215" s="223"/>
      <c r="K215" s="226"/>
      <c r="L215" s="225"/>
      <c r="M215" s="349">
        <f t="shared" si="12"/>
        <v>0</v>
      </c>
      <c r="Q215" s="272">
        <v>0</v>
      </c>
      <c r="R215" s="271">
        <f>R212</f>
        <v>86.6</v>
      </c>
      <c r="T215" s="333">
        <f t="shared" si="13"/>
        <v>0</v>
      </c>
    </row>
    <row r="216" spans="2:20" ht="13.5" customHeight="1">
      <c r="B216" s="246">
        <f>B215+1</f>
        <v>518</v>
      </c>
      <c r="C216" s="246" t="s">
        <v>123</v>
      </c>
      <c r="D216" s="247" t="s">
        <v>129</v>
      </c>
      <c r="E216" s="238"/>
      <c r="F216" s="262"/>
      <c r="G216" s="246" t="s">
        <v>98</v>
      </c>
      <c r="H216" s="246" t="str">
        <f t="shared" si="11"/>
        <v>nee</v>
      </c>
      <c r="I216" s="269"/>
      <c r="J216" s="223"/>
      <c r="K216" s="226"/>
      <c r="L216" s="225"/>
      <c r="M216" s="349">
        <f t="shared" si="12"/>
        <v>0</v>
      </c>
      <c r="Q216" s="272">
        <v>0</v>
      </c>
      <c r="R216" s="271">
        <f>R212</f>
        <v>86.6</v>
      </c>
      <c r="T216" s="333">
        <f t="shared" si="13"/>
        <v>0</v>
      </c>
    </row>
    <row r="217" spans="2:20" ht="13.5" customHeight="1">
      <c r="B217" s="246">
        <f>B216+1</f>
        <v>519</v>
      </c>
      <c r="C217" s="246" t="s">
        <v>124</v>
      </c>
      <c r="D217" s="247" t="s">
        <v>130</v>
      </c>
      <c r="E217" s="238"/>
      <c r="F217" s="262"/>
      <c r="G217" s="246" t="s">
        <v>98</v>
      </c>
      <c r="H217" s="246" t="str">
        <f t="shared" si="11"/>
        <v>nee</v>
      </c>
      <c r="I217" s="269"/>
      <c r="J217" s="223"/>
      <c r="K217" s="226"/>
      <c r="L217" s="225"/>
      <c r="M217" s="349">
        <f t="shared" si="12"/>
        <v>0</v>
      </c>
      <c r="Q217" s="273">
        <v>0</v>
      </c>
      <c r="R217" s="274">
        <f>R212</f>
        <v>86.6</v>
      </c>
      <c r="T217" s="335">
        <f t="shared" si="13"/>
        <v>0</v>
      </c>
    </row>
    <row r="218" ht="13.5" customHeight="1" thickBot="1">
      <c r="M218" s="45"/>
    </row>
    <row r="219" spans="2:13" ht="13.5" customHeight="1" thickBot="1">
      <c r="B219" s="243">
        <f>B217+1</f>
        <v>520</v>
      </c>
      <c r="C219" s="137" t="s">
        <v>476</v>
      </c>
      <c r="D219" s="238"/>
      <c r="E219" s="238"/>
      <c r="F219" s="238"/>
      <c r="G219" s="238"/>
      <c r="H219" s="238"/>
      <c r="I219" s="238"/>
      <c r="J219" s="238"/>
      <c r="K219" s="238"/>
      <c r="L219" s="238"/>
      <c r="M219" s="350">
        <f>SUM(M189:M190)+SUM(M193:M194)+SUM(M197:M200)+SUM(M203:M205)+SUM(M208:M209)+SUM(M212:M217)</f>
        <v>0</v>
      </c>
    </row>
    <row r="220" ht="13.5" customHeight="1">
      <c r="M220" s="45"/>
    </row>
    <row r="221" spans="1:11" ht="18" customHeight="1">
      <c r="A221" s="233" t="s">
        <v>92</v>
      </c>
      <c r="B221" s="232">
        <f>Voorblad!A160</f>
        <v>0</v>
      </c>
      <c r="I221" s="471"/>
      <c r="J221" s="45"/>
      <c r="K221" s="471"/>
    </row>
    <row r="222" spans="2:13" ht="18" customHeight="1">
      <c r="B222" s="234" t="str">
        <f>$B$2</f>
        <v>Budget 2005 AWBZ-instellingen sector V&amp;V</v>
      </c>
      <c r="C222" s="234"/>
      <c r="D222" s="234"/>
      <c r="E222" s="250"/>
      <c r="F222" s="352" t="str">
        <f>$F$2</f>
        <v>650 / </v>
      </c>
      <c r="G222" s="234"/>
      <c r="H222" s="236"/>
      <c r="I222" s="234"/>
      <c r="J222" s="236" t="str">
        <f>$J$2</f>
        <v>versie: 14-01-2005</v>
      </c>
      <c r="K222" s="236"/>
      <c r="L222" s="238"/>
      <c r="M222" s="239">
        <f>M184+1</f>
        <v>6</v>
      </c>
    </row>
    <row r="223" ht="12.75"/>
    <row r="224" ht="13.5" customHeight="1"/>
    <row r="225" spans="7:20" ht="13.5" customHeight="1">
      <c r="G225" s="386"/>
      <c r="H225" s="253" t="s">
        <v>63</v>
      </c>
      <c r="I225" s="264" t="s">
        <v>64</v>
      </c>
      <c r="J225" s="253" t="s">
        <v>51</v>
      </c>
      <c r="K225" s="264" t="s">
        <v>65</v>
      </c>
      <c r="L225" s="253" t="s">
        <v>53</v>
      </c>
      <c r="M225" s="253" t="s">
        <v>55</v>
      </c>
      <c r="T225" s="481" t="s">
        <v>612</v>
      </c>
    </row>
    <row r="226" spans="2:20" ht="13.5" customHeight="1">
      <c r="B226" s="251" t="s">
        <v>336</v>
      </c>
      <c r="G226" s="254" t="s">
        <v>30</v>
      </c>
      <c r="H226" s="254" t="s">
        <v>50</v>
      </c>
      <c r="I226" s="268" t="s">
        <v>57</v>
      </c>
      <c r="J226" s="254" t="s">
        <v>52</v>
      </c>
      <c r="K226" s="268" t="s">
        <v>54</v>
      </c>
      <c r="L226" s="254" t="s">
        <v>54</v>
      </c>
      <c r="M226" s="254" t="s">
        <v>56</v>
      </c>
      <c r="T226" s="481" t="s">
        <v>613</v>
      </c>
    </row>
    <row r="227" spans="2:21" ht="13.5" customHeight="1">
      <c r="B227" s="246">
        <v>601</v>
      </c>
      <c r="C227" s="246" t="s">
        <v>131</v>
      </c>
      <c r="D227" s="247" t="s">
        <v>150</v>
      </c>
      <c r="E227" s="238"/>
      <c r="F227" s="262"/>
      <c r="G227" s="246" t="s">
        <v>153</v>
      </c>
      <c r="H227" s="246" t="str">
        <f>IF(OR($G$36="ja",$G$37="ja"),"ja","nee")</f>
        <v>nee</v>
      </c>
      <c r="I227" s="269"/>
      <c r="J227" s="223"/>
      <c r="K227" s="226"/>
      <c r="L227" s="225"/>
      <c r="M227" s="349">
        <f aca="true" t="shared" si="14" ref="M227:M237">IF(H227="ja",ROUND(J227*L227,0),0)</f>
        <v>0</v>
      </c>
      <c r="Q227" s="270">
        <v>0</v>
      </c>
      <c r="R227" s="276">
        <v>24.7</v>
      </c>
      <c r="T227" s="330">
        <f>IF(M227&gt;0,J227,0)</f>
        <v>0</v>
      </c>
      <c r="U227" s="301"/>
    </row>
    <row r="228" spans="2:21" ht="13.5" customHeight="1">
      <c r="B228" s="246">
        <f aca="true" t="shared" si="15" ref="B228:B238">B227+1</f>
        <v>602</v>
      </c>
      <c r="C228" s="246" t="s">
        <v>132</v>
      </c>
      <c r="D228" s="247" t="s">
        <v>151</v>
      </c>
      <c r="E228" s="238"/>
      <c r="F228" s="262"/>
      <c r="G228" s="246" t="s">
        <v>153</v>
      </c>
      <c r="H228" s="246" t="str">
        <f>IF(AND($G$38="ja",OR($G$36="ja",$G$37="ja")),"ja","nee")</f>
        <v>nee</v>
      </c>
      <c r="I228" s="269"/>
      <c r="J228" s="223"/>
      <c r="K228" s="226"/>
      <c r="L228" s="225"/>
      <c r="M228" s="349">
        <f t="shared" si="14"/>
        <v>0</v>
      </c>
      <c r="Q228" s="272">
        <v>0</v>
      </c>
      <c r="R228" s="271">
        <f>R227+24.4</f>
        <v>49.099999999999994</v>
      </c>
      <c r="T228" s="332">
        <f aca="true" t="shared" si="16" ref="T228:T237">IF(M228&gt;0,J228,0)</f>
        <v>0</v>
      </c>
      <c r="U228" s="301"/>
    </row>
    <row r="229" spans="2:21" ht="13.5" customHeight="1">
      <c r="B229" s="246">
        <f t="shared" si="15"/>
        <v>603</v>
      </c>
      <c r="C229" s="246" t="s">
        <v>133</v>
      </c>
      <c r="D229" s="247" t="s">
        <v>152</v>
      </c>
      <c r="E229" s="238"/>
      <c r="F229" s="262"/>
      <c r="G229" s="246" t="s">
        <v>153</v>
      </c>
      <c r="H229" s="246" t="str">
        <f>IF(AND($G$38="ja",OR($G$36="ja",$G$37="ja")),"ja","nee")</f>
        <v>nee</v>
      </c>
      <c r="I229" s="269"/>
      <c r="J229" s="223"/>
      <c r="K229" s="226"/>
      <c r="L229" s="225"/>
      <c r="M229" s="349">
        <f t="shared" si="14"/>
        <v>0</v>
      </c>
      <c r="Q229" s="272">
        <v>0</v>
      </c>
      <c r="R229" s="271">
        <f>R227+24.4</f>
        <v>49.099999999999994</v>
      </c>
      <c r="T229" s="332">
        <f t="shared" si="16"/>
        <v>0</v>
      </c>
      <c r="U229" s="301"/>
    </row>
    <row r="230" spans="2:21" ht="13.5" customHeight="1">
      <c r="B230" s="246">
        <f t="shared" si="15"/>
        <v>604</v>
      </c>
      <c r="C230" s="246" t="s">
        <v>134</v>
      </c>
      <c r="D230" s="247" t="s">
        <v>142</v>
      </c>
      <c r="E230" s="238"/>
      <c r="F230" s="262"/>
      <c r="G230" s="246" t="s">
        <v>153</v>
      </c>
      <c r="H230" s="246" t="str">
        <f aca="true" t="shared" si="17" ref="H230:H237">IF(OR($G$36="ja",$G$37="ja"),"ja","nee")</f>
        <v>nee</v>
      </c>
      <c r="I230" s="269"/>
      <c r="J230" s="223"/>
      <c r="K230" s="226"/>
      <c r="L230" s="225"/>
      <c r="M230" s="349">
        <f t="shared" si="14"/>
        <v>0</v>
      </c>
      <c r="Q230" s="272">
        <v>0</v>
      </c>
      <c r="R230" s="271">
        <f>R227+26.5</f>
        <v>51.2</v>
      </c>
      <c r="T230" s="332">
        <f>IF(M230&gt;0,J230,0)</f>
        <v>0</v>
      </c>
      <c r="U230" s="301"/>
    </row>
    <row r="231" spans="2:21" ht="13.5" customHeight="1">
      <c r="B231" s="246">
        <f t="shared" si="15"/>
        <v>605</v>
      </c>
      <c r="C231" s="246" t="s">
        <v>135</v>
      </c>
      <c r="D231" s="247" t="s">
        <v>143</v>
      </c>
      <c r="E231" s="238"/>
      <c r="F231" s="262"/>
      <c r="G231" s="246" t="s">
        <v>153</v>
      </c>
      <c r="H231" s="246" t="str">
        <f t="shared" si="17"/>
        <v>nee</v>
      </c>
      <c r="I231" s="269"/>
      <c r="J231" s="223"/>
      <c r="K231" s="226"/>
      <c r="L231" s="225"/>
      <c r="M231" s="349">
        <f t="shared" si="14"/>
        <v>0</v>
      </c>
      <c r="Q231" s="272">
        <v>0</v>
      </c>
      <c r="R231" s="271">
        <f>R227+43.8</f>
        <v>68.5</v>
      </c>
      <c r="T231" s="332">
        <f t="shared" si="16"/>
        <v>0</v>
      </c>
      <c r="U231" s="301"/>
    </row>
    <row r="232" spans="2:21" ht="13.5" customHeight="1">
      <c r="B232" s="246">
        <f t="shared" si="15"/>
        <v>606</v>
      </c>
      <c r="C232" s="246" t="s">
        <v>136</v>
      </c>
      <c r="D232" s="247" t="s">
        <v>144</v>
      </c>
      <c r="E232" s="238"/>
      <c r="F232" s="262"/>
      <c r="G232" s="246" t="s">
        <v>153</v>
      </c>
      <c r="H232" s="246" t="str">
        <f t="shared" si="17"/>
        <v>nee</v>
      </c>
      <c r="I232" s="269"/>
      <c r="J232" s="223"/>
      <c r="K232" s="226"/>
      <c r="L232" s="225"/>
      <c r="M232" s="349">
        <f t="shared" si="14"/>
        <v>0</v>
      </c>
      <c r="Q232" s="272">
        <v>0</v>
      </c>
      <c r="R232" s="271">
        <f>R227+10.2</f>
        <v>34.9</v>
      </c>
      <c r="T232" s="332">
        <f t="shared" si="16"/>
        <v>0</v>
      </c>
      <c r="U232" s="301"/>
    </row>
    <row r="233" spans="2:21" ht="13.5" customHeight="1">
      <c r="B233" s="246">
        <f t="shared" si="15"/>
        <v>607</v>
      </c>
      <c r="C233" s="246" t="s">
        <v>137</v>
      </c>
      <c r="D233" s="247" t="s">
        <v>145</v>
      </c>
      <c r="E233" s="238"/>
      <c r="F233" s="262"/>
      <c r="G233" s="246" t="s">
        <v>153</v>
      </c>
      <c r="H233" s="246" t="str">
        <f t="shared" si="17"/>
        <v>nee</v>
      </c>
      <c r="I233" s="269"/>
      <c r="J233" s="223"/>
      <c r="K233" s="226"/>
      <c r="L233" s="225"/>
      <c r="M233" s="349">
        <f t="shared" si="14"/>
        <v>0</v>
      </c>
      <c r="Q233" s="272">
        <v>0</v>
      </c>
      <c r="R233" s="523">
        <f>R227+17.6</f>
        <v>42.3</v>
      </c>
      <c r="T233" s="332">
        <f t="shared" si="16"/>
        <v>0</v>
      </c>
      <c r="U233" s="301"/>
    </row>
    <row r="234" spans="2:21" ht="13.5" customHeight="1">
      <c r="B234" s="246">
        <f t="shared" si="15"/>
        <v>608</v>
      </c>
      <c r="C234" s="246" t="s">
        <v>138</v>
      </c>
      <c r="D234" s="247" t="s">
        <v>629</v>
      </c>
      <c r="E234" s="238"/>
      <c r="F234" s="262"/>
      <c r="G234" s="246" t="s">
        <v>153</v>
      </c>
      <c r="H234" s="246" t="str">
        <f t="shared" si="17"/>
        <v>nee</v>
      </c>
      <c r="I234" s="269"/>
      <c r="J234" s="223"/>
      <c r="K234" s="226"/>
      <c r="L234" s="225"/>
      <c r="M234" s="349">
        <f t="shared" si="14"/>
        <v>0</v>
      </c>
      <c r="Q234" s="272">
        <v>0</v>
      </c>
      <c r="R234" s="523">
        <f>R227+21.3</f>
        <v>46</v>
      </c>
      <c r="T234" s="332">
        <f t="shared" si="16"/>
        <v>0</v>
      </c>
      <c r="U234" s="301"/>
    </row>
    <row r="235" spans="2:21" ht="13.5" customHeight="1">
      <c r="B235" s="246">
        <f t="shared" si="15"/>
        <v>609</v>
      </c>
      <c r="C235" s="246" t="s">
        <v>139</v>
      </c>
      <c r="D235" s="247" t="s">
        <v>146</v>
      </c>
      <c r="E235" s="238"/>
      <c r="F235" s="262"/>
      <c r="G235" s="246" t="s">
        <v>153</v>
      </c>
      <c r="H235" s="246" t="str">
        <f t="shared" si="17"/>
        <v>nee</v>
      </c>
      <c r="I235" s="269"/>
      <c r="J235" s="223"/>
      <c r="K235" s="226"/>
      <c r="L235" s="225"/>
      <c r="M235" s="349">
        <f t="shared" si="14"/>
        <v>0</v>
      </c>
      <c r="Q235" s="272">
        <v>0</v>
      </c>
      <c r="R235" s="271">
        <f>R227+32.5</f>
        <v>57.2</v>
      </c>
      <c r="T235" s="332">
        <f t="shared" si="16"/>
        <v>0</v>
      </c>
      <c r="U235" s="301"/>
    </row>
    <row r="236" spans="2:21" ht="13.5" customHeight="1">
      <c r="B236" s="246">
        <f t="shared" si="15"/>
        <v>610</v>
      </c>
      <c r="C236" s="246" t="s">
        <v>140</v>
      </c>
      <c r="D236" s="247" t="s">
        <v>148</v>
      </c>
      <c r="E236" s="238"/>
      <c r="F236" s="262"/>
      <c r="G236" s="246" t="s">
        <v>153</v>
      </c>
      <c r="H236" s="246" t="str">
        <f t="shared" si="17"/>
        <v>nee</v>
      </c>
      <c r="I236" s="269"/>
      <c r="J236" s="223"/>
      <c r="K236" s="226"/>
      <c r="L236" s="225"/>
      <c r="M236" s="349">
        <f t="shared" si="14"/>
        <v>0</v>
      </c>
      <c r="Q236" s="272">
        <v>0</v>
      </c>
      <c r="R236" s="271">
        <f>R227+17.3</f>
        <v>42</v>
      </c>
      <c r="T236" s="332">
        <f t="shared" si="16"/>
        <v>0</v>
      </c>
      <c r="U236" s="301"/>
    </row>
    <row r="237" spans="2:21" ht="13.5" customHeight="1" thickBot="1">
      <c r="B237" s="246">
        <f t="shared" si="15"/>
        <v>611</v>
      </c>
      <c r="C237" s="246" t="s">
        <v>141</v>
      </c>
      <c r="D237" s="247" t="s">
        <v>149</v>
      </c>
      <c r="E237" s="238"/>
      <c r="F237" s="262"/>
      <c r="G237" s="246" t="s">
        <v>153</v>
      </c>
      <c r="H237" s="246" t="str">
        <f t="shared" si="17"/>
        <v>nee</v>
      </c>
      <c r="I237" s="269"/>
      <c r="J237" s="223"/>
      <c r="K237" s="226"/>
      <c r="L237" s="225"/>
      <c r="M237" s="349">
        <f t="shared" si="14"/>
        <v>0</v>
      </c>
      <c r="Q237" s="273">
        <v>0</v>
      </c>
      <c r="R237" s="274">
        <f>R227+31.9</f>
        <v>56.599999999999994</v>
      </c>
      <c r="T237" s="334">
        <f t="shared" si="16"/>
        <v>0</v>
      </c>
      <c r="U237" s="301"/>
    </row>
    <row r="238" spans="2:13" ht="13.5" customHeight="1" thickBot="1">
      <c r="B238" s="243">
        <f t="shared" si="15"/>
        <v>612</v>
      </c>
      <c r="C238" s="137" t="s">
        <v>276</v>
      </c>
      <c r="D238" s="238"/>
      <c r="E238" s="238"/>
      <c r="F238" s="238"/>
      <c r="G238" s="238"/>
      <c r="H238" s="238"/>
      <c r="I238" s="238"/>
      <c r="J238" s="238"/>
      <c r="K238" s="238"/>
      <c r="L238" s="238"/>
      <c r="M238" s="350">
        <f>SUM(M227:M237)</f>
        <v>0</v>
      </c>
    </row>
    <row r="239" ht="13.5" customHeight="1">
      <c r="M239" s="45"/>
    </row>
    <row r="240" spans="2:13" ht="13.5" customHeight="1">
      <c r="B240" s="251" t="s">
        <v>337</v>
      </c>
      <c r="M240" s="45"/>
    </row>
    <row r="241" ht="13.5" customHeight="1">
      <c r="M241" s="45"/>
    </row>
    <row r="242" spans="2:13" ht="13.5" customHeight="1">
      <c r="B242" s="420" t="s">
        <v>338</v>
      </c>
      <c r="M242" s="45"/>
    </row>
    <row r="243" spans="2:18" ht="13.5" customHeight="1">
      <c r="B243" s="246">
        <f>B238+1</f>
        <v>613</v>
      </c>
      <c r="C243" s="246" t="s">
        <v>154</v>
      </c>
      <c r="D243" s="247" t="s">
        <v>162</v>
      </c>
      <c r="E243" s="238"/>
      <c r="F243" s="262"/>
      <c r="G243" s="246" t="s">
        <v>155</v>
      </c>
      <c r="H243" s="246" t="str">
        <f>IF($G$40="ja","ja","nee")</f>
        <v>nee</v>
      </c>
      <c r="I243" s="269"/>
      <c r="J243" s="223"/>
      <c r="K243" s="226"/>
      <c r="L243" s="225"/>
      <c r="M243" s="349">
        <f>IF(H243="ja",ROUND(J243*L243,0),0)</f>
        <v>0</v>
      </c>
      <c r="Q243" s="270">
        <v>0</v>
      </c>
      <c r="R243" s="276">
        <v>23</v>
      </c>
    </row>
    <row r="244" spans="2:18" ht="13.5" customHeight="1">
      <c r="B244" s="246">
        <f>B243+1</f>
        <v>614</v>
      </c>
      <c r="C244" s="246" t="s">
        <v>158</v>
      </c>
      <c r="D244" s="247" t="s">
        <v>163</v>
      </c>
      <c r="E244" s="238"/>
      <c r="F244" s="262"/>
      <c r="G244" s="246" t="s">
        <v>156</v>
      </c>
      <c r="H244" s="246" t="str">
        <f>IF($G$40="ja","ja","nee")</f>
        <v>nee</v>
      </c>
      <c r="I244" s="269"/>
      <c r="J244" s="223"/>
      <c r="K244" s="226"/>
      <c r="L244" s="225"/>
      <c r="M244" s="349">
        <f>IF(H244="ja",ROUND(J244*L244,0),0)</f>
        <v>0</v>
      </c>
      <c r="Q244" s="272">
        <v>0</v>
      </c>
      <c r="R244" s="271">
        <v>26.3</v>
      </c>
    </row>
    <row r="245" spans="2:18" ht="13.5" customHeight="1">
      <c r="B245" s="246">
        <f>B244+1</f>
        <v>615</v>
      </c>
      <c r="C245" s="246" t="s">
        <v>159</v>
      </c>
      <c r="D245" s="247" t="s">
        <v>164</v>
      </c>
      <c r="E245" s="238"/>
      <c r="F245" s="262"/>
      <c r="G245" s="246" t="s">
        <v>156</v>
      </c>
      <c r="H245" s="246" t="str">
        <f>IF($G$40="ja","ja","nee")</f>
        <v>nee</v>
      </c>
      <c r="I245" s="269"/>
      <c r="J245" s="223"/>
      <c r="K245" s="226"/>
      <c r="L245" s="225"/>
      <c r="M245" s="349">
        <f>IF(H245="ja",ROUND(J245*L245,0),0)</f>
        <v>0</v>
      </c>
      <c r="Q245" s="272">
        <v>0</v>
      </c>
      <c r="R245" s="271">
        <v>46</v>
      </c>
    </row>
    <row r="246" spans="2:18" ht="13.5" customHeight="1">
      <c r="B246" s="246">
        <f>B245+1</f>
        <v>616</v>
      </c>
      <c r="C246" s="246" t="s">
        <v>160</v>
      </c>
      <c r="D246" s="247" t="s">
        <v>165</v>
      </c>
      <c r="E246" s="238"/>
      <c r="F246" s="262"/>
      <c r="G246" s="246" t="s">
        <v>156</v>
      </c>
      <c r="H246" s="246" t="str">
        <f>IF($G$40="ja","ja","nee")</f>
        <v>nee</v>
      </c>
      <c r="I246" s="269"/>
      <c r="J246" s="223"/>
      <c r="K246" s="226"/>
      <c r="L246" s="225"/>
      <c r="M246" s="349">
        <f>IF(H246="ja",ROUND(J246*L246,0),0)</f>
        <v>0</v>
      </c>
      <c r="Q246" s="272">
        <v>0</v>
      </c>
      <c r="R246" s="271">
        <v>78.8</v>
      </c>
    </row>
    <row r="247" spans="2:18" ht="13.5" customHeight="1">
      <c r="B247" s="246">
        <f>B246+1</f>
        <v>617</v>
      </c>
      <c r="C247" s="246" t="s">
        <v>161</v>
      </c>
      <c r="D247" s="247" t="s">
        <v>166</v>
      </c>
      <c r="E247" s="238"/>
      <c r="F247" s="262"/>
      <c r="G247" s="246" t="s">
        <v>157</v>
      </c>
      <c r="H247" s="246" t="str">
        <f>IF($G$40="ja","ja","nee")</f>
        <v>nee</v>
      </c>
      <c r="I247" s="269"/>
      <c r="J247" s="223"/>
      <c r="K247" s="226"/>
      <c r="L247" s="225"/>
      <c r="M247" s="349">
        <f>IF(H247="ja",ROUND(J247*L247,0),0)</f>
        <v>0</v>
      </c>
      <c r="Q247" s="273">
        <v>0</v>
      </c>
      <c r="R247" s="274">
        <v>20.1</v>
      </c>
    </row>
    <row r="248" ht="13.5" customHeight="1">
      <c r="M248" s="45"/>
    </row>
    <row r="249" spans="2:13" ht="13.5" customHeight="1">
      <c r="B249" s="420" t="s">
        <v>339</v>
      </c>
      <c r="M249" s="45"/>
    </row>
    <row r="250" spans="2:18" ht="13.5" customHeight="1">
      <c r="B250" s="246">
        <f>B247+1</f>
        <v>618</v>
      </c>
      <c r="C250" s="246" t="s">
        <v>167</v>
      </c>
      <c r="D250" s="247" t="s">
        <v>75</v>
      </c>
      <c r="E250" s="238"/>
      <c r="F250" s="262"/>
      <c r="G250" s="246" t="s">
        <v>168</v>
      </c>
      <c r="H250" s="246" t="str">
        <f>IF($G$41="ja","ja","nee")</f>
        <v>nee</v>
      </c>
      <c r="I250" s="269"/>
      <c r="J250" s="223"/>
      <c r="K250" s="226"/>
      <c r="L250" s="225"/>
      <c r="M250" s="349">
        <f>IF(H250="ja",ROUND(J250*L250,0),0)</f>
        <v>0</v>
      </c>
      <c r="Q250" s="261">
        <v>0</v>
      </c>
      <c r="R250" s="421">
        <v>59.4</v>
      </c>
    </row>
    <row r="251" ht="13.5" customHeight="1">
      <c r="M251" s="45"/>
    </row>
    <row r="252" spans="2:13" ht="13.5" customHeight="1">
      <c r="B252" s="420" t="s">
        <v>340</v>
      </c>
      <c r="M252" s="45"/>
    </row>
    <row r="253" spans="2:18" ht="13.5" customHeight="1">
      <c r="B253" s="246">
        <f>B250+1</f>
        <v>619</v>
      </c>
      <c r="C253" s="246" t="s">
        <v>169</v>
      </c>
      <c r="D253" s="247" t="s">
        <v>171</v>
      </c>
      <c r="E253" s="238"/>
      <c r="F253" s="262"/>
      <c r="G253" s="246" t="s">
        <v>168</v>
      </c>
      <c r="H253" s="246" t="s">
        <v>58</v>
      </c>
      <c r="I253" s="269"/>
      <c r="J253" s="223"/>
      <c r="K253" s="226"/>
      <c r="L253" s="225"/>
      <c r="M253" s="349">
        <f>IF(H253="ja",ROUND(J253*L253,0),0)</f>
        <v>0</v>
      </c>
      <c r="Q253" s="270">
        <v>0</v>
      </c>
      <c r="R253" s="276">
        <v>59.4</v>
      </c>
    </row>
    <row r="254" spans="2:18" ht="13.5" customHeight="1">
      <c r="B254" s="246">
        <f>B253+1</f>
        <v>620</v>
      </c>
      <c r="C254" s="246" t="s">
        <v>170</v>
      </c>
      <c r="D254" s="247" t="s">
        <v>172</v>
      </c>
      <c r="E254" s="238"/>
      <c r="F254" s="262"/>
      <c r="G254" s="246" t="s">
        <v>168</v>
      </c>
      <c r="H254" s="246" t="s">
        <v>58</v>
      </c>
      <c r="I254" s="269"/>
      <c r="J254" s="223"/>
      <c r="K254" s="226"/>
      <c r="L254" s="225"/>
      <c r="M254" s="349">
        <f>IF(H254="ja",ROUND(J254*L254,0),0)</f>
        <v>0</v>
      </c>
      <c r="Q254" s="273">
        <v>0</v>
      </c>
      <c r="R254" s="274">
        <v>63.5</v>
      </c>
    </row>
    <row r="255" ht="13.5" customHeight="1" thickBot="1">
      <c r="M255" s="45"/>
    </row>
    <row r="256" spans="2:13" ht="13.5" customHeight="1" thickBot="1">
      <c r="B256" s="243">
        <f>B254+1</f>
        <v>621</v>
      </c>
      <c r="C256" s="137" t="s">
        <v>277</v>
      </c>
      <c r="D256" s="238"/>
      <c r="E256" s="238"/>
      <c r="F256" s="238"/>
      <c r="G256" s="238"/>
      <c r="H256" s="238"/>
      <c r="I256" s="238"/>
      <c r="J256" s="238"/>
      <c r="K256" s="238"/>
      <c r="L256" s="238"/>
      <c r="M256" s="350">
        <f>SUM(M243:M247)+M250+SUM(M253:M254)</f>
        <v>0</v>
      </c>
    </row>
    <row r="257" ht="13.5" customHeight="1">
      <c r="M257" s="45"/>
    </row>
    <row r="258" spans="1:11" ht="18" customHeight="1">
      <c r="A258" s="233" t="s">
        <v>92</v>
      </c>
      <c r="B258" s="232">
        <f>Voorblad!A195</f>
        <v>0</v>
      </c>
      <c r="I258" s="471"/>
      <c r="J258" s="45"/>
      <c r="K258" s="471"/>
    </row>
    <row r="259" spans="2:13" ht="18" customHeight="1">
      <c r="B259" s="234" t="str">
        <f>$B$2</f>
        <v>Budget 2005 AWBZ-instellingen sector V&amp;V</v>
      </c>
      <c r="C259" s="234"/>
      <c r="D259" s="234"/>
      <c r="E259" s="250"/>
      <c r="F259" s="352" t="str">
        <f>$F$2</f>
        <v>650 / </v>
      </c>
      <c r="G259" s="234"/>
      <c r="H259" s="236"/>
      <c r="I259" s="234"/>
      <c r="J259" s="236" t="str">
        <f>$J$2</f>
        <v>versie: 14-01-2005</v>
      </c>
      <c r="K259" s="236"/>
      <c r="L259" s="238"/>
      <c r="M259" s="239">
        <f>M222+1</f>
        <v>7</v>
      </c>
    </row>
    <row r="260" ht="12.75"/>
    <row r="261" spans="2:13" ht="13.5" customHeight="1">
      <c r="B261" s="251" t="s">
        <v>341</v>
      </c>
      <c r="M261" s="45"/>
    </row>
    <row r="262" spans="7:13" ht="13.5" customHeight="1">
      <c r="G262" s="386"/>
      <c r="H262" s="253" t="s">
        <v>63</v>
      </c>
      <c r="I262" s="264" t="s">
        <v>64</v>
      </c>
      <c r="J262" s="253" t="s">
        <v>51</v>
      </c>
      <c r="K262" s="264" t="s">
        <v>65</v>
      </c>
      <c r="L262" s="253" t="s">
        <v>53</v>
      </c>
      <c r="M262" s="253" t="s">
        <v>55</v>
      </c>
    </row>
    <row r="263" spans="2:13" ht="13.5" customHeight="1">
      <c r="B263" s="420" t="s">
        <v>348</v>
      </c>
      <c r="G263" s="254" t="s">
        <v>30</v>
      </c>
      <c r="H263" s="254" t="s">
        <v>50</v>
      </c>
      <c r="I263" s="268" t="s">
        <v>57</v>
      </c>
      <c r="J263" s="254" t="s">
        <v>52</v>
      </c>
      <c r="K263" s="268" t="s">
        <v>54</v>
      </c>
      <c r="L263" s="254" t="s">
        <v>54</v>
      </c>
      <c r="M263" s="254" t="s">
        <v>56</v>
      </c>
    </row>
    <row r="264" spans="2:18" ht="13.5" customHeight="1">
      <c r="B264" s="246">
        <v>701</v>
      </c>
      <c r="C264" s="246" t="s">
        <v>349</v>
      </c>
      <c r="D264" s="247" t="s">
        <v>173</v>
      </c>
      <c r="E264" s="238"/>
      <c r="F264" s="262"/>
      <c r="G264" s="246" t="s">
        <v>184</v>
      </c>
      <c r="H264" s="246" t="str">
        <f aca="true" t="shared" si="18" ref="H264:H274">IF($G$38="ja","ja","nee")</f>
        <v>nee</v>
      </c>
      <c r="I264" s="269"/>
      <c r="J264" s="223"/>
      <c r="K264" s="226"/>
      <c r="L264" s="225"/>
      <c r="M264" s="349">
        <f aca="true" t="shared" si="19" ref="M264:M274">IF(H264="ja",ROUND(J264*L264,0),0)</f>
        <v>0</v>
      </c>
      <c r="Q264" s="270">
        <v>0</v>
      </c>
      <c r="R264" s="276">
        <v>22</v>
      </c>
    </row>
    <row r="265" spans="2:18" ht="13.5" customHeight="1">
      <c r="B265" s="246">
        <f aca="true" t="shared" si="20" ref="B265:B275">B264+1</f>
        <v>702</v>
      </c>
      <c r="C265" s="246" t="s">
        <v>350</v>
      </c>
      <c r="D265" s="247" t="s">
        <v>174</v>
      </c>
      <c r="E265" s="238"/>
      <c r="F265" s="262"/>
      <c r="G265" s="246" t="s">
        <v>184</v>
      </c>
      <c r="H265" s="246" t="str">
        <f t="shared" si="18"/>
        <v>nee</v>
      </c>
      <c r="I265" s="269"/>
      <c r="J265" s="223"/>
      <c r="K265" s="226"/>
      <c r="L265" s="225"/>
      <c r="M265" s="349">
        <f t="shared" si="19"/>
        <v>0</v>
      </c>
      <c r="Q265" s="272">
        <v>0</v>
      </c>
      <c r="R265" s="271">
        <v>209</v>
      </c>
    </row>
    <row r="266" spans="2:18" ht="13.5" customHeight="1">
      <c r="B266" s="246">
        <f t="shared" si="20"/>
        <v>703</v>
      </c>
      <c r="C266" s="246" t="s">
        <v>351</v>
      </c>
      <c r="D266" s="247" t="s">
        <v>175</v>
      </c>
      <c r="E266" s="238"/>
      <c r="F266" s="262"/>
      <c r="G266" s="246" t="s">
        <v>184</v>
      </c>
      <c r="H266" s="246" t="str">
        <f t="shared" si="18"/>
        <v>nee</v>
      </c>
      <c r="I266" s="269"/>
      <c r="J266" s="223"/>
      <c r="K266" s="226"/>
      <c r="L266" s="225"/>
      <c r="M266" s="349">
        <f t="shared" si="19"/>
        <v>0</v>
      </c>
      <c r="Q266" s="272">
        <v>0</v>
      </c>
      <c r="R266" s="271">
        <v>434</v>
      </c>
    </row>
    <row r="267" spans="2:18" ht="13.5" customHeight="1">
      <c r="B267" s="246">
        <f t="shared" si="20"/>
        <v>704</v>
      </c>
      <c r="C267" s="246" t="s">
        <v>352</v>
      </c>
      <c r="D267" s="247" t="s">
        <v>176</v>
      </c>
      <c r="E267" s="238"/>
      <c r="F267" s="262"/>
      <c r="G267" s="246" t="s">
        <v>184</v>
      </c>
      <c r="H267" s="246" t="str">
        <f t="shared" si="18"/>
        <v>nee</v>
      </c>
      <c r="I267" s="269"/>
      <c r="J267" s="223"/>
      <c r="K267" s="226"/>
      <c r="L267" s="225"/>
      <c r="M267" s="349">
        <f t="shared" si="19"/>
        <v>0</v>
      </c>
      <c r="Q267" s="272">
        <v>0</v>
      </c>
      <c r="R267" s="271">
        <v>106</v>
      </c>
    </row>
    <row r="268" spans="2:18" ht="13.5" customHeight="1">
      <c r="B268" s="246">
        <f t="shared" si="20"/>
        <v>705</v>
      </c>
      <c r="C268" s="246" t="s">
        <v>353</v>
      </c>
      <c r="D268" s="247" t="s">
        <v>177</v>
      </c>
      <c r="E268" s="238"/>
      <c r="F268" s="262"/>
      <c r="G268" s="246" t="s">
        <v>185</v>
      </c>
      <c r="H268" s="246" t="str">
        <f t="shared" si="18"/>
        <v>nee</v>
      </c>
      <c r="I268" s="269"/>
      <c r="J268" s="223"/>
      <c r="K268" s="226"/>
      <c r="L268" s="225"/>
      <c r="M268" s="349">
        <f t="shared" si="19"/>
        <v>0</v>
      </c>
      <c r="Q268" s="272">
        <v>0</v>
      </c>
      <c r="R268" s="271">
        <v>71</v>
      </c>
    </row>
    <row r="269" spans="2:18" ht="13.5" customHeight="1">
      <c r="B269" s="246">
        <f t="shared" si="20"/>
        <v>706</v>
      </c>
      <c r="C269" s="246" t="s">
        <v>354</v>
      </c>
      <c r="D269" s="247" t="s">
        <v>178</v>
      </c>
      <c r="E269" s="238"/>
      <c r="F269" s="262"/>
      <c r="G269" s="246" t="s">
        <v>184</v>
      </c>
      <c r="H269" s="246" t="str">
        <f t="shared" si="18"/>
        <v>nee</v>
      </c>
      <c r="I269" s="269"/>
      <c r="J269" s="223"/>
      <c r="K269" s="226"/>
      <c r="L269" s="225"/>
      <c r="M269" s="349">
        <f t="shared" si="19"/>
        <v>0</v>
      </c>
      <c r="Q269" s="272">
        <v>0</v>
      </c>
      <c r="R269" s="271">
        <v>89</v>
      </c>
    </row>
    <row r="270" spans="2:18" ht="13.5" customHeight="1">
      <c r="B270" s="246">
        <f t="shared" si="20"/>
        <v>707</v>
      </c>
      <c r="C270" s="416" t="s">
        <v>359</v>
      </c>
      <c r="D270" s="247" t="s">
        <v>179</v>
      </c>
      <c r="E270" s="238"/>
      <c r="F270" s="262"/>
      <c r="G270" s="246" t="s">
        <v>184</v>
      </c>
      <c r="H270" s="246" t="str">
        <f t="shared" si="18"/>
        <v>nee</v>
      </c>
      <c r="I270" s="269"/>
      <c r="J270" s="223"/>
      <c r="K270" s="226"/>
      <c r="L270" s="225"/>
      <c r="M270" s="349">
        <f t="shared" si="19"/>
        <v>0</v>
      </c>
      <c r="Q270" s="272">
        <v>0</v>
      </c>
      <c r="R270" s="271">
        <v>49</v>
      </c>
    </row>
    <row r="271" spans="2:18" ht="13.5" customHeight="1">
      <c r="B271" s="246">
        <f t="shared" si="20"/>
        <v>708</v>
      </c>
      <c r="C271" s="246" t="s">
        <v>355</v>
      </c>
      <c r="D271" s="247" t="s">
        <v>180</v>
      </c>
      <c r="E271" s="238"/>
      <c r="F271" s="262"/>
      <c r="G271" s="246" t="s">
        <v>185</v>
      </c>
      <c r="H271" s="246" t="str">
        <f t="shared" si="18"/>
        <v>nee</v>
      </c>
      <c r="I271" s="269"/>
      <c r="J271" s="223"/>
      <c r="K271" s="226"/>
      <c r="L271" s="225"/>
      <c r="M271" s="349">
        <f t="shared" si="19"/>
        <v>0</v>
      </c>
      <c r="Q271" s="272">
        <v>0</v>
      </c>
      <c r="R271" s="271">
        <v>61</v>
      </c>
    </row>
    <row r="272" spans="2:18" ht="13.5" customHeight="1">
      <c r="B272" s="246">
        <f t="shared" si="20"/>
        <v>709</v>
      </c>
      <c r="C272" s="246" t="s">
        <v>356</v>
      </c>
      <c r="D272" s="247" t="s">
        <v>181</v>
      </c>
      <c r="E272" s="238"/>
      <c r="F272" s="262"/>
      <c r="G272" s="246" t="s">
        <v>184</v>
      </c>
      <c r="H272" s="246" t="str">
        <f t="shared" si="18"/>
        <v>nee</v>
      </c>
      <c r="I272" s="269"/>
      <c r="J272" s="223"/>
      <c r="K272" s="226"/>
      <c r="L272" s="225"/>
      <c r="M272" s="349">
        <f t="shared" si="19"/>
        <v>0</v>
      </c>
      <c r="Q272" s="272">
        <v>0</v>
      </c>
      <c r="R272" s="271">
        <v>216</v>
      </c>
    </row>
    <row r="273" spans="2:18" ht="13.5" customHeight="1">
      <c r="B273" s="246">
        <f t="shared" si="20"/>
        <v>710</v>
      </c>
      <c r="C273" s="246" t="s">
        <v>357</v>
      </c>
      <c r="D273" s="247" t="s">
        <v>182</v>
      </c>
      <c r="E273" s="238"/>
      <c r="F273" s="262"/>
      <c r="G273" s="246" t="s">
        <v>184</v>
      </c>
      <c r="H273" s="246" t="str">
        <f t="shared" si="18"/>
        <v>nee</v>
      </c>
      <c r="I273" s="269"/>
      <c r="J273" s="223"/>
      <c r="K273" s="226"/>
      <c r="L273" s="225"/>
      <c r="M273" s="349">
        <f t="shared" si="19"/>
        <v>0</v>
      </c>
      <c r="Q273" s="272">
        <v>0</v>
      </c>
      <c r="R273" s="271">
        <v>809</v>
      </c>
    </row>
    <row r="274" spans="2:18" ht="13.5" customHeight="1" thickBot="1">
      <c r="B274" s="246">
        <f t="shared" si="20"/>
        <v>711</v>
      </c>
      <c r="C274" s="246" t="s">
        <v>358</v>
      </c>
      <c r="D274" s="247" t="s">
        <v>183</v>
      </c>
      <c r="E274" s="238"/>
      <c r="F274" s="262"/>
      <c r="G274" s="246" t="s">
        <v>184</v>
      </c>
      <c r="H274" s="246" t="str">
        <f t="shared" si="18"/>
        <v>nee</v>
      </c>
      <c r="I274" s="269"/>
      <c r="J274" s="223"/>
      <c r="K274" s="226"/>
      <c r="L274" s="225"/>
      <c r="M274" s="349">
        <f t="shared" si="19"/>
        <v>0</v>
      </c>
      <c r="Q274" s="273">
        <v>0</v>
      </c>
      <c r="R274" s="274">
        <v>34</v>
      </c>
    </row>
    <row r="275" spans="2:13" ht="13.5" customHeight="1" thickBot="1">
      <c r="B275" s="243">
        <f t="shared" si="20"/>
        <v>712</v>
      </c>
      <c r="C275" s="137" t="s">
        <v>360</v>
      </c>
      <c r="D275" s="238"/>
      <c r="E275" s="238"/>
      <c r="F275" s="238"/>
      <c r="G275" s="238"/>
      <c r="H275" s="238"/>
      <c r="I275" s="238"/>
      <c r="J275" s="238"/>
      <c r="K275" s="238"/>
      <c r="L275" s="238"/>
      <c r="M275" s="350">
        <f>SUM(M264:M274)</f>
        <v>0</v>
      </c>
    </row>
    <row r="276" ht="13.5" customHeight="1"/>
    <row r="277" spans="2:13" ht="13.5" customHeight="1">
      <c r="B277" s="420" t="s">
        <v>385</v>
      </c>
      <c r="M277" s="45"/>
    </row>
    <row r="278" spans="2:18" ht="13.5" customHeight="1">
      <c r="B278" s="246">
        <f>B275+1</f>
        <v>713</v>
      </c>
      <c r="C278" s="246" t="s">
        <v>361</v>
      </c>
      <c r="D278" s="247" t="s">
        <v>173</v>
      </c>
      <c r="E278" s="238"/>
      <c r="F278" s="262"/>
      <c r="G278" s="246" t="s">
        <v>184</v>
      </c>
      <c r="H278" s="246" t="str">
        <f aca="true" t="shared" si="21" ref="H278:H288">IF($G$38="ja","ja","nee")</f>
        <v>nee</v>
      </c>
      <c r="I278" s="269"/>
      <c r="J278" s="223"/>
      <c r="K278" s="226"/>
      <c r="L278" s="225"/>
      <c r="M278" s="349">
        <f aca="true" t="shared" si="22" ref="M278:M288">IF(H278="ja",ROUND(J278*L278,0),0)</f>
        <v>0</v>
      </c>
      <c r="Q278" s="270">
        <v>0</v>
      </c>
      <c r="R278" s="276">
        <f>$R264</f>
        <v>22</v>
      </c>
    </row>
    <row r="279" spans="2:18" ht="13.5" customHeight="1">
      <c r="B279" s="246">
        <f aca="true" t="shared" si="23" ref="B279:B289">B278+1</f>
        <v>714</v>
      </c>
      <c r="C279" s="246" t="s">
        <v>362</v>
      </c>
      <c r="D279" s="247" t="s">
        <v>174</v>
      </c>
      <c r="E279" s="238"/>
      <c r="F279" s="262"/>
      <c r="G279" s="246" t="s">
        <v>184</v>
      </c>
      <c r="H279" s="246" t="str">
        <f t="shared" si="21"/>
        <v>nee</v>
      </c>
      <c r="I279" s="269"/>
      <c r="J279" s="223"/>
      <c r="K279" s="226"/>
      <c r="L279" s="225"/>
      <c r="M279" s="349">
        <f t="shared" si="22"/>
        <v>0</v>
      </c>
      <c r="Q279" s="272">
        <v>0</v>
      </c>
      <c r="R279" s="271">
        <f aca="true" t="shared" si="24" ref="R279:R288">$R265</f>
        <v>209</v>
      </c>
    </row>
    <row r="280" spans="2:18" ht="13.5" customHeight="1">
      <c r="B280" s="246">
        <f t="shared" si="23"/>
        <v>715</v>
      </c>
      <c r="C280" s="246" t="s">
        <v>363</v>
      </c>
      <c r="D280" s="247" t="s">
        <v>175</v>
      </c>
      <c r="E280" s="238"/>
      <c r="F280" s="262"/>
      <c r="G280" s="246" t="s">
        <v>184</v>
      </c>
      <c r="H280" s="246" t="str">
        <f t="shared" si="21"/>
        <v>nee</v>
      </c>
      <c r="I280" s="269"/>
      <c r="J280" s="223"/>
      <c r="K280" s="226"/>
      <c r="L280" s="225"/>
      <c r="M280" s="349">
        <f t="shared" si="22"/>
        <v>0</v>
      </c>
      <c r="Q280" s="272">
        <v>0</v>
      </c>
      <c r="R280" s="271">
        <f t="shared" si="24"/>
        <v>434</v>
      </c>
    </row>
    <row r="281" spans="2:18" ht="13.5" customHeight="1">
      <c r="B281" s="246">
        <f t="shared" si="23"/>
        <v>716</v>
      </c>
      <c r="C281" s="246" t="s">
        <v>364</v>
      </c>
      <c r="D281" s="247" t="s">
        <v>176</v>
      </c>
      <c r="E281" s="238"/>
      <c r="F281" s="262"/>
      <c r="G281" s="246" t="s">
        <v>184</v>
      </c>
      <c r="H281" s="246" t="str">
        <f t="shared" si="21"/>
        <v>nee</v>
      </c>
      <c r="I281" s="269"/>
      <c r="J281" s="223"/>
      <c r="K281" s="226"/>
      <c r="L281" s="225"/>
      <c r="M281" s="349">
        <f t="shared" si="22"/>
        <v>0</v>
      </c>
      <c r="Q281" s="272">
        <v>0</v>
      </c>
      <c r="R281" s="271">
        <f t="shared" si="24"/>
        <v>106</v>
      </c>
    </row>
    <row r="282" spans="2:18" ht="13.5" customHeight="1">
      <c r="B282" s="246">
        <f t="shared" si="23"/>
        <v>717</v>
      </c>
      <c r="C282" s="246" t="s">
        <v>365</v>
      </c>
      <c r="D282" s="247" t="s">
        <v>177</v>
      </c>
      <c r="E282" s="238"/>
      <c r="F282" s="262"/>
      <c r="G282" s="246" t="s">
        <v>185</v>
      </c>
      <c r="H282" s="246" t="str">
        <f t="shared" si="21"/>
        <v>nee</v>
      </c>
      <c r="I282" s="269"/>
      <c r="J282" s="223"/>
      <c r="K282" s="226"/>
      <c r="L282" s="225"/>
      <c r="M282" s="349">
        <f t="shared" si="22"/>
        <v>0</v>
      </c>
      <c r="Q282" s="272">
        <v>0</v>
      </c>
      <c r="R282" s="271">
        <f t="shared" si="24"/>
        <v>71</v>
      </c>
    </row>
    <row r="283" spans="2:18" ht="13.5" customHeight="1">
      <c r="B283" s="246">
        <f t="shared" si="23"/>
        <v>718</v>
      </c>
      <c r="C283" s="246" t="s">
        <v>366</v>
      </c>
      <c r="D283" s="247" t="s">
        <v>178</v>
      </c>
      <c r="E283" s="238"/>
      <c r="F283" s="262"/>
      <c r="G283" s="246" t="s">
        <v>184</v>
      </c>
      <c r="H283" s="246" t="str">
        <f t="shared" si="21"/>
        <v>nee</v>
      </c>
      <c r="I283" s="269"/>
      <c r="J283" s="223"/>
      <c r="K283" s="226"/>
      <c r="L283" s="225"/>
      <c r="M283" s="349">
        <f t="shared" si="22"/>
        <v>0</v>
      </c>
      <c r="Q283" s="272">
        <v>0</v>
      </c>
      <c r="R283" s="271">
        <f t="shared" si="24"/>
        <v>89</v>
      </c>
    </row>
    <row r="284" spans="2:18" ht="13.5" customHeight="1">
      <c r="B284" s="246">
        <f t="shared" si="23"/>
        <v>719</v>
      </c>
      <c r="C284" s="416" t="s">
        <v>372</v>
      </c>
      <c r="D284" s="247" t="s">
        <v>179</v>
      </c>
      <c r="E284" s="238"/>
      <c r="F284" s="262"/>
      <c r="G284" s="246" t="s">
        <v>184</v>
      </c>
      <c r="H284" s="246" t="str">
        <f t="shared" si="21"/>
        <v>nee</v>
      </c>
      <c r="I284" s="269"/>
      <c r="J284" s="223"/>
      <c r="K284" s="226"/>
      <c r="L284" s="225"/>
      <c r="M284" s="349">
        <f t="shared" si="22"/>
        <v>0</v>
      </c>
      <c r="Q284" s="272">
        <v>0</v>
      </c>
      <c r="R284" s="271">
        <f t="shared" si="24"/>
        <v>49</v>
      </c>
    </row>
    <row r="285" spans="2:18" ht="13.5" customHeight="1">
      <c r="B285" s="246">
        <f t="shared" si="23"/>
        <v>720</v>
      </c>
      <c r="C285" s="246" t="s">
        <v>367</v>
      </c>
      <c r="D285" s="247" t="s">
        <v>180</v>
      </c>
      <c r="E285" s="238"/>
      <c r="F285" s="262"/>
      <c r="G285" s="246" t="s">
        <v>185</v>
      </c>
      <c r="H285" s="246" t="str">
        <f t="shared" si="21"/>
        <v>nee</v>
      </c>
      <c r="I285" s="269"/>
      <c r="J285" s="223"/>
      <c r="K285" s="226"/>
      <c r="L285" s="225"/>
      <c r="M285" s="349">
        <f t="shared" si="22"/>
        <v>0</v>
      </c>
      <c r="Q285" s="272">
        <v>0</v>
      </c>
      <c r="R285" s="271">
        <f t="shared" si="24"/>
        <v>61</v>
      </c>
    </row>
    <row r="286" spans="2:18" ht="13.5" customHeight="1">
      <c r="B286" s="246">
        <f t="shared" si="23"/>
        <v>721</v>
      </c>
      <c r="C286" s="246" t="s">
        <v>368</v>
      </c>
      <c r="D286" s="247" t="s">
        <v>181</v>
      </c>
      <c r="E286" s="238"/>
      <c r="F286" s="262"/>
      <c r="G286" s="246" t="s">
        <v>184</v>
      </c>
      <c r="H286" s="246" t="str">
        <f t="shared" si="21"/>
        <v>nee</v>
      </c>
      <c r="I286" s="269"/>
      <c r="J286" s="223"/>
      <c r="K286" s="226"/>
      <c r="L286" s="225"/>
      <c r="M286" s="349">
        <f t="shared" si="22"/>
        <v>0</v>
      </c>
      <c r="Q286" s="272">
        <v>0</v>
      </c>
      <c r="R286" s="271">
        <f t="shared" si="24"/>
        <v>216</v>
      </c>
    </row>
    <row r="287" spans="2:18" ht="13.5" customHeight="1">
      <c r="B287" s="246">
        <f t="shared" si="23"/>
        <v>722</v>
      </c>
      <c r="C287" s="246" t="s">
        <v>369</v>
      </c>
      <c r="D287" s="247" t="s">
        <v>182</v>
      </c>
      <c r="E287" s="238"/>
      <c r="F287" s="262"/>
      <c r="G287" s="246" t="s">
        <v>184</v>
      </c>
      <c r="H287" s="246" t="str">
        <f t="shared" si="21"/>
        <v>nee</v>
      </c>
      <c r="I287" s="269"/>
      <c r="J287" s="223"/>
      <c r="K287" s="226"/>
      <c r="L287" s="225"/>
      <c r="M287" s="349">
        <f t="shared" si="22"/>
        <v>0</v>
      </c>
      <c r="Q287" s="272">
        <v>0</v>
      </c>
      <c r="R287" s="271">
        <f t="shared" si="24"/>
        <v>809</v>
      </c>
    </row>
    <row r="288" spans="2:18" ht="13.5" customHeight="1" thickBot="1">
      <c r="B288" s="246">
        <f t="shared" si="23"/>
        <v>723</v>
      </c>
      <c r="C288" s="246" t="s">
        <v>370</v>
      </c>
      <c r="D288" s="247" t="s">
        <v>183</v>
      </c>
      <c r="E288" s="238"/>
      <c r="F288" s="262"/>
      <c r="G288" s="246" t="s">
        <v>184</v>
      </c>
      <c r="H288" s="246" t="str">
        <f t="shared" si="21"/>
        <v>nee</v>
      </c>
      <c r="I288" s="269"/>
      <c r="J288" s="223"/>
      <c r="K288" s="226"/>
      <c r="L288" s="225"/>
      <c r="M288" s="349">
        <f t="shared" si="22"/>
        <v>0</v>
      </c>
      <c r="Q288" s="273">
        <v>0</v>
      </c>
      <c r="R288" s="274">
        <f t="shared" si="24"/>
        <v>34</v>
      </c>
    </row>
    <row r="289" spans="2:13" ht="13.5" customHeight="1" thickBot="1">
      <c r="B289" s="243">
        <f t="shared" si="23"/>
        <v>724</v>
      </c>
      <c r="C289" s="137" t="s">
        <v>374</v>
      </c>
      <c r="D289" s="238"/>
      <c r="E289" s="238"/>
      <c r="F289" s="238"/>
      <c r="G289" s="238"/>
      <c r="H289" s="238"/>
      <c r="I289" s="238"/>
      <c r="J289" s="238"/>
      <c r="K289" s="238"/>
      <c r="L289" s="238"/>
      <c r="M289" s="350">
        <f>SUM(M278:M288)</f>
        <v>0</v>
      </c>
    </row>
    <row r="290" ht="13.5" customHeight="1">
      <c r="M290" s="45"/>
    </row>
    <row r="291" spans="2:13" ht="13.5" customHeight="1">
      <c r="B291" s="420" t="s">
        <v>386</v>
      </c>
      <c r="M291" s="45"/>
    </row>
    <row r="292" spans="2:18" ht="13.5" customHeight="1">
      <c r="B292" s="246">
        <f>B289+1</f>
        <v>725</v>
      </c>
      <c r="C292" s="246" t="s">
        <v>371</v>
      </c>
      <c r="D292" s="247" t="s">
        <v>173</v>
      </c>
      <c r="E292" s="238"/>
      <c r="F292" s="262"/>
      <c r="G292" s="246" t="s">
        <v>184</v>
      </c>
      <c r="H292" s="246" t="str">
        <f aca="true" t="shared" si="25" ref="H292:H302">IF($G$38="ja","ja","nee")</f>
        <v>nee</v>
      </c>
      <c r="I292" s="269"/>
      <c r="J292" s="223"/>
      <c r="K292" s="226"/>
      <c r="L292" s="225"/>
      <c r="M292" s="349">
        <f aca="true" t="shared" si="26" ref="M292:M302">IF(H292="ja",ROUND(J292*L292,0),0)</f>
        <v>0</v>
      </c>
      <c r="Q292" s="270">
        <v>0</v>
      </c>
      <c r="R292" s="276">
        <f>$R264</f>
        <v>22</v>
      </c>
    </row>
    <row r="293" spans="2:18" ht="13.5" customHeight="1">
      <c r="B293" s="246">
        <f aca="true" t="shared" si="27" ref="B293:B303">B292+1</f>
        <v>726</v>
      </c>
      <c r="C293" s="246" t="s">
        <v>375</v>
      </c>
      <c r="D293" s="247" t="s">
        <v>174</v>
      </c>
      <c r="E293" s="238"/>
      <c r="F293" s="262"/>
      <c r="G293" s="246" t="s">
        <v>184</v>
      </c>
      <c r="H293" s="246" t="str">
        <f t="shared" si="25"/>
        <v>nee</v>
      </c>
      <c r="I293" s="269"/>
      <c r="J293" s="223"/>
      <c r="K293" s="226"/>
      <c r="L293" s="225"/>
      <c r="M293" s="349">
        <f t="shared" si="26"/>
        <v>0</v>
      </c>
      <c r="Q293" s="272">
        <v>0</v>
      </c>
      <c r="R293" s="271">
        <f aca="true" t="shared" si="28" ref="R293:R302">$R265</f>
        <v>209</v>
      </c>
    </row>
    <row r="294" spans="2:18" ht="13.5" customHeight="1">
      <c r="B294" s="246">
        <f t="shared" si="27"/>
        <v>727</v>
      </c>
      <c r="C294" s="246" t="s">
        <v>376</v>
      </c>
      <c r="D294" s="247" t="s">
        <v>175</v>
      </c>
      <c r="E294" s="238"/>
      <c r="F294" s="262"/>
      <c r="G294" s="246" t="s">
        <v>184</v>
      </c>
      <c r="H294" s="246" t="str">
        <f t="shared" si="25"/>
        <v>nee</v>
      </c>
      <c r="I294" s="269"/>
      <c r="J294" s="223"/>
      <c r="K294" s="226"/>
      <c r="L294" s="225"/>
      <c r="M294" s="349">
        <f t="shared" si="26"/>
        <v>0</v>
      </c>
      <c r="Q294" s="272">
        <v>0</v>
      </c>
      <c r="R294" s="271">
        <f t="shared" si="28"/>
        <v>434</v>
      </c>
    </row>
    <row r="295" spans="2:18" ht="13.5" customHeight="1">
      <c r="B295" s="246">
        <f t="shared" si="27"/>
        <v>728</v>
      </c>
      <c r="C295" s="246" t="s">
        <v>377</v>
      </c>
      <c r="D295" s="247" t="s">
        <v>176</v>
      </c>
      <c r="E295" s="238"/>
      <c r="F295" s="262"/>
      <c r="G295" s="246" t="s">
        <v>184</v>
      </c>
      <c r="H295" s="246" t="str">
        <f t="shared" si="25"/>
        <v>nee</v>
      </c>
      <c r="I295" s="269"/>
      <c r="J295" s="223"/>
      <c r="K295" s="226"/>
      <c r="L295" s="225"/>
      <c r="M295" s="349">
        <f t="shared" si="26"/>
        <v>0</v>
      </c>
      <c r="Q295" s="272">
        <v>0</v>
      </c>
      <c r="R295" s="271">
        <f t="shared" si="28"/>
        <v>106</v>
      </c>
    </row>
    <row r="296" spans="2:18" ht="13.5" customHeight="1">
      <c r="B296" s="246">
        <f t="shared" si="27"/>
        <v>729</v>
      </c>
      <c r="C296" s="246" t="s">
        <v>378</v>
      </c>
      <c r="D296" s="247" t="s">
        <v>177</v>
      </c>
      <c r="E296" s="238"/>
      <c r="F296" s="262"/>
      <c r="G296" s="246" t="s">
        <v>185</v>
      </c>
      <c r="H296" s="246" t="str">
        <f t="shared" si="25"/>
        <v>nee</v>
      </c>
      <c r="I296" s="269"/>
      <c r="J296" s="223"/>
      <c r="K296" s="226"/>
      <c r="L296" s="225"/>
      <c r="M296" s="349">
        <f t="shared" si="26"/>
        <v>0</v>
      </c>
      <c r="Q296" s="272">
        <v>0</v>
      </c>
      <c r="R296" s="271">
        <f t="shared" si="28"/>
        <v>71</v>
      </c>
    </row>
    <row r="297" spans="2:18" ht="13.5" customHeight="1">
      <c r="B297" s="246">
        <f t="shared" si="27"/>
        <v>730</v>
      </c>
      <c r="C297" s="246" t="s">
        <v>379</v>
      </c>
      <c r="D297" s="247" t="s">
        <v>178</v>
      </c>
      <c r="E297" s="238"/>
      <c r="F297" s="262"/>
      <c r="G297" s="246" t="s">
        <v>184</v>
      </c>
      <c r="H297" s="246" t="str">
        <f t="shared" si="25"/>
        <v>nee</v>
      </c>
      <c r="I297" s="269"/>
      <c r="J297" s="223"/>
      <c r="K297" s="226"/>
      <c r="L297" s="225"/>
      <c r="M297" s="349">
        <f t="shared" si="26"/>
        <v>0</v>
      </c>
      <c r="Q297" s="272">
        <v>0</v>
      </c>
      <c r="R297" s="271">
        <f t="shared" si="28"/>
        <v>89</v>
      </c>
    </row>
    <row r="298" spans="2:18" ht="13.5" customHeight="1">
      <c r="B298" s="246">
        <f t="shared" si="27"/>
        <v>731</v>
      </c>
      <c r="C298" s="416" t="s">
        <v>384</v>
      </c>
      <c r="D298" s="247" t="s">
        <v>179</v>
      </c>
      <c r="E298" s="238"/>
      <c r="F298" s="262"/>
      <c r="G298" s="246" t="s">
        <v>184</v>
      </c>
      <c r="H298" s="246" t="str">
        <f t="shared" si="25"/>
        <v>nee</v>
      </c>
      <c r="I298" s="269"/>
      <c r="J298" s="223"/>
      <c r="K298" s="226"/>
      <c r="L298" s="225"/>
      <c r="M298" s="349">
        <f t="shared" si="26"/>
        <v>0</v>
      </c>
      <c r="Q298" s="272">
        <v>0</v>
      </c>
      <c r="R298" s="271">
        <f t="shared" si="28"/>
        <v>49</v>
      </c>
    </row>
    <row r="299" spans="2:18" ht="13.5" customHeight="1">
      <c r="B299" s="246">
        <f t="shared" si="27"/>
        <v>732</v>
      </c>
      <c r="C299" s="246" t="s">
        <v>380</v>
      </c>
      <c r="D299" s="247" t="s">
        <v>180</v>
      </c>
      <c r="E299" s="238"/>
      <c r="F299" s="262"/>
      <c r="G299" s="246" t="s">
        <v>185</v>
      </c>
      <c r="H299" s="246" t="str">
        <f t="shared" si="25"/>
        <v>nee</v>
      </c>
      <c r="I299" s="269"/>
      <c r="J299" s="223"/>
      <c r="K299" s="226"/>
      <c r="L299" s="225"/>
      <c r="M299" s="349">
        <f t="shared" si="26"/>
        <v>0</v>
      </c>
      <c r="Q299" s="272">
        <v>0</v>
      </c>
      <c r="R299" s="271">
        <f t="shared" si="28"/>
        <v>61</v>
      </c>
    </row>
    <row r="300" spans="2:18" ht="13.5" customHeight="1">
      <c r="B300" s="246">
        <f t="shared" si="27"/>
        <v>733</v>
      </c>
      <c r="C300" s="246" t="s">
        <v>381</v>
      </c>
      <c r="D300" s="247" t="s">
        <v>181</v>
      </c>
      <c r="E300" s="238"/>
      <c r="F300" s="262"/>
      <c r="G300" s="246" t="s">
        <v>184</v>
      </c>
      <c r="H300" s="246" t="str">
        <f t="shared" si="25"/>
        <v>nee</v>
      </c>
      <c r="I300" s="269"/>
      <c r="J300" s="223"/>
      <c r="K300" s="226"/>
      <c r="L300" s="225"/>
      <c r="M300" s="349">
        <f t="shared" si="26"/>
        <v>0</v>
      </c>
      <c r="Q300" s="272">
        <v>0</v>
      </c>
      <c r="R300" s="271">
        <f t="shared" si="28"/>
        <v>216</v>
      </c>
    </row>
    <row r="301" spans="2:18" ht="13.5" customHeight="1">
      <c r="B301" s="246">
        <f t="shared" si="27"/>
        <v>734</v>
      </c>
      <c r="C301" s="246" t="s">
        <v>382</v>
      </c>
      <c r="D301" s="247" t="s">
        <v>182</v>
      </c>
      <c r="E301" s="238"/>
      <c r="F301" s="262"/>
      <c r="G301" s="246" t="s">
        <v>184</v>
      </c>
      <c r="H301" s="246" t="str">
        <f t="shared" si="25"/>
        <v>nee</v>
      </c>
      <c r="I301" s="269"/>
      <c r="J301" s="223"/>
      <c r="K301" s="226"/>
      <c r="L301" s="225"/>
      <c r="M301" s="349">
        <f t="shared" si="26"/>
        <v>0</v>
      </c>
      <c r="Q301" s="272">
        <v>0</v>
      </c>
      <c r="R301" s="271">
        <f t="shared" si="28"/>
        <v>809</v>
      </c>
    </row>
    <row r="302" spans="2:18" ht="13.5" customHeight="1" thickBot="1">
      <c r="B302" s="246">
        <f t="shared" si="27"/>
        <v>735</v>
      </c>
      <c r="C302" s="246" t="s">
        <v>383</v>
      </c>
      <c r="D302" s="247" t="s">
        <v>183</v>
      </c>
      <c r="E302" s="238"/>
      <c r="F302" s="262"/>
      <c r="G302" s="246" t="s">
        <v>184</v>
      </c>
      <c r="H302" s="246" t="str">
        <f t="shared" si="25"/>
        <v>nee</v>
      </c>
      <c r="I302" s="269"/>
      <c r="J302" s="223"/>
      <c r="K302" s="226"/>
      <c r="L302" s="225"/>
      <c r="M302" s="349">
        <f t="shared" si="26"/>
        <v>0</v>
      </c>
      <c r="Q302" s="273">
        <v>0</v>
      </c>
      <c r="R302" s="274">
        <f t="shared" si="28"/>
        <v>34</v>
      </c>
    </row>
    <row r="303" spans="2:13" ht="13.5" customHeight="1" thickBot="1">
      <c r="B303" s="243">
        <f t="shared" si="27"/>
        <v>736</v>
      </c>
      <c r="C303" s="137" t="s">
        <v>373</v>
      </c>
      <c r="D303" s="238"/>
      <c r="E303" s="238"/>
      <c r="F303" s="238"/>
      <c r="G303" s="238"/>
      <c r="H303" s="238"/>
      <c r="I303" s="238"/>
      <c r="J303" s="238"/>
      <c r="K303" s="238"/>
      <c r="L303" s="238"/>
      <c r="M303" s="350">
        <f>SUM(M292:M302)</f>
        <v>0</v>
      </c>
    </row>
    <row r="304" spans="1:11" ht="18" customHeight="1">
      <c r="A304" s="233" t="s">
        <v>92</v>
      </c>
      <c r="B304" s="232">
        <f>Voorblad!A241</f>
        <v>0</v>
      </c>
      <c r="I304" s="471"/>
      <c r="J304" s="45"/>
      <c r="K304" s="471"/>
    </row>
    <row r="305" spans="2:13" ht="18" customHeight="1">
      <c r="B305" s="234" t="str">
        <f>$B$2</f>
        <v>Budget 2005 AWBZ-instellingen sector V&amp;V</v>
      </c>
      <c r="C305" s="234"/>
      <c r="D305" s="234"/>
      <c r="E305" s="250"/>
      <c r="F305" s="352" t="str">
        <f>$F$2</f>
        <v>650 / </v>
      </c>
      <c r="G305" s="234"/>
      <c r="H305" s="236"/>
      <c r="I305" s="234"/>
      <c r="J305" s="236" t="str">
        <f>$J$2</f>
        <v>versie: 14-01-2005</v>
      </c>
      <c r="K305" s="236"/>
      <c r="L305" s="238"/>
      <c r="M305" s="239">
        <f>M259+1</f>
        <v>8</v>
      </c>
    </row>
    <row r="306" ht="12.75"/>
    <row r="307" ht="13.5" customHeight="1"/>
    <row r="308" spans="7:13" ht="13.5" customHeight="1">
      <c r="G308" s="386"/>
      <c r="H308" s="253" t="s">
        <v>63</v>
      </c>
      <c r="I308" s="264" t="s">
        <v>64</v>
      </c>
      <c r="J308" s="253" t="s">
        <v>51</v>
      </c>
      <c r="K308" s="264" t="s">
        <v>65</v>
      </c>
      <c r="L308" s="253" t="s">
        <v>53</v>
      </c>
      <c r="M308" s="253" t="s">
        <v>55</v>
      </c>
    </row>
    <row r="309" spans="2:13" ht="13.5" customHeight="1">
      <c r="B309" s="420" t="s">
        <v>342</v>
      </c>
      <c r="G309" s="254" t="s">
        <v>30</v>
      </c>
      <c r="H309" s="254" t="s">
        <v>50</v>
      </c>
      <c r="I309" s="268" t="s">
        <v>57</v>
      </c>
      <c r="J309" s="254" t="s">
        <v>52</v>
      </c>
      <c r="K309" s="268" t="s">
        <v>54</v>
      </c>
      <c r="L309" s="254" t="s">
        <v>54</v>
      </c>
      <c r="M309" s="254" t="s">
        <v>56</v>
      </c>
    </row>
    <row r="310" spans="2:18" ht="13.5" customHeight="1">
      <c r="B310" s="246">
        <f>M305*100+1</f>
        <v>801</v>
      </c>
      <c r="C310" s="246" t="s">
        <v>186</v>
      </c>
      <c r="D310" s="247" t="s">
        <v>173</v>
      </c>
      <c r="E310" s="238"/>
      <c r="F310" s="262"/>
      <c r="G310" s="246" t="s">
        <v>185</v>
      </c>
      <c r="H310" s="246" t="str">
        <f aca="true" t="shared" si="29" ref="H310:H320">IF($G$38="ja","ja","nee")</f>
        <v>nee</v>
      </c>
      <c r="I310" s="269"/>
      <c r="J310" s="223"/>
      <c r="K310" s="226"/>
      <c r="L310" s="225"/>
      <c r="M310" s="349">
        <f aca="true" t="shared" si="30" ref="M310:M320">IF(H310="ja",ROUND(J310*L310,0),0)</f>
        <v>0</v>
      </c>
      <c r="Q310" s="270">
        <v>0</v>
      </c>
      <c r="R310" s="276">
        <v>22</v>
      </c>
    </row>
    <row r="311" spans="2:18" ht="13.5" customHeight="1">
      <c r="B311" s="246">
        <f aca="true" t="shared" si="31" ref="B311:B321">B310+1</f>
        <v>802</v>
      </c>
      <c r="C311" s="246" t="s">
        <v>187</v>
      </c>
      <c r="D311" s="247" t="s">
        <v>174</v>
      </c>
      <c r="E311" s="238"/>
      <c r="F311" s="262"/>
      <c r="G311" s="246" t="s">
        <v>185</v>
      </c>
      <c r="H311" s="246" t="str">
        <f t="shared" si="29"/>
        <v>nee</v>
      </c>
      <c r="I311" s="269"/>
      <c r="J311" s="223"/>
      <c r="K311" s="226"/>
      <c r="L311" s="225"/>
      <c r="M311" s="349">
        <f t="shared" si="30"/>
        <v>0</v>
      </c>
      <c r="Q311" s="272">
        <v>0</v>
      </c>
      <c r="R311" s="271">
        <v>168</v>
      </c>
    </row>
    <row r="312" spans="2:18" ht="13.5" customHeight="1">
      <c r="B312" s="246">
        <f t="shared" si="31"/>
        <v>803</v>
      </c>
      <c r="C312" s="246" t="s">
        <v>188</v>
      </c>
      <c r="D312" s="247" t="s">
        <v>175</v>
      </c>
      <c r="E312" s="238"/>
      <c r="F312" s="262"/>
      <c r="G312" s="246" t="s">
        <v>184</v>
      </c>
      <c r="H312" s="246" t="str">
        <f t="shared" si="29"/>
        <v>nee</v>
      </c>
      <c r="I312" s="269"/>
      <c r="J312" s="223"/>
      <c r="K312" s="226"/>
      <c r="L312" s="225"/>
      <c r="M312" s="349">
        <f t="shared" si="30"/>
        <v>0</v>
      </c>
      <c r="Q312" s="272">
        <v>0</v>
      </c>
      <c r="R312" s="271">
        <v>461</v>
      </c>
    </row>
    <row r="313" spans="2:18" ht="13.5" customHeight="1">
      <c r="B313" s="246">
        <f t="shared" si="31"/>
        <v>804</v>
      </c>
      <c r="C313" s="246" t="s">
        <v>189</v>
      </c>
      <c r="D313" s="247" t="s">
        <v>176</v>
      </c>
      <c r="E313" s="238"/>
      <c r="F313" s="262"/>
      <c r="G313" s="246" t="s">
        <v>184</v>
      </c>
      <c r="H313" s="246" t="str">
        <f t="shared" si="29"/>
        <v>nee</v>
      </c>
      <c r="I313" s="269"/>
      <c r="J313" s="223"/>
      <c r="K313" s="226"/>
      <c r="L313" s="225"/>
      <c r="M313" s="349">
        <f t="shared" si="30"/>
        <v>0</v>
      </c>
      <c r="Q313" s="272">
        <v>0</v>
      </c>
      <c r="R313" s="271">
        <v>159</v>
      </c>
    </row>
    <row r="314" spans="2:18" ht="13.5" customHeight="1">
      <c r="B314" s="246">
        <f t="shared" si="31"/>
        <v>805</v>
      </c>
      <c r="C314" s="246" t="s">
        <v>190</v>
      </c>
      <c r="D314" s="247" t="s">
        <v>177</v>
      </c>
      <c r="E314" s="238"/>
      <c r="F314" s="262"/>
      <c r="G314" s="246" t="s">
        <v>185</v>
      </c>
      <c r="H314" s="246" t="str">
        <f t="shared" si="29"/>
        <v>nee</v>
      </c>
      <c r="I314" s="269"/>
      <c r="J314" s="223"/>
      <c r="K314" s="226"/>
      <c r="L314" s="225"/>
      <c r="M314" s="349">
        <f t="shared" si="30"/>
        <v>0</v>
      </c>
      <c r="Q314" s="272">
        <v>0</v>
      </c>
      <c r="R314" s="271">
        <v>102</v>
      </c>
    </row>
    <row r="315" spans="2:18" ht="13.5" customHeight="1">
      <c r="B315" s="246">
        <f t="shared" si="31"/>
        <v>806</v>
      </c>
      <c r="C315" s="246" t="s">
        <v>191</v>
      </c>
      <c r="D315" s="247" t="s">
        <v>178</v>
      </c>
      <c r="E315" s="238"/>
      <c r="F315" s="262"/>
      <c r="G315" s="246" t="s">
        <v>184</v>
      </c>
      <c r="H315" s="246" t="str">
        <f t="shared" si="29"/>
        <v>nee</v>
      </c>
      <c r="I315" s="269"/>
      <c r="J315" s="223"/>
      <c r="K315" s="226"/>
      <c r="L315" s="225"/>
      <c r="M315" s="349">
        <f t="shared" si="30"/>
        <v>0</v>
      </c>
      <c r="Q315" s="272">
        <v>0</v>
      </c>
      <c r="R315" s="271">
        <v>95</v>
      </c>
    </row>
    <row r="316" spans="2:18" ht="13.5" customHeight="1">
      <c r="B316" s="246">
        <f t="shared" si="31"/>
        <v>807</v>
      </c>
      <c r="C316" s="246" t="s">
        <v>196</v>
      </c>
      <c r="D316" s="247" t="s">
        <v>179</v>
      </c>
      <c r="E316" s="238"/>
      <c r="F316" s="262"/>
      <c r="G316" s="246" t="s">
        <v>184</v>
      </c>
      <c r="H316" s="246" t="str">
        <f t="shared" si="29"/>
        <v>nee</v>
      </c>
      <c r="I316" s="269"/>
      <c r="J316" s="223"/>
      <c r="K316" s="226"/>
      <c r="L316" s="225"/>
      <c r="M316" s="349">
        <f t="shared" si="30"/>
        <v>0</v>
      </c>
      <c r="Q316" s="272">
        <v>0</v>
      </c>
      <c r="R316" s="271">
        <v>51</v>
      </c>
    </row>
    <row r="317" spans="2:18" ht="13.5" customHeight="1">
      <c r="B317" s="246">
        <f t="shared" si="31"/>
        <v>808</v>
      </c>
      <c r="C317" s="246" t="s">
        <v>192</v>
      </c>
      <c r="D317" s="247" t="s">
        <v>180</v>
      </c>
      <c r="E317" s="238"/>
      <c r="F317" s="262"/>
      <c r="G317" s="246" t="s">
        <v>185</v>
      </c>
      <c r="H317" s="246" t="str">
        <f t="shared" si="29"/>
        <v>nee</v>
      </c>
      <c r="I317" s="269"/>
      <c r="J317" s="223"/>
      <c r="K317" s="226"/>
      <c r="L317" s="225"/>
      <c r="M317" s="349">
        <f t="shared" si="30"/>
        <v>0</v>
      </c>
      <c r="Q317" s="272">
        <v>0</v>
      </c>
      <c r="R317" s="271">
        <v>66</v>
      </c>
    </row>
    <row r="318" spans="2:18" ht="13.5" customHeight="1">
      <c r="B318" s="246">
        <f t="shared" si="31"/>
        <v>809</v>
      </c>
      <c r="C318" s="246" t="s">
        <v>193</v>
      </c>
      <c r="D318" s="247" t="s">
        <v>181</v>
      </c>
      <c r="E318" s="238"/>
      <c r="F318" s="262"/>
      <c r="G318" s="246" t="s">
        <v>184</v>
      </c>
      <c r="H318" s="246" t="str">
        <f t="shared" si="29"/>
        <v>nee</v>
      </c>
      <c r="I318" s="269"/>
      <c r="J318" s="223"/>
      <c r="K318" s="226"/>
      <c r="L318" s="225"/>
      <c r="M318" s="349">
        <f t="shared" si="30"/>
        <v>0</v>
      </c>
      <c r="Q318" s="272">
        <v>0</v>
      </c>
      <c r="R318" s="271">
        <v>219</v>
      </c>
    </row>
    <row r="319" spans="2:18" ht="13.5" customHeight="1">
      <c r="B319" s="246">
        <f t="shared" si="31"/>
        <v>810</v>
      </c>
      <c r="C319" s="246" t="s">
        <v>194</v>
      </c>
      <c r="D319" s="247" t="s">
        <v>182</v>
      </c>
      <c r="E319" s="238"/>
      <c r="F319" s="262"/>
      <c r="G319" s="246" t="s">
        <v>184</v>
      </c>
      <c r="H319" s="246" t="str">
        <f t="shared" si="29"/>
        <v>nee</v>
      </c>
      <c r="I319" s="269"/>
      <c r="J319" s="223"/>
      <c r="K319" s="226"/>
      <c r="L319" s="225"/>
      <c r="M319" s="349">
        <f t="shared" si="30"/>
        <v>0</v>
      </c>
      <c r="Q319" s="272">
        <v>0</v>
      </c>
      <c r="R319" s="271">
        <v>821</v>
      </c>
    </row>
    <row r="320" spans="2:18" ht="13.5" customHeight="1" thickBot="1">
      <c r="B320" s="246">
        <f t="shared" si="31"/>
        <v>811</v>
      </c>
      <c r="C320" s="246" t="s">
        <v>195</v>
      </c>
      <c r="D320" s="247" t="s">
        <v>183</v>
      </c>
      <c r="E320" s="238"/>
      <c r="F320" s="262"/>
      <c r="G320" s="246" t="s">
        <v>184</v>
      </c>
      <c r="H320" s="246" t="str">
        <f t="shared" si="29"/>
        <v>nee</v>
      </c>
      <c r="I320" s="269"/>
      <c r="J320" s="223"/>
      <c r="K320" s="226"/>
      <c r="L320" s="225"/>
      <c r="M320" s="349">
        <f t="shared" si="30"/>
        <v>0</v>
      </c>
      <c r="Q320" s="273">
        <v>0</v>
      </c>
      <c r="R320" s="274">
        <v>32</v>
      </c>
    </row>
    <row r="321" spans="2:13" ht="13.5" customHeight="1" thickBot="1">
      <c r="B321" s="243">
        <f t="shared" si="31"/>
        <v>812</v>
      </c>
      <c r="C321" s="137" t="s">
        <v>664</v>
      </c>
      <c r="D321" s="238"/>
      <c r="E321" s="238"/>
      <c r="F321" s="238"/>
      <c r="G321" s="238"/>
      <c r="H321" s="238"/>
      <c r="I321" s="238"/>
      <c r="J321" s="238"/>
      <c r="K321" s="238"/>
      <c r="L321" s="238"/>
      <c r="M321" s="350">
        <f>SUM(M310:M320)</f>
        <v>0</v>
      </c>
    </row>
    <row r="322" ht="13.5" customHeight="1">
      <c r="M322" s="45"/>
    </row>
    <row r="323" spans="2:13" ht="13.5" customHeight="1">
      <c r="B323" s="420" t="s">
        <v>387</v>
      </c>
      <c r="M323" s="45"/>
    </row>
    <row r="324" spans="2:18" ht="13.5" customHeight="1">
      <c r="B324" s="246">
        <f>B321+1</f>
        <v>813</v>
      </c>
      <c r="C324" s="246" t="s">
        <v>197</v>
      </c>
      <c r="D324" s="247" t="s">
        <v>173</v>
      </c>
      <c r="E324" s="238"/>
      <c r="F324" s="262"/>
      <c r="G324" s="246" t="s">
        <v>185</v>
      </c>
      <c r="H324" s="246" t="str">
        <f aca="true" t="shared" si="32" ref="H324:H331">IF($G$38="ja","ja","nee")</f>
        <v>nee</v>
      </c>
      <c r="I324" s="269"/>
      <c r="J324" s="223"/>
      <c r="K324" s="226"/>
      <c r="L324" s="225"/>
      <c r="M324" s="349">
        <f aca="true" t="shared" si="33" ref="M324:M331">IF(H324="ja",ROUND(J324*L324,0),0)</f>
        <v>0</v>
      </c>
      <c r="Q324" s="270">
        <v>0</v>
      </c>
      <c r="R324" s="276">
        <v>22</v>
      </c>
    </row>
    <row r="325" spans="2:18" ht="13.5" customHeight="1">
      <c r="B325" s="246">
        <f aca="true" t="shared" si="34" ref="B325:B332">B324+1</f>
        <v>814</v>
      </c>
      <c r="C325" s="246" t="s">
        <v>198</v>
      </c>
      <c r="D325" s="247" t="s">
        <v>174</v>
      </c>
      <c r="E325" s="238"/>
      <c r="F325" s="262"/>
      <c r="G325" s="246" t="s">
        <v>185</v>
      </c>
      <c r="H325" s="246" t="str">
        <f t="shared" si="32"/>
        <v>nee</v>
      </c>
      <c r="I325" s="269"/>
      <c r="J325" s="223"/>
      <c r="K325" s="226"/>
      <c r="L325" s="225"/>
      <c r="M325" s="349">
        <f t="shared" si="33"/>
        <v>0</v>
      </c>
      <c r="Q325" s="272">
        <v>0</v>
      </c>
      <c r="R325" s="271">
        <v>400</v>
      </c>
    </row>
    <row r="326" spans="2:18" ht="13.5" customHeight="1">
      <c r="B326" s="246">
        <f t="shared" si="34"/>
        <v>815</v>
      </c>
      <c r="C326" s="246" t="s">
        <v>199</v>
      </c>
      <c r="D326" s="247" t="s">
        <v>176</v>
      </c>
      <c r="E326" s="238"/>
      <c r="F326" s="262"/>
      <c r="G326" s="246" t="s">
        <v>184</v>
      </c>
      <c r="H326" s="246" t="str">
        <f t="shared" si="32"/>
        <v>nee</v>
      </c>
      <c r="I326" s="269"/>
      <c r="J326" s="223"/>
      <c r="K326" s="226"/>
      <c r="L326" s="225"/>
      <c r="M326" s="349">
        <f t="shared" si="33"/>
        <v>0</v>
      </c>
      <c r="Q326" s="272">
        <v>0</v>
      </c>
      <c r="R326" s="271">
        <v>210</v>
      </c>
    </row>
    <row r="327" spans="2:18" ht="13.5" customHeight="1">
      <c r="B327" s="246">
        <f t="shared" si="34"/>
        <v>816</v>
      </c>
      <c r="C327" s="246" t="s">
        <v>200</v>
      </c>
      <c r="D327" s="247" t="s">
        <v>177</v>
      </c>
      <c r="E327" s="238"/>
      <c r="F327" s="262"/>
      <c r="G327" s="246" t="s">
        <v>185</v>
      </c>
      <c r="H327" s="246" t="str">
        <f t="shared" si="32"/>
        <v>nee</v>
      </c>
      <c r="I327" s="269"/>
      <c r="J327" s="223"/>
      <c r="K327" s="226"/>
      <c r="L327" s="225"/>
      <c r="M327" s="349">
        <f t="shared" si="33"/>
        <v>0</v>
      </c>
      <c r="Q327" s="272">
        <v>0</v>
      </c>
      <c r="R327" s="271">
        <v>124</v>
      </c>
    </row>
    <row r="328" spans="2:18" ht="13.5" customHeight="1">
      <c r="B328" s="246">
        <f t="shared" si="34"/>
        <v>817</v>
      </c>
      <c r="C328" s="246" t="s">
        <v>201</v>
      </c>
      <c r="D328" s="247" t="s">
        <v>178</v>
      </c>
      <c r="E328" s="238"/>
      <c r="F328" s="262"/>
      <c r="G328" s="246" t="s">
        <v>184</v>
      </c>
      <c r="H328" s="246" t="str">
        <f t="shared" si="32"/>
        <v>nee</v>
      </c>
      <c r="I328" s="269"/>
      <c r="J328" s="223"/>
      <c r="K328" s="226"/>
      <c r="L328" s="225"/>
      <c r="M328" s="349">
        <f t="shared" si="33"/>
        <v>0</v>
      </c>
      <c r="Q328" s="272">
        <v>0</v>
      </c>
      <c r="R328" s="271">
        <v>114</v>
      </c>
    </row>
    <row r="329" spans="2:18" ht="13.5" customHeight="1">
      <c r="B329" s="246">
        <f t="shared" si="34"/>
        <v>818</v>
      </c>
      <c r="C329" s="246" t="s">
        <v>403</v>
      </c>
      <c r="D329" s="247" t="s">
        <v>179</v>
      </c>
      <c r="E329" s="238"/>
      <c r="F329" s="262"/>
      <c r="G329" s="246" t="s">
        <v>184</v>
      </c>
      <c r="H329" s="246" t="str">
        <f t="shared" si="32"/>
        <v>nee</v>
      </c>
      <c r="I329" s="269"/>
      <c r="J329" s="223"/>
      <c r="K329" s="226"/>
      <c r="L329" s="225"/>
      <c r="M329" s="349">
        <f t="shared" si="33"/>
        <v>0</v>
      </c>
      <c r="Q329" s="272">
        <v>0</v>
      </c>
      <c r="R329" s="271">
        <v>61</v>
      </c>
    </row>
    <row r="330" spans="2:18" ht="13.5" customHeight="1">
      <c r="B330" s="246">
        <f t="shared" si="34"/>
        <v>819</v>
      </c>
      <c r="C330" s="246" t="s">
        <v>202</v>
      </c>
      <c r="D330" s="247" t="s">
        <v>180</v>
      </c>
      <c r="E330" s="238"/>
      <c r="F330" s="262"/>
      <c r="G330" s="246" t="s">
        <v>185</v>
      </c>
      <c r="H330" s="246" t="str">
        <f t="shared" si="32"/>
        <v>nee</v>
      </c>
      <c r="I330" s="269"/>
      <c r="J330" s="223"/>
      <c r="K330" s="226"/>
      <c r="L330" s="225"/>
      <c r="M330" s="349">
        <f t="shared" si="33"/>
        <v>0</v>
      </c>
      <c r="Q330" s="272">
        <v>0</v>
      </c>
      <c r="R330" s="271">
        <v>80</v>
      </c>
    </row>
    <row r="331" spans="2:18" ht="13.5" customHeight="1" thickBot="1">
      <c r="B331" s="246">
        <f t="shared" si="34"/>
        <v>820</v>
      </c>
      <c r="C331" s="246" t="s">
        <v>203</v>
      </c>
      <c r="D331" s="247" t="s">
        <v>183</v>
      </c>
      <c r="E331" s="238"/>
      <c r="F331" s="262"/>
      <c r="G331" s="246" t="s">
        <v>184</v>
      </c>
      <c r="H331" s="246" t="str">
        <f t="shared" si="32"/>
        <v>nee</v>
      </c>
      <c r="I331" s="269"/>
      <c r="J331" s="223"/>
      <c r="K331" s="226"/>
      <c r="L331" s="225"/>
      <c r="M331" s="349">
        <f t="shared" si="33"/>
        <v>0</v>
      </c>
      <c r="Q331" s="273">
        <v>0</v>
      </c>
      <c r="R331" s="274">
        <v>93</v>
      </c>
    </row>
    <row r="332" spans="1:13" ht="13.5" customHeight="1" thickBot="1">
      <c r="A332" s="243">
        <f>A330+1</f>
        <v>1</v>
      </c>
      <c r="B332" s="243">
        <f t="shared" si="34"/>
        <v>821</v>
      </c>
      <c r="C332" s="137" t="s">
        <v>279</v>
      </c>
      <c r="D332" s="238"/>
      <c r="E332" s="238"/>
      <c r="F332" s="238"/>
      <c r="G332" s="238"/>
      <c r="H332" s="238"/>
      <c r="I332" s="238"/>
      <c r="J332" s="238"/>
      <c r="K332" s="238"/>
      <c r="L332" s="238"/>
      <c r="M332" s="350">
        <f>SUM(M324:M331)</f>
        <v>0</v>
      </c>
    </row>
    <row r="333" spans="1:20" ht="13.5" customHeight="1">
      <c r="A333" s="240"/>
      <c r="M333" s="45"/>
      <c r="T333" s="481" t="s">
        <v>612</v>
      </c>
    </row>
    <row r="334" spans="2:20" ht="13.5" customHeight="1">
      <c r="B334" s="420" t="s">
        <v>477</v>
      </c>
      <c r="T334" s="481" t="s">
        <v>613</v>
      </c>
    </row>
    <row r="335" spans="2:20" ht="13.5" customHeight="1">
      <c r="B335" s="246">
        <f>B332+1</f>
        <v>822</v>
      </c>
      <c r="C335" s="246" t="s">
        <v>204</v>
      </c>
      <c r="D335" s="247" t="s">
        <v>227</v>
      </c>
      <c r="E335" s="238"/>
      <c r="F335" s="262"/>
      <c r="G335" s="281" t="s">
        <v>245</v>
      </c>
      <c r="H335" s="246" t="str">
        <f aca="true" t="shared" si="35" ref="H335:H348">IF($G$38="ja","ja","nee")</f>
        <v>nee</v>
      </c>
      <c r="I335" s="269"/>
      <c r="J335" s="223"/>
      <c r="K335" s="226"/>
      <c r="L335" s="225"/>
      <c r="M335" s="349">
        <f aca="true" t="shared" si="36" ref="M335:M348">IF(H335="ja",ROUND(J335*L335,0),0)</f>
        <v>0</v>
      </c>
      <c r="Q335" s="270">
        <v>0</v>
      </c>
      <c r="R335" s="276">
        <v>60</v>
      </c>
      <c r="T335" s="331">
        <f>IF(M335&gt;0,J335,0)</f>
        <v>0</v>
      </c>
    </row>
    <row r="336" spans="2:20" ht="13.5" customHeight="1">
      <c r="B336" s="246">
        <f aca="true" t="shared" si="37" ref="B336:B348">B335+1</f>
        <v>823</v>
      </c>
      <c r="C336" s="246" t="s">
        <v>205</v>
      </c>
      <c r="D336" s="247" t="s">
        <v>228</v>
      </c>
      <c r="E336" s="238"/>
      <c r="F336" s="262"/>
      <c r="G336" s="281" t="s">
        <v>245</v>
      </c>
      <c r="H336" s="246" t="str">
        <f t="shared" si="35"/>
        <v>nee</v>
      </c>
      <c r="I336" s="269"/>
      <c r="J336" s="223"/>
      <c r="K336" s="226"/>
      <c r="L336" s="225"/>
      <c r="M336" s="349">
        <f t="shared" si="36"/>
        <v>0</v>
      </c>
      <c r="Q336" s="272">
        <v>0</v>
      </c>
      <c r="R336" s="272">
        <v>121</v>
      </c>
      <c r="T336" s="333">
        <f aca="true" t="shared" si="38" ref="T336:T348">IF(M336&gt;0,J336,0)</f>
        <v>0</v>
      </c>
    </row>
    <row r="337" spans="2:20" ht="13.5" customHeight="1">
      <c r="B337" s="246">
        <f t="shared" si="37"/>
        <v>824</v>
      </c>
      <c r="C337" s="246" t="s">
        <v>206</v>
      </c>
      <c r="D337" s="247" t="s">
        <v>229</v>
      </c>
      <c r="E337" s="238"/>
      <c r="F337" s="262"/>
      <c r="G337" s="281" t="s">
        <v>245</v>
      </c>
      <c r="H337" s="246" t="str">
        <f t="shared" si="35"/>
        <v>nee</v>
      </c>
      <c r="I337" s="269"/>
      <c r="J337" s="223"/>
      <c r="K337" s="226"/>
      <c r="L337" s="225"/>
      <c r="M337" s="349">
        <f t="shared" si="36"/>
        <v>0</v>
      </c>
      <c r="Q337" s="272">
        <v>0</v>
      </c>
      <c r="R337" s="272">
        <v>75</v>
      </c>
      <c r="T337" s="333">
        <f t="shared" si="38"/>
        <v>0</v>
      </c>
    </row>
    <row r="338" spans="2:20" ht="13.5" customHeight="1">
      <c r="B338" s="246">
        <f t="shared" si="37"/>
        <v>825</v>
      </c>
      <c r="C338" s="246" t="s">
        <v>207</v>
      </c>
      <c r="D338" s="247" t="s">
        <v>230</v>
      </c>
      <c r="E338" s="238"/>
      <c r="F338" s="262"/>
      <c r="G338" s="281" t="s">
        <v>245</v>
      </c>
      <c r="H338" s="246" t="str">
        <f t="shared" si="35"/>
        <v>nee</v>
      </c>
      <c r="I338" s="269"/>
      <c r="J338" s="223"/>
      <c r="K338" s="226"/>
      <c r="L338" s="225"/>
      <c r="M338" s="349">
        <f t="shared" si="36"/>
        <v>0</v>
      </c>
      <c r="Q338" s="272">
        <v>0</v>
      </c>
      <c r="R338" s="272">
        <v>149</v>
      </c>
      <c r="T338" s="333">
        <f>IF(M338&gt;0,J338,0)</f>
        <v>0</v>
      </c>
    </row>
    <row r="339" spans="2:20" ht="13.5" customHeight="1">
      <c r="B339" s="246">
        <f t="shared" si="37"/>
        <v>826</v>
      </c>
      <c r="C339" s="246" t="s">
        <v>208</v>
      </c>
      <c r="D339" s="247" t="s">
        <v>231</v>
      </c>
      <c r="E339" s="238"/>
      <c r="F339" s="262"/>
      <c r="G339" s="281" t="s">
        <v>245</v>
      </c>
      <c r="H339" s="246" t="str">
        <f t="shared" si="35"/>
        <v>nee</v>
      </c>
      <c r="I339" s="269"/>
      <c r="J339" s="223"/>
      <c r="K339" s="226"/>
      <c r="L339" s="225"/>
      <c r="M339" s="349">
        <f t="shared" si="36"/>
        <v>0</v>
      </c>
      <c r="Q339" s="272">
        <v>0</v>
      </c>
      <c r="R339" s="272">
        <v>123</v>
      </c>
      <c r="T339" s="333">
        <f t="shared" si="38"/>
        <v>0</v>
      </c>
    </row>
    <row r="340" spans="2:20" ht="13.5" customHeight="1">
      <c r="B340" s="246">
        <f t="shared" si="37"/>
        <v>827</v>
      </c>
      <c r="C340" s="246" t="s">
        <v>209</v>
      </c>
      <c r="D340" s="247" t="s">
        <v>232</v>
      </c>
      <c r="E340" s="238"/>
      <c r="F340" s="262"/>
      <c r="G340" s="281" t="s">
        <v>245</v>
      </c>
      <c r="H340" s="246" t="str">
        <f t="shared" si="35"/>
        <v>nee</v>
      </c>
      <c r="I340" s="269"/>
      <c r="J340" s="223"/>
      <c r="K340" s="226"/>
      <c r="L340" s="225"/>
      <c r="M340" s="349">
        <f t="shared" si="36"/>
        <v>0</v>
      </c>
      <c r="Q340" s="272">
        <v>0</v>
      </c>
      <c r="R340" s="272">
        <v>246</v>
      </c>
      <c r="T340" s="333">
        <f t="shared" si="38"/>
        <v>0</v>
      </c>
    </row>
    <row r="341" spans="2:20" ht="13.5" customHeight="1">
      <c r="B341" s="246">
        <f t="shared" si="37"/>
        <v>828</v>
      </c>
      <c r="C341" s="246" t="s">
        <v>210</v>
      </c>
      <c r="D341" s="247" t="s">
        <v>233</v>
      </c>
      <c r="E341" s="238"/>
      <c r="F341" s="262"/>
      <c r="G341" s="281" t="s">
        <v>245</v>
      </c>
      <c r="H341" s="246" t="str">
        <f t="shared" si="35"/>
        <v>nee</v>
      </c>
      <c r="I341" s="269"/>
      <c r="J341" s="223"/>
      <c r="K341" s="226"/>
      <c r="L341" s="225"/>
      <c r="M341" s="349">
        <f t="shared" si="36"/>
        <v>0</v>
      </c>
      <c r="Q341" s="272">
        <v>0</v>
      </c>
      <c r="R341" s="272">
        <v>88</v>
      </c>
      <c r="T341" s="333">
        <f t="shared" si="38"/>
        <v>0</v>
      </c>
    </row>
    <row r="342" spans="2:20" ht="13.5" customHeight="1">
      <c r="B342" s="246">
        <f t="shared" si="37"/>
        <v>829</v>
      </c>
      <c r="C342" s="246" t="s">
        <v>211</v>
      </c>
      <c r="D342" s="247" t="s">
        <v>234</v>
      </c>
      <c r="E342" s="238"/>
      <c r="F342" s="262"/>
      <c r="G342" s="281" t="s">
        <v>245</v>
      </c>
      <c r="H342" s="246" t="str">
        <f t="shared" si="35"/>
        <v>nee</v>
      </c>
      <c r="I342" s="269"/>
      <c r="J342" s="223"/>
      <c r="K342" s="226"/>
      <c r="L342" s="225"/>
      <c r="M342" s="349">
        <f t="shared" si="36"/>
        <v>0</v>
      </c>
      <c r="Q342" s="272">
        <v>0</v>
      </c>
      <c r="R342" s="272">
        <v>176</v>
      </c>
      <c r="T342" s="333">
        <f t="shared" si="38"/>
        <v>0</v>
      </c>
    </row>
    <row r="343" spans="2:20" ht="13.5" customHeight="1">
      <c r="B343" s="246">
        <f t="shared" si="37"/>
        <v>830</v>
      </c>
      <c r="C343" s="246" t="s">
        <v>212</v>
      </c>
      <c r="D343" s="247" t="s">
        <v>235</v>
      </c>
      <c r="E343" s="238"/>
      <c r="F343" s="262"/>
      <c r="G343" s="281" t="s">
        <v>245</v>
      </c>
      <c r="H343" s="246" t="str">
        <f t="shared" si="35"/>
        <v>nee</v>
      </c>
      <c r="I343" s="269"/>
      <c r="J343" s="223"/>
      <c r="K343" s="226"/>
      <c r="L343" s="225"/>
      <c r="M343" s="349">
        <f t="shared" si="36"/>
        <v>0</v>
      </c>
      <c r="Q343" s="272">
        <v>0</v>
      </c>
      <c r="R343" s="272">
        <v>101</v>
      </c>
      <c r="T343" s="333">
        <f t="shared" si="38"/>
        <v>0</v>
      </c>
    </row>
    <row r="344" spans="2:20" ht="13.5" customHeight="1">
      <c r="B344" s="246">
        <f t="shared" si="37"/>
        <v>831</v>
      </c>
      <c r="C344" s="246" t="s">
        <v>213</v>
      </c>
      <c r="D344" s="247" t="s">
        <v>236</v>
      </c>
      <c r="E344" s="238"/>
      <c r="F344" s="262"/>
      <c r="G344" s="281" t="s">
        <v>245</v>
      </c>
      <c r="H344" s="246" t="str">
        <f t="shared" si="35"/>
        <v>nee</v>
      </c>
      <c r="I344" s="269"/>
      <c r="J344" s="223"/>
      <c r="K344" s="226"/>
      <c r="L344" s="225"/>
      <c r="M344" s="349">
        <f t="shared" si="36"/>
        <v>0</v>
      </c>
      <c r="Q344" s="272">
        <v>0</v>
      </c>
      <c r="R344" s="272">
        <v>202</v>
      </c>
      <c r="T344" s="333">
        <f t="shared" si="38"/>
        <v>0</v>
      </c>
    </row>
    <row r="345" spans="2:20" ht="13.5" customHeight="1">
      <c r="B345" s="246">
        <f t="shared" si="37"/>
        <v>832</v>
      </c>
      <c r="C345" s="246" t="s">
        <v>214</v>
      </c>
      <c r="D345" s="419" t="s">
        <v>408</v>
      </c>
      <c r="E345" s="238"/>
      <c r="F345" s="262"/>
      <c r="G345" s="281" t="s">
        <v>245</v>
      </c>
      <c r="H345" s="246" t="str">
        <f t="shared" si="35"/>
        <v>nee</v>
      </c>
      <c r="I345" s="269"/>
      <c r="J345" s="223"/>
      <c r="K345" s="226"/>
      <c r="L345" s="225"/>
      <c r="M345" s="349">
        <f t="shared" si="36"/>
        <v>0</v>
      </c>
      <c r="Q345" s="272">
        <v>0</v>
      </c>
      <c r="R345" s="272">
        <v>61</v>
      </c>
      <c r="T345" s="333">
        <f t="shared" si="38"/>
        <v>0</v>
      </c>
    </row>
    <row r="346" spans="2:20" ht="13.5" customHeight="1">
      <c r="B346" s="246">
        <f t="shared" si="37"/>
        <v>833</v>
      </c>
      <c r="C346" s="246" t="s">
        <v>215</v>
      </c>
      <c r="D346" s="419" t="s">
        <v>409</v>
      </c>
      <c r="E346" s="238"/>
      <c r="F346" s="262"/>
      <c r="G346" s="281" t="s">
        <v>245</v>
      </c>
      <c r="H346" s="246" t="str">
        <f t="shared" si="35"/>
        <v>nee</v>
      </c>
      <c r="I346" s="269"/>
      <c r="J346" s="223"/>
      <c r="K346" s="226"/>
      <c r="L346" s="225"/>
      <c r="M346" s="349">
        <f t="shared" si="36"/>
        <v>0</v>
      </c>
      <c r="Q346" s="272">
        <v>0</v>
      </c>
      <c r="R346" s="272">
        <v>122</v>
      </c>
      <c r="T346" s="333">
        <f t="shared" si="38"/>
        <v>0</v>
      </c>
    </row>
    <row r="347" spans="2:20" ht="13.5" customHeight="1">
      <c r="B347" s="246">
        <f t="shared" si="37"/>
        <v>834</v>
      </c>
      <c r="C347" s="246" t="s">
        <v>216</v>
      </c>
      <c r="D347" s="419" t="s">
        <v>556</v>
      </c>
      <c r="E347" s="238"/>
      <c r="F347" s="262"/>
      <c r="G347" s="281" t="s">
        <v>245</v>
      </c>
      <c r="H347" s="246" t="str">
        <f t="shared" si="35"/>
        <v>nee</v>
      </c>
      <c r="I347" s="269"/>
      <c r="J347" s="223"/>
      <c r="K347" s="226"/>
      <c r="L347" s="225"/>
      <c r="M347" s="349">
        <f t="shared" si="36"/>
        <v>0</v>
      </c>
      <c r="Q347" s="272">
        <v>0</v>
      </c>
      <c r="R347" s="272">
        <v>77</v>
      </c>
      <c r="T347" s="333">
        <f>IF(M347&gt;0,J347,0)</f>
        <v>0</v>
      </c>
    </row>
    <row r="348" spans="2:20" ht="13.5" customHeight="1">
      <c r="B348" s="246">
        <f t="shared" si="37"/>
        <v>835</v>
      </c>
      <c r="C348" s="246" t="s">
        <v>217</v>
      </c>
      <c r="D348" s="419" t="s">
        <v>557</v>
      </c>
      <c r="E348" s="238"/>
      <c r="F348" s="262"/>
      <c r="G348" s="281" t="s">
        <v>245</v>
      </c>
      <c r="H348" s="246" t="str">
        <f t="shared" si="35"/>
        <v>nee</v>
      </c>
      <c r="I348" s="269"/>
      <c r="J348" s="223"/>
      <c r="K348" s="226"/>
      <c r="L348" s="225"/>
      <c r="M348" s="349">
        <f t="shared" si="36"/>
        <v>0</v>
      </c>
      <c r="Q348" s="273">
        <v>0</v>
      </c>
      <c r="R348" s="273">
        <v>154</v>
      </c>
      <c r="T348" s="335">
        <f t="shared" si="38"/>
        <v>0</v>
      </c>
    </row>
    <row r="349" spans="1:11" ht="18" customHeight="1">
      <c r="A349" s="233" t="s">
        <v>92</v>
      </c>
      <c r="B349" s="232">
        <f>Voorblad!A269</f>
        <v>0</v>
      </c>
      <c r="I349" s="471"/>
      <c r="J349" s="45"/>
      <c r="K349" s="471"/>
    </row>
    <row r="350" spans="2:13" ht="18" customHeight="1">
      <c r="B350" s="234" t="str">
        <f>$B$2</f>
        <v>Budget 2005 AWBZ-instellingen sector V&amp;V</v>
      </c>
      <c r="C350" s="234"/>
      <c r="D350" s="234"/>
      <c r="E350" s="250"/>
      <c r="F350" s="352" t="str">
        <f>$F$2</f>
        <v>650 / </v>
      </c>
      <c r="G350" s="234"/>
      <c r="H350" s="236"/>
      <c r="I350" s="234"/>
      <c r="J350" s="236" t="str">
        <f>$J$2</f>
        <v>versie: 14-01-2005</v>
      </c>
      <c r="K350" s="236"/>
      <c r="L350" s="238"/>
      <c r="M350" s="239">
        <f>M305+1</f>
        <v>9</v>
      </c>
    </row>
    <row r="351" ht="12.75"/>
    <row r="352" ht="13.5" customHeight="1"/>
    <row r="353" spans="7:13" ht="13.5" customHeight="1">
      <c r="G353" s="386"/>
      <c r="H353" s="253" t="s">
        <v>63</v>
      </c>
      <c r="I353" s="264" t="s">
        <v>64</v>
      </c>
      <c r="J353" s="253" t="s">
        <v>51</v>
      </c>
      <c r="K353" s="264" t="s">
        <v>65</v>
      </c>
      <c r="L353" s="253" t="s">
        <v>53</v>
      </c>
      <c r="M353" s="253" t="s">
        <v>55</v>
      </c>
    </row>
    <row r="354" spans="2:13" ht="13.5" customHeight="1">
      <c r="B354" s="420" t="s">
        <v>478</v>
      </c>
      <c r="G354" s="254" t="s">
        <v>30</v>
      </c>
      <c r="H354" s="254" t="s">
        <v>50</v>
      </c>
      <c r="I354" s="268" t="s">
        <v>57</v>
      </c>
      <c r="J354" s="254" t="s">
        <v>52</v>
      </c>
      <c r="K354" s="268" t="s">
        <v>54</v>
      </c>
      <c r="L354" s="254" t="s">
        <v>54</v>
      </c>
      <c r="M354" s="254" t="s">
        <v>56</v>
      </c>
    </row>
    <row r="355" spans="2:20" ht="13.5" customHeight="1">
      <c r="B355" s="246">
        <f>M350*100+1</f>
        <v>901</v>
      </c>
      <c r="C355" s="246" t="s">
        <v>218</v>
      </c>
      <c r="D355" s="247" t="s">
        <v>237</v>
      </c>
      <c r="E355" s="238"/>
      <c r="F355" s="262"/>
      <c r="G355" s="281" t="s">
        <v>245</v>
      </c>
      <c r="H355" s="246" t="str">
        <f aca="true" t="shared" si="39" ref="H355:H363">IF($G$38="ja","ja","nee")</f>
        <v>nee</v>
      </c>
      <c r="I355" s="269"/>
      <c r="J355" s="223"/>
      <c r="K355" s="226"/>
      <c r="L355" s="225"/>
      <c r="M355" s="349">
        <f aca="true" t="shared" si="40" ref="M355:M363">IF(H355="ja",ROUND(J355*L355,0),0)</f>
        <v>0</v>
      </c>
      <c r="Q355" s="270">
        <v>0</v>
      </c>
      <c r="R355" s="270">
        <v>69</v>
      </c>
      <c r="T355" s="331">
        <f>IF(M355&gt;0,J355,0)</f>
        <v>0</v>
      </c>
    </row>
    <row r="356" spans="2:20" ht="13.5" customHeight="1">
      <c r="B356" s="246">
        <f aca="true" t="shared" si="41" ref="B356:B364">B355+1</f>
        <v>902</v>
      </c>
      <c r="C356" s="246" t="s">
        <v>219</v>
      </c>
      <c r="D356" s="247" t="s">
        <v>610</v>
      </c>
      <c r="E356" s="238"/>
      <c r="F356" s="262"/>
      <c r="G356" s="281" t="s">
        <v>245</v>
      </c>
      <c r="H356" s="246" t="str">
        <f t="shared" si="39"/>
        <v>nee</v>
      </c>
      <c r="I356" s="269"/>
      <c r="J356" s="223"/>
      <c r="K356" s="226"/>
      <c r="L356" s="225"/>
      <c r="M356" s="349">
        <f t="shared" si="40"/>
        <v>0</v>
      </c>
      <c r="Q356" s="272">
        <v>0</v>
      </c>
      <c r="R356" s="272">
        <v>138</v>
      </c>
      <c r="T356" s="333">
        <f aca="true" t="shared" si="42" ref="T356:T363">IF(M356&gt;0,J356,0)</f>
        <v>0</v>
      </c>
    </row>
    <row r="357" spans="2:20" ht="13.5" customHeight="1">
      <c r="B357" s="246">
        <f t="shared" si="41"/>
        <v>903</v>
      </c>
      <c r="C357" s="246" t="s">
        <v>220</v>
      </c>
      <c r="D357" s="247" t="s">
        <v>243</v>
      </c>
      <c r="E357" s="238"/>
      <c r="F357" s="262"/>
      <c r="G357" s="281" t="s">
        <v>245</v>
      </c>
      <c r="H357" s="246" t="str">
        <f t="shared" si="39"/>
        <v>nee</v>
      </c>
      <c r="I357" s="269"/>
      <c r="J357" s="223"/>
      <c r="K357" s="226"/>
      <c r="L357" s="225"/>
      <c r="M357" s="349">
        <f t="shared" si="40"/>
        <v>0</v>
      </c>
      <c r="Q357" s="272">
        <v>0</v>
      </c>
      <c r="R357" s="272">
        <v>87</v>
      </c>
      <c r="T357" s="333">
        <f t="shared" si="42"/>
        <v>0</v>
      </c>
    </row>
    <row r="358" spans="2:20" ht="13.5" customHeight="1">
      <c r="B358" s="246">
        <f t="shared" si="41"/>
        <v>904</v>
      </c>
      <c r="C358" s="246" t="s">
        <v>221</v>
      </c>
      <c r="D358" s="247" t="s">
        <v>244</v>
      </c>
      <c r="E358" s="238"/>
      <c r="F358" s="262"/>
      <c r="G358" s="281" t="s">
        <v>245</v>
      </c>
      <c r="H358" s="246" t="str">
        <f t="shared" si="39"/>
        <v>nee</v>
      </c>
      <c r="I358" s="269"/>
      <c r="J358" s="223"/>
      <c r="K358" s="226"/>
      <c r="L358" s="225"/>
      <c r="M358" s="349">
        <f t="shared" si="40"/>
        <v>0</v>
      </c>
      <c r="Q358" s="272">
        <v>0</v>
      </c>
      <c r="R358" s="272">
        <v>174</v>
      </c>
      <c r="T358" s="333">
        <f t="shared" si="42"/>
        <v>0</v>
      </c>
    </row>
    <row r="359" spans="2:20" ht="13.5" customHeight="1">
      <c r="B359" s="246">
        <f t="shared" si="41"/>
        <v>905</v>
      </c>
      <c r="C359" s="246" t="s">
        <v>222</v>
      </c>
      <c r="D359" s="247" t="s">
        <v>238</v>
      </c>
      <c r="E359" s="238"/>
      <c r="F359" s="262"/>
      <c r="G359" s="281" t="s">
        <v>245</v>
      </c>
      <c r="H359" s="246" t="str">
        <f t="shared" si="39"/>
        <v>nee</v>
      </c>
      <c r="I359" s="269"/>
      <c r="J359" s="223"/>
      <c r="K359" s="226"/>
      <c r="L359" s="225"/>
      <c r="M359" s="349">
        <f t="shared" si="40"/>
        <v>0</v>
      </c>
      <c r="Q359" s="272">
        <v>0</v>
      </c>
      <c r="R359" s="272">
        <v>34</v>
      </c>
      <c r="T359" s="333">
        <f t="shared" si="42"/>
        <v>0</v>
      </c>
    </row>
    <row r="360" spans="2:20" ht="13.5" customHeight="1">
      <c r="B360" s="246">
        <f t="shared" si="41"/>
        <v>906</v>
      </c>
      <c r="C360" s="246" t="s">
        <v>223</v>
      </c>
      <c r="D360" s="247" t="s">
        <v>239</v>
      </c>
      <c r="E360" s="238"/>
      <c r="F360" s="262"/>
      <c r="G360" s="281" t="s">
        <v>245</v>
      </c>
      <c r="H360" s="246" t="str">
        <f t="shared" si="39"/>
        <v>nee</v>
      </c>
      <c r="I360" s="269"/>
      <c r="J360" s="223"/>
      <c r="K360" s="226"/>
      <c r="L360" s="225"/>
      <c r="M360" s="349">
        <f t="shared" si="40"/>
        <v>0</v>
      </c>
      <c r="Q360" s="272">
        <v>0</v>
      </c>
      <c r="R360" s="272">
        <v>69</v>
      </c>
      <c r="T360" s="333">
        <f t="shared" si="42"/>
        <v>0</v>
      </c>
    </row>
    <row r="361" spans="2:20" ht="13.5" customHeight="1">
      <c r="B361" s="246">
        <f t="shared" si="41"/>
        <v>907</v>
      </c>
      <c r="C361" s="246" t="s">
        <v>224</v>
      </c>
      <c r="D361" s="247" t="s">
        <v>240</v>
      </c>
      <c r="E361" s="238"/>
      <c r="F361" s="262"/>
      <c r="G361" s="281" t="s">
        <v>245</v>
      </c>
      <c r="H361" s="246" t="str">
        <f t="shared" si="39"/>
        <v>nee</v>
      </c>
      <c r="I361" s="269"/>
      <c r="J361" s="223"/>
      <c r="K361" s="226"/>
      <c r="L361" s="225"/>
      <c r="M361" s="349">
        <f t="shared" si="40"/>
        <v>0</v>
      </c>
      <c r="Q361" s="272">
        <v>0</v>
      </c>
      <c r="R361" s="272">
        <v>48</v>
      </c>
      <c r="T361" s="333">
        <f t="shared" si="42"/>
        <v>0</v>
      </c>
    </row>
    <row r="362" spans="2:20" ht="13.5" customHeight="1">
      <c r="B362" s="246">
        <f t="shared" si="41"/>
        <v>908</v>
      </c>
      <c r="C362" s="246" t="s">
        <v>225</v>
      </c>
      <c r="D362" s="247" t="s">
        <v>241</v>
      </c>
      <c r="E362" s="238"/>
      <c r="F362" s="262"/>
      <c r="G362" s="281" t="s">
        <v>245</v>
      </c>
      <c r="H362" s="246" t="str">
        <f t="shared" si="39"/>
        <v>nee</v>
      </c>
      <c r="I362" s="269"/>
      <c r="J362" s="223"/>
      <c r="K362" s="226"/>
      <c r="L362" s="225"/>
      <c r="M362" s="349">
        <f t="shared" si="40"/>
        <v>0</v>
      </c>
      <c r="Q362" s="272">
        <v>0</v>
      </c>
      <c r="R362" s="272">
        <v>96</v>
      </c>
      <c r="T362" s="333">
        <f>IF(M362&gt;0,J362,0)</f>
        <v>0</v>
      </c>
    </row>
    <row r="363" spans="2:20" ht="13.5" customHeight="1" thickBot="1">
      <c r="B363" s="246">
        <f t="shared" si="41"/>
        <v>909</v>
      </c>
      <c r="C363" s="246" t="s">
        <v>226</v>
      </c>
      <c r="D363" s="247" t="s">
        <v>242</v>
      </c>
      <c r="E363" s="238"/>
      <c r="F363" s="262"/>
      <c r="G363" s="281" t="s">
        <v>245</v>
      </c>
      <c r="H363" s="246" t="str">
        <f t="shared" si="39"/>
        <v>nee</v>
      </c>
      <c r="I363" s="269"/>
      <c r="J363" s="223"/>
      <c r="K363" s="226"/>
      <c r="L363" s="225"/>
      <c r="M363" s="349">
        <f t="shared" si="40"/>
        <v>0</v>
      </c>
      <c r="Q363" s="273">
        <v>0</v>
      </c>
      <c r="R363" s="273">
        <v>191</v>
      </c>
      <c r="T363" s="335">
        <f t="shared" si="42"/>
        <v>0</v>
      </c>
    </row>
    <row r="364" spans="2:13" ht="13.5" customHeight="1" thickBot="1">
      <c r="B364" s="243">
        <f t="shared" si="41"/>
        <v>910</v>
      </c>
      <c r="C364" s="137" t="s">
        <v>479</v>
      </c>
      <c r="D364" s="238"/>
      <c r="E364" s="238"/>
      <c r="F364" s="238"/>
      <c r="G364" s="238"/>
      <c r="H364" s="238"/>
      <c r="I364" s="238"/>
      <c r="J364" s="238"/>
      <c r="K364" s="238"/>
      <c r="L364" s="238"/>
      <c r="M364" s="350">
        <f>SUM(M335:M348)+SUM(M355:M363)</f>
        <v>0</v>
      </c>
    </row>
    <row r="365" ht="13.5" customHeight="1">
      <c r="M365" s="45"/>
    </row>
    <row r="366" spans="2:13" ht="13.5" customHeight="1">
      <c r="B366" s="251" t="s">
        <v>659</v>
      </c>
      <c r="M366" s="45"/>
    </row>
    <row r="367" spans="2:18" ht="13.5" customHeight="1">
      <c r="B367" s="246">
        <f>B364+1</f>
        <v>911</v>
      </c>
      <c r="C367" s="111" t="s">
        <v>246</v>
      </c>
      <c r="D367" s="422" t="s">
        <v>250</v>
      </c>
      <c r="E367" s="238"/>
      <c r="F367" s="262"/>
      <c r="G367" s="281" t="s">
        <v>98</v>
      </c>
      <c r="H367" s="246" t="str">
        <f>IF($G$37="ja","ja","nee")</f>
        <v>nee</v>
      </c>
      <c r="I367" s="269"/>
      <c r="J367" s="223"/>
      <c r="K367" s="226"/>
      <c r="L367" s="225"/>
      <c r="M367" s="349">
        <f>IF(H367="ja",ROUND(J367*L367,0),0)</f>
        <v>0</v>
      </c>
      <c r="Q367" s="270">
        <v>0</v>
      </c>
      <c r="R367" s="276">
        <v>131.3</v>
      </c>
    </row>
    <row r="368" spans="2:18" ht="13.5" customHeight="1">
      <c r="B368" s="246">
        <f>B367+1</f>
        <v>912</v>
      </c>
      <c r="C368" s="246" t="s">
        <v>247</v>
      </c>
      <c r="D368" s="247" t="s">
        <v>249</v>
      </c>
      <c r="E368" s="238"/>
      <c r="F368" s="262"/>
      <c r="G368" s="281" t="s">
        <v>245</v>
      </c>
      <c r="H368" s="246" t="str">
        <f>IF($G$37="ja","ja","nee")</f>
        <v>nee</v>
      </c>
      <c r="I368" s="269"/>
      <c r="J368" s="223"/>
      <c r="K368" s="226"/>
      <c r="L368" s="225"/>
      <c r="M368" s="349">
        <f>IF(H368="ja",ROUND(J368*L368,0),0)</f>
        <v>0</v>
      </c>
      <c r="Q368" s="272">
        <v>0</v>
      </c>
      <c r="R368" s="272">
        <v>150.6</v>
      </c>
    </row>
    <row r="369" spans="2:18" ht="13.5" customHeight="1">
      <c r="B369" s="246">
        <f>B368+1</f>
        <v>913</v>
      </c>
      <c r="C369" s="246" t="s">
        <v>248</v>
      </c>
      <c r="D369" s="247" t="s">
        <v>251</v>
      </c>
      <c r="E369" s="238"/>
      <c r="F369" s="262"/>
      <c r="G369" s="281" t="s">
        <v>98</v>
      </c>
      <c r="H369" s="246" t="str">
        <f>IF($G$36="ja","ja","nee")</f>
        <v>nee</v>
      </c>
      <c r="I369" s="269"/>
      <c r="J369" s="223"/>
      <c r="K369" s="226"/>
      <c r="L369" s="225"/>
      <c r="M369" s="349">
        <f>IF(H369="ja",ROUND(J369*L369,0),0)</f>
        <v>0</v>
      </c>
      <c r="Q369" s="272">
        <v>0</v>
      </c>
      <c r="R369" s="272">
        <v>79</v>
      </c>
    </row>
    <row r="370" spans="2:20" ht="13.5" customHeight="1" thickBot="1">
      <c r="B370" s="246">
        <f>B369+1</f>
        <v>914</v>
      </c>
      <c r="C370" s="246" t="s">
        <v>272</v>
      </c>
      <c r="D370" s="247" t="s">
        <v>252</v>
      </c>
      <c r="E370" s="238"/>
      <c r="F370" s="262"/>
      <c r="G370" s="281" t="s">
        <v>98</v>
      </c>
      <c r="H370" s="246" t="str">
        <f>IF(OR($G$36="ja",$G$37="ja"),"ja","nee")</f>
        <v>nee</v>
      </c>
      <c r="I370" s="269"/>
      <c r="J370" s="223"/>
      <c r="K370" s="226"/>
      <c r="L370" s="225"/>
      <c r="M370" s="349">
        <f>IF(H370="ja",ROUND(J370*L370,0),0)</f>
        <v>0</v>
      </c>
      <c r="Q370" s="273">
        <v>0</v>
      </c>
      <c r="R370" s="273">
        <v>8</v>
      </c>
      <c r="T370" s="174">
        <f>IF(M370&gt;0,J370,0)</f>
        <v>0</v>
      </c>
    </row>
    <row r="371" spans="2:13" ht="13.5" customHeight="1" thickBot="1">
      <c r="B371" s="243">
        <f>B370+1</f>
        <v>915</v>
      </c>
      <c r="C371" s="137" t="s">
        <v>662</v>
      </c>
      <c r="D371" s="238"/>
      <c r="E371" s="238"/>
      <c r="F371" s="238"/>
      <c r="G371" s="238"/>
      <c r="H371" s="238"/>
      <c r="I371" s="238"/>
      <c r="J371" s="238"/>
      <c r="K371" s="238"/>
      <c r="L371" s="238"/>
      <c r="M371" s="350">
        <f>SUM(M367:M370)</f>
        <v>0</v>
      </c>
    </row>
    <row r="372" ht="13.5" customHeight="1">
      <c r="M372" s="45"/>
    </row>
    <row r="373" spans="2:20" ht="13.5" customHeight="1">
      <c r="B373" s="251" t="s">
        <v>660</v>
      </c>
      <c r="S373" s="336" t="s">
        <v>530</v>
      </c>
      <c r="T373" s="336" t="s">
        <v>529</v>
      </c>
    </row>
    <row r="374" spans="2:20" ht="13.5" customHeight="1">
      <c r="B374" s="246">
        <f>B371+1</f>
        <v>916</v>
      </c>
      <c r="C374" s="246" t="s">
        <v>253</v>
      </c>
      <c r="D374" s="247" t="s">
        <v>263</v>
      </c>
      <c r="E374" s="238"/>
      <c r="F374" s="262"/>
      <c r="G374" s="281" t="s">
        <v>271</v>
      </c>
      <c r="H374" s="246" t="str">
        <f>IF(OR(M232=0,M232=""),"nee","ja")</f>
        <v>nee</v>
      </c>
      <c r="I374" s="269"/>
      <c r="J374" s="223"/>
      <c r="K374" s="226"/>
      <c r="L374" s="225"/>
      <c r="M374" s="349">
        <f aca="true" t="shared" si="43" ref="M374:M382">IF(H374="ja",ROUND(J374*L374,0),0)</f>
        <v>0</v>
      </c>
      <c r="Q374" s="270">
        <v>0</v>
      </c>
      <c r="R374" s="276">
        <v>10.4</v>
      </c>
      <c r="S374" s="330">
        <v>0</v>
      </c>
      <c r="T374" s="331">
        <f>T232</f>
        <v>0</v>
      </c>
    </row>
    <row r="375" spans="2:20" ht="13.5" customHeight="1">
      <c r="B375" s="246">
        <f aca="true" t="shared" si="44" ref="B375:B383">B374+1</f>
        <v>917</v>
      </c>
      <c r="C375" s="246" t="s">
        <v>254</v>
      </c>
      <c r="D375" s="247" t="s">
        <v>264</v>
      </c>
      <c r="E375" s="238"/>
      <c r="F375" s="262"/>
      <c r="G375" s="281" t="s">
        <v>271</v>
      </c>
      <c r="H375" s="246" t="str">
        <f>IF(OR(M233=0,M233=""),"nee","ja")</f>
        <v>nee</v>
      </c>
      <c r="I375" s="269"/>
      <c r="J375" s="223"/>
      <c r="K375" s="226"/>
      <c r="L375" s="225"/>
      <c r="M375" s="349">
        <f t="shared" si="43"/>
        <v>0</v>
      </c>
      <c r="Q375" s="272">
        <v>0</v>
      </c>
      <c r="R375" s="272">
        <v>17.4</v>
      </c>
      <c r="S375" s="332">
        <v>0</v>
      </c>
      <c r="T375" s="333">
        <f>T233</f>
        <v>0</v>
      </c>
    </row>
    <row r="376" spans="2:20" ht="13.5" customHeight="1">
      <c r="B376" s="246">
        <f t="shared" si="44"/>
        <v>918</v>
      </c>
      <c r="C376" s="246" t="s">
        <v>255</v>
      </c>
      <c r="D376" s="247" t="s">
        <v>265</v>
      </c>
      <c r="E376" s="238"/>
      <c r="F376" s="262"/>
      <c r="G376" s="281" t="s">
        <v>271</v>
      </c>
      <c r="H376" s="246" t="str">
        <f>IF(OR(M234=0,M234=""),"nee","ja")</f>
        <v>nee</v>
      </c>
      <c r="I376" s="269"/>
      <c r="J376" s="223"/>
      <c r="K376" s="226"/>
      <c r="L376" s="225"/>
      <c r="M376" s="349">
        <f t="shared" si="43"/>
        <v>0</v>
      </c>
      <c r="Q376" s="272">
        <v>0</v>
      </c>
      <c r="R376" s="272">
        <v>10</v>
      </c>
      <c r="S376" s="332">
        <v>0</v>
      </c>
      <c r="T376" s="333">
        <f>T234</f>
        <v>0</v>
      </c>
    </row>
    <row r="377" spans="2:20" ht="13.5" customHeight="1">
      <c r="B377" s="246">
        <f t="shared" si="44"/>
        <v>919</v>
      </c>
      <c r="C377" s="246" t="s">
        <v>256</v>
      </c>
      <c r="D377" s="247" t="s">
        <v>266</v>
      </c>
      <c r="E377" s="238"/>
      <c r="F377" s="262"/>
      <c r="G377" s="281" t="s">
        <v>271</v>
      </c>
      <c r="H377" s="246" t="str">
        <f>IF(OR(M235=0,M235=""),"nee","ja")</f>
        <v>nee</v>
      </c>
      <c r="I377" s="269"/>
      <c r="J377" s="223"/>
      <c r="K377" s="226"/>
      <c r="L377" s="225"/>
      <c r="M377" s="349">
        <f t="shared" si="43"/>
        <v>0</v>
      </c>
      <c r="Q377" s="272">
        <v>0</v>
      </c>
      <c r="R377" s="272">
        <v>20</v>
      </c>
      <c r="S377" s="332">
        <v>0</v>
      </c>
      <c r="T377" s="333">
        <f>T235</f>
        <v>0</v>
      </c>
    </row>
    <row r="378" spans="2:20" ht="13.5" customHeight="1">
      <c r="B378" s="246">
        <f t="shared" si="44"/>
        <v>920</v>
      </c>
      <c r="C378" s="246" t="s">
        <v>257</v>
      </c>
      <c r="D378" s="247" t="s">
        <v>267</v>
      </c>
      <c r="E378" s="238"/>
      <c r="F378" s="262"/>
      <c r="G378" s="281" t="s">
        <v>271</v>
      </c>
      <c r="H378" s="246" t="str">
        <f>IF(OR(M230=0,M230=""),"nee","ja")</f>
        <v>nee</v>
      </c>
      <c r="I378" s="269"/>
      <c r="J378" s="223"/>
      <c r="K378" s="226"/>
      <c r="L378" s="225"/>
      <c r="M378" s="349">
        <f t="shared" si="43"/>
        <v>0</v>
      </c>
      <c r="Q378" s="272">
        <v>0</v>
      </c>
      <c r="R378" s="272">
        <v>18.5</v>
      </c>
      <c r="S378" s="332">
        <v>0</v>
      </c>
      <c r="T378" s="333">
        <f>T230</f>
        <v>0</v>
      </c>
    </row>
    <row r="379" spans="2:21" ht="13.5" customHeight="1">
      <c r="B379" s="246">
        <f t="shared" si="44"/>
        <v>921</v>
      </c>
      <c r="C379" s="416" t="s">
        <v>261</v>
      </c>
      <c r="D379" s="247" t="s">
        <v>268</v>
      </c>
      <c r="G379" s="281" t="s">
        <v>271</v>
      </c>
      <c r="H379" s="246" t="str">
        <f>IF(OR(M231=0,M231=""),"nee","ja")</f>
        <v>nee</v>
      </c>
      <c r="I379" s="269"/>
      <c r="J379" s="223"/>
      <c r="K379" s="226"/>
      <c r="L379" s="225"/>
      <c r="M379" s="349">
        <f t="shared" si="43"/>
        <v>0</v>
      </c>
      <c r="Q379" s="272">
        <v>0</v>
      </c>
      <c r="R379" s="272">
        <v>23.1</v>
      </c>
      <c r="S379" s="332">
        <v>0</v>
      </c>
      <c r="T379" s="333">
        <f>T231</f>
        <v>0</v>
      </c>
      <c r="U379" s="510"/>
    </row>
    <row r="380" spans="2:21" ht="13.5" customHeight="1">
      <c r="B380" s="246">
        <f t="shared" si="44"/>
        <v>922</v>
      </c>
      <c r="C380" s="246" t="s">
        <v>258</v>
      </c>
      <c r="D380" s="247" t="s">
        <v>262</v>
      </c>
      <c r="E380" s="238"/>
      <c r="F380" s="262"/>
      <c r="G380" s="281" t="s">
        <v>271</v>
      </c>
      <c r="H380" s="246" t="str">
        <f>IF(OR(SUM(M227:M229)=0,SUM(M227:M229)=""),"nee","ja")</f>
        <v>nee</v>
      </c>
      <c r="I380" s="269"/>
      <c r="J380" s="223"/>
      <c r="K380" s="226"/>
      <c r="L380" s="225"/>
      <c r="M380" s="349">
        <f t="shared" si="43"/>
        <v>0</v>
      </c>
      <c r="Q380" s="272">
        <v>0</v>
      </c>
      <c r="R380" s="272">
        <v>14.3</v>
      </c>
      <c r="S380" s="332">
        <v>0</v>
      </c>
      <c r="T380" s="333">
        <f>SUM(T227:T229)</f>
        <v>0</v>
      </c>
      <c r="U380" s="510"/>
    </row>
    <row r="381" spans="2:20" ht="13.5" customHeight="1">
      <c r="B381" s="246">
        <f t="shared" si="44"/>
        <v>923</v>
      </c>
      <c r="C381" s="246" t="s">
        <v>259</v>
      </c>
      <c r="D381" s="422" t="s">
        <v>274</v>
      </c>
      <c r="E381" s="238"/>
      <c r="F381" s="262"/>
      <c r="G381" s="281" t="s">
        <v>271</v>
      </c>
      <c r="H381" s="246" t="str">
        <f>IF(OR(SUM(M335:M348)+SUM(M355:M363)+M370=0,SUM(M335:M348)+SUM(M355:M363)+M370=""),"nee","ja")</f>
        <v>nee</v>
      </c>
      <c r="I381" s="269"/>
      <c r="J381" s="223"/>
      <c r="K381" s="226"/>
      <c r="L381" s="225"/>
      <c r="M381" s="349">
        <f t="shared" si="43"/>
        <v>0</v>
      </c>
      <c r="Q381" s="272">
        <v>0</v>
      </c>
      <c r="R381" s="272">
        <v>14.1</v>
      </c>
      <c r="S381" s="332">
        <v>0</v>
      </c>
      <c r="T381" s="333">
        <f>SUM(T335:T348)+SUM(T355:T363)+T370</f>
        <v>0</v>
      </c>
    </row>
    <row r="382" spans="2:20" ht="13.5" customHeight="1" thickBot="1">
      <c r="B382" s="246">
        <f t="shared" si="44"/>
        <v>924</v>
      </c>
      <c r="C382" s="246" t="s">
        <v>260</v>
      </c>
      <c r="D382" s="247" t="s">
        <v>275</v>
      </c>
      <c r="E382" s="238"/>
      <c r="F382" s="262"/>
      <c r="G382" s="281" t="s">
        <v>271</v>
      </c>
      <c r="H382" s="246" t="str">
        <f>IF(OR((M208+M236)=0,(M208+M236)=""),"nee","ja")</f>
        <v>nee</v>
      </c>
      <c r="I382" s="269"/>
      <c r="J382" s="223"/>
      <c r="K382" s="226"/>
      <c r="L382" s="225"/>
      <c r="M382" s="349">
        <f t="shared" si="43"/>
        <v>0</v>
      </c>
      <c r="Q382" s="273">
        <v>0</v>
      </c>
      <c r="R382" s="273">
        <v>10</v>
      </c>
      <c r="S382" s="334">
        <v>0</v>
      </c>
      <c r="T382" s="335">
        <f>T208+T236</f>
        <v>0</v>
      </c>
    </row>
    <row r="383" spans="2:13" ht="13.5" customHeight="1" thickBot="1">
      <c r="B383" s="243">
        <f t="shared" si="44"/>
        <v>925</v>
      </c>
      <c r="C383" s="137" t="s">
        <v>280</v>
      </c>
      <c r="D383" s="238"/>
      <c r="E383" s="238"/>
      <c r="F383" s="238"/>
      <c r="G383" s="238"/>
      <c r="H383" s="238"/>
      <c r="I383" s="238"/>
      <c r="J383" s="238"/>
      <c r="K383" s="238"/>
      <c r="L383" s="238"/>
      <c r="M383" s="350">
        <f>SUM(M374:M382)</f>
        <v>0</v>
      </c>
    </row>
    <row r="384" ht="13.5" customHeight="1">
      <c r="M384" s="45"/>
    </row>
    <row r="385" spans="2:13" ht="13.5" customHeight="1" thickBot="1">
      <c r="B385" s="251" t="s">
        <v>661</v>
      </c>
      <c r="M385" s="45"/>
    </row>
    <row r="386" spans="2:20" ht="13.5" customHeight="1" thickBot="1">
      <c r="B386" s="246">
        <f>B383+1</f>
        <v>926</v>
      </c>
      <c r="C386" s="246" t="s">
        <v>269</v>
      </c>
      <c r="D386" s="247" t="s">
        <v>270</v>
      </c>
      <c r="E386" s="238"/>
      <c r="F386" s="262"/>
      <c r="G386" s="281" t="s">
        <v>184</v>
      </c>
      <c r="H386" s="246" t="str">
        <f>IF(OR(SUM(M212:M217)=0,SUM(M212:M217)=""),"nee","ja")</f>
        <v>nee</v>
      </c>
      <c r="I386" s="269"/>
      <c r="J386" s="223"/>
      <c r="K386" s="226"/>
      <c r="L386" s="225"/>
      <c r="M386" s="350">
        <f>IF(H386="ja",ROUND(J386*L386,0),0)</f>
        <v>0</v>
      </c>
      <c r="Q386" s="261">
        <v>0</v>
      </c>
      <c r="R386" s="261">
        <v>21.7</v>
      </c>
      <c r="S386" s="173">
        <v>0</v>
      </c>
      <c r="T386" s="174">
        <f>SUM(T212:T217)</f>
        <v>0</v>
      </c>
    </row>
    <row r="387" ht="13.5" customHeight="1" thickBot="1">
      <c r="M387" s="45"/>
    </row>
    <row r="388" spans="2:13" ht="13.5" customHeight="1" thickBot="1">
      <c r="B388" s="243">
        <f>B386+1</f>
        <v>927</v>
      </c>
      <c r="C388" s="244" t="str">
        <f>"Totaal prestaties extramurale zorg (regel "&amp;B219&amp;"+"&amp;B238&amp;"+"&amp;B256&amp;"+"&amp;B275&amp;"+"&amp;B289&amp;"+"&amp;B303&amp;"+"&amp;B321&amp;"+"&amp;B332&amp;"+"&amp;B364&amp;"+"&amp;B371&amp;"+"&amp;B383&amp;"+"&amp;B386&amp;")"</f>
        <v>Totaal prestaties extramurale zorg (regel 520+612+621+712+724+736+812+821+910+915+925+926)</v>
      </c>
      <c r="D388" s="238"/>
      <c r="E388" s="238"/>
      <c r="F388" s="238"/>
      <c r="G388" s="238"/>
      <c r="H388" s="238"/>
      <c r="I388" s="238"/>
      <c r="J388" s="238"/>
      <c r="K388" s="238"/>
      <c r="L388" s="238"/>
      <c r="M388" s="350">
        <f>M219+M238+M256+M275+M289+M303+M321+M332+M364+M371+M383+M386</f>
        <v>0</v>
      </c>
    </row>
    <row r="389" ht="13.5" customHeight="1">
      <c r="M389" s="45"/>
    </row>
    <row r="390" ht="13.5" customHeight="1"/>
    <row r="391" spans="1:2" ht="18" customHeight="1">
      <c r="A391" s="233" t="s">
        <v>92</v>
      </c>
      <c r="B391" s="232">
        <f>Voorblad!A311</f>
        <v>0</v>
      </c>
    </row>
    <row r="392" spans="2:13" ht="18" customHeight="1">
      <c r="B392" s="234" t="str">
        <f>$B$2</f>
        <v>Budget 2005 AWBZ-instellingen sector V&amp;V</v>
      </c>
      <c r="C392" s="234"/>
      <c r="D392" s="234"/>
      <c r="E392" s="250"/>
      <c r="F392" s="352" t="str">
        <f>$F$2</f>
        <v>650 / </v>
      </c>
      <c r="G392" s="234"/>
      <c r="H392" s="236"/>
      <c r="I392" s="234"/>
      <c r="J392" s="236" t="str">
        <f>$J$2</f>
        <v>versie: 14-01-2005</v>
      </c>
      <c r="K392" s="238"/>
      <c r="L392" s="238"/>
      <c r="M392" s="239">
        <f>M350+1</f>
        <v>10</v>
      </c>
    </row>
    <row r="393" ht="12.75"/>
    <row r="394" s="354" customFormat="1" ht="16.5" customHeight="1">
      <c r="B394" s="423" t="s">
        <v>9</v>
      </c>
    </row>
    <row r="395" s="354" customFormat="1" ht="13.5" customHeight="1">
      <c r="M395" s="424"/>
    </row>
    <row r="396" spans="2:13" s="354" customFormat="1" ht="13.5" customHeight="1">
      <c r="B396" s="425" t="s">
        <v>281</v>
      </c>
      <c r="C396" s="426"/>
      <c r="D396" s="426"/>
      <c r="E396" s="426"/>
      <c r="F396" s="427"/>
      <c r="G396" s="428" t="s">
        <v>64</v>
      </c>
      <c r="H396" s="429" t="s">
        <v>300</v>
      </c>
      <c r="I396" s="430" t="s">
        <v>301</v>
      </c>
      <c r="J396" s="429" t="s">
        <v>51</v>
      </c>
      <c r="M396" s="424"/>
    </row>
    <row r="397" spans="2:13" s="354" customFormat="1" ht="13.5" customHeight="1">
      <c r="B397" s="431">
        <f>M392*100+1</f>
        <v>1001</v>
      </c>
      <c r="C397" s="407" t="s">
        <v>283</v>
      </c>
      <c r="D397" s="363"/>
      <c r="E397" s="363"/>
      <c r="F397" s="359"/>
      <c r="G397" s="432">
        <f>L65+L73</f>
        <v>0</v>
      </c>
      <c r="H397" s="433">
        <v>25709.97</v>
      </c>
      <c r="I397" s="434"/>
      <c r="J397" s="349">
        <f aca="true" t="shared" si="45" ref="J397:J403">ROUND(G397*H397,0)</f>
        <v>0</v>
      </c>
      <c r="M397" s="424"/>
    </row>
    <row r="398" spans="2:13" s="354" customFormat="1" ht="13.5" customHeight="1">
      <c r="B398" s="431">
        <f aca="true" t="shared" si="46" ref="B398:B413">B397+1</f>
        <v>1002</v>
      </c>
      <c r="C398" s="407" t="s">
        <v>284</v>
      </c>
      <c r="D398" s="363"/>
      <c r="E398" s="363"/>
      <c r="F398" s="359"/>
      <c r="G398" s="432">
        <f>L81</f>
        <v>0</v>
      </c>
      <c r="H398" s="433">
        <v>30263.71</v>
      </c>
      <c r="I398" s="434"/>
      <c r="J398" s="349">
        <f t="shared" si="45"/>
        <v>0</v>
      </c>
      <c r="M398" s="424"/>
    </row>
    <row r="399" spans="2:13" s="354" customFormat="1" ht="13.5" customHeight="1">
      <c r="B399" s="431">
        <f t="shared" si="46"/>
        <v>1003</v>
      </c>
      <c r="C399" s="407" t="s">
        <v>285</v>
      </c>
      <c r="D399" s="363"/>
      <c r="E399" s="363"/>
      <c r="F399" s="359"/>
      <c r="G399" s="436">
        <f>M65+M73</f>
        <v>0</v>
      </c>
      <c r="H399" s="433">
        <v>46.81</v>
      </c>
      <c r="I399" s="434"/>
      <c r="J399" s="349">
        <f t="shared" si="45"/>
        <v>0</v>
      </c>
      <c r="M399" s="424"/>
    </row>
    <row r="400" spans="2:18" s="354" customFormat="1" ht="13.5" customHeight="1">
      <c r="B400" s="431">
        <f t="shared" si="46"/>
        <v>1004</v>
      </c>
      <c r="C400" s="407" t="s">
        <v>286</v>
      </c>
      <c r="D400" s="363"/>
      <c r="E400" s="363"/>
      <c r="F400" s="359"/>
      <c r="G400" s="436">
        <f>M81</f>
        <v>0</v>
      </c>
      <c r="H400" s="433">
        <v>56.23</v>
      </c>
      <c r="I400" s="434"/>
      <c r="J400" s="349">
        <f t="shared" si="45"/>
        <v>0</v>
      </c>
      <c r="M400" s="424"/>
      <c r="Q400" s="467" t="s">
        <v>611</v>
      </c>
      <c r="R400" s="468"/>
    </row>
    <row r="401" spans="2:18" s="354" customFormat="1" ht="13.5" customHeight="1">
      <c r="B401" s="431">
        <f t="shared" si="46"/>
        <v>1005</v>
      </c>
      <c r="C401" s="437" t="s">
        <v>570</v>
      </c>
      <c r="D401" s="363"/>
      <c r="E401" s="438" t="s">
        <v>571</v>
      </c>
      <c r="F401" s="513"/>
      <c r="G401" s="436">
        <f>G397+G398</f>
        <v>0</v>
      </c>
      <c r="H401" s="433">
        <f>IF($F$401=1,$R$401,IF($F$401=2,$R$402,IF($F$401=3,$R$403,0)))</f>
        <v>0</v>
      </c>
      <c r="I401" s="434"/>
      <c r="J401" s="349">
        <f t="shared" si="45"/>
        <v>0</v>
      </c>
      <c r="K401" s="504" t="s">
        <v>616</v>
      </c>
      <c r="Q401" s="439">
        <v>1</v>
      </c>
      <c r="R401" s="435">
        <v>300.66</v>
      </c>
    </row>
    <row r="402" spans="2:18" s="354" customFormat="1" ht="13.5" customHeight="1">
      <c r="B402" s="431">
        <f t="shared" si="46"/>
        <v>1006</v>
      </c>
      <c r="C402" s="407" t="s">
        <v>572</v>
      </c>
      <c r="D402" s="363"/>
      <c r="E402" s="363"/>
      <c r="F402" s="513"/>
      <c r="G402" s="436">
        <f>IF(F402="ja",G397+G398,0)</f>
        <v>0</v>
      </c>
      <c r="H402" s="433">
        <v>102.36</v>
      </c>
      <c r="I402" s="434"/>
      <c r="J402" s="349">
        <f t="shared" si="45"/>
        <v>0</v>
      </c>
      <c r="K402" s="504" t="s">
        <v>574</v>
      </c>
      <c r="Q402" s="439">
        <v>2</v>
      </c>
      <c r="R402" s="435">
        <v>250.78</v>
      </c>
    </row>
    <row r="403" spans="2:18" s="354" customFormat="1" ht="13.5" customHeight="1">
      <c r="B403" s="431">
        <f t="shared" si="46"/>
        <v>1007</v>
      </c>
      <c r="C403" s="407" t="s">
        <v>287</v>
      </c>
      <c r="D403" s="363"/>
      <c r="E403" s="363"/>
      <c r="F403" s="359"/>
      <c r="G403" s="505"/>
      <c r="H403" s="433">
        <v>39208</v>
      </c>
      <c r="I403" s="434"/>
      <c r="J403" s="349">
        <f t="shared" si="45"/>
        <v>0</v>
      </c>
      <c r="K403" s="504" t="s">
        <v>574</v>
      </c>
      <c r="M403" s="424"/>
      <c r="Q403" s="439">
        <v>3</v>
      </c>
      <c r="R403" s="435">
        <v>201.59</v>
      </c>
    </row>
    <row r="404" spans="2:13" s="354" customFormat="1" ht="13.5" customHeight="1">
      <c r="B404" s="431">
        <f t="shared" si="46"/>
        <v>1008</v>
      </c>
      <c r="C404" s="407" t="s">
        <v>288</v>
      </c>
      <c r="D404" s="363"/>
      <c r="E404" s="363"/>
      <c r="F404" s="359"/>
      <c r="G404" s="436">
        <f>J159</f>
        <v>0</v>
      </c>
      <c r="H404" s="433">
        <v>774.33</v>
      </c>
      <c r="I404" s="434"/>
      <c r="J404" s="349">
        <f>ROUND(G404*H404,0)</f>
        <v>0</v>
      </c>
      <c r="M404" s="424"/>
    </row>
    <row r="405" spans="2:18" s="354" customFormat="1" ht="13.5" customHeight="1">
      <c r="B405" s="431">
        <f t="shared" si="46"/>
        <v>1009</v>
      </c>
      <c r="C405" s="441" t="s">
        <v>575</v>
      </c>
      <c r="D405" s="363"/>
      <c r="E405" s="363"/>
      <c r="F405" s="442">
        <f>J160</f>
        <v>0</v>
      </c>
      <c r="G405" s="354">
        <f>IF(F405&gt;=6,1,0)</f>
        <v>0</v>
      </c>
      <c r="H405" s="480">
        <f>IF(AND(F405&gt;=6,F405&lt;=11),R406,IF(AND(F405&gt;=12,F405&lt;=17),R407,IF(AND(F405&gt;=18,F405&lt;=23),R408,IF(F405&gt;=24,R409,0))))</f>
        <v>0</v>
      </c>
      <c r="I405" s="434"/>
      <c r="J405" s="349">
        <f>ROUND(G405*H405,0)</f>
        <v>0</v>
      </c>
      <c r="M405" s="424"/>
      <c r="Q405" s="467" t="s">
        <v>554</v>
      </c>
      <c r="R405" s="478" t="s">
        <v>553</v>
      </c>
    </row>
    <row r="406" spans="2:18" s="354" customFormat="1" ht="13.5" customHeight="1">
      <c r="B406" s="431">
        <f t="shared" si="46"/>
        <v>1010</v>
      </c>
      <c r="C406" s="407" t="s">
        <v>289</v>
      </c>
      <c r="D406" s="363"/>
      <c r="E406" s="363"/>
      <c r="F406" s="359"/>
      <c r="G406" s="506"/>
      <c r="H406" s="433">
        <v>27178.1</v>
      </c>
      <c r="I406" s="434"/>
      <c r="J406" s="349">
        <f>ROUND(G406*H406,0)</f>
        <v>0</v>
      </c>
      <c r="K406" s="504" t="s">
        <v>574</v>
      </c>
      <c r="M406" s="424"/>
      <c r="Q406" s="477" t="s">
        <v>550</v>
      </c>
      <c r="R406" s="440">
        <v>43307</v>
      </c>
    </row>
    <row r="407" spans="2:18" s="354" customFormat="1" ht="13.5" customHeight="1">
      <c r="B407" s="431">
        <f t="shared" si="46"/>
        <v>1011</v>
      </c>
      <c r="C407" s="407" t="s">
        <v>589</v>
      </c>
      <c r="D407" s="363"/>
      <c r="E407" s="363"/>
      <c r="F407" s="359"/>
      <c r="G407" s="432">
        <f>L107</f>
        <v>0</v>
      </c>
      <c r="H407" s="433">
        <v>10154.66</v>
      </c>
      <c r="I407" s="434"/>
      <c r="J407" s="349">
        <f aca="true" t="shared" si="47" ref="J407:J412">ROUND(G407*H407,0)</f>
        <v>0</v>
      </c>
      <c r="M407" s="424"/>
      <c r="Q407" s="439" t="s">
        <v>551</v>
      </c>
      <c r="R407" s="440">
        <v>60630</v>
      </c>
    </row>
    <row r="408" spans="2:18" s="354" customFormat="1" ht="13.5" customHeight="1">
      <c r="B408" s="431">
        <f t="shared" si="46"/>
        <v>1012</v>
      </c>
      <c r="C408" s="443" t="s">
        <v>586</v>
      </c>
      <c r="G408" s="432">
        <f>L115</f>
        <v>0</v>
      </c>
      <c r="H408" s="433">
        <v>4385.51</v>
      </c>
      <c r="I408" s="434"/>
      <c r="J408" s="349">
        <f t="shared" si="47"/>
        <v>0</v>
      </c>
      <c r="Q408" s="439" t="s">
        <v>552</v>
      </c>
      <c r="R408" s="440">
        <v>72178</v>
      </c>
    </row>
    <row r="409" spans="2:18" s="354" customFormat="1" ht="13.5" customHeight="1">
      <c r="B409" s="431">
        <f t="shared" si="46"/>
        <v>1013</v>
      </c>
      <c r="C409" s="407" t="s">
        <v>588</v>
      </c>
      <c r="D409" s="363"/>
      <c r="E409" s="363"/>
      <c r="F409" s="359"/>
      <c r="G409" s="432">
        <f>L121</f>
        <v>0</v>
      </c>
      <c r="H409" s="433">
        <v>10369.01</v>
      </c>
      <c r="I409" s="434"/>
      <c r="J409" s="349">
        <f t="shared" si="47"/>
        <v>0</v>
      </c>
      <c r="M409" s="424"/>
      <c r="Q409" s="439">
        <v>24</v>
      </c>
      <c r="R409" s="440">
        <v>77953</v>
      </c>
    </row>
    <row r="410" spans="2:10" s="354" customFormat="1" ht="13.5" customHeight="1">
      <c r="B410" s="431">
        <f t="shared" si="46"/>
        <v>1014</v>
      </c>
      <c r="C410" s="443" t="s">
        <v>587</v>
      </c>
      <c r="G410" s="432">
        <f>L129</f>
        <v>0</v>
      </c>
      <c r="H410" s="433">
        <f>H408</f>
        <v>4385.51</v>
      </c>
      <c r="I410" s="434"/>
      <c r="J410" s="349">
        <f t="shared" si="47"/>
        <v>0</v>
      </c>
    </row>
    <row r="411" spans="2:13" s="354" customFormat="1" ht="13.5" customHeight="1">
      <c r="B411" s="431">
        <f t="shared" si="46"/>
        <v>1015</v>
      </c>
      <c r="C411" s="407" t="s">
        <v>590</v>
      </c>
      <c r="D411" s="363"/>
      <c r="E411" s="363"/>
      <c r="F411" s="359"/>
      <c r="G411" s="436">
        <f>M107+M121</f>
        <v>0</v>
      </c>
      <c r="H411" s="433">
        <v>16.08</v>
      </c>
      <c r="I411" s="434"/>
      <c r="J411" s="349">
        <f t="shared" si="47"/>
        <v>0</v>
      </c>
      <c r="M411" s="424"/>
    </row>
    <row r="412" spans="2:10" s="354" customFormat="1" ht="13.5" customHeight="1" thickBot="1">
      <c r="B412" s="444">
        <f t="shared" si="46"/>
        <v>1016</v>
      </c>
      <c r="C412" s="443" t="s">
        <v>591</v>
      </c>
      <c r="G412" s="445">
        <f>M115+M129</f>
        <v>0</v>
      </c>
      <c r="H412" s="446">
        <v>6.8</v>
      </c>
      <c r="I412" s="447"/>
      <c r="J412" s="349">
        <f t="shared" si="47"/>
        <v>0</v>
      </c>
    </row>
    <row r="413" spans="2:13" s="354" customFormat="1" ht="13.5" customHeight="1" thickBot="1">
      <c r="B413" s="355">
        <f t="shared" si="46"/>
        <v>1017</v>
      </c>
      <c r="C413" s="448" t="s">
        <v>302</v>
      </c>
      <c r="D413" s="363"/>
      <c r="E413" s="363"/>
      <c r="F413" s="363"/>
      <c r="G413" s="363"/>
      <c r="H413" s="363"/>
      <c r="I413" s="474"/>
      <c r="J413" s="359"/>
      <c r="L413" s="275">
        <f>SUM(J397:J412)</f>
        <v>0</v>
      </c>
      <c r="M413" s="424"/>
    </row>
    <row r="414" spans="9:13" s="354" customFormat="1" ht="13.5" customHeight="1">
      <c r="I414" s="474"/>
      <c r="M414" s="424"/>
    </row>
    <row r="415" spans="2:13" s="354" customFormat="1" ht="13.5" customHeight="1">
      <c r="B415" s="425" t="s">
        <v>282</v>
      </c>
      <c r="C415" s="426"/>
      <c r="D415" s="426"/>
      <c r="E415" s="426"/>
      <c r="F415" s="427"/>
      <c r="G415" s="355" t="s">
        <v>64</v>
      </c>
      <c r="H415" s="355" t="s">
        <v>300</v>
      </c>
      <c r="I415" s="449" t="s">
        <v>301</v>
      </c>
      <c r="J415" s="355" t="s">
        <v>51</v>
      </c>
      <c r="M415" s="424"/>
    </row>
    <row r="416" spans="2:13" s="354" customFormat="1" ht="13.5" customHeight="1">
      <c r="B416" s="431">
        <f>B413+1</f>
        <v>1018</v>
      </c>
      <c r="C416" s="450" t="s">
        <v>290</v>
      </c>
      <c r="D416" s="363"/>
      <c r="E416" s="363"/>
      <c r="F416" s="359"/>
      <c r="G416" s="432">
        <f>G397</f>
        <v>0</v>
      </c>
      <c r="H416" s="433">
        <v>3699.21</v>
      </c>
      <c r="I416" s="434"/>
      <c r="J416" s="349">
        <f aca="true" t="shared" si="48" ref="J416:J423">ROUND(G416*H416,0)</f>
        <v>0</v>
      </c>
      <c r="M416" s="424"/>
    </row>
    <row r="417" spans="2:13" s="354" customFormat="1" ht="13.5" customHeight="1">
      <c r="B417" s="431">
        <f aca="true" t="shared" si="49" ref="B417:B426">B416+1</f>
        <v>1019</v>
      </c>
      <c r="C417" s="450" t="s">
        <v>291</v>
      </c>
      <c r="D417" s="363"/>
      <c r="E417" s="363"/>
      <c r="F417" s="359"/>
      <c r="G417" s="432">
        <f>G398</f>
        <v>0</v>
      </c>
      <c r="H417" s="433">
        <v>4740.01</v>
      </c>
      <c r="I417" s="434"/>
      <c r="J417" s="349">
        <f t="shared" si="48"/>
        <v>0</v>
      </c>
      <c r="M417" s="424"/>
    </row>
    <row r="418" spans="2:13" s="354" customFormat="1" ht="13.5" customHeight="1">
      <c r="B418" s="431">
        <f t="shared" si="49"/>
        <v>1020</v>
      </c>
      <c r="C418" s="450" t="s">
        <v>292</v>
      </c>
      <c r="D418" s="363"/>
      <c r="E418" s="363"/>
      <c r="F418" s="359"/>
      <c r="G418" s="436">
        <f>G399</f>
        <v>0</v>
      </c>
      <c r="H418" s="433">
        <v>10.17</v>
      </c>
      <c r="I418" s="434"/>
      <c r="J418" s="349">
        <f t="shared" si="48"/>
        <v>0</v>
      </c>
      <c r="M418" s="424"/>
    </row>
    <row r="419" spans="2:13" s="354" customFormat="1" ht="13.5" customHeight="1">
      <c r="B419" s="431">
        <f t="shared" si="49"/>
        <v>1021</v>
      </c>
      <c r="C419" s="450" t="s">
        <v>293</v>
      </c>
      <c r="D419" s="363"/>
      <c r="E419" s="363"/>
      <c r="F419" s="359"/>
      <c r="G419" s="436">
        <f>G400</f>
        <v>0</v>
      </c>
      <c r="H419" s="433">
        <v>10.34</v>
      </c>
      <c r="I419" s="434"/>
      <c r="J419" s="349">
        <f t="shared" si="48"/>
        <v>0</v>
      </c>
      <c r="M419" s="424"/>
    </row>
    <row r="420" spans="2:13" s="354" customFormat="1" ht="13.5" customHeight="1">
      <c r="B420" s="431">
        <f t="shared" si="49"/>
        <v>1022</v>
      </c>
      <c r="C420" s="450" t="s">
        <v>295</v>
      </c>
      <c r="D420" s="363"/>
      <c r="E420" s="363"/>
      <c r="F420" s="359"/>
      <c r="G420" s="506"/>
      <c r="H420" s="433">
        <v>13795.65</v>
      </c>
      <c r="I420" s="434"/>
      <c r="J420" s="349">
        <f t="shared" si="48"/>
        <v>0</v>
      </c>
      <c r="M420" s="424"/>
    </row>
    <row r="421" spans="2:13" s="354" customFormat="1" ht="13.5" customHeight="1">
      <c r="B421" s="431">
        <f t="shared" si="49"/>
        <v>1023</v>
      </c>
      <c r="C421" s="450" t="s">
        <v>296</v>
      </c>
      <c r="D421" s="363"/>
      <c r="E421" s="363"/>
      <c r="F421" s="359"/>
      <c r="G421" s="432">
        <f>G407+G408</f>
        <v>0</v>
      </c>
      <c r="H421" s="433">
        <v>1969.65</v>
      </c>
      <c r="I421" s="434"/>
      <c r="J421" s="349">
        <f t="shared" si="48"/>
        <v>0</v>
      </c>
      <c r="M421" s="424"/>
    </row>
    <row r="422" spans="2:13" s="354" customFormat="1" ht="13.5" customHeight="1">
      <c r="B422" s="431">
        <f t="shared" si="49"/>
        <v>1024</v>
      </c>
      <c r="C422" s="450" t="s">
        <v>297</v>
      </c>
      <c r="D422" s="363"/>
      <c r="E422" s="363"/>
      <c r="F422" s="359"/>
      <c r="G422" s="432">
        <f>G409+G410</f>
        <v>0</v>
      </c>
      <c r="H422" s="433">
        <v>2301.86</v>
      </c>
      <c r="I422" s="434"/>
      <c r="J422" s="349">
        <f t="shared" si="48"/>
        <v>0</v>
      </c>
      <c r="M422" s="424"/>
    </row>
    <row r="423" spans="2:13" s="354" customFormat="1" ht="13.5" customHeight="1">
      <c r="B423" s="431">
        <f t="shared" si="49"/>
        <v>1025</v>
      </c>
      <c r="C423" s="450" t="s">
        <v>298</v>
      </c>
      <c r="D423" s="363"/>
      <c r="E423" s="363"/>
      <c r="F423" s="359"/>
      <c r="G423" s="436">
        <f>G411+G412</f>
        <v>0</v>
      </c>
      <c r="H423" s="433">
        <v>5.18</v>
      </c>
      <c r="I423" s="434"/>
      <c r="J423" s="349">
        <f t="shared" si="48"/>
        <v>0</v>
      </c>
      <c r="M423" s="424"/>
    </row>
    <row r="424" spans="2:13" s="354" customFormat="1" ht="13.5" customHeight="1">
      <c r="B424" s="431">
        <f>B423+1</f>
        <v>1026</v>
      </c>
      <c r="C424" s="450" t="s">
        <v>294</v>
      </c>
      <c r="D424" s="363"/>
      <c r="E424" s="363"/>
      <c r="F424" s="363"/>
      <c r="G424" s="509"/>
      <c r="H424" s="507"/>
      <c r="I424" s="434"/>
      <c r="J424" s="349">
        <f>H424</f>
        <v>0</v>
      </c>
      <c r="K424" s="504" t="s">
        <v>574</v>
      </c>
      <c r="M424" s="424"/>
    </row>
    <row r="425" spans="2:13" s="354" customFormat="1" ht="13.5" customHeight="1" thickBot="1">
      <c r="B425" s="431">
        <f t="shared" si="49"/>
        <v>1027</v>
      </c>
      <c r="C425" s="450" t="s">
        <v>299</v>
      </c>
      <c r="D425" s="363"/>
      <c r="E425" s="363"/>
      <c r="F425" s="363"/>
      <c r="G425" s="359"/>
      <c r="H425" s="507"/>
      <c r="I425" s="447"/>
      <c r="J425" s="349">
        <f>H425</f>
        <v>0</v>
      </c>
      <c r="K425" s="504" t="s">
        <v>574</v>
      </c>
      <c r="M425" s="424"/>
    </row>
    <row r="426" spans="2:13" s="354" customFormat="1" ht="13.5" customHeight="1" thickBot="1">
      <c r="B426" s="355">
        <f t="shared" si="49"/>
        <v>1028</v>
      </c>
      <c r="C426" s="448" t="s">
        <v>303</v>
      </c>
      <c r="D426" s="363"/>
      <c r="E426" s="363"/>
      <c r="F426" s="363"/>
      <c r="G426" s="363"/>
      <c r="H426" s="363"/>
      <c r="I426" s="474"/>
      <c r="J426" s="359"/>
      <c r="L426" s="275">
        <f>SUM(J416:J425)</f>
        <v>0</v>
      </c>
      <c r="M426" s="424"/>
    </row>
    <row r="427" s="354" customFormat="1" ht="13.5" customHeight="1" thickBot="1">
      <c r="B427" s="361"/>
    </row>
    <row r="428" spans="2:12" s="354" customFormat="1" ht="13.5" customHeight="1" thickBot="1">
      <c r="B428" s="355">
        <f>B426+1</f>
        <v>1029</v>
      </c>
      <c r="C428" s="448" t="str">
        <f>"Intramurale zorgprestaties (van regel "&amp;B178&amp;")"</f>
        <v>Intramurale zorgprestaties (van regel 425)</v>
      </c>
      <c r="D428" s="363"/>
      <c r="E428" s="363"/>
      <c r="F428" s="363"/>
      <c r="G428" s="363"/>
      <c r="H428" s="363"/>
      <c r="I428" s="474"/>
      <c r="J428" s="359"/>
      <c r="K428" s="105"/>
      <c r="L428" s="275">
        <f>M178</f>
        <v>0</v>
      </c>
    </row>
    <row r="429" spans="2:12" s="354" customFormat="1" ht="13.5" customHeight="1" thickBot="1">
      <c r="B429" s="451"/>
      <c r="C429" s="452"/>
      <c r="D429" s="452"/>
      <c r="E429" s="452"/>
      <c r="F429" s="452"/>
      <c r="G429" s="452"/>
      <c r="H429" s="105"/>
      <c r="I429" s="105"/>
      <c r="J429" s="105"/>
      <c r="K429" s="105"/>
      <c r="L429" s="105"/>
    </row>
    <row r="430" spans="2:12" s="354" customFormat="1" ht="13.5" customHeight="1" thickBot="1">
      <c r="B430" s="355">
        <f>B428+1</f>
        <v>1030</v>
      </c>
      <c r="C430" s="448" t="str">
        <f>"Extramurale zorgprestaties (excl. AIV en voedingsvoorlichting) (regel "&amp;B388&amp;" -/- "&amp;B200&amp;" -/- "&amp;B253&amp;" -/- "&amp;B254&amp;")"</f>
        <v>Extramurale zorgprestaties (excl. AIV en voedingsvoorlichting) (regel 927 -/- 508 -/- 619 -/- 620)</v>
      </c>
      <c r="D430" s="363"/>
      <c r="E430" s="363"/>
      <c r="F430" s="363"/>
      <c r="G430" s="363"/>
      <c r="H430" s="363"/>
      <c r="I430" s="474"/>
      <c r="J430" s="359"/>
      <c r="K430" s="105"/>
      <c r="L430" s="275">
        <f>M388-M253-M254-M200</f>
        <v>0</v>
      </c>
    </row>
    <row r="431" spans="2:12" s="354" customFormat="1" ht="13.5" customHeight="1" thickBot="1">
      <c r="B431" s="451"/>
      <c r="C431" s="105"/>
      <c r="D431" s="452"/>
      <c r="E431" s="452"/>
      <c r="F431" s="452"/>
      <c r="G431" s="452"/>
      <c r="H431" s="453"/>
      <c r="I431" s="452"/>
      <c r="J431" s="105"/>
      <c r="K431" s="105"/>
      <c r="L431" s="105"/>
    </row>
    <row r="432" spans="2:12" s="354" customFormat="1" ht="13.5" customHeight="1" thickBot="1">
      <c r="B432" s="355">
        <f>B430+1</f>
        <v>1031</v>
      </c>
      <c r="C432" s="448" t="str">
        <f>"Nacalculeerbare loon- &amp; materiële kosten (excl. toeslagen Cliënten met een hoge zorgvraag) (van regel "&amp;B148&amp;")"</f>
        <v>Nacalculeerbare loon- &amp; materiële kosten (excl. toeslagen Cliënten met een hoge zorgvraag) (van regel 406)</v>
      </c>
      <c r="D432" s="363"/>
      <c r="E432" s="363"/>
      <c r="F432" s="363"/>
      <c r="G432" s="363"/>
      <c r="H432" s="363"/>
      <c r="I432" s="474"/>
      <c r="J432" s="359"/>
      <c r="K432" s="105"/>
      <c r="L432" s="275">
        <f>M148</f>
        <v>0</v>
      </c>
    </row>
    <row r="433" spans="2:12" s="354" customFormat="1" ht="13.5" customHeight="1" thickBot="1">
      <c r="B433" s="451"/>
      <c r="C433" s="105"/>
      <c r="D433" s="105"/>
      <c r="E433" s="105"/>
      <c r="F433" s="105"/>
      <c r="G433" s="105"/>
      <c r="H433" s="105"/>
      <c r="I433" s="105"/>
      <c r="J433" s="105"/>
      <c r="K433" s="105"/>
      <c r="L433" s="105"/>
    </row>
    <row r="434" spans="2:12" s="354" customFormat="1" ht="13.5" customHeight="1" thickBot="1">
      <c r="B434" s="454">
        <f>B432+1</f>
        <v>1032</v>
      </c>
      <c r="C434" s="455" t="str">
        <f>"Totaal t.l.v. contracteerruimte 2005 exclusief geoormerkte gelden (regel "&amp;B413&amp;" + "&amp;B426&amp;" + "&amp;B428&amp;" + "&amp;B430&amp;" + "&amp;B432&amp;")"</f>
        <v>Totaal t.l.v. contracteerruimte 2005 exclusief geoormerkte gelden (regel 1017 + 1028 + 1029 + 1030 + 1031)</v>
      </c>
      <c r="D434" s="357"/>
      <c r="E434" s="357"/>
      <c r="F434" s="357"/>
      <c r="G434" s="357"/>
      <c r="H434" s="357"/>
      <c r="I434" s="474"/>
      <c r="J434" s="456"/>
      <c r="K434" s="358"/>
      <c r="L434" s="275">
        <f>L413+L426+L428+L430+L432</f>
        <v>0</v>
      </c>
    </row>
    <row r="435" s="354" customFormat="1" ht="13.5" customHeight="1">
      <c r="B435" s="361"/>
    </row>
    <row r="436" ht="13.5" customHeight="1"/>
    <row r="437" ht="13.5" customHeight="1"/>
    <row r="438" ht="13.5" customHeight="1" hidden="1"/>
    <row r="439" ht="13.5" customHeight="1" hidden="1"/>
    <row r="440" ht="13.5" customHeight="1" hidden="1"/>
    <row r="441" ht="13.5" customHeight="1" hidden="1"/>
    <row r="442" ht="13.5" customHeight="1" hidden="1"/>
  </sheetData>
  <sheetProtection password="CA05" sheet="1" objects="1" scenarios="1"/>
  <conditionalFormatting sqref="H424:H425 G406 G403 G420 J374:J382 L374:L382 L386 J386 J355:J363 L355:L363 L367:L370 J367:J370 L335:L348 J189:J190 L310:L320 J310:J320 L324:L331 L292:L302 L278:L288 J278:J288 J292:J302 J324:J331 L227:L237 J227:J237 L189:L190 L193:L194 L197:L200 L203:L205 L208:L209 L212:L217 L243:L247 L250 L253:L254 L264:L274 J335:J348 J264:J274 J253:J254 J250 J243:J247 J212:J217 J208:J209 J203:J205 J197:J200 J193:J194 L168:L177 J168:J177 H164 J159:J160 M20 L143:L145 J151:J154 L151:L154 J143:J147 J129:J132 G122:G126 H121:H126 J121:J126 G130:H132 H129 H54:H55 H115 L87 G108:G112 H107:H112 J107:J112 G102:H102 H98 G59:H60 G66:G70 H65:H70 J65:J70 G74:G78 H73:H78 J73:J78 G82:G84 H81:H84 J81:J84 J115:J118 G116:H118 G33:G41">
    <cfRule type="expression" priority="1" dxfId="1" stopIfTrue="1">
      <formula>$B$1=TRUE</formula>
    </cfRule>
  </conditionalFormatting>
  <conditionalFormatting sqref="F401:F402">
    <cfRule type="expression" priority="2" dxfId="1" stopIfTrue="1">
      <formula>$B$1=TRUE</formula>
    </cfRule>
  </conditionalFormatting>
  <dataValidations count="39">
    <dataValidation type="custom" allowBlank="1" showInputMessage="1" showErrorMessage="1" errorTitle="Invoer onjuist" error="Een afspraak is alleen mogelijk indien de instelling voor de betreffende functie is toegelaten.&#10;&#10;Daarnaast dient er een geheel en positief aantal te worden ingevuld." sqref="J335:J348 J189:J190 J193:J194 J197:J200 J203:J205 J208:J209 J212:J217 J227:J237 J243:J247 J250 J253:J254 J264:J274 J310:J320 J324:J331 J278:J288 J367:J370 J292:J302 J355:J363 J168:J177 J159:J160">
      <formula1>AND(H335="ja",J335&gt;=0,J335=ROUND(J335,0))</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N251">
      <formula1>AND(J251="ja",N251&gt;=U251,N251&lt;=V251,N251=ROUND(N251,1))</formula1>
    </dataValidation>
    <dataValidation type="custom" allowBlank="1" showInputMessage="1" showErrorMessage="1" errorTitle="Invoer onjuist" error="Er mogen alleen gehele bedragen worden ingevuld." sqref="H164">
      <formula1>H164=ROUND(H164,0)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aantal plaatsen maximaal de toelating is." sqref="H81">
      <formula1>AND($D$53="ja",H81&gt;=0,P81&lt;=P55,H81=ROUND(H81,0))</formula1>
    </dataValidation>
    <dataValidation type="custom" allowBlank="1" showInputMessage="1" showErrorMessage="1" errorTitle="Invoer onjuist" error="Er dient een geheel en positief aantal te worden ingevuld.&#10;&#10;Daarnaast mag het totaal aantal verpleegdagen niet meer bedragen dan het aantal bedden (somatisch, psychogeriatrisch en voorzieningencentrum) x 365 dagen." sqref="G98 G54:G55">
      <formula1>AND(G98&gt;=0,G98=ROUND(G98,0),(#REF!+#REF!)&lt;=(#REF!*365))</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het tot. aant. verzorg- en verpleegdgn" sqref="J145">
      <formula1>AND(H145="ja",J145&gt;=0,J145=ROUND(J145,0),J145&lt;=(M71+M79+M85+M113+M119+M127+M133))</formula1>
    </dataValidation>
    <dataValidation type="custom" allowBlank="1" showInputMessage="1" showErrorMessage="1" errorTitle="Invoer onjuist" error="Het invullen van deze cel is alleen mogelijk indien de instelling voor de betreffende functie is toegelaten.&#10;&#10;Daarnaast dient er een geheel en positief aantal te worden ingevuld." sqref="H54:H55 G59:H60">
      <formula1>AND(H54&gt;=0,H54=ROUND(H54,0),$D$53="ja")</formula1>
    </dataValidation>
    <dataValidation type="custom" allowBlank="1" showInputMessage="1" showErrorMessage="1" errorTitle="Invoer onjuist" error="Het invullen van deze cel is alleen mogelijk indien de instelling voor de betreffende functie is toegelaten.&#10;&#10;Daarnaast dient er een geheel en positief aantal te worden ingevuld." sqref="H98 G102:H102">
      <formula1>AND(H98&gt;=0,H98=ROUND(H98,0),$D$97="ja")</formula1>
    </dataValidation>
    <dataValidation type="custom" allowBlank="1" showInputMessage="1" showErrorMessage="1" errorTitle="Invoer onjuist" error="Een afspraak is alleen mogelijk indien de instelling voor de betreffende functie is toegelaten.&#10;Daarnaast dient er een geheel en positief aantal te worden ingevuld welke niet groter is dan het totaal aantal bedden (kasbasis)." sqref="L87">
      <formula1>AND($D$53="ja",L87&gt;=0,L87&lt;=L71+L79,L87=ROUND(L87,0))</formula1>
    </dataValidation>
    <dataValidation type="list" allowBlank="1" showInputMessage="1" showErrorMessage="1" errorTitle="Invoer onjuist" error="Er kan alleen uit de volgende categorieën worden gekozen: 1,2 of 3." sqref="F401">
      <formula1>"1,2,3"</formula1>
    </dataValidation>
    <dataValidation type="date" allowBlank="1" showInputMessage="1" showErrorMessage="1" errorTitle="Invoer onjuist" error="De  ingevoerde datum moet een datum zijn&#10;- in het jaar 2005;&#10;- die groter is dan een hierboven ingevoerde datum;&#10;- die kleiner is dan een hieronder ingevoerde datum." sqref="G109:G112 G123:G126 G131:G132 G117:G118 G67:G70 G75:G78 G83:G84">
      <formula1>T109+1</formula1>
      <formula2>U109-1</formula2>
    </dataValidation>
    <dataValidation type="date" allowBlank="1" showInputMessage="1" showErrorMessage="1" errorTitle="Invoer onjuist" error="De  ingevoerde datum moet een datum zijn&#10;- in het jaar 2005;&#10;- die groter of gelijk is dan een hierboven ingevoerde datum;&#10;- die kleiner is dan een hieronder ingevoerde datum." sqref="G108 G122 G130 G116 G66 G74 G82">
      <formula1>T108</formula1>
      <formula2>U108-1</formula2>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totaal aantal plaatsen maximaal de toelating is" sqref="H107 H121 H115 H129">
      <formula1>AND($D$97="ja",H107&gt;=0,$P$107+$P$115+$P$121+$P$129&lt;=$P$98,H107=ROUND(H107,0))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totaal van SOM en PG maximaal de toelating is." sqref="H65 H73">
      <formula1>AND($D$53="ja",H65&gt;=0,$P$65+$P$73&lt;=$P$54,H65=ROUND(H65,0))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totale verpleegdagen op kasbasis." sqref="J143:J144">
      <formula1>AND(H143="ja",J143&gt;=0,J143=ROUND(J143,0),J143&lt;=($M$71+$M$79+$M$85))</formula1>
    </dataValidation>
    <dataValidation type="custom" allowBlank="1" showInputMessage="1" showErrorMessage="1" errorTitle="Invoer onjuist" error="Een afspraak is alleen mogelijk indien de instelling voor de betreffende functie is toegelaten.&#10;&#10;Daarnaast dient er een geheel en positief bedrag te worden ingevuld, welke niet groter is dan het totaal van regel 801 t/m 811." sqref="M20">
      <formula1>AND(M20&gt;=0,M20&lt;=M321,M20=ROUND(M20,0))</formula1>
    </dataValidation>
    <dataValidation type="custom" allowBlank="1" showInputMessage="1" showErrorMessage="1" errorTitle="Invoer onjuist" error="Er dient een geheel aantal te worden ingevuld.&#10;&#10;Daarnaast mag het totaal aantal verpleegdagen niet meer bedragen dan het aantal bedden x 365 dagen. &#10;&#10;De totale capaciteit mag niet negatief worden." sqref="J65:J70 J73:J78 J81:J84">
      <formula1>AND(J65=ROUND(J65,0),J65&gt;=Q65,J65&lt;=R65)</formula1>
    </dataValidation>
    <dataValidation type="custom" allowBlank="1" showInputMessage="1" showErrorMessage="1" errorTitle="Invoer onjuist" error="Er dient een geheel aantal te worden ingevuld.&#10;&#10;Daarnaast mag het totaal aantal verzorgingsdagen niet meer bedragen dan het aantal plaatsen x 365 dagen. &#10;&#10;De totale capaciteit mag niet negatief worden." sqref="J108:J112 J116:J118 J122:J126 J130:J132">
      <formula1>AND(J108=ROUND(J108,0),J108&gt;=Q108,J108&lt;=R108)</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totale verzorgingsdagen op kasbasis" sqref="J146:J147">
      <formula1>AND(H146="ja",J146&gt;=0,J146=ROUND(J146,0),J146&lt;=$M$113+$M$119+$M$127+$M$133)</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het totaal aantal verpleegdagen." sqref="J151:J154">
      <formula1>AND(H151="ja",J151&gt;=0,J151=ROUND(J151,0),J151&lt;=$M$71+$M$79+$M$85)</formula1>
    </dataValidation>
    <dataValidation type="list" allowBlank="1" showInputMessage="1" showErrorMessage="1" errorTitle="Invoer onjuist" error="Indien de instelling is toegelaten voor de betreffende functie, vul dan &quot;ja&quot; in." sqref="G33:G41">
      <formula1>$P$33:$P$34</formula1>
    </dataValidation>
    <dataValidation type="list" allowBlank="1" showInputMessage="1" showErrorMessage="1" errorTitle="Invoer onjuist" error="Indien u recht heeft op de separate regiotoeslag dient u in deze cel &quot;ja&quot; in te vullen." sqref="F402">
      <formula1>$P$33:$P$34</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2 decimalen bevatten.&#10;" sqref="L151:L154 L143:L147">
      <formula1>AND(H151="ja",L151&gt;=Q151,L151&lt;=R151,L151=ROUND(L151,2))</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L168:L177 L278:L288 L189:L190 L193:L194 L197:L200 L203:L205 L208:L209 L212:L217 L227:L237 L243:L247 L250 L253:L254 L264:L274 L324:L331 L310:L320 L292:L302 L335:L348 L355:L363 L367:L370 L374:L382 L386">
      <formula1>AND(H168="ja",L168&gt;=Q168,L168&lt;=R168,L168=ROUND(L168,1))</formula1>
    </dataValidation>
    <dataValidation type="list" allowBlank="1" showInputMessage="1" showErrorMessage="1" errorTitle="Invoer onjuist" error="Indien de instelling is toegelaten voor de betreffende functie, vul dan &quot;ja&quot; in." sqref="I33:I41">
      <formula1>$P$33</formula1>
    </dataValidation>
    <dataValidation type="custom" allowBlank="1" showInputMessage="1" showErrorMessage="1" errorTitle="Invoer onjuist" error="Een afspraak is alleen mogelijk indien de instelling is toelaten voor bedden met 'verblijf' en 'behandeling'.&#10;&#10;Daarnaast dient er een positief aantal te worden ingevuld, afgerond op maximaal 2 decimalen." sqref="G403">
      <formula1>AND(SUM(P54:P55)&gt;0,G403&gt;=0,G403=ROUND(G403,2))</formula1>
    </dataValidation>
    <dataValidation type="custom" allowBlank="1" showInputMessage="1" showErrorMessage="1" errorTitle="Invoer onjuist" error="Een afspraak is alleen mogelijk indien de instelling is toegelaten voor plaatsen met 'verblijf' zonder 'behandeling'.&#10;&#10;Daarnaast dient er een geheel positief aantal te worden ingevuld." sqref="G406 G420">
      <formula1>AND($P$98&gt;0,G406&gt;=0,G406=ROUND(G406,0))</formula1>
    </dataValidation>
    <dataValidation type="custom" allowBlank="1" showInputMessage="1" showErrorMessage="1" errorTitle="Invoer onjuist" error="Er mogen alleen gehele positieve bedragen worden ingevuld." sqref="H424:H425">
      <formula1>AND(H424&gt;=0,H424=ROUND(H424,0))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bij de bijbehorende prestaties." sqref="J386">
      <formula1>AND(H386="ja",J386&gt;=S386,J386&lt;=T386,J386=ROUND(J386,0))</formula1>
    </dataValidation>
    <dataValidation type="custom" allowBlank="1" showInputMessage="1" showErrorMessage="1" errorTitle="Invoer onjuist" error="Er dient een geheel en positief aantal te worden ingevuld.&#10;&#10;Daarnaast mag het totaal aantal verzorgingsdagen niet meer bedragen dan het aantal plaatsen x 365 dagen." sqref="J107 J115 J121 J129">
      <formula1>AND(J107=ROUND(J107,0),IF(R107&lt;0,J107&gt;=R107,IF(R107&gt;0,J107&lt;=R107)),IF(R107&lt;0,J107&lt;=Q107,IF(R107&gt;0,J107&gt;=Q107)))</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66:H70">
      <formula1>AND($D$53="ja",W66&gt;0,H66=ROUND(H66,0),$H$71&gt;=0)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74:H78">
      <formula1>AND($D$53="ja",W74&gt;0,H74=ROUND(H74,0),$H$79&gt;=0)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82:H84">
      <formula1>AND($D$53="ja",W82&gt;0,H82=ROUND(H82,0),$H$85&gt;=0)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08:H112">
      <formula1>AND($D$97="ja",W108&gt;0,H108=ROUND(H108,0),$H$113&gt;=0)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16:H118">
      <formula1>AND($D$97="ja",W116&gt;0,H116=ROUND(H116,0),$H$119&gt;=0)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22:H126">
      <formula1>AND($D$97="ja",W122&gt;0,H122=ROUND(H122,0),$H$127&gt;=0)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30:H132">
      <formula1>AND($D$97="ja",W130&gt;0,H130=ROUND(H130,0),$H$133&gt;=0)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het afgesproken aantal van de bijbehorende prestatie." sqref="J374:J379">
      <formula1>AND(H374="ja",J374&gt;=S374,J374&lt;=T374,J374=ROUND(J374,0))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van de bijbehorende prestaties." sqref="J380:J382">
      <formula1>AND(H380="ja",J380&gt;=S380,J380&lt;=T380,J380=ROUND(J380,0))</formula1>
    </dataValidation>
  </dataValidations>
  <printOptions/>
  <pageMargins left="0.26" right="0.29" top="0.21" bottom="0.21" header="0.3" footer="0.33"/>
  <pageSetup horizontalDpi="600" verticalDpi="600" orientation="landscape" scale="94" r:id="rId2"/>
  <rowBreaks count="9" manualBreakCount="9">
    <brk id="45" min="1" max="12" man="1"/>
    <brk id="90" min="1" max="12" man="1"/>
    <brk id="136" min="1" max="12" man="1"/>
    <brk id="182" min="1" max="12" man="1"/>
    <brk id="220" min="1" max="12" man="1"/>
    <brk id="257" min="1" max="12" man="1"/>
    <brk id="303" min="1" max="12" man="1"/>
    <brk id="348" min="1" max="12" man="1"/>
    <brk id="390" min="1" max="12" man="1"/>
  </rowBreaks>
  <drawing r:id="rId1"/>
</worksheet>
</file>

<file path=xl/worksheets/sheet3.xml><?xml version="1.0" encoding="utf-8"?>
<worksheet xmlns="http://schemas.openxmlformats.org/spreadsheetml/2006/main" xmlns:r="http://schemas.openxmlformats.org/officeDocument/2006/relationships">
  <sheetPr codeName="Blad2"/>
  <dimension ref="A1:AE369"/>
  <sheetViews>
    <sheetView showGridLines="0" zoomScaleSheetLayoutView="90" workbookViewId="0" topLeftCell="B1">
      <selection activeCell="G11" sqref="G11"/>
    </sheetView>
  </sheetViews>
  <sheetFormatPr defaultColWidth="9.140625" defaultRowHeight="13.5" customHeight="1" zeroHeight="1"/>
  <cols>
    <col min="1" max="1" width="9.140625" style="102" hidden="1" customWidth="1"/>
    <col min="2" max="2" width="8.00390625" style="102" customWidth="1"/>
    <col min="3" max="3" width="9.140625" style="85" customWidth="1"/>
    <col min="4" max="4" width="15.57421875" style="102" customWidth="1"/>
    <col min="5" max="5" width="40.7109375" style="102" customWidth="1"/>
    <col min="6" max="6" width="13.140625" style="102" customWidth="1"/>
    <col min="7" max="7" width="13.8515625" style="103" customWidth="1"/>
    <col min="8" max="8" width="12.28125" style="102" customWidth="1"/>
    <col min="9" max="9" width="11.8515625" style="102" hidden="1" customWidth="1"/>
    <col min="10" max="10" width="12.140625" style="102" customWidth="1"/>
    <col min="11" max="11" width="13.140625" style="102" hidden="1" customWidth="1"/>
    <col min="12" max="12" width="12.8515625" style="102" customWidth="1"/>
    <col min="13" max="13" width="13.7109375" style="102" customWidth="1"/>
    <col min="14" max="14" width="2.28125" style="82" customWidth="1"/>
    <col min="15" max="15" width="12.140625" style="102" hidden="1" customWidth="1"/>
    <col min="16" max="17" width="0" style="102" hidden="1" customWidth="1"/>
    <col min="18" max="18" width="9.28125" style="279" hidden="1" customWidth="1"/>
    <col min="19" max="19" width="12.28125" style="279" hidden="1" customWidth="1"/>
    <col min="20" max="20" width="11.7109375" style="102" hidden="1" customWidth="1"/>
    <col min="21" max="21" width="11.140625" style="102" hidden="1" customWidth="1"/>
    <col min="22" max="22" width="9.28125" style="102" hidden="1" customWidth="1"/>
    <col min="23" max="16384" width="0" style="102" hidden="1" customWidth="1"/>
  </cols>
  <sheetData>
    <row r="1" spans="1:11" s="31" customFormat="1" ht="18" customHeight="1">
      <c r="A1" s="482" t="b">
        <f>Voorblad!A1</f>
        <v>1</v>
      </c>
      <c r="B1" s="232">
        <f>Voorblad!A3</f>
        <v>0</v>
      </c>
      <c r="I1" s="233" t="s">
        <v>92</v>
      </c>
      <c r="K1" s="233" t="s">
        <v>92</v>
      </c>
    </row>
    <row r="2" spans="1:13" s="31" customFormat="1" ht="18" customHeight="1">
      <c r="A2" s="233" t="s">
        <v>92</v>
      </c>
      <c r="B2" s="234" t="s">
        <v>652</v>
      </c>
      <c r="C2" s="234"/>
      <c r="D2" s="234"/>
      <c r="E2" s="235"/>
      <c r="F2" s="66" t="str">
        <f>CONCATENATE(G11," / ",H11)</f>
        <v> / </v>
      </c>
      <c r="G2" s="234"/>
      <c r="H2" s="236"/>
      <c r="I2" s="27"/>
      <c r="J2" s="236" t="str">
        <f>"versie: "&amp;TEXT(Voorblad!$M$9,"dd-mm-jjjj")</f>
        <v>versie: 14-01-2005</v>
      </c>
      <c r="K2" s="236"/>
      <c r="L2" s="238"/>
      <c r="M2" s="239">
        <v>1</v>
      </c>
    </row>
    <row r="3" spans="2:11" s="31" customFormat="1" ht="12.75">
      <c r="B3" s="240"/>
      <c r="I3" s="45"/>
      <c r="K3" s="45"/>
    </row>
    <row r="4" spans="2:19" ht="13.5" customHeight="1">
      <c r="B4" s="241" t="s">
        <v>491</v>
      </c>
      <c r="C4" s="31"/>
      <c r="D4" s="31"/>
      <c r="E4" s="31"/>
      <c r="F4" s="31"/>
      <c r="G4" s="31"/>
      <c r="H4" s="31"/>
      <c r="I4" s="45"/>
      <c r="J4" s="31"/>
      <c r="K4" s="45"/>
      <c r="R4" s="102"/>
      <c r="S4" s="102"/>
    </row>
    <row r="5" spans="2:19" ht="13.5" customHeight="1">
      <c r="B5" s="85"/>
      <c r="C5" s="102"/>
      <c r="F5" s="103"/>
      <c r="G5" s="102"/>
      <c r="M5" s="82"/>
      <c r="N5" s="102"/>
      <c r="R5" s="102"/>
      <c r="S5" s="102"/>
    </row>
    <row r="6" spans="2:19" ht="13.5" customHeight="1">
      <c r="B6" s="242" t="s">
        <v>595</v>
      </c>
      <c r="C6" s="31"/>
      <c r="D6" s="31"/>
      <c r="E6" s="31"/>
      <c r="F6" s="31"/>
      <c r="G6" s="31"/>
      <c r="H6" s="31"/>
      <c r="I6" s="45"/>
      <c r="J6" s="31"/>
      <c r="K6" s="45"/>
      <c r="R6" s="102"/>
      <c r="S6" s="102"/>
    </row>
    <row r="7" spans="2:19" ht="13.5" customHeight="1">
      <c r="B7" s="85" t="s">
        <v>490</v>
      </c>
      <c r="C7" s="102"/>
      <c r="F7" s="103"/>
      <c r="G7" s="102"/>
      <c r="M7" s="82"/>
      <c r="N7" s="102"/>
      <c r="R7" s="102"/>
      <c r="S7" s="102"/>
    </row>
    <row r="8" spans="2:19" ht="13.5" customHeight="1">
      <c r="B8" s="85" t="s">
        <v>594</v>
      </c>
      <c r="C8" s="102"/>
      <c r="F8" s="103"/>
      <c r="G8" s="102"/>
      <c r="M8" s="82"/>
      <c r="N8" s="102"/>
      <c r="R8" s="102"/>
      <c r="S8" s="102"/>
    </row>
    <row r="9" spans="3:19" ht="13.5" customHeight="1">
      <c r="C9" s="102"/>
      <c r="F9" s="103"/>
      <c r="G9" s="102"/>
      <c r="M9" s="82"/>
      <c r="N9" s="102"/>
      <c r="R9" s="257" t="s">
        <v>596</v>
      </c>
      <c r="S9" s="257"/>
    </row>
    <row r="10" spans="2:19" ht="13.5" customHeight="1">
      <c r="B10" s="22" t="str">
        <f>IF(OR($H11=0,G11=0),"U dient de CTG/ZAio categorie en het registratienummer in te vullen.","")</f>
        <v>U dient de CTG/ZAio categorie en het registratienummer in te vullen.</v>
      </c>
      <c r="C10" s="23"/>
      <c r="D10" s="23"/>
      <c r="E10" s="23"/>
      <c r="F10" s="24"/>
      <c r="G10" s="25" t="s">
        <v>307</v>
      </c>
      <c r="H10" s="25" t="s">
        <v>308</v>
      </c>
      <c r="M10" s="82"/>
      <c r="N10" s="102"/>
      <c r="R10" s="259" t="s">
        <v>492</v>
      </c>
      <c r="S10" s="260" t="s">
        <v>493</v>
      </c>
    </row>
    <row r="11" spans="2:19" ht="13.5" customHeight="1">
      <c r="B11" s="526" t="s">
        <v>654</v>
      </c>
      <c r="C11" s="27"/>
      <c r="D11" s="27"/>
      <c r="E11" s="27"/>
      <c r="F11" s="291"/>
      <c r="G11" s="222"/>
      <c r="H11" s="222"/>
      <c r="R11" s="173">
        <f>G11</f>
        <v>0</v>
      </c>
      <c r="S11" s="174">
        <f>H11</f>
        <v>0</v>
      </c>
    </row>
    <row r="12" spans="2:19" ht="13.5" customHeight="1">
      <c r="B12" s="176" t="s">
        <v>488</v>
      </c>
      <c r="C12" s="139"/>
      <c r="D12" s="340"/>
      <c r="E12" s="296"/>
      <c r="F12" s="296"/>
      <c r="G12" s="296"/>
      <c r="H12" s="297"/>
      <c r="R12" s="102"/>
      <c r="S12" s="102"/>
    </row>
    <row r="13" spans="2:19" ht="13.5" customHeight="1">
      <c r="B13" s="176" t="s">
        <v>489</v>
      </c>
      <c r="C13" s="139"/>
      <c r="D13" s="340"/>
      <c r="E13" s="296"/>
      <c r="F13" s="296"/>
      <c r="G13" s="296"/>
      <c r="H13" s="297"/>
      <c r="R13" s="102"/>
      <c r="S13" s="102"/>
    </row>
    <row r="14" spans="18:19" ht="13.5" customHeight="1">
      <c r="R14" s="102"/>
      <c r="S14" s="102"/>
    </row>
    <row r="15" spans="18:20" ht="13.5" customHeight="1">
      <c r="R15" s="179" t="s">
        <v>456</v>
      </c>
      <c r="S15" s="179"/>
      <c r="T15" s="529">
        <v>1.0165</v>
      </c>
    </row>
    <row r="16" spans="18:20" ht="13.5" customHeight="1">
      <c r="R16" s="179" t="s">
        <v>457</v>
      </c>
      <c r="S16" s="179"/>
      <c r="T16" s="529">
        <v>1.0078</v>
      </c>
    </row>
    <row r="17" spans="2:19" ht="13.5" customHeight="1">
      <c r="B17" s="241" t="s">
        <v>78</v>
      </c>
      <c r="R17" s="102"/>
      <c r="S17" s="102"/>
    </row>
    <row r="18" spans="18:19" ht="13.5" customHeight="1">
      <c r="R18" s="102"/>
      <c r="S18" s="102"/>
    </row>
    <row r="19" spans="2:18" ht="13.5" customHeight="1">
      <c r="B19" s="242" t="s">
        <v>441</v>
      </c>
      <c r="C19" s="31"/>
      <c r="D19" s="31"/>
      <c r="E19" s="31"/>
      <c r="F19" s="31"/>
      <c r="G19" s="31"/>
      <c r="H19" s="31"/>
      <c r="I19" s="45"/>
      <c r="J19" s="31"/>
      <c r="K19" s="45"/>
      <c r="R19" s="7" t="s">
        <v>79</v>
      </c>
    </row>
    <row r="20" spans="2:18" ht="13.5" customHeight="1">
      <c r="B20" s="242" t="s">
        <v>442</v>
      </c>
      <c r="C20" s="31"/>
      <c r="D20" s="31"/>
      <c r="E20" s="31"/>
      <c r="F20" s="31"/>
      <c r="G20" s="31"/>
      <c r="H20" s="31"/>
      <c r="I20" s="45"/>
      <c r="J20" s="31"/>
      <c r="K20" s="45"/>
      <c r="R20" s="1" t="s">
        <v>58</v>
      </c>
    </row>
    <row r="21" spans="2:18" ht="13.5" customHeight="1">
      <c r="B21" s="242" t="s">
        <v>443</v>
      </c>
      <c r="C21" s="31"/>
      <c r="D21" s="31"/>
      <c r="E21" s="31"/>
      <c r="F21" s="31"/>
      <c r="G21" s="31"/>
      <c r="H21" s="31"/>
      <c r="I21" s="45"/>
      <c r="J21" s="31"/>
      <c r="K21" s="45"/>
      <c r="R21" s="2" t="s">
        <v>59</v>
      </c>
    </row>
    <row r="22" spans="2:11" ht="13.5" customHeight="1">
      <c r="B22" s="240"/>
      <c r="C22" s="31"/>
      <c r="D22" s="31"/>
      <c r="E22" s="31"/>
      <c r="F22" s="31"/>
      <c r="G22" s="31"/>
      <c r="H22" s="31"/>
      <c r="I22" s="45"/>
      <c r="J22" s="31"/>
      <c r="K22" s="45"/>
    </row>
    <row r="23" spans="2:10" ht="13.5" customHeight="1">
      <c r="B23" s="243" t="s">
        <v>66</v>
      </c>
      <c r="C23" s="244" t="s">
        <v>67</v>
      </c>
      <c r="D23" s="238"/>
      <c r="E23" s="238"/>
      <c r="F23" s="238"/>
      <c r="G23" s="243" t="s">
        <v>76</v>
      </c>
      <c r="I23" s="245" t="s">
        <v>77</v>
      </c>
      <c r="J23" s="31"/>
    </row>
    <row r="24" spans="2:10" ht="13.5" customHeight="1">
      <c r="B24" s="246">
        <v>3</v>
      </c>
      <c r="C24" s="247" t="s">
        <v>68</v>
      </c>
      <c r="D24" s="238"/>
      <c r="E24" s="238"/>
      <c r="F24" s="238"/>
      <c r="G24" s="222"/>
      <c r="I24" s="249"/>
      <c r="J24" s="31"/>
    </row>
    <row r="25" spans="2:10" ht="13.5" customHeight="1">
      <c r="B25" s="246">
        <v>4</v>
      </c>
      <c r="C25" s="247" t="s">
        <v>69</v>
      </c>
      <c r="D25" s="238"/>
      <c r="E25" s="238"/>
      <c r="F25" s="238"/>
      <c r="G25" s="222"/>
      <c r="I25" s="249"/>
      <c r="J25" s="31"/>
    </row>
    <row r="26" spans="2:10" ht="13.5" customHeight="1">
      <c r="B26" s="246">
        <v>5</v>
      </c>
      <c r="C26" s="247" t="s">
        <v>70</v>
      </c>
      <c r="D26" s="238"/>
      <c r="E26" s="238"/>
      <c r="F26" s="238"/>
      <c r="G26" s="222"/>
      <c r="I26" s="249"/>
      <c r="J26" s="31"/>
    </row>
    <row r="27" spans="2:10" ht="13.5" customHeight="1">
      <c r="B27" s="246">
        <v>6</v>
      </c>
      <c r="C27" s="247" t="s">
        <v>71</v>
      </c>
      <c r="D27" s="238"/>
      <c r="E27" s="238"/>
      <c r="F27" s="238"/>
      <c r="G27" s="222"/>
      <c r="I27" s="249"/>
      <c r="J27" s="31"/>
    </row>
    <row r="28" spans="2:10" ht="13.5" customHeight="1">
      <c r="B28" s="246">
        <v>7</v>
      </c>
      <c r="C28" s="247" t="s">
        <v>72</v>
      </c>
      <c r="D28" s="238"/>
      <c r="E28" s="238"/>
      <c r="F28" s="238"/>
      <c r="G28" s="222"/>
      <c r="I28" s="249"/>
      <c r="J28" s="31"/>
    </row>
    <row r="29" spans="2:10" ht="13.5" customHeight="1">
      <c r="B29" s="246">
        <v>8</v>
      </c>
      <c r="C29" s="247" t="s">
        <v>73</v>
      </c>
      <c r="D29" s="238"/>
      <c r="E29" s="238"/>
      <c r="F29" s="238"/>
      <c r="G29" s="222"/>
      <c r="I29" s="249"/>
      <c r="J29" s="31"/>
    </row>
    <row r="30" spans="2:10" ht="13.5" customHeight="1">
      <c r="B30" s="246">
        <v>9</v>
      </c>
      <c r="C30" s="247" t="s">
        <v>80</v>
      </c>
      <c r="D30" s="238"/>
      <c r="E30" s="238"/>
      <c r="F30" s="238"/>
      <c r="G30" s="222"/>
      <c r="I30" s="249"/>
      <c r="J30" s="31"/>
    </row>
    <row r="31" spans="2:10" ht="13.5" customHeight="1">
      <c r="B31" s="246">
        <v>11</v>
      </c>
      <c r="C31" s="247" t="s">
        <v>74</v>
      </c>
      <c r="D31" s="238"/>
      <c r="E31" s="238"/>
      <c r="F31" s="238"/>
      <c r="G31" s="222"/>
      <c r="I31" s="249"/>
      <c r="J31" s="31"/>
    </row>
    <row r="32" spans="2:10" ht="13.5" customHeight="1">
      <c r="B32" s="162">
        <v>12</v>
      </c>
      <c r="C32" s="163" t="s">
        <v>444</v>
      </c>
      <c r="G32" s="222"/>
      <c r="I32" s="249"/>
      <c r="J32" s="31"/>
    </row>
    <row r="33" spans="2:9" ht="13.5" customHeight="1">
      <c r="B33" s="246">
        <v>16</v>
      </c>
      <c r="C33" s="247" t="s">
        <v>75</v>
      </c>
      <c r="D33" s="238"/>
      <c r="E33" s="238"/>
      <c r="F33" s="238"/>
      <c r="G33" s="222"/>
      <c r="I33" s="249"/>
    </row>
    <row r="34" ht="13.5" customHeight="1"/>
    <row r="35" ht="13.5" customHeight="1"/>
    <row r="36" spans="1:19" s="31" customFormat="1" ht="18" customHeight="1">
      <c r="A36" s="231">
        <f>Voorblad!A23</f>
        <v>0</v>
      </c>
      <c r="B36" s="232" t="str">
        <f>Voorblad!A25</f>
        <v>Instelling</v>
      </c>
      <c r="I36" s="471"/>
      <c r="K36" s="471"/>
      <c r="R36" s="301"/>
      <c r="S36" s="301"/>
    </row>
    <row r="37" spans="1:19" s="31" customFormat="1" ht="18" customHeight="1">
      <c r="A37" s="233" t="s">
        <v>92</v>
      </c>
      <c r="B37" s="234" t="str">
        <f>B2</f>
        <v>Voorlopige nacalculatie 2004 AWBZ-instellingen sector V&amp;V</v>
      </c>
      <c r="C37" s="234"/>
      <c r="D37" s="234"/>
      <c r="E37" s="250"/>
      <c r="F37" s="234" t="str">
        <f>F2</f>
        <v> / </v>
      </c>
      <c r="G37" s="234"/>
      <c r="H37" s="236"/>
      <c r="I37" s="27"/>
      <c r="J37" s="236" t="str">
        <f>"versie: "&amp;TEXT(Voorblad!$M$9,"dd-mm-jjjj")</f>
        <v>versie: 14-01-2005</v>
      </c>
      <c r="K37" s="236"/>
      <c r="L37" s="238"/>
      <c r="M37" s="239">
        <f>M2+1</f>
        <v>2</v>
      </c>
      <c r="R37" s="301"/>
      <c r="S37" s="301"/>
    </row>
    <row r="38" spans="2:19" s="31" customFormat="1" ht="12.75">
      <c r="B38" s="240"/>
      <c r="I38" s="45"/>
      <c r="K38" s="45"/>
      <c r="R38" s="301"/>
      <c r="S38" s="301"/>
    </row>
    <row r="39" ht="13.5" customHeight="1">
      <c r="B39" s="241" t="s">
        <v>447</v>
      </c>
    </row>
    <row r="40" ht="13.5" customHeight="1"/>
    <row r="41" spans="2:11" ht="13.5" customHeight="1">
      <c r="B41" s="251" t="s">
        <v>614</v>
      </c>
      <c r="C41" s="31"/>
      <c r="D41" s="31"/>
      <c r="E41" s="31"/>
      <c r="F41" s="31"/>
      <c r="G41" s="102"/>
      <c r="I41" s="45"/>
      <c r="K41" s="45"/>
    </row>
    <row r="42" ht="13.5" customHeight="1"/>
    <row r="43" spans="2:13" ht="13.5" customHeight="1">
      <c r="B43" s="176"/>
      <c r="C43" s="252" t="s">
        <v>89</v>
      </c>
      <c r="D43" s="112" t="str">
        <f>IF(AND($G$29="ja",$G$30="ja"),"ja","nee")</f>
        <v>nee</v>
      </c>
      <c r="E43" s="178"/>
      <c r="F43" s="103"/>
      <c r="I43" s="485"/>
      <c r="J43" s="253" t="s">
        <v>51</v>
      </c>
      <c r="K43" s="45"/>
      <c r="L43" s="253" t="s">
        <v>53</v>
      </c>
      <c r="M43" s="253" t="s">
        <v>55</v>
      </c>
    </row>
    <row r="44" spans="10:13" ht="13.5" customHeight="1">
      <c r="J44" s="254" t="s">
        <v>52</v>
      </c>
      <c r="L44" s="254" t="s">
        <v>54</v>
      </c>
      <c r="M44" s="254" t="s">
        <v>56</v>
      </c>
    </row>
    <row r="45" spans="2:12" ht="13.5" customHeight="1">
      <c r="B45" s="246">
        <f>M37*100+1</f>
        <v>201</v>
      </c>
      <c r="C45" s="247" t="s">
        <v>617</v>
      </c>
      <c r="D45" s="238"/>
      <c r="E45" s="238"/>
      <c r="F45" s="238"/>
      <c r="G45" s="238"/>
      <c r="H45" s="238"/>
      <c r="I45" s="255"/>
      <c r="J45" s="223"/>
      <c r="K45" s="45"/>
      <c r="L45" s="82"/>
    </row>
    <row r="46" spans="2:12" ht="13.5" customHeight="1" thickBot="1">
      <c r="B46" s="246">
        <f>B45+1</f>
        <v>202</v>
      </c>
      <c r="C46" s="338" t="s">
        <v>618</v>
      </c>
      <c r="D46" s="238"/>
      <c r="E46" s="238"/>
      <c r="F46" s="238"/>
      <c r="G46" s="238"/>
      <c r="H46" s="238"/>
      <c r="I46" s="255"/>
      <c r="J46" s="223"/>
      <c r="K46" s="45"/>
      <c r="L46" s="82"/>
    </row>
    <row r="47" spans="2:12" ht="13.5" customHeight="1" thickBot="1">
      <c r="B47" s="243">
        <f>B46+1</f>
        <v>203</v>
      </c>
      <c r="C47" s="244" t="str">
        <f>"Totale realisatie verpleegdagen (regel "&amp;B45&amp;" + regel "&amp;B46&amp;")"</f>
        <v>Totale realisatie verpleegdagen (regel 201 + regel 202)</v>
      </c>
      <c r="D47" s="238"/>
      <c r="E47" s="238"/>
      <c r="F47" s="238"/>
      <c r="G47" s="238"/>
      <c r="H47" s="238"/>
      <c r="I47" s="255"/>
      <c r="J47" s="256">
        <f>SUM(J45:J46)</f>
        <v>0</v>
      </c>
      <c r="K47" s="45"/>
      <c r="L47" s="82"/>
    </row>
    <row r="48" spans="2:24" ht="13.5" customHeight="1">
      <c r="B48" s="246">
        <f>B47+1</f>
        <v>204</v>
      </c>
      <c r="C48" s="139" t="s">
        <v>445</v>
      </c>
      <c r="D48" s="164"/>
      <c r="E48" s="164"/>
      <c r="F48" s="164"/>
      <c r="G48" s="165"/>
      <c r="H48" s="164"/>
      <c r="I48" s="166"/>
      <c r="J48" s="224"/>
      <c r="L48" s="82"/>
      <c r="R48" s="257" t="s">
        <v>62</v>
      </c>
      <c r="S48" s="258"/>
      <c r="W48" s="257" t="s">
        <v>64</v>
      </c>
      <c r="X48" s="257"/>
    </row>
    <row r="49" spans="2:24" ht="13.5" customHeight="1">
      <c r="B49" s="246">
        <f>B48+1</f>
        <v>205</v>
      </c>
      <c r="C49" s="139" t="s">
        <v>446</v>
      </c>
      <c r="D49" s="164"/>
      <c r="E49" s="164"/>
      <c r="F49" s="164"/>
      <c r="G49" s="165"/>
      <c r="H49" s="164"/>
      <c r="I49" s="166"/>
      <c r="J49" s="223"/>
      <c r="L49" s="82"/>
      <c r="R49" s="259" t="s">
        <v>61</v>
      </c>
      <c r="S49" s="260" t="s">
        <v>60</v>
      </c>
      <c r="W49" s="259" t="s">
        <v>61</v>
      </c>
      <c r="X49" s="260" t="s">
        <v>60</v>
      </c>
    </row>
    <row r="50" spans="2:24" ht="13.5" customHeight="1">
      <c r="B50" s="246">
        <f>B49+1</f>
        <v>206</v>
      </c>
      <c r="C50" s="139" t="str">
        <f>"Realisatie aanvullende verpleegdagen (maximaal regel "&amp;B47&amp;" -/- regel "&amp;B48&amp;" -/- regel "&amp;B49&amp;")"</f>
        <v>Realisatie aanvullende verpleegdagen (maximaal regel 203 -/- regel 204 -/- regel 205)</v>
      </c>
      <c r="D50" s="164"/>
      <c r="E50" s="164"/>
      <c r="F50" s="164"/>
      <c r="G50" s="165"/>
      <c r="H50" s="164"/>
      <c r="I50" s="166"/>
      <c r="J50" s="223"/>
      <c r="K50" s="479"/>
      <c r="L50" s="225"/>
      <c r="M50" s="349">
        <f>IF(D43="ja",ROUND(J50*L50,0),0)</f>
        <v>0</v>
      </c>
      <c r="R50" s="173">
        <v>0</v>
      </c>
      <c r="S50" s="261">
        <v>123</v>
      </c>
      <c r="W50" s="173">
        <v>0</v>
      </c>
      <c r="X50" s="174">
        <f>IF((J47-J48-J49)&lt;=0,0,J47-J48-J49)</f>
        <v>0</v>
      </c>
    </row>
    <row r="51" spans="12:19" ht="13.5" customHeight="1">
      <c r="L51" s="82"/>
      <c r="R51" s="102"/>
      <c r="S51" s="102"/>
    </row>
    <row r="52" spans="2:19" ht="13.5" customHeight="1">
      <c r="B52" s="251" t="s">
        <v>615</v>
      </c>
      <c r="C52" s="31"/>
      <c r="D52" s="31"/>
      <c r="E52" s="31"/>
      <c r="F52" s="31"/>
      <c r="G52" s="31"/>
      <c r="I52" s="45"/>
      <c r="K52" s="45"/>
      <c r="L52" s="82"/>
      <c r="R52" s="102"/>
      <c r="S52" s="102"/>
    </row>
    <row r="53" spans="18:19" ht="13.5" customHeight="1">
      <c r="R53" s="102"/>
      <c r="S53" s="102"/>
    </row>
    <row r="54" spans="1:19" ht="13.5" customHeight="1">
      <c r="A54" s="175"/>
      <c r="B54" s="175" t="s">
        <v>89</v>
      </c>
      <c r="C54" s="262"/>
      <c r="D54" s="112" t="str">
        <f>IF($G$30="ja","ja","nee")</f>
        <v>nee</v>
      </c>
      <c r="E54" s="85"/>
      <c r="F54" s="85"/>
      <c r="I54" s="483"/>
      <c r="J54" s="253" t="s">
        <v>51</v>
      </c>
      <c r="K54" s="45"/>
      <c r="L54" s="253" t="s">
        <v>53</v>
      </c>
      <c r="M54" s="253" t="s">
        <v>55</v>
      </c>
      <c r="R54" s="102"/>
      <c r="S54" s="102"/>
    </row>
    <row r="55" spans="5:19" ht="13.5" customHeight="1">
      <c r="E55" s="88"/>
      <c r="F55" s="88"/>
      <c r="I55" s="484"/>
      <c r="J55" s="254" t="s">
        <v>52</v>
      </c>
      <c r="L55" s="254" t="s">
        <v>54</v>
      </c>
      <c r="M55" s="254" t="s">
        <v>56</v>
      </c>
      <c r="R55" s="102"/>
      <c r="S55" s="102"/>
    </row>
    <row r="56" spans="2:19" ht="13.5" customHeight="1">
      <c r="B56" s="246">
        <f>B50+1</f>
        <v>207</v>
      </c>
      <c r="C56" s="247" t="s">
        <v>645</v>
      </c>
      <c r="D56" s="238"/>
      <c r="E56" s="238"/>
      <c r="F56" s="238"/>
      <c r="G56" s="238"/>
      <c r="H56" s="238"/>
      <c r="I56" s="255"/>
      <c r="J56" s="223"/>
      <c r="K56" s="45"/>
      <c r="L56" s="82"/>
      <c r="R56" s="102"/>
      <c r="S56" s="102"/>
    </row>
    <row r="57" spans="2:19" ht="13.5" customHeight="1">
      <c r="B57" s="246">
        <f aca="true" t="shared" si="0" ref="B57:B63">B56+1</f>
        <v>208</v>
      </c>
      <c r="C57" s="247" t="s">
        <v>646</v>
      </c>
      <c r="D57" s="238"/>
      <c r="E57" s="238"/>
      <c r="F57" s="238"/>
      <c r="G57" s="238"/>
      <c r="H57" s="238"/>
      <c r="I57" s="255"/>
      <c r="J57" s="223"/>
      <c r="K57" s="45"/>
      <c r="L57" s="82"/>
      <c r="R57" s="102"/>
      <c r="S57" s="102"/>
    </row>
    <row r="58" spans="2:19" ht="13.5" customHeight="1" thickBot="1">
      <c r="B58" s="246">
        <f t="shared" si="0"/>
        <v>209</v>
      </c>
      <c r="C58" s="338" t="s">
        <v>647</v>
      </c>
      <c r="D58" s="238"/>
      <c r="E58" s="238"/>
      <c r="F58" s="238"/>
      <c r="G58" s="238"/>
      <c r="H58" s="238"/>
      <c r="I58" s="255"/>
      <c r="J58" s="223"/>
      <c r="K58" s="45"/>
      <c r="L58" s="82"/>
      <c r="R58" s="102"/>
      <c r="S58" s="102"/>
    </row>
    <row r="59" spans="2:12" ht="13.5" customHeight="1" thickBot="1">
      <c r="B59" s="243">
        <f t="shared" si="0"/>
        <v>210</v>
      </c>
      <c r="C59" s="244" t="str">
        <f>"Totale realisatie verzorgingsdagen inclusief mutatiedagen (regel "&amp;B56&amp;" t/m regel "&amp;B58&amp;")"</f>
        <v>Totale realisatie verzorgingsdagen inclusief mutatiedagen (regel 207 t/m regel 209)</v>
      </c>
      <c r="D59" s="238"/>
      <c r="E59" s="238"/>
      <c r="F59" s="238"/>
      <c r="G59" s="238"/>
      <c r="H59" s="238"/>
      <c r="I59" s="255"/>
      <c r="J59" s="256">
        <f>SUM(J56:J58)</f>
        <v>0</v>
      </c>
      <c r="K59" s="45"/>
      <c r="L59" s="82"/>
    </row>
    <row r="60" spans="2:19" ht="13.5" customHeight="1">
      <c r="B60" s="246">
        <f t="shared" si="0"/>
        <v>211</v>
      </c>
      <c r="C60" s="139" t="s">
        <v>28</v>
      </c>
      <c r="D60" s="164"/>
      <c r="E60" s="164"/>
      <c r="F60" s="164"/>
      <c r="G60" s="165"/>
      <c r="H60" s="164"/>
      <c r="I60" s="166"/>
      <c r="J60" s="224"/>
      <c r="L60" s="82"/>
      <c r="R60" s="102"/>
      <c r="S60" s="102"/>
    </row>
    <row r="61" spans="2:24" ht="13.5" customHeight="1">
      <c r="B61" s="246">
        <f t="shared" si="0"/>
        <v>212</v>
      </c>
      <c r="C61" s="139" t="s">
        <v>26</v>
      </c>
      <c r="D61" s="164"/>
      <c r="E61" s="164"/>
      <c r="F61" s="164"/>
      <c r="G61" s="165"/>
      <c r="H61" s="164"/>
      <c r="I61" s="166"/>
      <c r="J61" s="223"/>
      <c r="L61" s="82"/>
      <c r="R61" s="257" t="s">
        <v>62</v>
      </c>
      <c r="S61" s="258"/>
      <c r="W61" s="257" t="s">
        <v>64</v>
      </c>
      <c r="X61" s="257"/>
    </row>
    <row r="62" spans="2:24" ht="13.5" customHeight="1">
      <c r="B62" s="246">
        <f t="shared" si="0"/>
        <v>213</v>
      </c>
      <c r="C62" s="139" t="s">
        <v>27</v>
      </c>
      <c r="D62" s="164"/>
      <c r="E62" s="164"/>
      <c r="F62" s="164"/>
      <c r="G62" s="165"/>
      <c r="H62" s="164"/>
      <c r="I62" s="166"/>
      <c r="J62" s="223"/>
      <c r="L62" s="82"/>
      <c r="R62" s="259" t="s">
        <v>61</v>
      </c>
      <c r="S62" s="260" t="s">
        <v>60</v>
      </c>
      <c r="W62" s="259" t="s">
        <v>61</v>
      </c>
      <c r="X62" s="260" t="s">
        <v>60</v>
      </c>
    </row>
    <row r="63" spans="2:24" ht="13.5" customHeight="1">
      <c r="B63" s="246">
        <f t="shared" si="0"/>
        <v>214</v>
      </c>
      <c r="C63" s="139" t="str">
        <f>"Realisatie aanvullende verzorgingsdagen (maximaal regel "&amp;B59&amp;" -/- regel "&amp;B60&amp;" -/- regel "&amp;B61&amp;" -/- regel "&amp;B62&amp;")"</f>
        <v>Realisatie aanvullende verzorgingsdagen (maximaal regel 210 -/- regel 211 -/- regel 212 -/- regel 213)</v>
      </c>
      <c r="D63" s="164"/>
      <c r="E63" s="164"/>
      <c r="F63" s="164"/>
      <c r="G63" s="165"/>
      <c r="H63" s="164"/>
      <c r="I63" s="166"/>
      <c r="J63" s="223"/>
      <c r="K63" s="479"/>
      <c r="L63" s="225"/>
      <c r="M63" s="349">
        <f>IF(D54="ja",ROUND(J63*L63,0),0)</f>
        <v>0</v>
      </c>
      <c r="R63" s="173">
        <v>0</v>
      </c>
      <c r="S63" s="261">
        <v>55.9</v>
      </c>
      <c r="W63" s="173">
        <v>0</v>
      </c>
      <c r="X63" s="174">
        <f>IF((J59-J60-J61-J62)&lt;=0,0,J59-J60-J61-J62)</f>
        <v>0</v>
      </c>
    </row>
    <row r="64" spans="18:19" ht="13.5" customHeight="1">
      <c r="R64" s="102"/>
      <c r="S64" s="102"/>
    </row>
    <row r="65" spans="3:23" ht="13.5" customHeight="1">
      <c r="C65" s="31"/>
      <c r="D65" s="31"/>
      <c r="E65" s="31"/>
      <c r="F65" s="31"/>
      <c r="G65" s="31"/>
      <c r="H65" s="31"/>
      <c r="I65" s="45"/>
      <c r="J65" s="31"/>
      <c r="K65" s="45"/>
      <c r="L65" s="31"/>
      <c r="M65" s="31"/>
      <c r="N65" s="31"/>
      <c r="O65" s="31"/>
      <c r="P65" s="31"/>
      <c r="Q65" s="31"/>
      <c r="R65" s="31"/>
      <c r="S65" s="31"/>
      <c r="V65" s="31"/>
      <c r="W65" s="31"/>
    </row>
    <row r="66" spans="2:23" ht="13.5" customHeight="1">
      <c r="B66" s="251" t="s">
        <v>448</v>
      </c>
      <c r="C66" s="31"/>
      <c r="D66" s="31"/>
      <c r="E66" s="31"/>
      <c r="F66" s="31"/>
      <c r="G66" s="263"/>
      <c r="H66" s="253" t="s">
        <v>63</v>
      </c>
      <c r="I66" s="264" t="s">
        <v>64</v>
      </c>
      <c r="J66" s="253" t="s">
        <v>51</v>
      </c>
      <c r="K66" s="264" t="s">
        <v>65</v>
      </c>
      <c r="L66" s="253" t="s">
        <v>53</v>
      </c>
      <c r="M66" s="253" t="s">
        <v>55</v>
      </c>
      <c r="N66" s="102"/>
      <c r="P66" s="31"/>
      <c r="Q66" s="31"/>
      <c r="R66" s="257" t="s">
        <v>62</v>
      </c>
      <c r="S66" s="258"/>
      <c r="V66" s="31"/>
      <c r="W66" s="31"/>
    </row>
    <row r="67" spans="2:23" ht="13.5" customHeight="1">
      <c r="B67" s="240"/>
      <c r="C67" s="265"/>
      <c r="D67" s="266"/>
      <c r="E67" s="266"/>
      <c r="F67" s="266"/>
      <c r="G67" s="267" t="s">
        <v>30</v>
      </c>
      <c r="H67" s="254" t="s">
        <v>50</v>
      </c>
      <c r="I67" s="268" t="s">
        <v>57</v>
      </c>
      <c r="J67" s="254" t="s">
        <v>52</v>
      </c>
      <c r="K67" s="268" t="s">
        <v>54</v>
      </c>
      <c r="L67" s="254" t="s">
        <v>54</v>
      </c>
      <c r="M67" s="254" t="s">
        <v>56</v>
      </c>
      <c r="N67" s="102"/>
      <c r="P67" s="31"/>
      <c r="Q67" s="31"/>
      <c r="R67" s="259" t="s">
        <v>61</v>
      </c>
      <c r="S67" s="260" t="s">
        <v>60</v>
      </c>
      <c r="V67" s="31"/>
      <c r="W67" s="31"/>
    </row>
    <row r="68" spans="2:23" ht="13.5" customHeight="1">
      <c r="B68" s="246">
        <f>B63+1</f>
        <v>215</v>
      </c>
      <c r="C68" s="246" t="s">
        <v>31</v>
      </c>
      <c r="D68" s="247" t="s">
        <v>449</v>
      </c>
      <c r="E68" s="238"/>
      <c r="F68" s="262"/>
      <c r="G68" s="248" t="s">
        <v>33</v>
      </c>
      <c r="H68" s="246" t="str">
        <f aca="true" t="shared" si="1" ref="H68:H73">IF($G$30="ja","ja","nee")</f>
        <v>nee</v>
      </c>
      <c r="I68" s="269"/>
      <c r="J68" s="223"/>
      <c r="K68" s="226"/>
      <c r="L68" s="225"/>
      <c r="M68" s="349">
        <f aca="true" t="shared" si="2" ref="M68:M74">IF(H68="ja",ROUND(J68*L68,0),0)</f>
        <v>0</v>
      </c>
      <c r="N68" s="102"/>
      <c r="P68" s="31"/>
      <c r="Q68" s="31"/>
      <c r="R68" s="270">
        <v>0</v>
      </c>
      <c r="S68" s="271">
        <v>71.1</v>
      </c>
      <c r="V68" s="31"/>
      <c r="W68" s="31"/>
    </row>
    <row r="69" spans="2:23" ht="13.5" customHeight="1">
      <c r="B69" s="246">
        <f aca="true" t="shared" si="3" ref="B69:B74">B68+1</f>
        <v>216</v>
      </c>
      <c r="C69" s="246" t="s">
        <v>34</v>
      </c>
      <c r="D69" s="247" t="s">
        <v>450</v>
      </c>
      <c r="E69" s="238"/>
      <c r="F69" s="262"/>
      <c r="G69" s="248" t="s">
        <v>36</v>
      </c>
      <c r="H69" s="246" t="str">
        <f t="shared" si="1"/>
        <v>nee</v>
      </c>
      <c r="I69" s="269"/>
      <c r="J69" s="223"/>
      <c r="K69" s="226"/>
      <c r="L69" s="225"/>
      <c r="M69" s="349">
        <f t="shared" si="2"/>
        <v>0</v>
      </c>
      <c r="N69" s="102"/>
      <c r="P69" s="31"/>
      <c r="Q69" s="31"/>
      <c r="R69" s="272">
        <v>0</v>
      </c>
      <c r="S69" s="271">
        <v>37.5</v>
      </c>
      <c r="V69" s="31"/>
      <c r="W69" s="31"/>
    </row>
    <row r="70" spans="2:23" ht="13.5" customHeight="1">
      <c r="B70" s="246">
        <f t="shared" si="3"/>
        <v>217</v>
      </c>
      <c r="C70" s="246" t="s">
        <v>39</v>
      </c>
      <c r="D70" s="247" t="s">
        <v>451</v>
      </c>
      <c r="E70" s="238"/>
      <c r="F70" s="262"/>
      <c r="G70" s="248" t="s">
        <v>33</v>
      </c>
      <c r="H70" s="246" t="str">
        <f t="shared" si="1"/>
        <v>nee</v>
      </c>
      <c r="I70" s="269"/>
      <c r="J70" s="223"/>
      <c r="K70" s="226"/>
      <c r="L70" s="225"/>
      <c r="M70" s="349">
        <f t="shared" si="2"/>
        <v>0</v>
      </c>
      <c r="N70" s="102"/>
      <c r="P70" s="31"/>
      <c r="Q70" s="31"/>
      <c r="R70" s="272">
        <v>0</v>
      </c>
      <c r="S70" s="271">
        <v>43</v>
      </c>
      <c r="V70" s="31"/>
      <c r="W70" s="31"/>
    </row>
    <row r="71" spans="2:23" ht="13.5" customHeight="1">
      <c r="B71" s="246">
        <f t="shared" si="3"/>
        <v>218</v>
      </c>
      <c r="C71" s="246" t="s">
        <v>41</v>
      </c>
      <c r="D71" s="247" t="s">
        <v>452</v>
      </c>
      <c r="E71" s="238"/>
      <c r="F71" s="262"/>
      <c r="G71" s="248" t="s">
        <v>33</v>
      </c>
      <c r="H71" s="246" t="str">
        <f t="shared" si="1"/>
        <v>nee</v>
      </c>
      <c r="I71" s="269"/>
      <c r="J71" s="223"/>
      <c r="K71" s="226"/>
      <c r="L71" s="225"/>
      <c r="M71" s="349">
        <f t="shared" si="2"/>
        <v>0</v>
      </c>
      <c r="N71" s="102"/>
      <c r="P71" s="31"/>
      <c r="Q71" s="31"/>
      <c r="R71" s="272">
        <v>0</v>
      </c>
      <c r="S71" s="271">
        <v>43</v>
      </c>
      <c r="V71" s="31"/>
      <c r="W71" s="31"/>
    </row>
    <row r="72" spans="2:23" ht="13.5" customHeight="1">
      <c r="B72" s="246">
        <f t="shared" si="3"/>
        <v>219</v>
      </c>
      <c r="C72" s="246" t="s">
        <v>43</v>
      </c>
      <c r="D72" s="247" t="s">
        <v>453</v>
      </c>
      <c r="E72" s="238"/>
      <c r="F72" s="262"/>
      <c r="G72" s="248" t="s">
        <v>33</v>
      </c>
      <c r="H72" s="246" t="str">
        <f t="shared" si="1"/>
        <v>nee</v>
      </c>
      <c r="I72" s="269"/>
      <c r="J72" s="223"/>
      <c r="K72" s="226"/>
      <c r="L72" s="225"/>
      <c r="M72" s="349">
        <f t="shared" si="2"/>
        <v>0</v>
      </c>
      <c r="N72" s="102"/>
      <c r="P72" s="31"/>
      <c r="Q72" s="31"/>
      <c r="R72" s="272">
        <v>0</v>
      </c>
      <c r="S72" s="271">
        <v>56</v>
      </c>
      <c r="V72" s="31"/>
      <c r="W72" s="31"/>
    </row>
    <row r="73" spans="2:23" ht="13.5" customHeight="1">
      <c r="B73" s="246">
        <f t="shared" si="3"/>
        <v>220</v>
      </c>
      <c r="C73" s="246" t="s">
        <v>45</v>
      </c>
      <c r="D73" s="247" t="s">
        <v>454</v>
      </c>
      <c r="E73" s="238"/>
      <c r="F73" s="262"/>
      <c r="G73" s="248" t="s">
        <v>33</v>
      </c>
      <c r="H73" s="246" t="str">
        <f t="shared" si="1"/>
        <v>nee</v>
      </c>
      <c r="I73" s="269"/>
      <c r="J73" s="223"/>
      <c r="K73" s="226"/>
      <c r="L73" s="225"/>
      <c r="M73" s="349">
        <f t="shared" si="2"/>
        <v>0</v>
      </c>
      <c r="N73" s="102"/>
      <c r="P73" s="31"/>
      <c r="Q73" s="31"/>
      <c r="R73" s="272">
        <v>0</v>
      </c>
      <c r="S73" s="271">
        <v>43</v>
      </c>
      <c r="V73" s="31"/>
      <c r="W73" s="31"/>
    </row>
    <row r="74" spans="2:23" ht="13.5" customHeight="1">
      <c r="B74" s="246">
        <f t="shared" si="3"/>
        <v>221</v>
      </c>
      <c r="C74" s="246" t="s">
        <v>47</v>
      </c>
      <c r="D74" s="247" t="s">
        <v>455</v>
      </c>
      <c r="E74" s="238"/>
      <c r="F74" s="262"/>
      <c r="G74" s="248" t="s">
        <v>36</v>
      </c>
      <c r="H74" s="246" t="str">
        <f>IF(AND($G$29="ja",$G$30="ja"),"ja","nee")</f>
        <v>nee</v>
      </c>
      <c r="I74" s="269"/>
      <c r="J74" s="223"/>
      <c r="K74" s="226"/>
      <c r="L74" s="225"/>
      <c r="M74" s="349">
        <f t="shared" si="2"/>
        <v>0</v>
      </c>
      <c r="N74" s="102"/>
      <c r="P74" s="31"/>
      <c r="Q74" s="31"/>
      <c r="R74" s="273">
        <v>0</v>
      </c>
      <c r="S74" s="274">
        <v>69</v>
      </c>
      <c r="V74" s="31"/>
      <c r="W74" s="31"/>
    </row>
    <row r="75" spans="7:19" ht="13.5" customHeight="1" thickBot="1">
      <c r="G75" s="102"/>
      <c r="L75" s="82"/>
      <c r="N75" s="102"/>
      <c r="R75" s="102"/>
      <c r="S75" s="102"/>
    </row>
    <row r="76" spans="2:23" ht="13.5" customHeight="1" thickBot="1">
      <c r="B76" s="243">
        <f>B74+1</f>
        <v>222</v>
      </c>
      <c r="C76" s="244" t="str">
        <f>"Totale realisatie intramurale zorgprestaties (regel "&amp;B50&amp;" + regel "&amp;B63&amp;" + regel "&amp;B68&amp;" t/m regel "&amp;B74&amp;")"</f>
        <v>Totale realisatie intramurale zorgprestaties (regel 206 + regel 214 + regel 215 t/m regel 221)</v>
      </c>
      <c r="D76" s="238"/>
      <c r="E76" s="238"/>
      <c r="F76" s="238"/>
      <c r="G76" s="238"/>
      <c r="H76" s="238"/>
      <c r="I76" s="486"/>
      <c r="J76" s="238"/>
      <c r="K76" s="486"/>
      <c r="L76" s="238"/>
      <c r="M76" s="350">
        <f>M50+M63+SUM(M68:M74)</f>
        <v>0</v>
      </c>
      <c r="N76" s="102"/>
      <c r="P76" s="31"/>
      <c r="Q76" s="31"/>
      <c r="R76" s="31"/>
      <c r="S76" s="102"/>
      <c r="V76" s="31"/>
      <c r="W76" s="31"/>
    </row>
    <row r="77" ht="13.5" customHeight="1"/>
    <row r="78" ht="12" customHeight="1">
      <c r="B78" s="289" t="s">
        <v>648</v>
      </c>
    </row>
    <row r="79" ht="12" customHeight="1">
      <c r="B79" s="289" t="s">
        <v>547</v>
      </c>
    </row>
    <row r="80" ht="12" customHeight="1">
      <c r="B80" s="62" t="s">
        <v>649</v>
      </c>
    </row>
    <row r="81" spans="1:11" s="31" customFormat="1" ht="18" customHeight="1">
      <c r="A81" s="231">
        <f>Voorblad!A61</f>
        <v>0</v>
      </c>
      <c r="B81" s="232">
        <f>Voorblad!A63</f>
        <v>0</v>
      </c>
      <c r="I81" s="471"/>
      <c r="K81" s="471"/>
    </row>
    <row r="82" spans="1:13" s="31" customFormat="1" ht="18" customHeight="1">
      <c r="A82" s="233" t="s">
        <v>92</v>
      </c>
      <c r="B82" s="234" t="str">
        <f>B2</f>
        <v>Voorlopige nacalculatie 2004 AWBZ-instellingen sector V&amp;V</v>
      </c>
      <c r="C82" s="234"/>
      <c r="D82" s="234"/>
      <c r="E82" s="250"/>
      <c r="F82" s="234" t="str">
        <f>F2</f>
        <v> / </v>
      </c>
      <c r="G82" s="234"/>
      <c r="H82" s="238"/>
      <c r="I82" s="27"/>
      <c r="J82" s="236" t="str">
        <f>"versie: "&amp;TEXT(Voorblad!$M$9,"dd-mm-jjjj")</f>
        <v>versie: 14-01-2005</v>
      </c>
      <c r="K82" s="238"/>
      <c r="L82" s="238"/>
      <c r="M82" s="239">
        <f>M37+1</f>
        <v>3</v>
      </c>
    </row>
    <row r="83" spans="2:11" s="31" customFormat="1" ht="12.75">
      <c r="B83" s="240"/>
      <c r="I83" s="45"/>
      <c r="K83" s="45"/>
    </row>
    <row r="84" spans="18:19" ht="13.5" customHeight="1">
      <c r="R84" s="102"/>
      <c r="S84" s="102"/>
    </row>
    <row r="85" spans="2:23" ht="13.5" customHeight="1">
      <c r="B85" s="241" t="s">
        <v>94</v>
      </c>
      <c r="C85" s="67"/>
      <c r="D85" s="67"/>
      <c r="E85" s="67"/>
      <c r="F85" s="67"/>
      <c r="G85" s="278"/>
      <c r="H85" s="253" t="s">
        <v>63</v>
      </c>
      <c r="I85" s="264" t="s">
        <v>64</v>
      </c>
      <c r="J85" s="253" t="s">
        <v>51</v>
      </c>
      <c r="K85" s="264" t="s">
        <v>65</v>
      </c>
      <c r="L85" s="253" t="s">
        <v>53</v>
      </c>
      <c r="M85" s="253" t="s">
        <v>55</v>
      </c>
      <c r="P85" s="67"/>
      <c r="Q85" s="67"/>
      <c r="R85" s="298" t="s">
        <v>62</v>
      </c>
      <c r="S85" s="299"/>
      <c r="V85" s="67"/>
      <c r="W85" s="67"/>
    </row>
    <row r="86" spans="2:23" ht="13.5" customHeight="1">
      <c r="B86" s="240"/>
      <c r="C86" s="265"/>
      <c r="D86" s="266"/>
      <c r="E86" s="266"/>
      <c r="F86" s="266"/>
      <c r="G86" s="254" t="s">
        <v>30</v>
      </c>
      <c r="H86" s="254" t="s">
        <v>50</v>
      </c>
      <c r="I86" s="268" t="s">
        <v>57</v>
      </c>
      <c r="J86" s="254" t="s">
        <v>52</v>
      </c>
      <c r="K86" s="268" t="s">
        <v>54</v>
      </c>
      <c r="L86" s="254" t="s">
        <v>54</v>
      </c>
      <c r="M86" s="254" t="s">
        <v>56</v>
      </c>
      <c r="P86" s="31"/>
      <c r="Q86" s="31"/>
      <c r="R86" s="259" t="s">
        <v>61</v>
      </c>
      <c r="S86" s="260" t="s">
        <v>60</v>
      </c>
      <c r="V86" s="31"/>
      <c r="W86" s="31"/>
    </row>
    <row r="87" spans="2:23" ht="13.5" customHeight="1">
      <c r="B87" s="346">
        <f>M82*100+1</f>
        <v>301</v>
      </c>
      <c r="C87" s="338" t="s">
        <v>597</v>
      </c>
      <c r="D87" s="347"/>
      <c r="E87" s="347"/>
      <c r="F87" s="347"/>
      <c r="G87" s="246" t="s">
        <v>33</v>
      </c>
      <c r="H87" s="246" t="str">
        <f>IF(AND($G$29="ja",$G$30="ja"),"ja","nee")</f>
        <v>nee</v>
      </c>
      <c r="I87" s="269"/>
      <c r="J87" s="223"/>
      <c r="K87" s="226"/>
      <c r="L87" s="225"/>
      <c r="M87" s="349">
        <f>IF(H87="ja",ROUND(J87*L87*$T$15,0),0)</f>
        <v>0</v>
      </c>
      <c r="P87" s="31"/>
      <c r="Q87" s="31"/>
      <c r="R87" s="270">
        <v>0</v>
      </c>
      <c r="S87" s="276">
        <v>115.62</v>
      </c>
      <c r="V87" s="31"/>
      <c r="W87" s="31"/>
    </row>
    <row r="88" spans="2:23" ht="13.5" customHeight="1">
      <c r="B88" s="346">
        <f>B87+1</f>
        <v>302</v>
      </c>
      <c r="C88" s="338" t="s">
        <v>598</v>
      </c>
      <c r="D88" s="347"/>
      <c r="E88" s="347"/>
      <c r="F88" s="347"/>
      <c r="G88" s="246" t="s">
        <v>33</v>
      </c>
      <c r="H88" s="246" t="str">
        <f>IF(AND($G$29="ja",$G$30="ja"),"ja","nee")</f>
        <v>nee</v>
      </c>
      <c r="I88" s="269"/>
      <c r="J88" s="223"/>
      <c r="K88" s="226"/>
      <c r="L88" s="225"/>
      <c r="M88" s="349">
        <f>IF(H88="ja",ROUND(J88*L88*$T$15,0),0)</f>
        <v>0</v>
      </c>
      <c r="P88" s="31"/>
      <c r="Q88" s="31"/>
      <c r="R88" s="272">
        <v>0</v>
      </c>
      <c r="S88" s="271">
        <v>99.7</v>
      </c>
      <c r="V88" s="31"/>
      <c r="W88" s="31"/>
    </row>
    <row r="89" spans="2:23" ht="13.5" customHeight="1" thickBot="1">
      <c r="B89" s="346">
        <f>B88+1</f>
        <v>303</v>
      </c>
      <c r="C89" s="338" t="s">
        <v>599</v>
      </c>
      <c r="D89" s="347"/>
      <c r="E89" s="347"/>
      <c r="F89" s="347"/>
      <c r="G89" s="246" t="s">
        <v>33</v>
      </c>
      <c r="H89" s="246" t="str">
        <f>IF($G$30="ja","ja","nee")</f>
        <v>nee</v>
      </c>
      <c r="I89" s="269"/>
      <c r="J89" s="223"/>
      <c r="K89" s="226"/>
      <c r="L89" s="225"/>
      <c r="M89" s="349">
        <f>IF(H89="ja",ROUND(J89*L89*$T$15,0),0)</f>
        <v>0</v>
      </c>
      <c r="P89" s="31"/>
      <c r="Q89" s="31"/>
      <c r="R89" s="273">
        <v>0</v>
      </c>
      <c r="S89" s="274">
        <v>92.9</v>
      </c>
      <c r="V89" s="31"/>
      <c r="W89" s="31"/>
    </row>
    <row r="90" spans="2:23" ht="13.5" customHeight="1" thickBot="1">
      <c r="B90" s="218">
        <f>B89+1</f>
        <v>304</v>
      </c>
      <c r="C90" s="348" t="str">
        <f>"Totale realisatie toeslagen (regel "&amp;B87&amp;" t/m regel "&amp;B89&amp;")"</f>
        <v>Totale realisatie toeslagen (regel 301 t/m regel 303)</v>
      </c>
      <c r="D90" s="347"/>
      <c r="E90" s="347"/>
      <c r="F90" s="347"/>
      <c r="G90" s="238"/>
      <c r="H90" s="238"/>
      <c r="I90" s="486"/>
      <c r="J90" s="238"/>
      <c r="K90" s="486"/>
      <c r="L90" s="277"/>
      <c r="M90" s="350">
        <f>SUM(M87:M89)</f>
        <v>0</v>
      </c>
      <c r="P90" s="31"/>
      <c r="Q90" s="31"/>
      <c r="R90" s="31"/>
      <c r="S90" s="31"/>
      <c r="V90" s="31"/>
      <c r="W90" s="31"/>
    </row>
    <row r="91" spans="18:19" ht="13.5" customHeight="1">
      <c r="R91" s="102"/>
      <c r="S91" s="102"/>
    </row>
    <row r="92" spans="2:19" ht="13.5" customHeight="1">
      <c r="B92" s="85"/>
      <c r="C92" s="102"/>
      <c r="F92" s="103"/>
      <c r="G92" s="102"/>
      <c r="M92" s="82"/>
      <c r="N92" s="102"/>
      <c r="R92" s="102"/>
      <c r="S92" s="102"/>
    </row>
    <row r="93" spans="2:31" ht="13.5" customHeight="1">
      <c r="B93" s="241" t="s">
        <v>642</v>
      </c>
      <c r="C93" s="31"/>
      <c r="D93" s="31"/>
      <c r="E93" s="31"/>
      <c r="F93" s="31"/>
      <c r="G93" s="31"/>
      <c r="I93" s="45"/>
      <c r="J93" s="253" t="s">
        <v>55</v>
      </c>
      <c r="K93" s="45"/>
      <c r="N93" s="31"/>
      <c r="O93" s="31"/>
      <c r="P93" s="31"/>
      <c r="Q93" s="31"/>
      <c r="R93" s="301"/>
      <c r="S93" s="301"/>
      <c r="T93" s="31"/>
      <c r="U93" s="31"/>
      <c r="V93" s="31"/>
      <c r="W93" s="31"/>
      <c r="X93" s="31"/>
      <c r="Y93" s="31"/>
      <c r="Z93" s="31"/>
      <c r="AA93" s="31"/>
      <c r="AB93" s="31"/>
      <c r="AC93" s="31"/>
      <c r="AD93" s="31"/>
      <c r="AE93" s="31"/>
    </row>
    <row r="94" spans="2:31" ht="13.5" customHeight="1">
      <c r="B94" s="240"/>
      <c r="C94" s="31"/>
      <c r="D94" s="31"/>
      <c r="E94" s="31"/>
      <c r="F94" s="31"/>
      <c r="G94" s="31"/>
      <c r="I94" s="45"/>
      <c r="J94" s="254" t="s">
        <v>56</v>
      </c>
      <c r="K94" s="45"/>
      <c r="N94" s="31"/>
      <c r="O94" s="31"/>
      <c r="P94" s="31"/>
      <c r="Q94" s="31"/>
      <c r="R94" s="301"/>
      <c r="S94" s="301"/>
      <c r="T94" s="31"/>
      <c r="U94" s="31"/>
      <c r="V94" s="31"/>
      <c r="W94" s="31"/>
      <c r="X94" s="31"/>
      <c r="Y94" s="31"/>
      <c r="Z94" s="31"/>
      <c r="AA94" s="31"/>
      <c r="AB94" s="31"/>
      <c r="AC94" s="31"/>
      <c r="AD94" s="31"/>
      <c r="AE94" s="31"/>
    </row>
    <row r="95" spans="2:31" ht="13.5" customHeight="1">
      <c r="B95" s="246">
        <f>B90+1</f>
        <v>305</v>
      </c>
      <c r="C95" s="238" t="s">
        <v>533</v>
      </c>
      <c r="D95" s="238"/>
      <c r="E95" s="238"/>
      <c r="F95" s="238"/>
      <c r="G95" s="238"/>
      <c r="H95" s="238"/>
      <c r="I95" s="488"/>
      <c r="J95" s="295"/>
      <c r="K95" s="487"/>
      <c r="N95" s="31"/>
      <c r="O95" s="31"/>
      <c r="P95" s="31"/>
      <c r="Q95" s="31"/>
      <c r="R95" s="301"/>
      <c r="S95" s="301"/>
      <c r="T95" s="31"/>
      <c r="U95" s="31"/>
      <c r="V95" s="31"/>
      <c r="W95" s="31"/>
      <c r="X95" s="31"/>
      <c r="Y95" s="31"/>
      <c r="Z95" s="31"/>
      <c r="AA95" s="31"/>
      <c r="AB95" s="31"/>
      <c r="AC95" s="31"/>
      <c r="AD95" s="31"/>
      <c r="AE95" s="31"/>
    </row>
    <row r="96" spans="2:31" ht="13.5" customHeight="1">
      <c r="B96" s="240"/>
      <c r="C96" s="31"/>
      <c r="D96" s="31"/>
      <c r="E96" s="31"/>
      <c r="F96" s="31"/>
      <c r="G96" s="31"/>
      <c r="H96" s="31"/>
      <c r="I96" s="45"/>
      <c r="J96" s="31"/>
      <c r="K96" s="45"/>
      <c r="N96" s="31"/>
      <c r="O96" s="31"/>
      <c r="P96" s="31"/>
      <c r="Q96" s="31"/>
      <c r="R96" s="301"/>
      <c r="S96" s="301"/>
      <c r="T96" s="31"/>
      <c r="U96" s="31"/>
      <c r="V96" s="31"/>
      <c r="W96" s="31"/>
      <c r="X96" s="31"/>
      <c r="Y96" s="31"/>
      <c r="Z96" s="31"/>
      <c r="AA96" s="31"/>
      <c r="AB96" s="31"/>
      <c r="AC96" s="31"/>
      <c r="AD96" s="31"/>
      <c r="AE96" s="31"/>
    </row>
    <row r="97" ht="13.5" customHeight="1"/>
    <row r="98" spans="2:31" ht="13.5" customHeight="1">
      <c r="B98" s="241" t="s">
        <v>502</v>
      </c>
      <c r="C98" s="31"/>
      <c r="D98" s="31"/>
      <c r="E98" s="31"/>
      <c r="F98" s="31"/>
      <c r="G98" s="31"/>
      <c r="H98" s="253" t="s">
        <v>63</v>
      </c>
      <c r="I98" s="45"/>
      <c r="J98" s="253" t="s">
        <v>55</v>
      </c>
      <c r="K98" s="45"/>
      <c r="N98" s="31"/>
      <c r="O98" s="31"/>
      <c r="P98" s="31"/>
      <c r="Q98" s="31"/>
      <c r="R98" s="301"/>
      <c r="S98" s="301"/>
      <c r="T98" s="31"/>
      <c r="U98" s="31"/>
      <c r="V98" s="31"/>
      <c r="W98" s="31"/>
      <c r="X98" s="31"/>
      <c r="Y98" s="31"/>
      <c r="Z98" s="31"/>
      <c r="AA98" s="31"/>
      <c r="AB98" s="31"/>
      <c r="AC98" s="31"/>
      <c r="AD98" s="31"/>
      <c r="AE98" s="31"/>
    </row>
    <row r="99" spans="2:31" ht="13.5" customHeight="1">
      <c r="B99" s="240"/>
      <c r="C99" s="31"/>
      <c r="D99" s="31"/>
      <c r="E99" s="31"/>
      <c r="F99" s="31"/>
      <c r="G99" s="31"/>
      <c r="H99" s="254" t="s">
        <v>50</v>
      </c>
      <c r="I99" s="45"/>
      <c r="J99" s="254" t="s">
        <v>56</v>
      </c>
      <c r="K99" s="45"/>
      <c r="N99" s="31"/>
      <c r="O99" s="31"/>
      <c r="P99" s="31"/>
      <c r="Q99" s="31"/>
      <c r="R99" s="301"/>
      <c r="S99" s="301"/>
      <c r="T99" s="31"/>
      <c r="U99" s="31"/>
      <c r="V99" s="31"/>
      <c r="W99" s="31"/>
      <c r="X99" s="31"/>
      <c r="Y99" s="31"/>
      <c r="Z99" s="31"/>
      <c r="AA99" s="31"/>
      <c r="AB99" s="31"/>
      <c r="AC99" s="31"/>
      <c r="AD99" s="31"/>
      <c r="AE99" s="31"/>
    </row>
    <row r="100" spans="2:31" ht="13.5" customHeight="1">
      <c r="B100" s="246">
        <f>B95+1</f>
        <v>306</v>
      </c>
      <c r="C100" s="238" t="s">
        <v>458</v>
      </c>
      <c r="D100" s="238"/>
      <c r="E100" s="238"/>
      <c r="F100" s="238"/>
      <c r="G100" s="238"/>
      <c r="H100" s="246" t="str">
        <f>IF(AND($G$29="ja",$G$30="ja"),"ja","nee")</f>
        <v>nee</v>
      </c>
      <c r="I100" s="488"/>
      <c r="J100" s="295"/>
      <c r="K100" s="487"/>
      <c r="N100" s="31"/>
      <c r="O100" s="31"/>
      <c r="P100" s="31"/>
      <c r="Q100" s="31"/>
      <c r="R100" s="301"/>
      <c r="S100" s="301"/>
      <c r="T100" s="31"/>
      <c r="U100" s="31"/>
      <c r="V100" s="31"/>
      <c r="W100" s="31"/>
      <c r="X100" s="31"/>
      <c r="Y100" s="31"/>
      <c r="Z100" s="31"/>
      <c r="AA100" s="31"/>
      <c r="AB100" s="31"/>
      <c r="AC100" s="31"/>
      <c r="AD100" s="31"/>
      <c r="AE100" s="31"/>
    </row>
    <row r="101" spans="2:31" ht="13.5" customHeight="1">
      <c r="B101" s="240"/>
      <c r="C101" s="31"/>
      <c r="D101" s="31"/>
      <c r="E101" s="31"/>
      <c r="F101" s="31"/>
      <c r="G101" s="31"/>
      <c r="H101" s="31"/>
      <c r="I101" s="45"/>
      <c r="J101" s="31"/>
      <c r="K101" s="45"/>
      <c r="L101" s="31"/>
      <c r="M101" s="31"/>
      <c r="N101" s="31"/>
      <c r="O101" s="31"/>
      <c r="P101" s="31"/>
      <c r="Q101" s="31"/>
      <c r="R101" s="301"/>
      <c r="S101" s="301"/>
      <c r="T101" s="31"/>
      <c r="U101" s="31"/>
      <c r="V101" s="31"/>
      <c r="W101" s="31"/>
      <c r="X101" s="31"/>
      <c r="Y101" s="31"/>
      <c r="Z101" s="31"/>
      <c r="AA101" s="31"/>
      <c r="AB101" s="31"/>
      <c r="AC101" s="31"/>
      <c r="AD101" s="31"/>
      <c r="AE101" s="31"/>
    </row>
    <row r="102" ht="13.5" customHeight="1"/>
    <row r="103" spans="2:14" ht="13.5" customHeight="1">
      <c r="B103" s="289" t="s">
        <v>534</v>
      </c>
      <c r="C103" s="102"/>
      <c r="F103" s="103"/>
      <c r="G103" s="102"/>
      <c r="M103" s="82"/>
      <c r="N103" s="102"/>
    </row>
    <row r="104" ht="13.5" customHeight="1">
      <c r="B104" s="289" t="s">
        <v>668</v>
      </c>
    </row>
    <row r="105" ht="13.5" customHeight="1">
      <c r="B105" s="289" t="s">
        <v>531</v>
      </c>
    </row>
    <row r="106" ht="13.5" customHeight="1"/>
    <row r="107" spans="1:19" s="31" customFormat="1" ht="18" customHeight="1">
      <c r="A107" s="231">
        <f>Voorblad!A98</f>
        <v>0</v>
      </c>
      <c r="B107" s="288"/>
      <c r="I107" s="471"/>
      <c r="K107" s="471"/>
      <c r="R107" s="301"/>
      <c r="S107" s="301"/>
    </row>
    <row r="108" spans="1:19" s="31" customFormat="1" ht="18" customHeight="1">
      <c r="A108" s="233" t="s">
        <v>92</v>
      </c>
      <c r="B108" s="234" t="str">
        <f>B2</f>
        <v>Voorlopige nacalculatie 2004 AWBZ-instellingen sector V&amp;V</v>
      </c>
      <c r="C108" s="234"/>
      <c r="D108" s="234"/>
      <c r="E108" s="250"/>
      <c r="F108" s="234" t="str">
        <f>F2</f>
        <v> / </v>
      </c>
      <c r="G108" s="234"/>
      <c r="H108" s="236"/>
      <c r="I108" s="27"/>
      <c r="J108" s="236" t="str">
        <f>"versie: "&amp;TEXT(Voorblad!$M$9,"dd-mm-jjjj")</f>
        <v>versie: 14-01-2005</v>
      </c>
      <c r="K108" s="236"/>
      <c r="L108" s="238"/>
      <c r="M108" s="239">
        <f>M82+1</f>
        <v>4</v>
      </c>
      <c r="R108" s="301"/>
      <c r="S108" s="301"/>
    </row>
    <row r="109" spans="2:19" s="31" customFormat="1" ht="12.75">
      <c r="B109" s="240"/>
      <c r="I109" s="45"/>
      <c r="K109" s="45"/>
      <c r="R109" s="301"/>
      <c r="S109" s="301"/>
    </row>
    <row r="110" ht="13.5" customHeight="1">
      <c r="B110" s="180" t="s">
        <v>503</v>
      </c>
    </row>
    <row r="111" spans="3:19" ht="13.5" customHeight="1">
      <c r="C111" s="91"/>
      <c r="D111" s="107"/>
      <c r="E111" s="107"/>
      <c r="F111" s="107"/>
      <c r="G111" s="278"/>
      <c r="H111" s="253" t="s">
        <v>63</v>
      </c>
      <c r="I111" s="264" t="s">
        <v>64</v>
      </c>
      <c r="J111" s="253" t="s">
        <v>51</v>
      </c>
      <c r="K111" s="264" t="s">
        <v>65</v>
      </c>
      <c r="L111" s="253" t="s">
        <v>53</v>
      </c>
      <c r="M111" s="253" t="s">
        <v>55</v>
      </c>
      <c r="N111" s="108"/>
      <c r="O111" s="300"/>
      <c r="R111" s="528" t="s">
        <v>62</v>
      </c>
      <c r="S111" s="302"/>
    </row>
    <row r="112" spans="2:19" ht="13.5" customHeight="1">
      <c r="B112" s="183" t="s">
        <v>504</v>
      </c>
      <c r="D112" s="110"/>
      <c r="E112" s="110"/>
      <c r="F112" s="110"/>
      <c r="G112" s="254" t="s">
        <v>30</v>
      </c>
      <c r="H112" s="254" t="s">
        <v>50</v>
      </c>
      <c r="I112" s="268" t="s">
        <v>57</v>
      </c>
      <c r="J112" s="254" t="s">
        <v>52</v>
      </c>
      <c r="K112" s="268" t="s">
        <v>54</v>
      </c>
      <c r="L112" s="254" t="s">
        <v>54</v>
      </c>
      <c r="M112" s="254" t="s">
        <v>56</v>
      </c>
      <c r="N112" s="83"/>
      <c r="O112" s="300"/>
      <c r="R112" s="303" t="s">
        <v>61</v>
      </c>
      <c r="S112" s="303" t="s">
        <v>60</v>
      </c>
    </row>
    <row r="113" spans="2:19" ht="13.5" customHeight="1">
      <c r="B113" s="111">
        <f>M108*100+1</f>
        <v>401</v>
      </c>
      <c r="C113" s="112" t="s">
        <v>96</v>
      </c>
      <c r="D113" s="146" t="s">
        <v>388</v>
      </c>
      <c r="E113" s="181"/>
      <c r="F113" s="182"/>
      <c r="G113" s="111" t="s">
        <v>98</v>
      </c>
      <c r="H113" s="246" t="str">
        <f>IF($G$24="ja","ja","nee")</f>
        <v>nee</v>
      </c>
      <c r="I113" s="167"/>
      <c r="J113" s="68"/>
      <c r="K113" s="227"/>
      <c r="L113" s="69"/>
      <c r="M113" s="349">
        <f>IF(H113="ja",ROUND(J113*L113,0),0)</f>
        <v>0</v>
      </c>
      <c r="N113" s="113"/>
      <c r="R113" s="304">
        <v>0</v>
      </c>
      <c r="S113" s="304">
        <v>13.3</v>
      </c>
    </row>
    <row r="114" spans="2:19" ht="13.5" customHeight="1">
      <c r="B114" s="111">
        <f>B113+1</f>
        <v>402</v>
      </c>
      <c r="C114" s="112" t="s">
        <v>99</v>
      </c>
      <c r="D114" s="146" t="s">
        <v>68</v>
      </c>
      <c r="E114" s="181"/>
      <c r="F114" s="182"/>
      <c r="G114" s="111" t="s">
        <v>98</v>
      </c>
      <c r="H114" s="246" t="str">
        <f>IF($G$24="ja","ja","nee")</f>
        <v>nee</v>
      </c>
      <c r="I114" s="167"/>
      <c r="J114" s="68"/>
      <c r="K114" s="227"/>
      <c r="L114" s="69"/>
      <c r="M114" s="349">
        <f>IF(H114="ja",ROUND(J114*L114,0),0)</f>
        <v>0</v>
      </c>
      <c r="N114" s="113"/>
      <c r="R114" s="305">
        <v>0</v>
      </c>
      <c r="S114" s="305">
        <v>26.7</v>
      </c>
    </row>
    <row r="115" spans="2:19" ht="13.5" customHeight="1">
      <c r="B115" s="101"/>
      <c r="C115" s="114"/>
      <c r="D115" s="115"/>
      <c r="E115" s="115"/>
      <c r="F115" s="115"/>
      <c r="G115" s="116"/>
      <c r="H115" s="101"/>
      <c r="I115" s="114"/>
      <c r="J115" s="89"/>
      <c r="K115" s="114"/>
      <c r="L115" s="117"/>
      <c r="M115" s="70"/>
      <c r="N115" s="83"/>
      <c r="R115" s="306"/>
      <c r="S115" s="306"/>
    </row>
    <row r="116" spans="2:19" ht="13.5" customHeight="1">
      <c r="B116" s="184" t="s">
        <v>505</v>
      </c>
      <c r="D116" s="110"/>
      <c r="E116" s="110"/>
      <c r="F116" s="110"/>
      <c r="G116" s="118"/>
      <c r="H116" s="94"/>
      <c r="I116" s="122"/>
      <c r="J116" s="489"/>
      <c r="K116" s="122"/>
      <c r="L116" s="86"/>
      <c r="M116" s="71"/>
      <c r="N116" s="83"/>
      <c r="R116" s="306"/>
      <c r="S116" s="306"/>
    </row>
    <row r="117" spans="2:19" ht="13.5" customHeight="1">
      <c r="B117" s="111">
        <f>B114+1</f>
        <v>403</v>
      </c>
      <c r="C117" s="111" t="s">
        <v>100</v>
      </c>
      <c r="D117" s="146" t="s">
        <v>69</v>
      </c>
      <c r="E117" s="181"/>
      <c r="F117" s="182"/>
      <c r="G117" s="112" t="s">
        <v>98</v>
      </c>
      <c r="H117" s="246" t="str">
        <f>IF($G$25="ja","ja","nee")</f>
        <v>nee</v>
      </c>
      <c r="I117" s="167"/>
      <c r="J117" s="68"/>
      <c r="K117" s="227"/>
      <c r="L117" s="69"/>
      <c r="M117" s="349">
        <f>IF(H117="ja",ROUND(J117*L117,0),0)</f>
        <v>0</v>
      </c>
      <c r="N117" s="113"/>
      <c r="R117" s="307">
        <v>0</v>
      </c>
      <c r="S117" s="307">
        <v>34.1</v>
      </c>
    </row>
    <row r="118" spans="2:19" ht="13.5" customHeight="1">
      <c r="B118" s="111">
        <f>B117+1</f>
        <v>404</v>
      </c>
      <c r="C118" s="111" t="s">
        <v>101</v>
      </c>
      <c r="D118" s="146" t="s">
        <v>102</v>
      </c>
      <c r="E118" s="181"/>
      <c r="F118" s="182"/>
      <c r="G118" s="112" t="s">
        <v>98</v>
      </c>
      <c r="H118" s="246" t="str">
        <f>IF($G$25="ja","ja","nee")</f>
        <v>nee</v>
      </c>
      <c r="I118" s="167"/>
      <c r="J118" s="68"/>
      <c r="K118" s="227"/>
      <c r="L118" s="69"/>
      <c r="M118" s="349">
        <f>IF(H118="ja",ROUND(J118*L118,0),0)</f>
        <v>0</v>
      </c>
      <c r="N118" s="113"/>
      <c r="R118" s="305">
        <v>0</v>
      </c>
      <c r="S118" s="305">
        <v>36.5</v>
      </c>
    </row>
    <row r="119" spans="2:19" ht="13.5" customHeight="1">
      <c r="B119" s="101"/>
      <c r="C119" s="114"/>
      <c r="D119" s="115"/>
      <c r="E119" s="115"/>
      <c r="F119" s="115"/>
      <c r="G119" s="119"/>
      <c r="H119" s="120"/>
      <c r="I119" s="114"/>
      <c r="J119" s="89"/>
      <c r="K119" s="114"/>
      <c r="L119" s="117"/>
      <c r="M119" s="70"/>
      <c r="N119" s="83"/>
      <c r="R119" s="306"/>
      <c r="S119" s="306"/>
    </row>
    <row r="120" spans="2:19" ht="13.5" customHeight="1">
      <c r="B120" s="184" t="s">
        <v>506</v>
      </c>
      <c r="D120" s="109"/>
      <c r="E120" s="109"/>
      <c r="F120" s="109"/>
      <c r="G120" s="121"/>
      <c r="H120" s="109"/>
      <c r="I120" s="122"/>
      <c r="J120" s="489"/>
      <c r="K120" s="122"/>
      <c r="L120" s="86"/>
      <c r="M120" s="71"/>
      <c r="N120" s="83"/>
      <c r="R120" s="306"/>
      <c r="S120" s="306"/>
    </row>
    <row r="121" spans="2:19" ht="13.5" customHeight="1">
      <c r="B121" s="111">
        <f>B118+1</f>
        <v>405</v>
      </c>
      <c r="C121" s="111" t="s">
        <v>103</v>
      </c>
      <c r="D121" s="146" t="s">
        <v>70</v>
      </c>
      <c r="E121" s="181"/>
      <c r="F121" s="182"/>
      <c r="G121" s="123" t="s">
        <v>98</v>
      </c>
      <c r="H121" s="246" t="str">
        <f>IF($G$26="ja","ja","nee")</f>
        <v>nee</v>
      </c>
      <c r="I121" s="167"/>
      <c r="J121" s="68"/>
      <c r="K121" s="227"/>
      <c r="L121" s="69"/>
      <c r="M121" s="349">
        <f>IF(H121="ja",ROUND(J121*L121,0),0)</f>
        <v>0</v>
      </c>
      <c r="N121" s="113"/>
      <c r="R121" s="307">
        <v>0</v>
      </c>
      <c r="S121" s="307">
        <v>58.9</v>
      </c>
    </row>
    <row r="122" spans="2:19" ht="13.5" customHeight="1">
      <c r="B122" s="111">
        <f>B121+1</f>
        <v>406</v>
      </c>
      <c r="C122" s="111" t="s">
        <v>104</v>
      </c>
      <c r="D122" s="146" t="s">
        <v>107</v>
      </c>
      <c r="E122" s="181"/>
      <c r="F122" s="182"/>
      <c r="G122" s="112" t="s">
        <v>98</v>
      </c>
      <c r="H122" s="246" t="str">
        <f>IF($G$26="ja","ja","nee")</f>
        <v>nee</v>
      </c>
      <c r="I122" s="167"/>
      <c r="J122" s="68"/>
      <c r="K122" s="227"/>
      <c r="L122" s="69"/>
      <c r="M122" s="349">
        <f>IF(H122="ja",ROUND(J122*L122,0),0)</f>
        <v>0</v>
      </c>
      <c r="N122" s="113"/>
      <c r="R122" s="304">
        <v>0</v>
      </c>
      <c r="S122" s="304">
        <v>63.1</v>
      </c>
    </row>
    <row r="123" spans="2:19" ht="13.5" customHeight="1">
      <c r="B123" s="111">
        <f>B122+1</f>
        <v>407</v>
      </c>
      <c r="C123" s="111" t="s">
        <v>105</v>
      </c>
      <c r="D123" s="175" t="s">
        <v>108</v>
      </c>
      <c r="E123" s="139"/>
      <c r="F123" s="177"/>
      <c r="G123" s="112" t="s">
        <v>98</v>
      </c>
      <c r="H123" s="246" t="str">
        <f>IF($G$26="ja","ja","nee")</f>
        <v>nee</v>
      </c>
      <c r="I123" s="167"/>
      <c r="J123" s="68"/>
      <c r="K123" s="227"/>
      <c r="L123" s="69"/>
      <c r="M123" s="349">
        <f>IF(H123="ja",ROUND(J123*L123,0),0)</f>
        <v>0</v>
      </c>
      <c r="N123" s="113"/>
      <c r="R123" s="305">
        <v>0</v>
      </c>
      <c r="S123" s="305">
        <v>65.6</v>
      </c>
    </row>
    <row r="124" spans="2:19" ht="13.5" customHeight="1">
      <c r="B124" s="101"/>
      <c r="C124" s="114"/>
      <c r="D124" s="114"/>
      <c r="E124" s="114"/>
      <c r="F124" s="114"/>
      <c r="G124" s="124"/>
      <c r="H124" s="114"/>
      <c r="I124" s="114"/>
      <c r="J124" s="89"/>
      <c r="K124" s="114"/>
      <c r="L124" s="117"/>
      <c r="M124" s="70"/>
      <c r="N124" s="83"/>
      <c r="R124" s="306"/>
      <c r="S124" s="306"/>
    </row>
    <row r="125" spans="2:19" ht="13.5" customHeight="1">
      <c r="B125" s="185" t="s">
        <v>507</v>
      </c>
      <c r="G125" s="121"/>
      <c r="H125" s="109"/>
      <c r="I125" s="122"/>
      <c r="J125" s="489"/>
      <c r="K125" s="122"/>
      <c r="L125" s="86"/>
      <c r="M125" s="71"/>
      <c r="N125" s="83"/>
      <c r="R125" s="306"/>
      <c r="S125" s="306"/>
    </row>
    <row r="126" spans="2:19" ht="13.5" customHeight="1">
      <c r="B126" s="111">
        <f>B123+1</f>
        <v>408</v>
      </c>
      <c r="C126" s="111" t="s">
        <v>110</v>
      </c>
      <c r="D126" s="146" t="s">
        <v>113</v>
      </c>
      <c r="E126" s="181"/>
      <c r="F126" s="182"/>
      <c r="G126" s="112" t="s">
        <v>98</v>
      </c>
      <c r="H126" s="246" t="str">
        <f>IF($G$27="ja","ja","nee")</f>
        <v>nee</v>
      </c>
      <c r="I126" s="167"/>
      <c r="J126" s="68"/>
      <c r="K126" s="227"/>
      <c r="L126" s="69"/>
      <c r="M126" s="349">
        <f>IF(H126="ja",ROUND(J126*L126,0),0)</f>
        <v>0</v>
      </c>
      <c r="N126" s="113"/>
      <c r="R126" s="307">
        <v>0</v>
      </c>
      <c r="S126" s="307">
        <v>42.9</v>
      </c>
    </row>
    <row r="127" spans="2:19" ht="13.5" customHeight="1">
      <c r="B127" s="111">
        <f>B126+1</f>
        <v>409</v>
      </c>
      <c r="C127" s="111" t="s">
        <v>111</v>
      </c>
      <c r="D127" s="146" t="s">
        <v>114</v>
      </c>
      <c r="E127" s="181"/>
      <c r="F127" s="182"/>
      <c r="G127" s="112" t="s">
        <v>98</v>
      </c>
      <c r="H127" s="246" t="str">
        <f>IF($G$27="ja","ja","nee")</f>
        <v>nee</v>
      </c>
      <c r="I127" s="167"/>
      <c r="J127" s="68"/>
      <c r="K127" s="227"/>
      <c r="L127" s="69"/>
      <c r="M127" s="349">
        <f>IF(H127="ja",ROUND(J127*L127,0),0)</f>
        <v>0</v>
      </c>
      <c r="N127" s="113"/>
      <c r="R127" s="304">
        <v>0</v>
      </c>
      <c r="S127" s="304">
        <v>45.9</v>
      </c>
    </row>
    <row r="128" spans="2:19" ht="13.5" customHeight="1">
      <c r="B128" s="111">
        <f>B127+1</f>
        <v>410</v>
      </c>
      <c r="C128" s="111" t="s">
        <v>248</v>
      </c>
      <c r="D128" s="146" t="s">
        <v>251</v>
      </c>
      <c r="E128" s="181"/>
      <c r="F128" s="182"/>
      <c r="G128" s="112" t="s">
        <v>98</v>
      </c>
      <c r="H128" s="246" t="str">
        <f>IF($G$27="ja","ja","nee")</f>
        <v>nee</v>
      </c>
      <c r="I128" s="167"/>
      <c r="J128" s="68"/>
      <c r="K128" s="227"/>
      <c r="L128" s="69"/>
      <c r="M128" s="349">
        <f>IF(H128="ja",ROUND(J128*L128,0),0)</f>
        <v>0</v>
      </c>
      <c r="N128" s="113"/>
      <c r="R128" s="305">
        <v>0</v>
      </c>
      <c r="S128" s="305">
        <v>82</v>
      </c>
    </row>
    <row r="129" spans="2:19" ht="13.5" customHeight="1">
      <c r="B129" s="101"/>
      <c r="C129" s="114"/>
      <c r="D129" s="115"/>
      <c r="E129" s="115"/>
      <c r="F129" s="115"/>
      <c r="G129" s="119"/>
      <c r="H129" s="120"/>
      <c r="I129" s="114"/>
      <c r="J129" s="89"/>
      <c r="K129" s="114"/>
      <c r="L129" s="126"/>
      <c r="M129" s="70"/>
      <c r="N129" s="83"/>
      <c r="R129" s="306"/>
      <c r="S129" s="306"/>
    </row>
    <row r="130" spans="2:19" ht="13.5" customHeight="1">
      <c r="B130" s="184" t="s">
        <v>508</v>
      </c>
      <c r="D130" s="72"/>
      <c r="E130" s="72"/>
      <c r="F130" s="72"/>
      <c r="G130" s="121"/>
      <c r="H130" s="109"/>
      <c r="I130" s="122"/>
      <c r="J130" s="489"/>
      <c r="K130" s="122"/>
      <c r="L130" s="86"/>
      <c r="M130" s="71"/>
      <c r="N130" s="83"/>
      <c r="R130" s="306"/>
      <c r="S130" s="306"/>
    </row>
    <row r="131" spans="2:19" ht="13.5" customHeight="1">
      <c r="B131" s="111">
        <f>B128+1</f>
        <v>411</v>
      </c>
      <c r="C131" s="111" t="s">
        <v>116</v>
      </c>
      <c r="D131" s="146" t="s">
        <v>117</v>
      </c>
      <c r="E131" s="181"/>
      <c r="F131" s="182"/>
      <c r="G131" s="112" t="s">
        <v>98</v>
      </c>
      <c r="H131" s="246" t="str">
        <f>IF($G$28="ja","ja","nee")</f>
        <v>nee</v>
      </c>
      <c r="I131" s="167"/>
      <c r="J131" s="68"/>
      <c r="K131" s="227"/>
      <c r="L131" s="69"/>
      <c r="M131" s="349">
        <f>IF(H131="ja",ROUND(J131*L131,0),0)</f>
        <v>0</v>
      </c>
      <c r="N131" s="113"/>
      <c r="R131" s="307">
        <v>0</v>
      </c>
      <c r="S131" s="307">
        <v>42.9</v>
      </c>
    </row>
    <row r="132" spans="2:19" ht="13.5" customHeight="1">
      <c r="B132" s="111">
        <f>B131+1</f>
        <v>412</v>
      </c>
      <c r="C132" s="111" t="s">
        <v>246</v>
      </c>
      <c r="D132" s="146" t="s">
        <v>389</v>
      </c>
      <c r="E132" s="181"/>
      <c r="F132" s="182"/>
      <c r="G132" s="112" t="s">
        <v>98</v>
      </c>
      <c r="H132" s="246" t="str">
        <f>IF($G$28="ja","ja","nee")</f>
        <v>nee</v>
      </c>
      <c r="I132" s="167"/>
      <c r="J132" s="68"/>
      <c r="K132" s="227"/>
      <c r="L132" s="69"/>
      <c r="M132" s="349">
        <f>IF(H132="ja",ROUND(J132*L132,0),0)</f>
        <v>0</v>
      </c>
      <c r="N132" s="113"/>
      <c r="R132" s="305">
        <v>0</v>
      </c>
      <c r="S132" s="305">
        <v>133.4</v>
      </c>
    </row>
    <row r="133" spans="2:21" ht="13.5" customHeight="1">
      <c r="B133" s="97"/>
      <c r="D133" s="127"/>
      <c r="E133" s="127"/>
      <c r="F133" s="127"/>
      <c r="G133" s="128"/>
      <c r="H133" s="92"/>
      <c r="I133" s="490"/>
      <c r="J133" s="490"/>
      <c r="K133" s="490"/>
      <c r="L133" s="129"/>
      <c r="M133" s="92"/>
      <c r="N133" s="83"/>
      <c r="R133" s="306"/>
      <c r="S133" s="306"/>
      <c r="U133" s="511" t="s">
        <v>612</v>
      </c>
    </row>
    <row r="134" spans="2:21" ht="13.5" customHeight="1">
      <c r="B134" s="184" t="s">
        <v>509</v>
      </c>
      <c r="D134" s="110"/>
      <c r="E134" s="110"/>
      <c r="F134" s="110"/>
      <c r="G134" s="130"/>
      <c r="H134" s="93"/>
      <c r="I134" s="491"/>
      <c r="J134" s="489"/>
      <c r="K134" s="491"/>
      <c r="L134" s="86"/>
      <c r="M134" s="71"/>
      <c r="N134" s="83"/>
      <c r="R134" s="306"/>
      <c r="S134" s="306"/>
      <c r="U134" s="512" t="s">
        <v>613</v>
      </c>
    </row>
    <row r="135" spans="2:21" ht="13.5" customHeight="1">
      <c r="B135" s="111">
        <f>B132+1</f>
        <v>413</v>
      </c>
      <c r="C135" s="111" t="s">
        <v>119</v>
      </c>
      <c r="D135" s="146" t="s">
        <v>390</v>
      </c>
      <c r="E135" s="181"/>
      <c r="F135" s="182"/>
      <c r="G135" s="112" t="s">
        <v>391</v>
      </c>
      <c r="H135" s="246" t="str">
        <f>IF($G$29="ja","ja","nee")</f>
        <v>nee</v>
      </c>
      <c r="I135" s="167"/>
      <c r="J135" s="68"/>
      <c r="K135" s="227"/>
      <c r="L135" s="69"/>
      <c r="M135" s="349">
        <f>IF(H135="ja",ROUND(J135*L135,0),0)</f>
        <v>0</v>
      </c>
      <c r="N135" s="113"/>
      <c r="R135" s="307">
        <v>0</v>
      </c>
      <c r="S135" s="307">
        <v>21</v>
      </c>
      <c r="U135" s="330">
        <f>IF(M135&gt;0,J135,0)</f>
        <v>0</v>
      </c>
    </row>
    <row r="136" spans="2:21" ht="13.5" customHeight="1">
      <c r="B136" s="111">
        <f>B135+1</f>
        <v>414</v>
      </c>
      <c r="C136" s="111" t="s">
        <v>120</v>
      </c>
      <c r="D136" s="146" t="s">
        <v>392</v>
      </c>
      <c r="E136" s="181"/>
      <c r="F136" s="182"/>
      <c r="G136" s="112" t="s">
        <v>391</v>
      </c>
      <c r="H136" s="246" t="str">
        <f>IF($G$29="ja","ja","nee")</f>
        <v>nee</v>
      </c>
      <c r="I136" s="167"/>
      <c r="J136" s="68"/>
      <c r="K136" s="227"/>
      <c r="L136" s="69"/>
      <c r="M136" s="349">
        <f>IF(H136="ja",ROUND(J136*L136,0),0)</f>
        <v>0</v>
      </c>
      <c r="N136" s="113"/>
      <c r="R136" s="305">
        <v>0</v>
      </c>
      <c r="S136" s="305">
        <v>21</v>
      </c>
      <c r="U136" s="334">
        <f>IF(M136&gt;0,J136,0)</f>
        <v>0</v>
      </c>
    </row>
    <row r="137" ht="13.5" customHeight="1" thickBot="1"/>
    <row r="138" spans="2:13" ht="13.5" customHeight="1" thickBot="1">
      <c r="B138" s="243">
        <f>B136+1</f>
        <v>415</v>
      </c>
      <c r="C138" s="137" t="s">
        <v>510</v>
      </c>
      <c r="D138" s="238"/>
      <c r="E138" s="238"/>
      <c r="F138" s="238"/>
      <c r="G138" s="238"/>
      <c r="H138" s="238"/>
      <c r="I138" s="238"/>
      <c r="J138" s="238"/>
      <c r="K138" s="238"/>
      <c r="L138" s="238"/>
      <c r="M138" s="350">
        <f>SUM(M113:M114)+SUM(M117:M118)+SUM(M121:M123)+SUM(M126:M128)+SUM(M131:M132)+SUM(M135:M136)</f>
        <v>0</v>
      </c>
    </row>
    <row r="139" ht="13.5" customHeight="1"/>
    <row r="140" spans="2:19" ht="13.5" customHeight="1">
      <c r="B140" s="83"/>
      <c r="D140" s="127"/>
      <c r="E140" s="127"/>
      <c r="F140" s="127"/>
      <c r="H140" s="131"/>
      <c r="I140" s="103"/>
      <c r="J140" s="78"/>
      <c r="K140" s="103"/>
      <c r="L140" s="279"/>
      <c r="M140" s="73"/>
      <c r="N140" s="83"/>
      <c r="R140" s="306"/>
      <c r="S140" s="306"/>
    </row>
    <row r="141" spans="1:19" s="31" customFormat="1" ht="18" customHeight="1">
      <c r="A141" s="231">
        <f>Voorblad!A137</f>
        <v>0</v>
      </c>
      <c r="B141" s="232">
        <f>Voorblad!A139</f>
        <v>0</v>
      </c>
      <c r="I141" s="471"/>
      <c r="J141" s="45"/>
      <c r="K141" s="471"/>
      <c r="R141" s="301"/>
      <c r="S141" s="301"/>
    </row>
    <row r="142" spans="1:19" s="31" customFormat="1" ht="18" customHeight="1">
      <c r="A142" s="233" t="s">
        <v>92</v>
      </c>
      <c r="B142" s="234" t="str">
        <f>B2</f>
        <v>Voorlopige nacalculatie 2004 AWBZ-instellingen sector V&amp;V</v>
      </c>
      <c r="C142" s="234"/>
      <c r="D142" s="234"/>
      <c r="E142" s="250"/>
      <c r="F142" s="234" t="str">
        <f>F2</f>
        <v> / </v>
      </c>
      <c r="G142" s="234"/>
      <c r="H142" s="236"/>
      <c r="I142" s="27"/>
      <c r="J142" s="492" t="str">
        <f>"versie: "&amp;TEXT(Voorblad!$M$9,"dd-mm-jjjj")</f>
        <v>versie: 14-01-2005</v>
      </c>
      <c r="K142" s="236"/>
      <c r="L142" s="238"/>
      <c r="M142" s="239">
        <f>M108+1</f>
        <v>5</v>
      </c>
      <c r="R142" s="301"/>
      <c r="S142" s="301"/>
    </row>
    <row r="143" spans="2:19" s="31" customFormat="1" ht="12.75">
      <c r="B143" s="240"/>
      <c r="I143" s="45"/>
      <c r="J143" s="45"/>
      <c r="K143" s="45"/>
      <c r="R143" s="301"/>
      <c r="S143" s="301"/>
    </row>
    <row r="144" spans="3:14" ht="13.5" customHeight="1">
      <c r="C144" s="102"/>
      <c r="G144" s="102"/>
      <c r="N144" s="102"/>
    </row>
    <row r="145" spans="3:21" ht="13.5" customHeight="1">
      <c r="C145" s="102"/>
      <c r="G145" s="278"/>
      <c r="H145" s="253" t="s">
        <v>63</v>
      </c>
      <c r="I145" s="264" t="s">
        <v>64</v>
      </c>
      <c r="J145" s="253" t="s">
        <v>51</v>
      </c>
      <c r="K145" s="264" t="s">
        <v>65</v>
      </c>
      <c r="L145" s="253" t="s">
        <v>53</v>
      </c>
      <c r="M145" s="253" t="s">
        <v>55</v>
      </c>
      <c r="N145" s="102"/>
      <c r="U145" s="481" t="s">
        <v>612</v>
      </c>
    </row>
    <row r="146" spans="2:21" ht="13.5" customHeight="1">
      <c r="B146" s="186" t="s">
        <v>511</v>
      </c>
      <c r="C146" s="72"/>
      <c r="G146" s="254" t="s">
        <v>30</v>
      </c>
      <c r="H146" s="254" t="s">
        <v>50</v>
      </c>
      <c r="I146" s="268" t="s">
        <v>57</v>
      </c>
      <c r="J146" s="254" t="s">
        <v>52</v>
      </c>
      <c r="K146" s="268" t="s">
        <v>54</v>
      </c>
      <c r="L146" s="254" t="s">
        <v>54</v>
      </c>
      <c r="M146" s="254" t="s">
        <v>56</v>
      </c>
      <c r="N146" s="83"/>
      <c r="R146" s="306"/>
      <c r="S146" s="306"/>
      <c r="U146" s="481" t="s">
        <v>613</v>
      </c>
    </row>
    <row r="147" spans="2:21" ht="13.5" customHeight="1">
      <c r="B147" s="95">
        <f>M142*100+1</f>
        <v>501</v>
      </c>
      <c r="C147" s="95" t="s">
        <v>131</v>
      </c>
      <c r="D147" s="175" t="s">
        <v>150</v>
      </c>
      <c r="E147" s="139"/>
      <c r="F147" s="177"/>
      <c r="G147" s="193" t="s">
        <v>153</v>
      </c>
      <c r="H147" s="280" t="str">
        <f>IF(OR($G$27="ja",$G$28="ja"),"ja","nee")</f>
        <v>nee</v>
      </c>
      <c r="I147" s="194"/>
      <c r="J147" s="195"/>
      <c r="K147" s="228"/>
      <c r="L147" s="196"/>
      <c r="M147" s="349">
        <f aca="true" t="shared" si="4" ref="M147:M156">IF(H147="ja",ROUND(J147*L147,0),0)</f>
        <v>0</v>
      </c>
      <c r="N147" s="113"/>
      <c r="R147" s="307">
        <v>0</v>
      </c>
      <c r="S147" s="307">
        <v>22</v>
      </c>
      <c r="U147" s="330">
        <f>IF(M147&gt;0,J147,0)</f>
        <v>0</v>
      </c>
    </row>
    <row r="148" spans="2:21" ht="13.5" customHeight="1">
      <c r="B148" s="95">
        <f>B147+1</f>
        <v>502</v>
      </c>
      <c r="C148" s="95" t="s">
        <v>132</v>
      </c>
      <c r="D148" s="175" t="s">
        <v>484</v>
      </c>
      <c r="E148" s="139"/>
      <c r="F148" s="177"/>
      <c r="G148" s="112" t="s">
        <v>153</v>
      </c>
      <c r="H148" s="246" t="str">
        <f>IF(AND($G$29="ja",OR($G$27="ja",$G$28="ja")),"ja","nee")</f>
        <v>nee</v>
      </c>
      <c r="I148" s="168"/>
      <c r="J148" s="68"/>
      <c r="K148" s="229"/>
      <c r="L148" s="69"/>
      <c r="M148" s="349">
        <f t="shared" si="4"/>
        <v>0</v>
      </c>
      <c r="N148" s="113"/>
      <c r="R148" s="304">
        <v>0</v>
      </c>
      <c r="S148" s="304">
        <v>47.6</v>
      </c>
      <c r="U148" s="332">
        <f aca="true" t="shared" si="5" ref="U148:U156">IF(M148&gt;0,J148,0)</f>
        <v>0</v>
      </c>
    </row>
    <row r="149" spans="2:21" ht="13.5" customHeight="1">
      <c r="B149" s="95">
        <f aca="true" t="shared" si="6" ref="B149:B155">B148+1</f>
        <v>503</v>
      </c>
      <c r="C149" s="95" t="s">
        <v>133</v>
      </c>
      <c r="D149" s="175" t="s">
        <v>485</v>
      </c>
      <c r="E149" s="139"/>
      <c r="F149" s="177"/>
      <c r="G149" s="112" t="s">
        <v>153</v>
      </c>
      <c r="H149" s="246" t="str">
        <f>IF(AND($G$29="ja",OR($G$27="ja",$G$28="ja")),"ja","nee")</f>
        <v>nee</v>
      </c>
      <c r="I149" s="168"/>
      <c r="J149" s="68"/>
      <c r="K149" s="229"/>
      <c r="L149" s="69"/>
      <c r="M149" s="349">
        <f t="shared" si="4"/>
        <v>0</v>
      </c>
      <c r="N149" s="113"/>
      <c r="R149" s="304">
        <v>0</v>
      </c>
      <c r="S149" s="304">
        <v>47.6</v>
      </c>
      <c r="U149" s="332">
        <f t="shared" si="5"/>
        <v>0</v>
      </c>
    </row>
    <row r="150" spans="2:21" ht="13.5" customHeight="1">
      <c r="B150" s="95">
        <f t="shared" si="6"/>
        <v>504</v>
      </c>
      <c r="C150" s="95" t="s">
        <v>134</v>
      </c>
      <c r="D150" s="175" t="s">
        <v>142</v>
      </c>
      <c r="E150" s="139"/>
      <c r="F150" s="177"/>
      <c r="G150" s="112" t="s">
        <v>153</v>
      </c>
      <c r="H150" s="246" t="str">
        <f aca="true" t="shared" si="7" ref="H150:H156">IF(OR($G$27="ja",$G$28="ja"),"ja","nee")</f>
        <v>nee</v>
      </c>
      <c r="I150" s="168"/>
      <c r="J150" s="68"/>
      <c r="K150" s="229"/>
      <c r="L150" s="69"/>
      <c r="M150" s="349">
        <f t="shared" si="4"/>
        <v>0</v>
      </c>
      <c r="N150" s="113"/>
      <c r="R150" s="304">
        <v>0</v>
      </c>
      <c r="S150" s="304">
        <v>49.7</v>
      </c>
      <c r="U150" s="332">
        <f t="shared" si="5"/>
        <v>0</v>
      </c>
    </row>
    <row r="151" spans="2:21" ht="13.5" customHeight="1">
      <c r="B151" s="95">
        <f t="shared" si="6"/>
        <v>505</v>
      </c>
      <c r="C151" s="95" t="s">
        <v>136</v>
      </c>
      <c r="D151" s="175" t="s">
        <v>144</v>
      </c>
      <c r="E151" s="139"/>
      <c r="F151" s="177"/>
      <c r="G151" s="112" t="s">
        <v>153</v>
      </c>
      <c r="H151" s="246" t="str">
        <f t="shared" si="7"/>
        <v>nee</v>
      </c>
      <c r="I151" s="168"/>
      <c r="J151" s="68"/>
      <c r="K151" s="229"/>
      <c r="L151" s="69"/>
      <c r="M151" s="349">
        <f t="shared" si="4"/>
        <v>0</v>
      </c>
      <c r="N151" s="113"/>
      <c r="R151" s="304">
        <v>0</v>
      </c>
      <c r="S151" s="304">
        <v>33.9</v>
      </c>
      <c r="U151" s="332">
        <f t="shared" si="5"/>
        <v>0</v>
      </c>
    </row>
    <row r="152" spans="2:21" s="133" customFormat="1" ht="13.5" customHeight="1">
      <c r="B152" s="95">
        <f t="shared" si="6"/>
        <v>506</v>
      </c>
      <c r="C152" s="95" t="s">
        <v>137</v>
      </c>
      <c r="D152" s="175" t="s">
        <v>145</v>
      </c>
      <c r="E152" s="139"/>
      <c r="F152" s="177"/>
      <c r="G152" s="112" t="s">
        <v>153</v>
      </c>
      <c r="H152" s="246" t="str">
        <f t="shared" si="7"/>
        <v>nee</v>
      </c>
      <c r="I152" s="168"/>
      <c r="J152" s="68"/>
      <c r="K152" s="229"/>
      <c r="L152" s="69"/>
      <c r="M152" s="349">
        <f t="shared" si="4"/>
        <v>0</v>
      </c>
      <c r="N152" s="113"/>
      <c r="R152" s="304">
        <v>0</v>
      </c>
      <c r="S152" s="304">
        <v>41</v>
      </c>
      <c r="U152" s="332">
        <f t="shared" si="5"/>
        <v>0</v>
      </c>
    </row>
    <row r="153" spans="2:21" ht="13.5" customHeight="1">
      <c r="B153" s="95">
        <f t="shared" si="6"/>
        <v>507</v>
      </c>
      <c r="C153" s="95" t="s">
        <v>138</v>
      </c>
      <c r="D153" s="175" t="s">
        <v>393</v>
      </c>
      <c r="E153" s="139"/>
      <c r="F153" s="177"/>
      <c r="G153" s="112" t="s">
        <v>153</v>
      </c>
      <c r="H153" s="246" t="str">
        <f t="shared" si="7"/>
        <v>nee</v>
      </c>
      <c r="I153" s="168"/>
      <c r="J153" s="68"/>
      <c r="K153" s="229"/>
      <c r="L153" s="69"/>
      <c r="M153" s="349">
        <f t="shared" si="4"/>
        <v>0</v>
      </c>
      <c r="N153" s="113"/>
      <c r="R153" s="304">
        <v>0</v>
      </c>
      <c r="S153" s="304">
        <v>44.7</v>
      </c>
      <c r="U153" s="332">
        <f t="shared" si="5"/>
        <v>0</v>
      </c>
    </row>
    <row r="154" spans="2:21" ht="13.5" customHeight="1">
      <c r="B154" s="95">
        <f t="shared" si="6"/>
        <v>508</v>
      </c>
      <c r="C154" s="95" t="s">
        <v>139</v>
      </c>
      <c r="D154" s="175" t="s">
        <v>147</v>
      </c>
      <c r="E154" s="139"/>
      <c r="F154" s="177"/>
      <c r="G154" s="112" t="s">
        <v>153</v>
      </c>
      <c r="H154" s="246" t="str">
        <f t="shared" si="7"/>
        <v>nee</v>
      </c>
      <c r="I154" s="168"/>
      <c r="J154" s="68"/>
      <c r="K154" s="229"/>
      <c r="L154" s="69"/>
      <c r="M154" s="349">
        <f t="shared" si="4"/>
        <v>0</v>
      </c>
      <c r="N154" s="113"/>
      <c r="R154" s="304">
        <v>0</v>
      </c>
      <c r="S154" s="304">
        <v>55.4</v>
      </c>
      <c r="U154" s="332">
        <f t="shared" si="5"/>
        <v>0</v>
      </c>
    </row>
    <row r="155" spans="2:21" ht="13.5" customHeight="1">
      <c r="B155" s="95">
        <f t="shared" si="6"/>
        <v>509</v>
      </c>
      <c r="C155" s="95" t="s">
        <v>140</v>
      </c>
      <c r="D155" s="175" t="s">
        <v>148</v>
      </c>
      <c r="E155" s="139"/>
      <c r="F155" s="177"/>
      <c r="G155" s="112" t="s">
        <v>153</v>
      </c>
      <c r="H155" s="246" t="str">
        <f t="shared" si="7"/>
        <v>nee</v>
      </c>
      <c r="I155" s="168"/>
      <c r="J155" s="68"/>
      <c r="K155" s="229"/>
      <c r="L155" s="69"/>
      <c r="M155" s="349">
        <f t="shared" si="4"/>
        <v>0</v>
      </c>
      <c r="N155" s="113"/>
      <c r="R155" s="304">
        <v>0</v>
      </c>
      <c r="S155" s="304">
        <v>40.7</v>
      </c>
      <c r="U155" s="332">
        <f t="shared" si="5"/>
        <v>0</v>
      </c>
    </row>
    <row r="156" spans="2:21" ht="13.5" customHeight="1" thickBot="1">
      <c r="B156" s="329">
        <f>B155+1</f>
        <v>510</v>
      </c>
      <c r="C156" s="111" t="s">
        <v>272</v>
      </c>
      <c r="D156" s="175" t="s">
        <v>394</v>
      </c>
      <c r="E156" s="139"/>
      <c r="F156" s="177"/>
      <c r="G156" s="112" t="s">
        <v>98</v>
      </c>
      <c r="H156" s="246" t="str">
        <f t="shared" si="7"/>
        <v>nee</v>
      </c>
      <c r="I156" s="168"/>
      <c r="J156" s="68"/>
      <c r="K156" s="229"/>
      <c r="L156" s="69"/>
      <c r="M156" s="349">
        <f t="shared" si="4"/>
        <v>0</v>
      </c>
      <c r="N156" s="113"/>
      <c r="R156" s="305">
        <v>0</v>
      </c>
      <c r="S156" s="305">
        <v>7.8</v>
      </c>
      <c r="U156" s="334">
        <f t="shared" si="5"/>
        <v>0</v>
      </c>
    </row>
    <row r="157" spans="2:19" ht="13.5" customHeight="1" thickBot="1">
      <c r="B157" s="243">
        <f>B156+1</f>
        <v>511</v>
      </c>
      <c r="C157" s="137" t="s">
        <v>276</v>
      </c>
      <c r="D157" s="238"/>
      <c r="E157" s="238"/>
      <c r="F157" s="238"/>
      <c r="G157" s="238"/>
      <c r="H157" s="238"/>
      <c r="I157" s="238"/>
      <c r="J157" s="238"/>
      <c r="K157" s="238"/>
      <c r="L157" s="238"/>
      <c r="M157" s="350">
        <f>SUM(M147:M156)</f>
        <v>0</v>
      </c>
      <c r="N157" s="83"/>
      <c r="R157" s="306"/>
      <c r="S157" s="306"/>
    </row>
    <row r="158" spans="2:19" ht="13.5" customHeight="1">
      <c r="B158" s="97"/>
      <c r="D158" s="85"/>
      <c r="E158" s="85"/>
      <c r="F158" s="85"/>
      <c r="G158" s="128"/>
      <c r="H158" s="97"/>
      <c r="I158" s="494"/>
      <c r="J158" s="495"/>
      <c r="K158" s="494"/>
      <c r="L158" s="135"/>
      <c r="M158" s="74"/>
      <c r="N158" s="83"/>
      <c r="R158" s="306"/>
      <c r="S158" s="306"/>
    </row>
    <row r="159" spans="2:19" ht="13.5" customHeight="1">
      <c r="B159" s="184" t="s">
        <v>512</v>
      </c>
      <c r="D159" s="97"/>
      <c r="E159" s="97"/>
      <c r="F159" s="97"/>
      <c r="G159" s="128"/>
      <c r="H159" s="98"/>
      <c r="I159" s="495"/>
      <c r="J159" s="496"/>
      <c r="K159" s="495"/>
      <c r="L159" s="74"/>
      <c r="M159" s="98"/>
      <c r="N159" s="75"/>
      <c r="R159" s="308"/>
      <c r="S159" s="308"/>
    </row>
    <row r="160" spans="2:19" ht="13.5" customHeight="1">
      <c r="B160" s="97"/>
      <c r="D160" s="84"/>
      <c r="E160" s="84"/>
      <c r="F160" s="84"/>
      <c r="G160" s="128"/>
      <c r="H160" s="97"/>
      <c r="I160" s="494"/>
      <c r="J160" s="495"/>
      <c r="K160" s="494"/>
      <c r="L160" s="135"/>
      <c r="M160" s="74"/>
      <c r="N160" s="83"/>
      <c r="R160" s="306"/>
      <c r="S160" s="306"/>
    </row>
    <row r="161" spans="2:19" ht="13.5" customHeight="1">
      <c r="B161" s="109" t="s">
        <v>513</v>
      </c>
      <c r="G161" s="130"/>
      <c r="H161" s="93"/>
      <c r="I161" s="491"/>
      <c r="J161" s="489"/>
      <c r="K161" s="491"/>
      <c r="L161" s="86"/>
      <c r="M161" s="71"/>
      <c r="N161" s="83"/>
      <c r="R161" s="306"/>
      <c r="S161" s="306"/>
    </row>
    <row r="162" spans="2:19" ht="13.5" customHeight="1">
      <c r="B162" s="111">
        <f>B157+1</f>
        <v>512</v>
      </c>
      <c r="C162" s="111" t="s">
        <v>154</v>
      </c>
      <c r="D162" s="146" t="s">
        <v>162</v>
      </c>
      <c r="E162" s="181"/>
      <c r="F162" s="182"/>
      <c r="G162" s="112" t="s">
        <v>155</v>
      </c>
      <c r="H162" s="246" t="str">
        <f>IF($G$31="ja","ja","nee")</f>
        <v>nee</v>
      </c>
      <c r="I162" s="167"/>
      <c r="J162" s="68"/>
      <c r="K162" s="227"/>
      <c r="L162" s="69"/>
      <c r="M162" s="349">
        <f>IF(H162="ja",ROUND(J162*L162,0),0)</f>
        <v>0</v>
      </c>
      <c r="N162" s="113"/>
      <c r="R162" s="307">
        <v>0</v>
      </c>
      <c r="S162" s="307">
        <v>22.3</v>
      </c>
    </row>
    <row r="163" spans="2:19" ht="13.5" customHeight="1">
      <c r="B163" s="111">
        <f>B162+1</f>
        <v>513</v>
      </c>
      <c r="C163" s="111" t="s">
        <v>158</v>
      </c>
      <c r="D163" s="146" t="s">
        <v>163</v>
      </c>
      <c r="E163" s="181"/>
      <c r="F163" s="182"/>
      <c r="G163" s="112" t="s">
        <v>437</v>
      </c>
      <c r="H163" s="246" t="str">
        <f>IF($G$31="ja","ja","nee")</f>
        <v>nee</v>
      </c>
      <c r="I163" s="167"/>
      <c r="J163" s="68"/>
      <c r="K163" s="227"/>
      <c r="L163" s="69"/>
      <c r="M163" s="349">
        <f>IF(H163="ja",ROUND(J163*L163,0),0)</f>
        <v>0</v>
      </c>
      <c r="N163" s="113"/>
      <c r="R163" s="304">
        <v>0</v>
      </c>
      <c r="S163" s="304">
        <v>25.5</v>
      </c>
    </row>
    <row r="164" spans="2:19" ht="13.5" customHeight="1">
      <c r="B164" s="111">
        <f>B163+1</f>
        <v>514</v>
      </c>
      <c r="C164" s="111" t="s">
        <v>159</v>
      </c>
      <c r="D164" s="146" t="s">
        <v>164</v>
      </c>
      <c r="E164" s="181"/>
      <c r="F164" s="182"/>
      <c r="G164" s="112" t="s">
        <v>437</v>
      </c>
      <c r="H164" s="246" t="str">
        <f>IF($G$31="ja","ja","nee")</f>
        <v>nee</v>
      </c>
      <c r="I164" s="167"/>
      <c r="J164" s="68"/>
      <c r="K164" s="227"/>
      <c r="L164" s="69"/>
      <c r="M164" s="349">
        <f>IF(H164="ja",ROUND(J164*L164,0),0)</f>
        <v>0</v>
      </c>
      <c r="N164" s="113"/>
      <c r="R164" s="304">
        <v>0</v>
      </c>
      <c r="S164" s="304">
        <v>44.6</v>
      </c>
    </row>
    <row r="165" spans="2:19" ht="13.5" customHeight="1">
      <c r="B165" s="111">
        <f>B164+1</f>
        <v>515</v>
      </c>
      <c r="C165" s="111" t="s">
        <v>160</v>
      </c>
      <c r="D165" s="146" t="s">
        <v>165</v>
      </c>
      <c r="E165" s="181"/>
      <c r="F165" s="182"/>
      <c r="G165" s="112" t="s">
        <v>437</v>
      </c>
      <c r="H165" s="246" t="str">
        <f>IF($G$31="ja","ja","nee")</f>
        <v>nee</v>
      </c>
      <c r="I165" s="167"/>
      <c r="J165" s="68"/>
      <c r="K165" s="227"/>
      <c r="L165" s="69"/>
      <c r="M165" s="349">
        <f>IF(H165="ja",ROUND(J165*L165,0),0)</f>
        <v>0</v>
      </c>
      <c r="N165" s="113"/>
      <c r="R165" s="304">
        <v>0</v>
      </c>
      <c r="S165" s="304">
        <v>76.4</v>
      </c>
    </row>
    <row r="166" spans="2:19" ht="13.5" customHeight="1">
      <c r="B166" s="111">
        <f>B165+1</f>
        <v>516</v>
      </c>
      <c r="C166" s="111" t="s">
        <v>161</v>
      </c>
      <c r="D166" s="146" t="s">
        <v>166</v>
      </c>
      <c r="E166" s="181"/>
      <c r="F166" s="182"/>
      <c r="G166" s="112" t="s">
        <v>395</v>
      </c>
      <c r="H166" s="246" t="str">
        <f>IF($G$31="ja","ja","nee")</f>
        <v>nee</v>
      </c>
      <c r="I166" s="167"/>
      <c r="J166" s="68"/>
      <c r="K166" s="227"/>
      <c r="L166" s="69"/>
      <c r="M166" s="349">
        <f>IF(H166="ja",ROUND(J166*L166,0),0)</f>
        <v>0</v>
      </c>
      <c r="N166" s="113"/>
      <c r="R166" s="305">
        <v>0</v>
      </c>
      <c r="S166" s="305">
        <v>19.5</v>
      </c>
    </row>
    <row r="167" ht="13.5" customHeight="1"/>
    <row r="168" spans="2:19" ht="13.5" customHeight="1">
      <c r="B168" s="109" t="s">
        <v>514</v>
      </c>
      <c r="G168" s="102"/>
      <c r="N168" s="83"/>
      <c r="R168" s="306"/>
      <c r="S168" s="306"/>
    </row>
    <row r="169" spans="2:19" ht="13.5" customHeight="1">
      <c r="B169" s="111">
        <f>B166+1</f>
        <v>517</v>
      </c>
      <c r="C169" s="111" t="s">
        <v>396</v>
      </c>
      <c r="D169" s="146" t="s">
        <v>397</v>
      </c>
      <c r="E169" s="181"/>
      <c r="F169" s="182"/>
      <c r="G169" s="112" t="s">
        <v>168</v>
      </c>
      <c r="H169" s="246" t="str">
        <f>IF($G$32="ja","ja","nee")</f>
        <v>nee</v>
      </c>
      <c r="I169" s="167"/>
      <c r="J169" s="68"/>
      <c r="K169" s="227"/>
      <c r="L169" s="69"/>
      <c r="M169" s="349">
        <f>IF(H169="ja",ROUND(J169*L169,0),0)</f>
        <v>0</v>
      </c>
      <c r="N169" s="113"/>
      <c r="R169" s="309">
        <v>0</v>
      </c>
      <c r="S169" s="309">
        <v>63.9</v>
      </c>
    </row>
    <row r="170" spans="2:19" ht="13.5" customHeight="1">
      <c r="B170" s="96"/>
      <c r="C170" s="114"/>
      <c r="D170" s="114"/>
      <c r="E170" s="114"/>
      <c r="F170" s="114"/>
      <c r="G170" s="134"/>
      <c r="H170" s="96"/>
      <c r="I170" s="493"/>
      <c r="J170" s="493"/>
      <c r="K170" s="493"/>
      <c r="L170" s="117"/>
      <c r="M170" s="70"/>
      <c r="N170" s="83"/>
      <c r="R170" s="306"/>
      <c r="S170" s="306"/>
    </row>
    <row r="171" spans="2:19" ht="13.5" customHeight="1">
      <c r="B171" s="109" t="s">
        <v>515</v>
      </c>
      <c r="G171" s="130"/>
      <c r="H171" s="93"/>
      <c r="I171" s="491"/>
      <c r="J171" s="489"/>
      <c r="K171" s="491"/>
      <c r="L171" s="86"/>
      <c r="M171" s="71"/>
      <c r="N171" s="83"/>
      <c r="R171" s="306"/>
      <c r="S171" s="306"/>
    </row>
    <row r="172" spans="2:19" ht="13.5" customHeight="1">
      <c r="B172" s="111">
        <f>B169+1</f>
        <v>518</v>
      </c>
      <c r="C172" s="111" t="s">
        <v>167</v>
      </c>
      <c r="D172" s="146" t="s">
        <v>75</v>
      </c>
      <c r="E172" s="181"/>
      <c r="F172" s="182"/>
      <c r="G172" s="112" t="s">
        <v>168</v>
      </c>
      <c r="H172" s="246" t="str">
        <f>IF($G$33="ja","ja","nee")</f>
        <v>nee</v>
      </c>
      <c r="I172" s="167"/>
      <c r="J172" s="68"/>
      <c r="K172" s="227"/>
      <c r="L172" s="69"/>
      <c r="M172" s="349">
        <f>IF(H172="ja",ROUND(J172*L172,0),0)</f>
        <v>0</v>
      </c>
      <c r="N172" s="113"/>
      <c r="R172" s="309">
        <v>0</v>
      </c>
      <c r="S172" s="309">
        <v>58.9</v>
      </c>
    </row>
    <row r="173" spans="2:19" ht="13.5" customHeight="1">
      <c r="B173" s="96"/>
      <c r="C173" s="114"/>
      <c r="D173" s="114"/>
      <c r="E173" s="114"/>
      <c r="F173" s="114"/>
      <c r="G173" s="134"/>
      <c r="H173" s="96"/>
      <c r="I173" s="493"/>
      <c r="J173" s="493"/>
      <c r="K173" s="493"/>
      <c r="L173" s="117"/>
      <c r="M173" s="70"/>
      <c r="N173" s="83"/>
      <c r="R173" s="306"/>
      <c r="S173" s="306"/>
    </row>
    <row r="174" spans="2:19" ht="13.5" customHeight="1">
      <c r="B174" s="109" t="s">
        <v>516</v>
      </c>
      <c r="G174" s="130"/>
      <c r="H174" s="93"/>
      <c r="I174" s="491"/>
      <c r="J174" s="489"/>
      <c r="K174" s="491"/>
      <c r="L174" s="86"/>
      <c r="M174" s="71"/>
      <c r="N174" s="83"/>
      <c r="R174" s="306"/>
      <c r="S174" s="306"/>
    </row>
    <row r="175" spans="2:19" ht="13.5" customHeight="1">
      <c r="B175" s="95">
        <f>B172+1</f>
        <v>519</v>
      </c>
      <c r="C175" s="95" t="s">
        <v>398</v>
      </c>
      <c r="D175" s="175" t="s">
        <v>399</v>
      </c>
      <c r="E175" s="139"/>
      <c r="F175" s="177"/>
      <c r="G175" s="95" t="s">
        <v>168</v>
      </c>
      <c r="H175" s="246" t="s">
        <v>58</v>
      </c>
      <c r="I175" s="169"/>
      <c r="J175" s="68"/>
      <c r="K175" s="230"/>
      <c r="L175" s="69"/>
      <c r="M175" s="349">
        <f>IF(H175="ja",ROUND(J175*L175,0),0)</f>
        <v>0</v>
      </c>
      <c r="N175" s="113"/>
      <c r="R175" s="309">
        <v>0</v>
      </c>
      <c r="S175" s="309">
        <v>58.9</v>
      </c>
    </row>
    <row r="176" spans="2:19" ht="13.5" customHeight="1" thickBot="1">
      <c r="B176" s="85"/>
      <c r="D176" s="97"/>
      <c r="E176" s="97"/>
      <c r="F176" s="97"/>
      <c r="G176" s="128"/>
      <c r="H176" s="97"/>
      <c r="I176" s="494"/>
      <c r="J176" s="493"/>
      <c r="K176" s="494"/>
      <c r="L176" s="136"/>
      <c r="M176" s="97"/>
      <c r="N176" s="83"/>
      <c r="R176" s="306"/>
      <c r="S176" s="306"/>
    </row>
    <row r="177" spans="2:19" ht="13.5" customHeight="1" thickBot="1">
      <c r="B177" s="154">
        <f>B175+1</f>
        <v>520</v>
      </c>
      <c r="C177" s="137" t="str">
        <f>"Totaal prestaties Overig (regel "&amp;B162&amp;" t/m regel "&amp;B175&amp;")"</f>
        <v>Totaal prestaties Overig (regel 512 t/m regel 519)</v>
      </c>
      <c r="D177" s="137"/>
      <c r="E177" s="137"/>
      <c r="F177" s="137"/>
      <c r="G177" s="138"/>
      <c r="H177" s="137"/>
      <c r="I177" s="139"/>
      <c r="J177" s="76"/>
      <c r="K177" s="139"/>
      <c r="L177" s="77"/>
      <c r="M177" s="350">
        <f>SUM(M162:M166)+M169+M172+M175</f>
        <v>0</v>
      </c>
      <c r="N177" s="83"/>
      <c r="R177" s="306"/>
      <c r="S177" s="306"/>
    </row>
    <row r="178" spans="2:19" ht="13.5" customHeight="1">
      <c r="B178" s="85"/>
      <c r="D178" s="97"/>
      <c r="E178" s="97"/>
      <c r="F178" s="97"/>
      <c r="G178" s="128"/>
      <c r="H178" s="97"/>
      <c r="I178" s="494"/>
      <c r="J178" s="495"/>
      <c r="K178" s="494"/>
      <c r="L178" s="135"/>
      <c r="M178" s="74"/>
      <c r="N178" s="83"/>
      <c r="R178" s="306"/>
      <c r="S178" s="306"/>
    </row>
    <row r="179" spans="1:19" s="31" customFormat="1" ht="18" customHeight="1">
      <c r="A179" s="231">
        <f>Voorblad!A168</f>
        <v>0</v>
      </c>
      <c r="B179" s="232">
        <f>Voorblad!A170</f>
        <v>0</v>
      </c>
      <c r="I179" s="471"/>
      <c r="J179" s="45"/>
      <c r="K179" s="471"/>
      <c r="R179" s="301"/>
      <c r="S179" s="301"/>
    </row>
    <row r="180" spans="1:19" s="31" customFormat="1" ht="18" customHeight="1">
      <c r="A180" s="233" t="s">
        <v>92</v>
      </c>
      <c r="B180" s="234" t="str">
        <f>B2</f>
        <v>Voorlopige nacalculatie 2004 AWBZ-instellingen sector V&amp;V</v>
      </c>
      <c r="C180" s="234"/>
      <c r="D180" s="234"/>
      <c r="E180" s="250"/>
      <c r="F180" s="234" t="str">
        <f>F2</f>
        <v> / </v>
      </c>
      <c r="G180" s="234"/>
      <c r="H180" s="236"/>
      <c r="I180" s="27"/>
      <c r="J180" s="492" t="str">
        <f>"versie: "&amp;TEXT(Voorblad!$M$9,"dd-mm-jjjj")</f>
        <v>versie: 14-01-2005</v>
      </c>
      <c r="K180" s="236"/>
      <c r="L180" s="238"/>
      <c r="M180" s="239">
        <f>M142+1</f>
        <v>6</v>
      </c>
      <c r="R180" s="301"/>
      <c r="S180" s="301"/>
    </row>
    <row r="181" spans="2:19" s="31" customFormat="1" ht="12.75">
      <c r="B181" s="240"/>
      <c r="I181" s="45"/>
      <c r="J181" s="45"/>
      <c r="K181" s="45"/>
      <c r="R181" s="301"/>
      <c r="S181" s="301"/>
    </row>
    <row r="182" spans="2:19" ht="13.5" customHeight="1">
      <c r="B182" s="187" t="s">
        <v>517</v>
      </c>
      <c r="G182" s="140"/>
      <c r="H182" s="107"/>
      <c r="I182" s="107"/>
      <c r="J182" s="495"/>
      <c r="K182" s="107"/>
      <c r="L182" s="79"/>
      <c r="M182" s="74"/>
      <c r="N182" s="107"/>
      <c r="R182" s="310"/>
      <c r="S182" s="310"/>
    </row>
    <row r="183" spans="2:19" ht="12" customHeight="1">
      <c r="B183" s="107"/>
      <c r="C183" s="84"/>
      <c r="D183" s="83"/>
      <c r="E183" s="83"/>
      <c r="F183" s="83"/>
      <c r="G183" s="278"/>
      <c r="H183" s="253" t="s">
        <v>63</v>
      </c>
      <c r="I183" s="264" t="s">
        <v>64</v>
      </c>
      <c r="J183" s="253" t="s">
        <v>51</v>
      </c>
      <c r="K183" s="264" t="s">
        <v>65</v>
      </c>
      <c r="L183" s="253" t="s">
        <v>53</v>
      </c>
      <c r="M183" s="253" t="s">
        <v>55</v>
      </c>
      <c r="N183" s="107"/>
      <c r="R183" s="310"/>
      <c r="S183" s="310"/>
    </row>
    <row r="184" spans="2:19" ht="13.5" customHeight="1">
      <c r="B184" s="109" t="s">
        <v>518</v>
      </c>
      <c r="G184" s="254" t="s">
        <v>30</v>
      </c>
      <c r="H184" s="254" t="s">
        <v>50</v>
      </c>
      <c r="I184" s="268" t="s">
        <v>57</v>
      </c>
      <c r="J184" s="254" t="s">
        <v>52</v>
      </c>
      <c r="K184" s="268" t="s">
        <v>54</v>
      </c>
      <c r="L184" s="254" t="s">
        <v>54</v>
      </c>
      <c r="M184" s="254" t="s">
        <v>56</v>
      </c>
      <c r="N184" s="143"/>
      <c r="R184" s="310"/>
      <c r="S184" s="310"/>
    </row>
    <row r="185" spans="2:19" ht="13.5" customHeight="1">
      <c r="B185" s="112">
        <f>M180*100+1</f>
        <v>601</v>
      </c>
      <c r="C185" s="112" t="s">
        <v>349</v>
      </c>
      <c r="D185" s="146" t="s">
        <v>173</v>
      </c>
      <c r="E185" s="181"/>
      <c r="F185" s="182"/>
      <c r="G185" s="123" t="s">
        <v>185</v>
      </c>
      <c r="H185" s="246" t="str">
        <f aca="true" t="shared" si="8" ref="H185:H195">IF($G$29="ja","ja","nee")</f>
        <v>nee</v>
      </c>
      <c r="I185" s="167"/>
      <c r="J185" s="68"/>
      <c r="K185" s="227"/>
      <c r="L185" s="69"/>
      <c r="M185" s="349">
        <f aca="true" t="shared" si="9" ref="M185:M195">IF(H185="ja",ROUND(J185*L185,0),0)</f>
        <v>0</v>
      </c>
      <c r="N185" s="144"/>
      <c r="R185" s="311">
        <v>0</v>
      </c>
      <c r="S185" s="311">
        <v>21</v>
      </c>
    </row>
    <row r="186" spans="2:19" ht="13.5" customHeight="1">
      <c r="B186" s="112">
        <f>B185+1</f>
        <v>602</v>
      </c>
      <c r="C186" s="112" t="s">
        <v>350</v>
      </c>
      <c r="D186" s="146" t="s">
        <v>174</v>
      </c>
      <c r="E186" s="181"/>
      <c r="F186" s="182"/>
      <c r="G186" s="123" t="s">
        <v>185</v>
      </c>
      <c r="H186" s="246" t="str">
        <f t="shared" si="8"/>
        <v>nee</v>
      </c>
      <c r="I186" s="167"/>
      <c r="J186" s="68"/>
      <c r="K186" s="227"/>
      <c r="L186" s="69"/>
      <c r="M186" s="349">
        <f t="shared" si="9"/>
        <v>0</v>
      </c>
      <c r="N186" s="144"/>
      <c r="R186" s="312">
        <v>0</v>
      </c>
      <c r="S186" s="312">
        <v>202</v>
      </c>
    </row>
    <row r="187" spans="2:19" ht="13.5" customHeight="1">
      <c r="B187" s="112">
        <f aca="true" t="shared" si="10" ref="B187:B196">B186+1</f>
        <v>603</v>
      </c>
      <c r="C187" s="112" t="s">
        <v>351</v>
      </c>
      <c r="D187" s="146" t="s">
        <v>175</v>
      </c>
      <c r="E187" s="181"/>
      <c r="F187" s="182"/>
      <c r="G187" s="123" t="s">
        <v>184</v>
      </c>
      <c r="H187" s="246" t="str">
        <f t="shared" si="8"/>
        <v>nee</v>
      </c>
      <c r="I187" s="167"/>
      <c r="J187" s="68"/>
      <c r="K187" s="227"/>
      <c r="L187" s="69"/>
      <c r="M187" s="349">
        <f t="shared" si="9"/>
        <v>0</v>
      </c>
      <c r="N187" s="144"/>
      <c r="R187" s="312">
        <v>0</v>
      </c>
      <c r="S187" s="312">
        <v>420</v>
      </c>
    </row>
    <row r="188" spans="2:19" ht="13.5" customHeight="1">
      <c r="B188" s="112">
        <f t="shared" si="10"/>
        <v>604</v>
      </c>
      <c r="C188" s="112" t="s">
        <v>352</v>
      </c>
      <c r="D188" s="146" t="s">
        <v>176</v>
      </c>
      <c r="E188" s="181"/>
      <c r="F188" s="182"/>
      <c r="G188" s="123" t="s">
        <v>184</v>
      </c>
      <c r="H188" s="246" t="str">
        <f t="shared" si="8"/>
        <v>nee</v>
      </c>
      <c r="I188" s="167"/>
      <c r="J188" s="68"/>
      <c r="K188" s="227"/>
      <c r="L188" s="69"/>
      <c r="M188" s="349">
        <f t="shared" si="9"/>
        <v>0</v>
      </c>
      <c r="N188" s="113"/>
      <c r="R188" s="312">
        <v>0</v>
      </c>
      <c r="S188" s="312">
        <v>102</v>
      </c>
    </row>
    <row r="189" spans="2:19" ht="13.5" customHeight="1">
      <c r="B189" s="112">
        <f t="shared" si="10"/>
        <v>605</v>
      </c>
      <c r="C189" s="112" t="s">
        <v>353</v>
      </c>
      <c r="D189" s="146" t="s">
        <v>177</v>
      </c>
      <c r="E189" s="181"/>
      <c r="F189" s="182"/>
      <c r="G189" s="123" t="s">
        <v>185</v>
      </c>
      <c r="H189" s="246" t="str">
        <f t="shared" si="8"/>
        <v>nee</v>
      </c>
      <c r="I189" s="167"/>
      <c r="J189" s="68"/>
      <c r="K189" s="227"/>
      <c r="L189" s="69"/>
      <c r="M189" s="349">
        <f t="shared" si="9"/>
        <v>0</v>
      </c>
      <c r="N189" s="113"/>
      <c r="R189" s="312">
        <v>0</v>
      </c>
      <c r="S189" s="312">
        <v>69</v>
      </c>
    </row>
    <row r="190" spans="2:19" ht="13.5" customHeight="1">
      <c r="B190" s="112">
        <f t="shared" si="10"/>
        <v>606</v>
      </c>
      <c r="C190" s="112" t="s">
        <v>354</v>
      </c>
      <c r="D190" s="146" t="s">
        <v>178</v>
      </c>
      <c r="E190" s="181"/>
      <c r="F190" s="182"/>
      <c r="G190" s="123" t="s">
        <v>184</v>
      </c>
      <c r="H190" s="246" t="str">
        <f t="shared" si="8"/>
        <v>nee</v>
      </c>
      <c r="I190" s="167"/>
      <c r="J190" s="68"/>
      <c r="K190" s="227"/>
      <c r="L190" s="69"/>
      <c r="M190" s="349">
        <f t="shared" si="9"/>
        <v>0</v>
      </c>
      <c r="N190" s="113"/>
      <c r="R190" s="312">
        <v>0</v>
      </c>
      <c r="S190" s="312">
        <v>87</v>
      </c>
    </row>
    <row r="191" spans="2:19" ht="13.5" customHeight="1">
      <c r="B191" s="112">
        <f t="shared" si="10"/>
        <v>607</v>
      </c>
      <c r="C191" s="112" t="s">
        <v>359</v>
      </c>
      <c r="D191" s="146" t="s">
        <v>179</v>
      </c>
      <c r="E191" s="181"/>
      <c r="F191" s="182"/>
      <c r="G191" s="123" t="s">
        <v>184</v>
      </c>
      <c r="H191" s="246" t="str">
        <f t="shared" si="8"/>
        <v>nee</v>
      </c>
      <c r="I191" s="167"/>
      <c r="J191" s="68"/>
      <c r="K191" s="227"/>
      <c r="L191" s="69"/>
      <c r="M191" s="349">
        <f t="shared" si="9"/>
        <v>0</v>
      </c>
      <c r="N191" s="113"/>
      <c r="R191" s="312">
        <v>0</v>
      </c>
      <c r="S191" s="312">
        <v>48</v>
      </c>
    </row>
    <row r="192" spans="2:19" ht="13.5" customHeight="1">
      <c r="B192" s="112">
        <f t="shared" si="10"/>
        <v>608</v>
      </c>
      <c r="C192" s="112" t="s">
        <v>355</v>
      </c>
      <c r="D192" s="146" t="s">
        <v>180</v>
      </c>
      <c r="E192" s="181"/>
      <c r="F192" s="182"/>
      <c r="G192" s="123" t="s">
        <v>185</v>
      </c>
      <c r="H192" s="246" t="str">
        <f t="shared" si="8"/>
        <v>nee</v>
      </c>
      <c r="I192" s="167"/>
      <c r="J192" s="68"/>
      <c r="K192" s="227"/>
      <c r="L192" s="69"/>
      <c r="M192" s="349">
        <f t="shared" si="9"/>
        <v>0</v>
      </c>
      <c r="N192" s="113"/>
      <c r="R192" s="312">
        <v>0</v>
      </c>
      <c r="S192" s="312">
        <v>60</v>
      </c>
    </row>
    <row r="193" spans="2:19" ht="13.5" customHeight="1">
      <c r="B193" s="112">
        <f t="shared" si="10"/>
        <v>609</v>
      </c>
      <c r="C193" s="112" t="s">
        <v>356</v>
      </c>
      <c r="D193" s="146" t="s">
        <v>181</v>
      </c>
      <c r="E193" s="181"/>
      <c r="F193" s="182"/>
      <c r="G193" s="123" t="s">
        <v>184</v>
      </c>
      <c r="H193" s="246" t="str">
        <f t="shared" si="8"/>
        <v>nee</v>
      </c>
      <c r="I193" s="167"/>
      <c r="J193" s="68"/>
      <c r="K193" s="227"/>
      <c r="L193" s="69"/>
      <c r="M193" s="349">
        <f t="shared" si="9"/>
        <v>0</v>
      </c>
      <c r="N193" s="113"/>
      <c r="R193" s="312">
        <v>0</v>
      </c>
      <c r="S193" s="312">
        <v>209</v>
      </c>
    </row>
    <row r="194" spans="2:19" ht="13.5" customHeight="1">
      <c r="B194" s="112">
        <f t="shared" si="10"/>
        <v>610</v>
      </c>
      <c r="C194" s="112" t="s">
        <v>357</v>
      </c>
      <c r="D194" s="146" t="s">
        <v>182</v>
      </c>
      <c r="E194" s="181"/>
      <c r="F194" s="182"/>
      <c r="G194" s="123" t="s">
        <v>184</v>
      </c>
      <c r="H194" s="246" t="str">
        <f t="shared" si="8"/>
        <v>nee</v>
      </c>
      <c r="I194" s="167"/>
      <c r="J194" s="68"/>
      <c r="K194" s="227"/>
      <c r="L194" s="69"/>
      <c r="M194" s="349">
        <f t="shared" si="9"/>
        <v>0</v>
      </c>
      <c r="N194" s="113"/>
      <c r="R194" s="312">
        <v>0</v>
      </c>
      <c r="S194" s="312">
        <v>783</v>
      </c>
    </row>
    <row r="195" spans="2:19" ht="13.5" customHeight="1" thickBot="1">
      <c r="B195" s="112">
        <f t="shared" si="10"/>
        <v>611</v>
      </c>
      <c r="C195" s="112" t="s">
        <v>358</v>
      </c>
      <c r="D195" s="146" t="s">
        <v>183</v>
      </c>
      <c r="E195" s="181"/>
      <c r="F195" s="182"/>
      <c r="G195" s="123" t="s">
        <v>184</v>
      </c>
      <c r="H195" s="246" t="str">
        <f t="shared" si="8"/>
        <v>nee</v>
      </c>
      <c r="I195" s="167"/>
      <c r="J195" s="68"/>
      <c r="K195" s="227"/>
      <c r="L195" s="69"/>
      <c r="M195" s="349">
        <f t="shared" si="9"/>
        <v>0</v>
      </c>
      <c r="N195" s="113"/>
      <c r="R195" s="313">
        <v>0</v>
      </c>
      <c r="S195" s="313">
        <v>39</v>
      </c>
    </row>
    <row r="196" spans="2:14" ht="13.5" customHeight="1" thickBot="1">
      <c r="B196" s="154">
        <f t="shared" si="10"/>
        <v>612</v>
      </c>
      <c r="C196" s="137" t="s">
        <v>360</v>
      </c>
      <c r="D196" s="137"/>
      <c r="E196" s="137"/>
      <c r="F196" s="137"/>
      <c r="G196" s="138"/>
      <c r="H196" s="137"/>
      <c r="I196" s="139"/>
      <c r="J196" s="76"/>
      <c r="K196" s="139"/>
      <c r="L196" s="77"/>
      <c r="M196" s="350">
        <f>SUM(M185:M195)</f>
        <v>0</v>
      </c>
      <c r="N196" s="113"/>
    </row>
    <row r="197" ht="7.5" customHeight="1"/>
    <row r="198" spans="2:19" ht="13.5" customHeight="1">
      <c r="B198" s="109" t="s">
        <v>519</v>
      </c>
      <c r="G198" s="102"/>
      <c r="N198" s="143"/>
      <c r="R198" s="314"/>
      <c r="S198" s="314"/>
    </row>
    <row r="199" spans="2:19" ht="13.5" customHeight="1">
      <c r="B199" s="112">
        <f>B196+1</f>
        <v>613</v>
      </c>
      <c r="C199" s="112" t="s">
        <v>361</v>
      </c>
      <c r="D199" s="146" t="s">
        <v>173</v>
      </c>
      <c r="E199" s="181"/>
      <c r="F199" s="182"/>
      <c r="G199" s="123" t="s">
        <v>185</v>
      </c>
      <c r="H199" s="246" t="str">
        <f aca="true" t="shared" si="11" ref="H199:H209">IF($G$29="ja","ja","nee")</f>
        <v>nee</v>
      </c>
      <c r="I199" s="167"/>
      <c r="J199" s="68"/>
      <c r="K199" s="227"/>
      <c r="L199" s="69"/>
      <c r="M199" s="349">
        <f aca="true" t="shared" si="12" ref="M199:M209">IF(H199="ja",ROUND(J199*L199,0),0)</f>
        <v>0</v>
      </c>
      <c r="N199" s="144"/>
      <c r="R199" s="311">
        <v>0</v>
      </c>
      <c r="S199" s="311">
        <v>21</v>
      </c>
    </row>
    <row r="200" spans="2:19" ht="13.5" customHeight="1">
      <c r="B200" s="112">
        <f>B199+1</f>
        <v>614</v>
      </c>
      <c r="C200" s="112" t="s">
        <v>362</v>
      </c>
      <c r="D200" s="146" t="s">
        <v>174</v>
      </c>
      <c r="E200" s="181"/>
      <c r="F200" s="182"/>
      <c r="G200" s="123" t="s">
        <v>185</v>
      </c>
      <c r="H200" s="246" t="str">
        <f t="shared" si="11"/>
        <v>nee</v>
      </c>
      <c r="I200" s="167"/>
      <c r="J200" s="68"/>
      <c r="K200" s="227"/>
      <c r="L200" s="69"/>
      <c r="M200" s="349">
        <f t="shared" si="12"/>
        <v>0</v>
      </c>
      <c r="N200" s="144"/>
      <c r="R200" s="312">
        <v>0</v>
      </c>
      <c r="S200" s="312">
        <v>202</v>
      </c>
    </row>
    <row r="201" spans="2:19" ht="13.5" customHeight="1">
      <c r="B201" s="112">
        <f aca="true" t="shared" si="13" ref="B201:B210">B200+1</f>
        <v>615</v>
      </c>
      <c r="C201" s="112" t="s">
        <v>363</v>
      </c>
      <c r="D201" s="146" t="s">
        <v>175</v>
      </c>
      <c r="E201" s="181"/>
      <c r="F201" s="182"/>
      <c r="G201" s="123" t="s">
        <v>184</v>
      </c>
      <c r="H201" s="246" t="str">
        <f t="shared" si="11"/>
        <v>nee</v>
      </c>
      <c r="I201" s="167"/>
      <c r="J201" s="68"/>
      <c r="K201" s="227"/>
      <c r="L201" s="69"/>
      <c r="M201" s="349">
        <f t="shared" si="12"/>
        <v>0</v>
      </c>
      <c r="N201" s="144"/>
      <c r="R201" s="312">
        <v>0</v>
      </c>
      <c r="S201" s="312">
        <v>420</v>
      </c>
    </row>
    <row r="202" spans="2:19" ht="13.5" customHeight="1">
      <c r="B202" s="112">
        <f t="shared" si="13"/>
        <v>616</v>
      </c>
      <c r="C202" s="112" t="s">
        <v>364</v>
      </c>
      <c r="D202" s="146" t="s">
        <v>176</v>
      </c>
      <c r="E202" s="181"/>
      <c r="F202" s="182"/>
      <c r="G202" s="123" t="s">
        <v>184</v>
      </c>
      <c r="H202" s="246" t="str">
        <f t="shared" si="11"/>
        <v>nee</v>
      </c>
      <c r="I202" s="167"/>
      <c r="J202" s="68"/>
      <c r="K202" s="227"/>
      <c r="L202" s="69"/>
      <c r="M202" s="349">
        <f t="shared" si="12"/>
        <v>0</v>
      </c>
      <c r="N202" s="113"/>
      <c r="R202" s="312">
        <v>0</v>
      </c>
      <c r="S202" s="312">
        <v>102</v>
      </c>
    </row>
    <row r="203" spans="2:19" ht="13.5" customHeight="1">
      <c r="B203" s="112">
        <f t="shared" si="13"/>
        <v>617</v>
      </c>
      <c r="C203" s="112" t="s">
        <v>365</v>
      </c>
      <c r="D203" s="146" t="s">
        <v>177</v>
      </c>
      <c r="E203" s="181"/>
      <c r="F203" s="182"/>
      <c r="G203" s="123" t="s">
        <v>185</v>
      </c>
      <c r="H203" s="246" t="str">
        <f t="shared" si="11"/>
        <v>nee</v>
      </c>
      <c r="I203" s="167"/>
      <c r="J203" s="68"/>
      <c r="K203" s="227"/>
      <c r="L203" s="69"/>
      <c r="M203" s="349">
        <f t="shared" si="12"/>
        <v>0</v>
      </c>
      <c r="N203" s="113"/>
      <c r="R203" s="312">
        <v>0</v>
      </c>
      <c r="S203" s="312">
        <v>69</v>
      </c>
    </row>
    <row r="204" spans="2:19" ht="13.5" customHeight="1">
      <c r="B204" s="112">
        <f t="shared" si="13"/>
        <v>618</v>
      </c>
      <c r="C204" s="112" t="s">
        <v>366</v>
      </c>
      <c r="D204" s="146" t="s">
        <v>178</v>
      </c>
      <c r="E204" s="181"/>
      <c r="F204" s="182"/>
      <c r="G204" s="123" t="s">
        <v>184</v>
      </c>
      <c r="H204" s="246" t="str">
        <f t="shared" si="11"/>
        <v>nee</v>
      </c>
      <c r="I204" s="167"/>
      <c r="J204" s="68"/>
      <c r="K204" s="227"/>
      <c r="L204" s="69"/>
      <c r="M204" s="349">
        <f t="shared" si="12"/>
        <v>0</v>
      </c>
      <c r="N204" s="113"/>
      <c r="R204" s="312">
        <v>0</v>
      </c>
      <c r="S204" s="312">
        <v>87</v>
      </c>
    </row>
    <row r="205" spans="2:19" ht="13.5" customHeight="1">
      <c r="B205" s="112">
        <f t="shared" si="13"/>
        <v>619</v>
      </c>
      <c r="C205" s="112" t="s">
        <v>372</v>
      </c>
      <c r="D205" s="146" t="s">
        <v>179</v>
      </c>
      <c r="E205" s="181"/>
      <c r="F205" s="182"/>
      <c r="G205" s="123" t="s">
        <v>184</v>
      </c>
      <c r="H205" s="246" t="str">
        <f t="shared" si="11"/>
        <v>nee</v>
      </c>
      <c r="I205" s="167"/>
      <c r="J205" s="68"/>
      <c r="K205" s="227"/>
      <c r="L205" s="69"/>
      <c r="M205" s="349">
        <f t="shared" si="12"/>
        <v>0</v>
      </c>
      <c r="N205" s="113"/>
      <c r="R205" s="312">
        <v>0</v>
      </c>
      <c r="S205" s="312">
        <v>48</v>
      </c>
    </row>
    <row r="206" spans="2:19" ht="13.5" customHeight="1">
      <c r="B206" s="112">
        <f t="shared" si="13"/>
        <v>620</v>
      </c>
      <c r="C206" s="112" t="s">
        <v>367</v>
      </c>
      <c r="D206" s="146" t="s">
        <v>180</v>
      </c>
      <c r="E206" s="181"/>
      <c r="F206" s="182"/>
      <c r="G206" s="123" t="s">
        <v>185</v>
      </c>
      <c r="H206" s="246" t="str">
        <f t="shared" si="11"/>
        <v>nee</v>
      </c>
      <c r="I206" s="167"/>
      <c r="J206" s="68"/>
      <c r="K206" s="227"/>
      <c r="L206" s="69"/>
      <c r="M206" s="349">
        <f t="shared" si="12"/>
        <v>0</v>
      </c>
      <c r="N206" s="113"/>
      <c r="R206" s="312">
        <v>0</v>
      </c>
      <c r="S206" s="312">
        <v>60</v>
      </c>
    </row>
    <row r="207" spans="2:19" ht="13.5" customHeight="1">
      <c r="B207" s="112">
        <f t="shared" si="13"/>
        <v>621</v>
      </c>
      <c r="C207" s="112" t="s">
        <v>368</v>
      </c>
      <c r="D207" s="146" t="s">
        <v>181</v>
      </c>
      <c r="E207" s="181"/>
      <c r="F207" s="182"/>
      <c r="G207" s="123" t="s">
        <v>184</v>
      </c>
      <c r="H207" s="246" t="str">
        <f t="shared" si="11"/>
        <v>nee</v>
      </c>
      <c r="I207" s="167"/>
      <c r="J207" s="68"/>
      <c r="K207" s="227"/>
      <c r="L207" s="69"/>
      <c r="M207" s="349">
        <f t="shared" si="12"/>
        <v>0</v>
      </c>
      <c r="N207" s="113"/>
      <c r="R207" s="312">
        <v>0</v>
      </c>
      <c r="S207" s="312">
        <v>209</v>
      </c>
    </row>
    <row r="208" spans="2:19" ht="13.5" customHeight="1">
      <c r="B208" s="112">
        <f t="shared" si="13"/>
        <v>622</v>
      </c>
      <c r="C208" s="112" t="s">
        <v>369</v>
      </c>
      <c r="D208" s="146" t="s">
        <v>182</v>
      </c>
      <c r="E208" s="181"/>
      <c r="F208" s="182"/>
      <c r="G208" s="123" t="s">
        <v>184</v>
      </c>
      <c r="H208" s="246" t="str">
        <f t="shared" si="11"/>
        <v>nee</v>
      </c>
      <c r="I208" s="167"/>
      <c r="J208" s="68"/>
      <c r="K208" s="227"/>
      <c r="L208" s="69"/>
      <c r="M208" s="349">
        <f t="shared" si="12"/>
        <v>0</v>
      </c>
      <c r="N208" s="113"/>
      <c r="R208" s="312">
        <v>0</v>
      </c>
      <c r="S208" s="312">
        <v>783</v>
      </c>
    </row>
    <row r="209" spans="2:19" ht="13.5" customHeight="1" thickBot="1">
      <c r="B209" s="112">
        <f t="shared" si="13"/>
        <v>623</v>
      </c>
      <c r="C209" s="112" t="s">
        <v>370</v>
      </c>
      <c r="D209" s="146" t="s">
        <v>183</v>
      </c>
      <c r="E209" s="181"/>
      <c r="F209" s="182"/>
      <c r="G209" s="123" t="s">
        <v>184</v>
      </c>
      <c r="H209" s="246" t="str">
        <f t="shared" si="11"/>
        <v>nee</v>
      </c>
      <c r="I209" s="167"/>
      <c r="J209" s="68"/>
      <c r="K209" s="227"/>
      <c r="L209" s="69"/>
      <c r="M209" s="349">
        <f t="shared" si="12"/>
        <v>0</v>
      </c>
      <c r="N209" s="113"/>
      <c r="R209" s="313">
        <v>0</v>
      </c>
      <c r="S209" s="313">
        <v>39</v>
      </c>
    </row>
    <row r="210" spans="2:14" ht="13.5" customHeight="1" thickBot="1">
      <c r="B210" s="154">
        <f t="shared" si="13"/>
        <v>624</v>
      </c>
      <c r="C210" s="137" t="s">
        <v>374</v>
      </c>
      <c r="D210" s="90"/>
      <c r="E210" s="137"/>
      <c r="F210" s="137"/>
      <c r="G210" s="138"/>
      <c r="H210" s="137"/>
      <c r="I210" s="139"/>
      <c r="J210" s="76"/>
      <c r="K210" s="139"/>
      <c r="L210" s="80"/>
      <c r="M210" s="350">
        <f>SUM(M199:M209)</f>
        <v>0</v>
      </c>
      <c r="N210" s="113"/>
    </row>
    <row r="211" spans="2:19" ht="7.5" customHeight="1">
      <c r="B211" s="84"/>
      <c r="D211" s="84"/>
      <c r="E211" s="84"/>
      <c r="F211" s="84"/>
      <c r="G211" s="132"/>
      <c r="H211" s="84"/>
      <c r="I211" s="85"/>
      <c r="J211" s="145"/>
      <c r="K211" s="85"/>
      <c r="L211" s="81"/>
      <c r="M211" s="74"/>
      <c r="N211" s="85"/>
      <c r="R211" s="308"/>
      <c r="S211" s="308"/>
    </row>
    <row r="212" spans="2:19" ht="13.5" customHeight="1">
      <c r="B212" s="109" t="s">
        <v>520</v>
      </c>
      <c r="G212" s="130"/>
      <c r="H212" s="99"/>
      <c r="I212" s="497"/>
      <c r="J212" s="497"/>
      <c r="K212" s="497"/>
      <c r="L212" s="141"/>
      <c r="M212" s="142"/>
      <c r="N212" s="143"/>
      <c r="R212" s="314"/>
      <c r="S212" s="314"/>
    </row>
    <row r="213" spans="2:19" ht="13.5" customHeight="1">
      <c r="B213" s="112">
        <f>B210+1</f>
        <v>625</v>
      </c>
      <c r="C213" s="112" t="s">
        <v>371</v>
      </c>
      <c r="D213" s="146" t="s">
        <v>173</v>
      </c>
      <c r="E213" s="181"/>
      <c r="F213" s="182"/>
      <c r="G213" s="123" t="s">
        <v>185</v>
      </c>
      <c r="H213" s="246" t="str">
        <f aca="true" t="shared" si="14" ref="H213:H223">IF($G$29="ja","ja","nee")</f>
        <v>nee</v>
      </c>
      <c r="I213" s="167"/>
      <c r="J213" s="68"/>
      <c r="K213" s="227"/>
      <c r="L213" s="69"/>
      <c r="M213" s="349">
        <f aca="true" t="shared" si="15" ref="M213:M223">IF(H213="ja",ROUND(J213*L213,0),0)</f>
        <v>0</v>
      </c>
      <c r="N213" s="144"/>
      <c r="R213" s="311">
        <v>0</v>
      </c>
      <c r="S213" s="311">
        <v>21</v>
      </c>
    </row>
    <row r="214" spans="2:19" ht="13.5" customHeight="1">
      <c r="B214" s="112">
        <f>B213+1</f>
        <v>626</v>
      </c>
      <c r="C214" s="112" t="s">
        <v>375</v>
      </c>
      <c r="D214" s="146" t="s">
        <v>174</v>
      </c>
      <c r="E214" s="181"/>
      <c r="F214" s="182"/>
      <c r="G214" s="123" t="s">
        <v>185</v>
      </c>
      <c r="H214" s="246" t="str">
        <f t="shared" si="14"/>
        <v>nee</v>
      </c>
      <c r="I214" s="167"/>
      <c r="J214" s="68"/>
      <c r="K214" s="227"/>
      <c r="L214" s="69"/>
      <c r="M214" s="349">
        <f t="shared" si="15"/>
        <v>0</v>
      </c>
      <c r="N214" s="144"/>
      <c r="R214" s="312">
        <v>0</v>
      </c>
      <c r="S214" s="312">
        <v>202</v>
      </c>
    </row>
    <row r="215" spans="2:19" ht="13.5" customHeight="1">
      <c r="B215" s="112">
        <f aca="true" t="shared" si="16" ref="B215:B224">B214+1</f>
        <v>627</v>
      </c>
      <c r="C215" s="112" t="s">
        <v>376</v>
      </c>
      <c r="D215" s="146" t="s">
        <v>175</v>
      </c>
      <c r="E215" s="181"/>
      <c r="F215" s="182"/>
      <c r="G215" s="123" t="s">
        <v>184</v>
      </c>
      <c r="H215" s="246" t="str">
        <f t="shared" si="14"/>
        <v>nee</v>
      </c>
      <c r="I215" s="167"/>
      <c r="J215" s="68"/>
      <c r="K215" s="227"/>
      <c r="L215" s="69"/>
      <c r="M215" s="349">
        <f t="shared" si="15"/>
        <v>0</v>
      </c>
      <c r="N215" s="144"/>
      <c r="R215" s="312">
        <v>0</v>
      </c>
      <c r="S215" s="312">
        <v>420</v>
      </c>
    </row>
    <row r="216" spans="2:19" ht="13.5" customHeight="1">
      <c r="B216" s="112">
        <f t="shared" si="16"/>
        <v>628</v>
      </c>
      <c r="C216" s="112" t="s">
        <v>377</v>
      </c>
      <c r="D216" s="146" t="s">
        <v>176</v>
      </c>
      <c r="E216" s="181"/>
      <c r="F216" s="182"/>
      <c r="G216" s="123" t="s">
        <v>184</v>
      </c>
      <c r="H216" s="246" t="str">
        <f t="shared" si="14"/>
        <v>nee</v>
      </c>
      <c r="I216" s="167"/>
      <c r="J216" s="68"/>
      <c r="K216" s="227"/>
      <c r="L216" s="69"/>
      <c r="M216" s="349">
        <f t="shared" si="15"/>
        <v>0</v>
      </c>
      <c r="N216" s="113"/>
      <c r="R216" s="312">
        <v>0</v>
      </c>
      <c r="S216" s="312">
        <v>102</v>
      </c>
    </row>
    <row r="217" spans="2:19" ht="13.5" customHeight="1">
      <c r="B217" s="112">
        <f t="shared" si="16"/>
        <v>629</v>
      </c>
      <c r="C217" s="112" t="s">
        <v>378</v>
      </c>
      <c r="D217" s="146" t="s">
        <v>177</v>
      </c>
      <c r="E217" s="181"/>
      <c r="F217" s="182"/>
      <c r="G217" s="123" t="s">
        <v>185</v>
      </c>
      <c r="H217" s="246" t="str">
        <f t="shared" si="14"/>
        <v>nee</v>
      </c>
      <c r="I217" s="167"/>
      <c r="J217" s="68"/>
      <c r="K217" s="227"/>
      <c r="L217" s="69"/>
      <c r="M217" s="349">
        <f t="shared" si="15"/>
        <v>0</v>
      </c>
      <c r="N217" s="113"/>
      <c r="R217" s="312">
        <v>0</v>
      </c>
      <c r="S217" s="312">
        <v>69</v>
      </c>
    </row>
    <row r="218" spans="2:19" ht="13.5" customHeight="1">
      <c r="B218" s="112">
        <f t="shared" si="16"/>
        <v>630</v>
      </c>
      <c r="C218" s="112" t="s">
        <v>379</v>
      </c>
      <c r="D218" s="146" t="s">
        <v>178</v>
      </c>
      <c r="E218" s="181"/>
      <c r="F218" s="182"/>
      <c r="G218" s="123" t="s">
        <v>184</v>
      </c>
      <c r="H218" s="246" t="str">
        <f t="shared" si="14"/>
        <v>nee</v>
      </c>
      <c r="I218" s="167"/>
      <c r="J218" s="68"/>
      <c r="K218" s="227"/>
      <c r="L218" s="69"/>
      <c r="M218" s="349">
        <f t="shared" si="15"/>
        <v>0</v>
      </c>
      <c r="N218" s="113"/>
      <c r="R218" s="312">
        <v>0</v>
      </c>
      <c r="S218" s="312">
        <v>87</v>
      </c>
    </row>
    <row r="219" spans="2:19" ht="13.5" customHeight="1">
      <c r="B219" s="112">
        <f t="shared" si="16"/>
        <v>631</v>
      </c>
      <c r="C219" s="112" t="s">
        <v>384</v>
      </c>
      <c r="D219" s="146" t="s">
        <v>179</v>
      </c>
      <c r="E219" s="181"/>
      <c r="F219" s="182"/>
      <c r="G219" s="123" t="s">
        <v>184</v>
      </c>
      <c r="H219" s="246" t="str">
        <f t="shared" si="14"/>
        <v>nee</v>
      </c>
      <c r="I219" s="167"/>
      <c r="J219" s="68"/>
      <c r="K219" s="227"/>
      <c r="L219" s="69"/>
      <c r="M219" s="349">
        <f t="shared" si="15"/>
        <v>0</v>
      </c>
      <c r="N219" s="113"/>
      <c r="R219" s="312">
        <v>0</v>
      </c>
      <c r="S219" s="312">
        <v>48</v>
      </c>
    </row>
    <row r="220" spans="2:19" ht="13.5" customHeight="1">
      <c r="B220" s="112">
        <f t="shared" si="16"/>
        <v>632</v>
      </c>
      <c r="C220" s="112" t="s">
        <v>380</v>
      </c>
      <c r="D220" s="146" t="s">
        <v>180</v>
      </c>
      <c r="E220" s="181"/>
      <c r="F220" s="182"/>
      <c r="G220" s="123" t="s">
        <v>185</v>
      </c>
      <c r="H220" s="246" t="str">
        <f t="shared" si="14"/>
        <v>nee</v>
      </c>
      <c r="I220" s="167"/>
      <c r="J220" s="68"/>
      <c r="K220" s="227"/>
      <c r="L220" s="69"/>
      <c r="M220" s="349">
        <f t="shared" si="15"/>
        <v>0</v>
      </c>
      <c r="N220" s="113"/>
      <c r="R220" s="312">
        <v>0</v>
      </c>
      <c r="S220" s="312">
        <v>60</v>
      </c>
    </row>
    <row r="221" spans="2:19" ht="13.5" customHeight="1">
      <c r="B221" s="112">
        <f t="shared" si="16"/>
        <v>633</v>
      </c>
      <c r="C221" s="112" t="s">
        <v>381</v>
      </c>
      <c r="D221" s="146" t="s">
        <v>181</v>
      </c>
      <c r="E221" s="181"/>
      <c r="F221" s="182"/>
      <c r="G221" s="123" t="s">
        <v>184</v>
      </c>
      <c r="H221" s="246" t="str">
        <f t="shared" si="14"/>
        <v>nee</v>
      </c>
      <c r="I221" s="167"/>
      <c r="J221" s="68"/>
      <c r="K221" s="227"/>
      <c r="L221" s="69"/>
      <c r="M221" s="349">
        <f t="shared" si="15"/>
        <v>0</v>
      </c>
      <c r="N221" s="113"/>
      <c r="R221" s="312">
        <v>0</v>
      </c>
      <c r="S221" s="312">
        <v>209</v>
      </c>
    </row>
    <row r="222" spans="2:19" ht="13.5" customHeight="1">
      <c r="B222" s="112">
        <f t="shared" si="16"/>
        <v>634</v>
      </c>
      <c r="C222" s="112" t="s">
        <v>382</v>
      </c>
      <c r="D222" s="146" t="s">
        <v>182</v>
      </c>
      <c r="E222" s="181"/>
      <c r="F222" s="182"/>
      <c r="G222" s="123" t="s">
        <v>184</v>
      </c>
      <c r="H222" s="246" t="str">
        <f t="shared" si="14"/>
        <v>nee</v>
      </c>
      <c r="I222" s="167"/>
      <c r="J222" s="68"/>
      <c r="K222" s="227"/>
      <c r="L222" s="69"/>
      <c r="M222" s="349">
        <f t="shared" si="15"/>
        <v>0</v>
      </c>
      <c r="N222" s="113"/>
      <c r="R222" s="312">
        <v>0</v>
      </c>
      <c r="S222" s="312">
        <v>783</v>
      </c>
    </row>
    <row r="223" spans="2:19" ht="13.5" customHeight="1" thickBot="1">
      <c r="B223" s="112">
        <f t="shared" si="16"/>
        <v>635</v>
      </c>
      <c r="C223" s="112" t="s">
        <v>383</v>
      </c>
      <c r="D223" s="146" t="s">
        <v>183</v>
      </c>
      <c r="E223" s="181"/>
      <c r="F223" s="182"/>
      <c r="G223" s="123" t="s">
        <v>184</v>
      </c>
      <c r="H223" s="246" t="str">
        <f t="shared" si="14"/>
        <v>nee</v>
      </c>
      <c r="I223" s="167"/>
      <c r="J223" s="68"/>
      <c r="K223" s="227"/>
      <c r="L223" s="69"/>
      <c r="M223" s="349">
        <f t="shared" si="15"/>
        <v>0</v>
      </c>
      <c r="N223" s="113"/>
      <c r="R223" s="313">
        <v>0</v>
      </c>
      <c r="S223" s="313">
        <v>39</v>
      </c>
    </row>
    <row r="224" spans="2:14" ht="13.5" customHeight="1" thickBot="1">
      <c r="B224" s="154">
        <f t="shared" si="16"/>
        <v>636</v>
      </c>
      <c r="C224" s="137" t="s">
        <v>373</v>
      </c>
      <c r="D224" s="90"/>
      <c r="E224" s="137"/>
      <c r="F224" s="137"/>
      <c r="G224" s="138"/>
      <c r="H224" s="137"/>
      <c r="I224" s="139"/>
      <c r="J224" s="76"/>
      <c r="K224" s="139"/>
      <c r="L224" s="80"/>
      <c r="M224" s="350">
        <f>SUM(M213:M223)</f>
        <v>0</v>
      </c>
      <c r="N224" s="113"/>
    </row>
    <row r="225" spans="1:19" s="31" customFormat="1" ht="18" customHeight="1">
      <c r="A225" s="231">
        <f>Voorblad!A214</f>
        <v>0</v>
      </c>
      <c r="B225" s="232">
        <f>Voorblad!A216</f>
        <v>0</v>
      </c>
      <c r="I225" s="471"/>
      <c r="J225" s="45"/>
      <c r="K225" s="471"/>
      <c r="R225" s="301"/>
      <c r="S225" s="301"/>
    </row>
    <row r="226" spans="1:19" s="31" customFormat="1" ht="18" customHeight="1">
      <c r="A226" s="233" t="s">
        <v>92</v>
      </c>
      <c r="B226" s="234" t="str">
        <f>B2</f>
        <v>Voorlopige nacalculatie 2004 AWBZ-instellingen sector V&amp;V</v>
      </c>
      <c r="C226" s="234"/>
      <c r="D226" s="234"/>
      <c r="E226" s="250"/>
      <c r="F226" s="234" t="str">
        <f>F2</f>
        <v> / </v>
      </c>
      <c r="G226" s="234"/>
      <c r="H226" s="236"/>
      <c r="I226" s="27"/>
      <c r="J226" s="492" t="str">
        <f>"versie: "&amp;TEXT(Voorblad!$M$9,"dd-mm-jjjj")</f>
        <v>versie: 14-01-2005</v>
      </c>
      <c r="K226" s="236"/>
      <c r="L226" s="238"/>
      <c r="M226" s="239">
        <f>M180+1</f>
        <v>7</v>
      </c>
      <c r="R226" s="301"/>
      <c r="S226" s="301"/>
    </row>
    <row r="227" spans="2:19" s="31" customFormat="1" ht="12.75">
      <c r="B227" s="240"/>
      <c r="I227" s="45"/>
      <c r="J227" s="45"/>
      <c r="K227" s="45"/>
      <c r="R227" s="301"/>
      <c r="S227" s="301"/>
    </row>
    <row r="228" spans="2:19" ht="13.5" customHeight="1">
      <c r="B228" s="84"/>
      <c r="D228" s="84"/>
      <c r="E228" s="84"/>
      <c r="F228" s="84"/>
      <c r="G228" s="132"/>
      <c r="H228" s="84"/>
      <c r="I228" s="85"/>
      <c r="J228" s="145"/>
      <c r="K228" s="85"/>
      <c r="L228" s="81"/>
      <c r="M228" s="74"/>
      <c r="N228" s="85"/>
      <c r="R228" s="308"/>
      <c r="S228" s="308"/>
    </row>
    <row r="229" spans="3:19" ht="13.5" customHeight="1">
      <c r="C229" s="102"/>
      <c r="G229" s="278"/>
      <c r="H229" s="253" t="s">
        <v>63</v>
      </c>
      <c r="I229" s="264" t="s">
        <v>64</v>
      </c>
      <c r="J229" s="253" t="s">
        <v>51</v>
      </c>
      <c r="K229" s="264" t="s">
        <v>65</v>
      </c>
      <c r="L229" s="253" t="s">
        <v>53</v>
      </c>
      <c r="M229" s="253" t="s">
        <v>55</v>
      </c>
      <c r="N229" s="83"/>
      <c r="R229" s="306"/>
      <c r="S229" s="306"/>
    </row>
    <row r="230" spans="2:14" ht="13.5" customHeight="1">
      <c r="B230" s="109" t="s">
        <v>521</v>
      </c>
      <c r="G230" s="254" t="s">
        <v>30</v>
      </c>
      <c r="H230" s="254" t="s">
        <v>50</v>
      </c>
      <c r="I230" s="268" t="s">
        <v>57</v>
      </c>
      <c r="J230" s="254" t="s">
        <v>52</v>
      </c>
      <c r="K230" s="268" t="s">
        <v>54</v>
      </c>
      <c r="L230" s="254" t="s">
        <v>54</v>
      </c>
      <c r="M230" s="254" t="s">
        <v>56</v>
      </c>
      <c r="N230" s="113"/>
    </row>
    <row r="231" spans="2:19" ht="13.5" customHeight="1">
      <c r="B231" s="112">
        <f>M226*100+1</f>
        <v>701</v>
      </c>
      <c r="C231" s="112" t="s">
        <v>186</v>
      </c>
      <c r="D231" s="146" t="s">
        <v>173</v>
      </c>
      <c r="E231" s="181"/>
      <c r="F231" s="182"/>
      <c r="G231" s="123" t="s">
        <v>185</v>
      </c>
      <c r="H231" s="246" t="str">
        <f aca="true" t="shared" si="17" ref="H231:H241">IF($G$29="ja","ja","nee")</f>
        <v>nee</v>
      </c>
      <c r="I231" s="167"/>
      <c r="J231" s="68"/>
      <c r="K231" s="227"/>
      <c r="L231" s="69"/>
      <c r="M231" s="349">
        <f aca="true" t="shared" si="18" ref="M231:M241">IF(H231="ja",ROUND(J231*L231,0),0)</f>
        <v>0</v>
      </c>
      <c r="N231" s="113"/>
      <c r="R231" s="307">
        <v>0</v>
      </c>
      <c r="S231" s="307">
        <v>21</v>
      </c>
    </row>
    <row r="232" spans="2:19" ht="13.5" customHeight="1">
      <c r="B232" s="112">
        <f>B231+1</f>
        <v>702</v>
      </c>
      <c r="C232" s="112" t="s">
        <v>187</v>
      </c>
      <c r="D232" s="146" t="s">
        <v>174</v>
      </c>
      <c r="E232" s="181"/>
      <c r="F232" s="182"/>
      <c r="G232" s="123" t="s">
        <v>185</v>
      </c>
      <c r="H232" s="246" t="str">
        <f t="shared" si="17"/>
        <v>nee</v>
      </c>
      <c r="I232" s="167"/>
      <c r="J232" s="68"/>
      <c r="K232" s="227"/>
      <c r="L232" s="69"/>
      <c r="M232" s="349">
        <f t="shared" si="18"/>
        <v>0</v>
      </c>
      <c r="N232" s="113"/>
      <c r="R232" s="304">
        <v>0</v>
      </c>
      <c r="S232" s="304">
        <v>161</v>
      </c>
    </row>
    <row r="233" spans="2:19" ht="13.5" customHeight="1">
      <c r="B233" s="112">
        <f aca="true" t="shared" si="19" ref="B233:B242">B232+1</f>
        <v>703</v>
      </c>
      <c r="C233" s="112" t="s">
        <v>188</v>
      </c>
      <c r="D233" s="146" t="s">
        <v>175</v>
      </c>
      <c r="E233" s="181"/>
      <c r="F233" s="182"/>
      <c r="G233" s="123" t="s">
        <v>184</v>
      </c>
      <c r="H233" s="246" t="str">
        <f t="shared" si="17"/>
        <v>nee</v>
      </c>
      <c r="I233" s="167"/>
      <c r="J233" s="68"/>
      <c r="K233" s="227"/>
      <c r="L233" s="69"/>
      <c r="M233" s="349">
        <f t="shared" si="18"/>
        <v>0</v>
      </c>
      <c r="N233" s="113"/>
      <c r="R233" s="304">
        <v>0</v>
      </c>
      <c r="S233" s="304">
        <v>440</v>
      </c>
    </row>
    <row r="234" spans="2:19" ht="13.5" customHeight="1">
      <c r="B234" s="112">
        <f t="shared" si="19"/>
        <v>704</v>
      </c>
      <c r="C234" s="112" t="s">
        <v>189</v>
      </c>
      <c r="D234" s="146" t="s">
        <v>176</v>
      </c>
      <c r="E234" s="181"/>
      <c r="F234" s="182"/>
      <c r="G234" s="123" t="s">
        <v>184</v>
      </c>
      <c r="H234" s="246" t="str">
        <f t="shared" si="17"/>
        <v>nee</v>
      </c>
      <c r="I234" s="167"/>
      <c r="J234" s="68"/>
      <c r="K234" s="227"/>
      <c r="L234" s="69"/>
      <c r="M234" s="349">
        <f t="shared" si="18"/>
        <v>0</v>
      </c>
      <c r="N234" s="113"/>
      <c r="R234" s="304">
        <v>0</v>
      </c>
      <c r="S234" s="304">
        <v>152</v>
      </c>
    </row>
    <row r="235" spans="2:19" ht="13.5" customHeight="1">
      <c r="B235" s="112">
        <f t="shared" si="19"/>
        <v>705</v>
      </c>
      <c r="C235" s="112" t="s">
        <v>190</v>
      </c>
      <c r="D235" s="146" t="s">
        <v>177</v>
      </c>
      <c r="E235" s="181"/>
      <c r="F235" s="182"/>
      <c r="G235" s="123" t="s">
        <v>185</v>
      </c>
      <c r="H235" s="246" t="str">
        <f t="shared" si="17"/>
        <v>nee</v>
      </c>
      <c r="I235" s="167"/>
      <c r="J235" s="68"/>
      <c r="K235" s="227"/>
      <c r="L235" s="69"/>
      <c r="M235" s="349">
        <f t="shared" si="18"/>
        <v>0</v>
      </c>
      <c r="N235" s="113"/>
      <c r="R235" s="304">
        <v>0</v>
      </c>
      <c r="S235" s="304">
        <v>97</v>
      </c>
    </row>
    <row r="236" spans="2:19" ht="13.5" customHeight="1">
      <c r="B236" s="112">
        <f t="shared" si="19"/>
        <v>706</v>
      </c>
      <c r="C236" s="112" t="s">
        <v>191</v>
      </c>
      <c r="D236" s="146" t="s">
        <v>178</v>
      </c>
      <c r="E236" s="181"/>
      <c r="F236" s="182"/>
      <c r="G236" s="123" t="s">
        <v>184</v>
      </c>
      <c r="H236" s="246" t="str">
        <f t="shared" si="17"/>
        <v>nee</v>
      </c>
      <c r="I236" s="167"/>
      <c r="J236" s="68"/>
      <c r="K236" s="227"/>
      <c r="L236" s="69"/>
      <c r="M236" s="349">
        <f t="shared" si="18"/>
        <v>0</v>
      </c>
      <c r="N236" s="113"/>
      <c r="R236" s="304">
        <v>0</v>
      </c>
      <c r="S236" s="304">
        <v>91</v>
      </c>
    </row>
    <row r="237" spans="2:19" ht="13.5" customHeight="1">
      <c r="B237" s="112">
        <f t="shared" si="19"/>
        <v>707</v>
      </c>
      <c r="C237" s="112" t="s">
        <v>196</v>
      </c>
      <c r="D237" s="146" t="s">
        <v>179</v>
      </c>
      <c r="E237" s="181"/>
      <c r="F237" s="182"/>
      <c r="G237" s="123" t="s">
        <v>184</v>
      </c>
      <c r="H237" s="246" t="str">
        <f t="shared" si="17"/>
        <v>nee</v>
      </c>
      <c r="I237" s="167"/>
      <c r="J237" s="68"/>
      <c r="K237" s="227"/>
      <c r="L237" s="69"/>
      <c r="M237" s="349">
        <f t="shared" si="18"/>
        <v>0</v>
      </c>
      <c r="N237" s="113"/>
      <c r="R237" s="304">
        <v>0</v>
      </c>
      <c r="S237" s="304">
        <v>50</v>
      </c>
    </row>
    <row r="238" spans="2:19" ht="13.5" customHeight="1">
      <c r="B238" s="112">
        <f t="shared" si="19"/>
        <v>708</v>
      </c>
      <c r="C238" s="112" t="s">
        <v>192</v>
      </c>
      <c r="D238" s="146" t="s">
        <v>400</v>
      </c>
      <c r="E238" s="181"/>
      <c r="F238" s="182"/>
      <c r="G238" s="123" t="s">
        <v>185</v>
      </c>
      <c r="H238" s="246" t="str">
        <f t="shared" si="17"/>
        <v>nee</v>
      </c>
      <c r="I238" s="167"/>
      <c r="J238" s="68"/>
      <c r="K238" s="227"/>
      <c r="L238" s="69"/>
      <c r="M238" s="349">
        <f t="shared" si="18"/>
        <v>0</v>
      </c>
      <c r="N238" s="113"/>
      <c r="R238" s="304">
        <v>0</v>
      </c>
      <c r="S238" s="304">
        <v>63</v>
      </c>
    </row>
    <row r="239" spans="2:19" ht="13.5" customHeight="1">
      <c r="B239" s="112">
        <f t="shared" si="19"/>
        <v>709</v>
      </c>
      <c r="C239" s="112" t="s">
        <v>193</v>
      </c>
      <c r="D239" s="146" t="s">
        <v>181</v>
      </c>
      <c r="E239" s="181"/>
      <c r="F239" s="182"/>
      <c r="G239" s="123" t="s">
        <v>184</v>
      </c>
      <c r="H239" s="246" t="str">
        <f t="shared" si="17"/>
        <v>nee</v>
      </c>
      <c r="I239" s="167"/>
      <c r="J239" s="68"/>
      <c r="K239" s="227"/>
      <c r="L239" s="69"/>
      <c r="M239" s="349">
        <f t="shared" si="18"/>
        <v>0</v>
      </c>
      <c r="N239" s="113"/>
      <c r="R239" s="304">
        <v>0</v>
      </c>
      <c r="S239" s="304">
        <v>209</v>
      </c>
    </row>
    <row r="240" spans="2:19" ht="13.5" customHeight="1">
      <c r="B240" s="112">
        <f t="shared" si="19"/>
        <v>710</v>
      </c>
      <c r="C240" s="112" t="s">
        <v>194</v>
      </c>
      <c r="D240" s="146" t="s">
        <v>182</v>
      </c>
      <c r="E240" s="181"/>
      <c r="F240" s="182"/>
      <c r="G240" s="123" t="s">
        <v>184</v>
      </c>
      <c r="H240" s="246" t="str">
        <f t="shared" si="17"/>
        <v>nee</v>
      </c>
      <c r="I240" s="167"/>
      <c r="J240" s="68"/>
      <c r="K240" s="227"/>
      <c r="L240" s="69"/>
      <c r="M240" s="349">
        <f t="shared" si="18"/>
        <v>0</v>
      </c>
      <c r="N240" s="113"/>
      <c r="R240" s="304">
        <v>0</v>
      </c>
      <c r="S240" s="304">
        <v>783</v>
      </c>
    </row>
    <row r="241" spans="2:19" ht="13.5" customHeight="1" thickBot="1">
      <c r="B241" s="112">
        <f t="shared" si="19"/>
        <v>711</v>
      </c>
      <c r="C241" s="112" t="s">
        <v>195</v>
      </c>
      <c r="D241" s="146" t="s">
        <v>183</v>
      </c>
      <c r="E241" s="181"/>
      <c r="F241" s="182"/>
      <c r="G241" s="123" t="s">
        <v>184</v>
      </c>
      <c r="H241" s="246" t="str">
        <f t="shared" si="17"/>
        <v>nee</v>
      </c>
      <c r="I241" s="167"/>
      <c r="J241" s="68"/>
      <c r="K241" s="227"/>
      <c r="L241" s="69"/>
      <c r="M241" s="349">
        <f t="shared" si="18"/>
        <v>0</v>
      </c>
      <c r="N241" s="113"/>
      <c r="R241" s="305">
        <v>0</v>
      </c>
      <c r="S241" s="305">
        <v>39</v>
      </c>
    </row>
    <row r="242" spans="2:13" ht="13.5" customHeight="1" thickBot="1">
      <c r="B242" s="154">
        <f t="shared" si="19"/>
        <v>712</v>
      </c>
      <c r="C242" s="137" t="s">
        <v>278</v>
      </c>
      <c r="D242" s="90"/>
      <c r="E242" s="137"/>
      <c r="F242" s="137"/>
      <c r="G242" s="138"/>
      <c r="H242" s="137"/>
      <c r="I242" s="139"/>
      <c r="J242" s="76"/>
      <c r="K242" s="139"/>
      <c r="L242" s="80"/>
      <c r="M242" s="350">
        <f>SUM(M231:M241)</f>
        <v>0</v>
      </c>
    </row>
    <row r="243" ht="10.5" customHeight="1">
      <c r="G243" s="102"/>
    </row>
    <row r="244" spans="2:19" ht="13.5" customHeight="1">
      <c r="B244" s="109" t="s">
        <v>522</v>
      </c>
      <c r="G244" s="102"/>
      <c r="N244" s="83"/>
      <c r="R244" s="308"/>
      <c r="S244" s="308"/>
    </row>
    <row r="245" spans="2:19" ht="13.5" customHeight="1">
      <c r="B245" s="112">
        <f>B242+1</f>
        <v>713</v>
      </c>
      <c r="C245" s="112" t="s">
        <v>197</v>
      </c>
      <c r="D245" s="146" t="s">
        <v>173</v>
      </c>
      <c r="E245" s="181"/>
      <c r="F245" s="182"/>
      <c r="G245" s="123" t="s">
        <v>185</v>
      </c>
      <c r="H245" s="246" t="str">
        <f aca="true" t="shared" si="20" ref="H245:H252">IF($G$29="ja","ja","nee")</f>
        <v>nee</v>
      </c>
      <c r="I245" s="167"/>
      <c r="J245" s="68"/>
      <c r="K245" s="227"/>
      <c r="L245" s="69"/>
      <c r="M245" s="349">
        <f aca="true" t="shared" si="21" ref="M245:M252">IF(H245="ja",ROUND(J245*L245,0),0)</f>
        <v>0</v>
      </c>
      <c r="N245" s="144"/>
      <c r="R245" s="311">
        <v>0</v>
      </c>
      <c r="S245" s="311">
        <v>21</v>
      </c>
    </row>
    <row r="246" spans="2:19" ht="13.5" customHeight="1">
      <c r="B246" s="112">
        <f>B245+1</f>
        <v>714</v>
      </c>
      <c r="C246" s="112" t="s">
        <v>198</v>
      </c>
      <c r="D246" s="146" t="s">
        <v>174</v>
      </c>
      <c r="E246" s="181"/>
      <c r="F246" s="182"/>
      <c r="G246" s="123" t="s">
        <v>185</v>
      </c>
      <c r="H246" s="246" t="str">
        <f t="shared" si="20"/>
        <v>nee</v>
      </c>
      <c r="I246" s="167"/>
      <c r="J246" s="68"/>
      <c r="K246" s="227"/>
      <c r="L246" s="69"/>
      <c r="M246" s="349">
        <f t="shared" si="21"/>
        <v>0</v>
      </c>
      <c r="N246" s="144"/>
      <c r="R246" s="312">
        <v>0</v>
      </c>
      <c r="S246" s="312">
        <v>377</v>
      </c>
    </row>
    <row r="247" spans="2:19" ht="13.5" customHeight="1">
      <c r="B247" s="112">
        <f aca="true" t="shared" si="22" ref="B247:B253">B246+1</f>
        <v>715</v>
      </c>
      <c r="C247" s="112" t="s">
        <v>199</v>
      </c>
      <c r="D247" s="146" t="s">
        <v>176</v>
      </c>
      <c r="E247" s="181"/>
      <c r="F247" s="182"/>
      <c r="G247" s="123" t="s">
        <v>184</v>
      </c>
      <c r="H247" s="246" t="str">
        <f t="shared" si="20"/>
        <v>nee</v>
      </c>
      <c r="I247" s="167"/>
      <c r="J247" s="68"/>
      <c r="K247" s="227"/>
      <c r="L247" s="69"/>
      <c r="M247" s="349">
        <f t="shared" si="21"/>
        <v>0</v>
      </c>
      <c r="N247" s="113"/>
      <c r="R247" s="312">
        <v>0</v>
      </c>
      <c r="S247" s="312">
        <v>184</v>
      </c>
    </row>
    <row r="248" spans="2:19" ht="13.5" customHeight="1">
      <c r="B248" s="112">
        <f t="shared" si="22"/>
        <v>716</v>
      </c>
      <c r="C248" s="112" t="s">
        <v>200</v>
      </c>
      <c r="D248" s="146" t="s">
        <v>177</v>
      </c>
      <c r="E248" s="181"/>
      <c r="F248" s="182"/>
      <c r="G248" s="123" t="s">
        <v>185</v>
      </c>
      <c r="H248" s="246" t="str">
        <f t="shared" si="20"/>
        <v>nee</v>
      </c>
      <c r="I248" s="167"/>
      <c r="J248" s="68"/>
      <c r="K248" s="227"/>
      <c r="L248" s="69"/>
      <c r="M248" s="349">
        <f t="shared" si="21"/>
        <v>0</v>
      </c>
      <c r="N248" s="113"/>
      <c r="R248" s="312">
        <v>0</v>
      </c>
      <c r="S248" s="312">
        <v>116</v>
      </c>
    </row>
    <row r="249" spans="2:19" ht="13.5" customHeight="1">
      <c r="B249" s="112">
        <f t="shared" si="22"/>
        <v>717</v>
      </c>
      <c r="C249" s="112" t="s">
        <v>401</v>
      </c>
      <c r="D249" s="146" t="s">
        <v>402</v>
      </c>
      <c r="E249" s="181"/>
      <c r="F249" s="182"/>
      <c r="G249" s="123" t="s">
        <v>184</v>
      </c>
      <c r="H249" s="246" t="str">
        <f t="shared" si="20"/>
        <v>nee</v>
      </c>
      <c r="I249" s="167"/>
      <c r="J249" s="68"/>
      <c r="K249" s="227"/>
      <c r="L249" s="69"/>
      <c r="M249" s="349">
        <f t="shared" si="21"/>
        <v>0</v>
      </c>
      <c r="N249" s="113"/>
      <c r="R249" s="312">
        <v>0</v>
      </c>
      <c r="S249" s="312">
        <v>100</v>
      </c>
    </row>
    <row r="250" spans="2:19" ht="13.5" customHeight="1">
      <c r="B250" s="112">
        <f t="shared" si="22"/>
        <v>718</v>
      </c>
      <c r="C250" s="112" t="s">
        <v>403</v>
      </c>
      <c r="D250" s="146" t="s">
        <v>179</v>
      </c>
      <c r="E250" s="181"/>
      <c r="F250" s="182"/>
      <c r="G250" s="123" t="s">
        <v>184</v>
      </c>
      <c r="H250" s="246" t="str">
        <f t="shared" si="20"/>
        <v>nee</v>
      </c>
      <c r="I250" s="167"/>
      <c r="J250" s="68"/>
      <c r="K250" s="227"/>
      <c r="L250" s="69"/>
      <c r="M250" s="349">
        <f t="shared" si="21"/>
        <v>0</v>
      </c>
      <c r="N250" s="113"/>
      <c r="R250" s="312">
        <v>0</v>
      </c>
      <c r="S250" s="312">
        <v>54</v>
      </c>
    </row>
    <row r="251" spans="2:19" ht="13.5" customHeight="1">
      <c r="B251" s="112">
        <f t="shared" si="22"/>
        <v>719</v>
      </c>
      <c r="C251" s="112" t="s">
        <v>202</v>
      </c>
      <c r="D251" s="146" t="s">
        <v>400</v>
      </c>
      <c r="E251" s="181"/>
      <c r="F251" s="182"/>
      <c r="G251" s="123" t="s">
        <v>185</v>
      </c>
      <c r="H251" s="246" t="str">
        <f t="shared" si="20"/>
        <v>nee</v>
      </c>
      <c r="I251" s="167"/>
      <c r="J251" s="68"/>
      <c r="K251" s="227"/>
      <c r="L251" s="69"/>
      <c r="M251" s="349">
        <f t="shared" si="21"/>
        <v>0</v>
      </c>
      <c r="N251" s="113"/>
      <c r="R251" s="312">
        <v>0</v>
      </c>
      <c r="S251" s="312">
        <v>76</v>
      </c>
    </row>
    <row r="252" spans="2:19" ht="13.5" customHeight="1" thickBot="1">
      <c r="B252" s="112">
        <f t="shared" si="22"/>
        <v>720</v>
      </c>
      <c r="C252" s="112" t="s">
        <v>203</v>
      </c>
      <c r="D252" s="146" t="s">
        <v>183</v>
      </c>
      <c r="E252" s="181"/>
      <c r="F252" s="181"/>
      <c r="G252" s="123" t="s">
        <v>184</v>
      </c>
      <c r="H252" s="246" t="str">
        <f t="shared" si="20"/>
        <v>nee</v>
      </c>
      <c r="I252" s="170"/>
      <c r="J252" s="68"/>
      <c r="K252" s="284"/>
      <c r="L252" s="69"/>
      <c r="M252" s="349">
        <f t="shared" si="21"/>
        <v>0</v>
      </c>
      <c r="N252" s="113"/>
      <c r="R252" s="313">
        <v>0</v>
      </c>
      <c r="S252" s="313">
        <v>99</v>
      </c>
    </row>
    <row r="253" spans="2:14" ht="13.5" customHeight="1" thickBot="1">
      <c r="B253" s="154">
        <f t="shared" si="22"/>
        <v>721</v>
      </c>
      <c r="C253" s="137" t="s">
        <v>279</v>
      </c>
      <c r="D253" s="90"/>
      <c r="E253" s="137"/>
      <c r="F253" s="137"/>
      <c r="G253" s="138"/>
      <c r="H253" s="137"/>
      <c r="I253" s="139"/>
      <c r="J253" s="76"/>
      <c r="K253" s="139"/>
      <c r="L253" s="80"/>
      <c r="M253" s="350">
        <f>SUM(M245:M252)</f>
        <v>0</v>
      </c>
      <c r="N253" s="113"/>
    </row>
    <row r="254" spans="2:21" s="67" customFormat="1" ht="10.5" customHeight="1">
      <c r="B254" s="105"/>
      <c r="C254" s="104"/>
      <c r="D254" s="105"/>
      <c r="E254" s="105"/>
      <c r="F254" s="105"/>
      <c r="N254" s="106"/>
      <c r="R254" s="308"/>
      <c r="S254" s="308"/>
      <c r="U254" s="481" t="s">
        <v>612</v>
      </c>
    </row>
    <row r="255" spans="2:21" ht="13.5" customHeight="1">
      <c r="B255" s="109" t="s">
        <v>523</v>
      </c>
      <c r="C255" s="109"/>
      <c r="G255" s="102"/>
      <c r="N255" s="84"/>
      <c r="R255" s="308"/>
      <c r="S255" s="308"/>
      <c r="U255" s="481" t="s">
        <v>613</v>
      </c>
    </row>
    <row r="256" spans="2:21" ht="13.5" customHeight="1">
      <c r="B256" s="112">
        <f>B253+1</f>
        <v>722</v>
      </c>
      <c r="C256" s="112" t="s">
        <v>204</v>
      </c>
      <c r="D256" s="175" t="s">
        <v>227</v>
      </c>
      <c r="E256" s="139"/>
      <c r="F256" s="177"/>
      <c r="G256" s="281" t="s">
        <v>245</v>
      </c>
      <c r="H256" s="246" t="str">
        <f aca="true" t="shared" si="23" ref="H256:H284">IF($G$29="ja","ja","nee")</f>
        <v>nee</v>
      </c>
      <c r="I256" s="167"/>
      <c r="J256" s="68"/>
      <c r="K256" s="227"/>
      <c r="L256" s="69"/>
      <c r="M256" s="349">
        <f aca="true" t="shared" si="24" ref="M256:M269">IF(H256="ja",ROUND(J256*L256,0),0)</f>
        <v>0</v>
      </c>
      <c r="N256" s="113"/>
      <c r="R256" s="311">
        <v>0</v>
      </c>
      <c r="S256" s="311">
        <v>59</v>
      </c>
      <c r="U256" s="330">
        <f>IF(M256&gt;0,J256,0)</f>
        <v>0</v>
      </c>
    </row>
    <row r="257" spans="2:21" ht="13.5" customHeight="1">
      <c r="B257" s="112">
        <f>B256+1</f>
        <v>723</v>
      </c>
      <c r="C257" s="112" t="s">
        <v>205</v>
      </c>
      <c r="D257" s="175" t="s">
        <v>228</v>
      </c>
      <c r="E257" s="139"/>
      <c r="F257" s="177"/>
      <c r="G257" s="281" t="s">
        <v>245</v>
      </c>
      <c r="H257" s="246" t="str">
        <f t="shared" si="23"/>
        <v>nee</v>
      </c>
      <c r="I257" s="167"/>
      <c r="J257" s="68"/>
      <c r="K257" s="227"/>
      <c r="L257" s="69"/>
      <c r="M257" s="349">
        <f t="shared" si="24"/>
        <v>0</v>
      </c>
      <c r="N257" s="113"/>
      <c r="R257" s="312">
        <v>0</v>
      </c>
      <c r="S257" s="312">
        <v>117</v>
      </c>
      <c r="U257" s="332">
        <f aca="true" t="shared" si="25" ref="U257:U269">IF(M257&gt;0,J257,0)</f>
        <v>0</v>
      </c>
    </row>
    <row r="258" spans="2:21" ht="13.5" customHeight="1">
      <c r="B258" s="112">
        <f aca="true" t="shared" si="26" ref="B258:B269">B257+1</f>
        <v>724</v>
      </c>
      <c r="C258" s="112" t="s">
        <v>206</v>
      </c>
      <c r="D258" s="175" t="s">
        <v>229</v>
      </c>
      <c r="E258" s="139"/>
      <c r="F258" s="177"/>
      <c r="G258" s="281" t="s">
        <v>245</v>
      </c>
      <c r="H258" s="246" t="str">
        <f t="shared" si="23"/>
        <v>nee</v>
      </c>
      <c r="I258" s="167"/>
      <c r="J258" s="68"/>
      <c r="K258" s="227"/>
      <c r="L258" s="69"/>
      <c r="M258" s="349">
        <f t="shared" si="24"/>
        <v>0</v>
      </c>
      <c r="N258" s="113"/>
      <c r="R258" s="312">
        <v>0</v>
      </c>
      <c r="S258" s="312">
        <v>72</v>
      </c>
      <c r="U258" s="332">
        <f t="shared" si="25"/>
        <v>0</v>
      </c>
    </row>
    <row r="259" spans="2:21" ht="13.5" customHeight="1">
      <c r="B259" s="112">
        <f t="shared" si="26"/>
        <v>725</v>
      </c>
      <c r="C259" s="112" t="s">
        <v>207</v>
      </c>
      <c r="D259" s="175" t="s">
        <v>230</v>
      </c>
      <c r="E259" s="139"/>
      <c r="F259" s="177"/>
      <c r="G259" s="281" t="s">
        <v>245</v>
      </c>
      <c r="H259" s="246" t="str">
        <f t="shared" si="23"/>
        <v>nee</v>
      </c>
      <c r="I259" s="167"/>
      <c r="J259" s="68"/>
      <c r="K259" s="227"/>
      <c r="L259" s="69"/>
      <c r="M259" s="349">
        <f t="shared" si="24"/>
        <v>0</v>
      </c>
      <c r="N259" s="113"/>
      <c r="R259" s="312">
        <v>0</v>
      </c>
      <c r="S259" s="312">
        <v>144</v>
      </c>
      <c r="U259" s="332">
        <f t="shared" si="25"/>
        <v>0</v>
      </c>
    </row>
    <row r="260" spans="2:21" ht="13.5" customHeight="1">
      <c r="B260" s="112">
        <f t="shared" si="26"/>
        <v>726</v>
      </c>
      <c r="C260" s="112" t="s">
        <v>208</v>
      </c>
      <c r="D260" s="175" t="s">
        <v>231</v>
      </c>
      <c r="E260" s="139"/>
      <c r="F260" s="177"/>
      <c r="G260" s="281" t="s">
        <v>245</v>
      </c>
      <c r="H260" s="246" t="str">
        <f t="shared" si="23"/>
        <v>nee</v>
      </c>
      <c r="I260" s="167"/>
      <c r="J260" s="68"/>
      <c r="K260" s="227"/>
      <c r="L260" s="69"/>
      <c r="M260" s="349">
        <f t="shared" si="24"/>
        <v>0</v>
      </c>
      <c r="N260" s="144"/>
      <c r="R260" s="312">
        <v>0</v>
      </c>
      <c r="S260" s="312">
        <v>119</v>
      </c>
      <c r="U260" s="332">
        <f t="shared" si="25"/>
        <v>0</v>
      </c>
    </row>
    <row r="261" spans="2:21" ht="13.5" customHeight="1">
      <c r="B261" s="112">
        <f t="shared" si="26"/>
        <v>727</v>
      </c>
      <c r="C261" s="112" t="s">
        <v>209</v>
      </c>
      <c r="D261" s="175" t="s">
        <v>232</v>
      </c>
      <c r="E261" s="139"/>
      <c r="F261" s="177"/>
      <c r="G261" s="281" t="s">
        <v>245</v>
      </c>
      <c r="H261" s="246" t="str">
        <f t="shared" si="23"/>
        <v>nee</v>
      </c>
      <c r="I261" s="167"/>
      <c r="J261" s="68"/>
      <c r="K261" s="227"/>
      <c r="L261" s="69"/>
      <c r="M261" s="349">
        <f t="shared" si="24"/>
        <v>0</v>
      </c>
      <c r="N261" s="144"/>
      <c r="R261" s="312">
        <v>0</v>
      </c>
      <c r="S261" s="312">
        <v>238</v>
      </c>
      <c r="U261" s="332">
        <f t="shared" si="25"/>
        <v>0</v>
      </c>
    </row>
    <row r="262" spans="2:21" ht="13.5" customHeight="1">
      <c r="B262" s="112">
        <f t="shared" si="26"/>
        <v>728</v>
      </c>
      <c r="C262" s="112" t="s">
        <v>210</v>
      </c>
      <c r="D262" s="175" t="s">
        <v>404</v>
      </c>
      <c r="E262" s="139"/>
      <c r="F262" s="177"/>
      <c r="G262" s="281" t="s">
        <v>245</v>
      </c>
      <c r="H262" s="246" t="str">
        <f t="shared" si="23"/>
        <v>nee</v>
      </c>
      <c r="I262" s="167"/>
      <c r="J262" s="68"/>
      <c r="K262" s="227"/>
      <c r="L262" s="69"/>
      <c r="M262" s="349">
        <f t="shared" si="24"/>
        <v>0</v>
      </c>
      <c r="N262" s="113"/>
      <c r="R262" s="312">
        <v>0</v>
      </c>
      <c r="S262" s="312">
        <v>85</v>
      </c>
      <c r="U262" s="332">
        <f t="shared" si="25"/>
        <v>0</v>
      </c>
    </row>
    <row r="263" spans="2:21" ht="13.5" customHeight="1">
      <c r="B263" s="112">
        <f t="shared" si="26"/>
        <v>729</v>
      </c>
      <c r="C263" s="112" t="s">
        <v>211</v>
      </c>
      <c r="D263" s="175" t="s">
        <v>405</v>
      </c>
      <c r="E263" s="139"/>
      <c r="F263" s="177"/>
      <c r="G263" s="281" t="s">
        <v>245</v>
      </c>
      <c r="H263" s="246" t="str">
        <f t="shared" si="23"/>
        <v>nee</v>
      </c>
      <c r="I263" s="167"/>
      <c r="J263" s="68"/>
      <c r="K263" s="227"/>
      <c r="L263" s="69"/>
      <c r="M263" s="349">
        <f t="shared" si="24"/>
        <v>0</v>
      </c>
      <c r="N263" s="113"/>
      <c r="R263" s="312">
        <v>0</v>
      </c>
      <c r="S263" s="312">
        <v>171</v>
      </c>
      <c r="U263" s="332">
        <f t="shared" si="25"/>
        <v>0</v>
      </c>
    </row>
    <row r="264" spans="2:21" ht="13.5" customHeight="1">
      <c r="B264" s="112">
        <f t="shared" si="26"/>
        <v>730</v>
      </c>
      <c r="C264" s="112" t="s">
        <v>212</v>
      </c>
      <c r="D264" s="175" t="s">
        <v>406</v>
      </c>
      <c r="E264" s="139"/>
      <c r="F264" s="177"/>
      <c r="G264" s="281" t="s">
        <v>245</v>
      </c>
      <c r="H264" s="246" t="str">
        <f t="shared" si="23"/>
        <v>nee</v>
      </c>
      <c r="I264" s="167"/>
      <c r="J264" s="68"/>
      <c r="K264" s="227"/>
      <c r="L264" s="69"/>
      <c r="M264" s="349">
        <f t="shared" si="24"/>
        <v>0</v>
      </c>
      <c r="N264" s="113"/>
      <c r="R264" s="312">
        <v>0</v>
      </c>
      <c r="S264" s="312">
        <v>98</v>
      </c>
      <c r="U264" s="332">
        <f t="shared" si="25"/>
        <v>0</v>
      </c>
    </row>
    <row r="265" spans="2:21" ht="13.5" customHeight="1">
      <c r="B265" s="112">
        <f t="shared" si="26"/>
        <v>731</v>
      </c>
      <c r="C265" s="112" t="s">
        <v>213</v>
      </c>
      <c r="D265" s="175" t="s">
        <v>407</v>
      </c>
      <c r="E265" s="139"/>
      <c r="F265" s="177"/>
      <c r="G265" s="281" t="s">
        <v>245</v>
      </c>
      <c r="H265" s="246" t="str">
        <f t="shared" si="23"/>
        <v>nee</v>
      </c>
      <c r="I265" s="167"/>
      <c r="J265" s="68"/>
      <c r="K265" s="227"/>
      <c r="L265" s="69"/>
      <c r="M265" s="349">
        <f t="shared" si="24"/>
        <v>0</v>
      </c>
      <c r="N265" s="113"/>
      <c r="R265" s="312">
        <v>0</v>
      </c>
      <c r="S265" s="312">
        <v>195</v>
      </c>
      <c r="U265" s="332">
        <f>IF(M265&gt;0,J265,0)</f>
        <v>0</v>
      </c>
    </row>
    <row r="266" spans="2:21" ht="13.5" customHeight="1">
      <c r="B266" s="112">
        <f t="shared" si="26"/>
        <v>732</v>
      </c>
      <c r="C266" s="112" t="s">
        <v>214</v>
      </c>
      <c r="D266" s="175" t="s">
        <v>408</v>
      </c>
      <c r="E266" s="139"/>
      <c r="F266" s="177"/>
      <c r="G266" s="281" t="s">
        <v>245</v>
      </c>
      <c r="H266" s="246" t="str">
        <f t="shared" si="23"/>
        <v>nee</v>
      </c>
      <c r="I266" s="167"/>
      <c r="J266" s="68"/>
      <c r="K266" s="227"/>
      <c r="L266" s="69"/>
      <c r="M266" s="349">
        <f t="shared" si="24"/>
        <v>0</v>
      </c>
      <c r="N266" s="113"/>
      <c r="R266" s="312">
        <v>0</v>
      </c>
      <c r="S266" s="312">
        <v>59</v>
      </c>
      <c r="U266" s="332">
        <f t="shared" si="25"/>
        <v>0</v>
      </c>
    </row>
    <row r="267" spans="2:21" ht="13.5" customHeight="1">
      <c r="B267" s="112">
        <f t="shared" si="26"/>
        <v>733</v>
      </c>
      <c r="C267" s="112" t="s">
        <v>215</v>
      </c>
      <c r="D267" s="175" t="s">
        <v>409</v>
      </c>
      <c r="E267" s="139"/>
      <c r="F267" s="177"/>
      <c r="G267" s="281" t="s">
        <v>245</v>
      </c>
      <c r="H267" s="246" t="str">
        <f t="shared" si="23"/>
        <v>nee</v>
      </c>
      <c r="I267" s="167"/>
      <c r="J267" s="68"/>
      <c r="K267" s="227"/>
      <c r="L267" s="69"/>
      <c r="M267" s="349">
        <f t="shared" si="24"/>
        <v>0</v>
      </c>
      <c r="N267" s="113"/>
      <c r="R267" s="312">
        <v>0</v>
      </c>
      <c r="S267" s="312">
        <v>118</v>
      </c>
      <c r="U267" s="332">
        <f t="shared" si="25"/>
        <v>0</v>
      </c>
    </row>
    <row r="268" spans="2:21" ht="13.5" customHeight="1">
      <c r="B268" s="112">
        <f t="shared" si="26"/>
        <v>734</v>
      </c>
      <c r="C268" s="112" t="s">
        <v>216</v>
      </c>
      <c r="D268" s="175" t="s">
        <v>410</v>
      </c>
      <c r="E268" s="139"/>
      <c r="F268" s="177"/>
      <c r="G268" s="281" t="s">
        <v>245</v>
      </c>
      <c r="H268" s="246" t="str">
        <f t="shared" si="23"/>
        <v>nee</v>
      </c>
      <c r="I268" s="167"/>
      <c r="J268" s="68"/>
      <c r="K268" s="227"/>
      <c r="L268" s="69"/>
      <c r="M268" s="349">
        <f t="shared" si="24"/>
        <v>0</v>
      </c>
      <c r="N268" s="113"/>
      <c r="R268" s="312">
        <v>0</v>
      </c>
      <c r="S268" s="312">
        <v>74</v>
      </c>
      <c r="U268" s="332">
        <f t="shared" si="25"/>
        <v>0</v>
      </c>
    </row>
    <row r="269" spans="2:21" ht="13.5" customHeight="1">
      <c r="B269" s="112">
        <f t="shared" si="26"/>
        <v>735</v>
      </c>
      <c r="C269" s="112" t="s">
        <v>217</v>
      </c>
      <c r="D269" s="175" t="s">
        <v>411</v>
      </c>
      <c r="E269" s="139"/>
      <c r="F269" s="177"/>
      <c r="G269" s="281" t="s">
        <v>245</v>
      </c>
      <c r="H269" s="246" t="str">
        <f t="shared" si="23"/>
        <v>nee</v>
      </c>
      <c r="I269" s="167"/>
      <c r="J269" s="68"/>
      <c r="K269" s="227"/>
      <c r="L269" s="69"/>
      <c r="M269" s="349">
        <f t="shared" si="24"/>
        <v>0</v>
      </c>
      <c r="N269" s="113"/>
      <c r="R269" s="313">
        <v>0</v>
      </c>
      <c r="S269" s="313">
        <v>149</v>
      </c>
      <c r="U269" s="334">
        <f t="shared" si="25"/>
        <v>0</v>
      </c>
    </row>
    <row r="270" spans="1:19" s="31" customFormat="1" ht="18" customHeight="1">
      <c r="A270" s="231">
        <f>Voorblad!A260</f>
        <v>0</v>
      </c>
      <c r="B270" s="232">
        <f>Voorblad!A262</f>
        <v>0</v>
      </c>
      <c r="I270" s="471"/>
      <c r="J270" s="45"/>
      <c r="K270" s="471"/>
      <c r="R270" s="301"/>
      <c r="S270" s="301"/>
    </row>
    <row r="271" spans="1:19" s="31" customFormat="1" ht="18" customHeight="1">
      <c r="A271" s="233" t="s">
        <v>92</v>
      </c>
      <c r="B271" s="234" t="str">
        <f>B2</f>
        <v>Voorlopige nacalculatie 2004 AWBZ-instellingen sector V&amp;V</v>
      </c>
      <c r="C271" s="234"/>
      <c r="D271" s="234"/>
      <c r="E271" s="250"/>
      <c r="F271" s="234" t="str">
        <f>F2</f>
        <v> / </v>
      </c>
      <c r="G271" s="234"/>
      <c r="H271" s="236"/>
      <c r="I271" s="27"/>
      <c r="J271" s="492" t="str">
        <f>"versie: "&amp;TEXT(Voorblad!$M$9,"dd-mm-jjjj")</f>
        <v>versie: 14-01-2005</v>
      </c>
      <c r="K271" s="236"/>
      <c r="L271" s="238"/>
      <c r="M271" s="239">
        <f>M226+1</f>
        <v>8</v>
      </c>
      <c r="R271" s="301"/>
      <c r="S271" s="301"/>
    </row>
    <row r="272" spans="2:19" s="31" customFormat="1" ht="12.75">
      <c r="B272" s="240"/>
      <c r="I272" s="45"/>
      <c r="J272" s="45"/>
      <c r="K272" s="45"/>
      <c r="R272" s="301"/>
      <c r="S272" s="301"/>
    </row>
    <row r="273" spans="3:14" ht="13.5" customHeight="1">
      <c r="C273" s="102"/>
      <c r="G273" s="102"/>
      <c r="N273" s="102"/>
    </row>
    <row r="274" spans="3:21" ht="13.5" customHeight="1">
      <c r="C274" s="102"/>
      <c r="G274" s="278"/>
      <c r="H274" s="253" t="s">
        <v>63</v>
      </c>
      <c r="I274" s="264" t="s">
        <v>64</v>
      </c>
      <c r="J274" s="253" t="s">
        <v>51</v>
      </c>
      <c r="K274" s="264" t="s">
        <v>65</v>
      </c>
      <c r="L274" s="253" t="s">
        <v>53</v>
      </c>
      <c r="M274" s="253" t="s">
        <v>55</v>
      </c>
      <c r="N274" s="102"/>
      <c r="U274" s="481" t="s">
        <v>612</v>
      </c>
    </row>
    <row r="275" spans="2:21" ht="13.5" customHeight="1">
      <c r="B275" s="109" t="s">
        <v>524</v>
      </c>
      <c r="C275" s="102"/>
      <c r="G275" s="254" t="s">
        <v>30</v>
      </c>
      <c r="H275" s="254" t="s">
        <v>50</v>
      </c>
      <c r="I275" s="268" t="s">
        <v>57</v>
      </c>
      <c r="J275" s="254" t="s">
        <v>52</v>
      </c>
      <c r="K275" s="268" t="s">
        <v>54</v>
      </c>
      <c r="L275" s="254" t="s">
        <v>54</v>
      </c>
      <c r="M275" s="254" t="s">
        <v>56</v>
      </c>
      <c r="N275" s="102"/>
      <c r="R275" s="320"/>
      <c r="S275" s="320"/>
      <c r="U275" s="481" t="s">
        <v>613</v>
      </c>
    </row>
    <row r="276" spans="2:21" ht="13.5" customHeight="1">
      <c r="B276" s="112">
        <f>M271*100+1</f>
        <v>801</v>
      </c>
      <c r="C276" s="112" t="s">
        <v>218</v>
      </c>
      <c r="D276" s="175" t="s">
        <v>412</v>
      </c>
      <c r="E276" s="139"/>
      <c r="F276" s="177"/>
      <c r="G276" s="281" t="s">
        <v>245</v>
      </c>
      <c r="H276" s="246" t="str">
        <f t="shared" si="23"/>
        <v>nee</v>
      </c>
      <c r="I276" s="167"/>
      <c r="J276" s="68"/>
      <c r="K276" s="227"/>
      <c r="L276" s="69"/>
      <c r="M276" s="349">
        <f aca="true" t="shared" si="27" ref="M276:M284">IF(H276="ja",ROUND(J276*L276,0),0)</f>
        <v>0</v>
      </c>
      <c r="N276" s="113"/>
      <c r="R276" s="312">
        <v>0</v>
      </c>
      <c r="S276" s="312">
        <v>67</v>
      </c>
      <c r="U276" s="330">
        <f>IF(M276&gt;0,J276,0)</f>
        <v>0</v>
      </c>
    </row>
    <row r="277" spans="2:21" ht="13.5" customHeight="1">
      <c r="B277" s="112">
        <f aca="true" t="shared" si="28" ref="B277:B285">B276+1</f>
        <v>802</v>
      </c>
      <c r="C277" s="112" t="s">
        <v>219</v>
      </c>
      <c r="D277" s="175" t="s">
        <v>413</v>
      </c>
      <c r="E277" s="139"/>
      <c r="F277" s="177"/>
      <c r="G277" s="281" t="s">
        <v>245</v>
      </c>
      <c r="H277" s="246" t="str">
        <f t="shared" si="23"/>
        <v>nee</v>
      </c>
      <c r="I277" s="167"/>
      <c r="J277" s="68"/>
      <c r="K277" s="227"/>
      <c r="L277" s="69"/>
      <c r="M277" s="349">
        <f t="shared" si="27"/>
        <v>0</v>
      </c>
      <c r="N277" s="113"/>
      <c r="R277" s="312">
        <v>0</v>
      </c>
      <c r="S277" s="312">
        <v>134</v>
      </c>
      <c r="U277" s="332">
        <f aca="true" t="shared" si="29" ref="U277:U284">IF(M277&gt;0,J277,0)</f>
        <v>0</v>
      </c>
    </row>
    <row r="278" spans="2:21" ht="13.5" customHeight="1">
      <c r="B278" s="112">
        <f t="shared" si="28"/>
        <v>803</v>
      </c>
      <c r="C278" s="112" t="s">
        <v>220</v>
      </c>
      <c r="D278" s="175" t="s">
        <v>414</v>
      </c>
      <c r="E278" s="139"/>
      <c r="F278" s="177"/>
      <c r="G278" s="281" t="s">
        <v>245</v>
      </c>
      <c r="H278" s="246" t="str">
        <f t="shared" si="23"/>
        <v>nee</v>
      </c>
      <c r="I278" s="167"/>
      <c r="J278" s="68"/>
      <c r="K278" s="227"/>
      <c r="L278" s="69"/>
      <c r="M278" s="349">
        <f t="shared" si="27"/>
        <v>0</v>
      </c>
      <c r="N278" s="113"/>
      <c r="R278" s="312">
        <v>0</v>
      </c>
      <c r="S278" s="312">
        <v>84</v>
      </c>
      <c r="U278" s="332">
        <f t="shared" si="29"/>
        <v>0</v>
      </c>
    </row>
    <row r="279" spans="2:21" ht="13.5" customHeight="1">
      <c r="B279" s="112">
        <f t="shared" si="28"/>
        <v>804</v>
      </c>
      <c r="C279" s="112" t="s">
        <v>221</v>
      </c>
      <c r="D279" s="175" t="s">
        <v>415</v>
      </c>
      <c r="E279" s="139"/>
      <c r="F279" s="177"/>
      <c r="G279" s="281" t="s">
        <v>245</v>
      </c>
      <c r="H279" s="246" t="str">
        <f t="shared" si="23"/>
        <v>nee</v>
      </c>
      <c r="I279" s="167"/>
      <c r="J279" s="68"/>
      <c r="K279" s="227"/>
      <c r="L279" s="69"/>
      <c r="M279" s="349">
        <f t="shared" si="27"/>
        <v>0</v>
      </c>
      <c r="N279" s="113"/>
      <c r="R279" s="312">
        <v>0</v>
      </c>
      <c r="S279" s="312">
        <v>168</v>
      </c>
      <c r="U279" s="332">
        <f t="shared" si="29"/>
        <v>0</v>
      </c>
    </row>
    <row r="280" spans="2:21" ht="13.5" customHeight="1">
      <c r="B280" s="112">
        <f t="shared" si="28"/>
        <v>805</v>
      </c>
      <c r="C280" s="112" t="s">
        <v>222</v>
      </c>
      <c r="D280" s="175" t="s">
        <v>238</v>
      </c>
      <c r="E280" s="139"/>
      <c r="F280" s="177"/>
      <c r="G280" s="281" t="s">
        <v>245</v>
      </c>
      <c r="H280" s="246" t="str">
        <f t="shared" si="23"/>
        <v>nee</v>
      </c>
      <c r="I280" s="167"/>
      <c r="J280" s="68"/>
      <c r="K280" s="227"/>
      <c r="L280" s="69"/>
      <c r="M280" s="349">
        <f t="shared" si="27"/>
        <v>0</v>
      </c>
      <c r="N280" s="113"/>
      <c r="R280" s="312">
        <v>0</v>
      </c>
      <c r="S280" s="312">
        <v>33</v>
      </c>
      <c r="U280" s="332">
        <f t="shared" si="29"/>
        <v>0</v>
      </c>
    </row>
    <row r="281" spans="2:21" ht="13.5" customHeight="1">
      <c r="B281" s="112">
        <f t="shared" si="28"/>
        <v>806</v>
      </c>
      <c r="C281" s="112" t="s">
        <v>223</v>
      </c>
      <c r="D281" s="175" t="s">
        <v>239</v>
      </c>
      <c r="E281" s="139"/>
      <c r="F281" s="177"/>
      <c r="G281" s="281" t="s">
        <v>245</v>
      </c>
      <c r="H281" s="246" t="str">
        <f t="shared" si="23"/>
        <v>nee</v>
      </c>
      <c r="I281" s="167"/>
      <c r="J281" s="68"/>
      <c r="K281" s="227"/>
      <c r="L281" s="69"/>
      <c r="M281" s="349">
        <f t="shared" si="27"/>
        <v>0</v>
      </c>
      <c r="N281" s="113"/>
      <c r="R281" s="312">
        <v>0</v>
      </c>
      <c r="S281" s="312">
        <v>66</v>
      </c>
      <c r="U281" s="332">
        <f t="shared" si="29"/>
        <v>0</v>
      </c>
    </row>
    <row r="282" spans="2:21" ht="13.5" customHeight="1">
      <c r="B282" s="112">
        <f t="shared" si="28"/>
        <v>807</v>
      </c>
      <c r="C282" s="112" t="s">
        <v>224</v>
      </c>
      <c r="D282" s="175" t="s">
        <v>240</v>
      </c>
      <c r="E282" s="139"/>
      <c r="F282" s="177"/>
      <c r="G282" s="281" t="s">
        <v>245</v>
      </c>
      <c r="H282" s="246" t="str">
        <f t="shared" si="23"/>
        <v>nee</v>
      </c>
      <c r="I282" s="167"/>
      <c r="J282" s="68"/>
      <c r="K282" s="227"/>
      <c r="L282" s="69"/>
      <c r="M282" s="349">
        <f t="shared" si="27"/>
        <v>0</v>
      </c>
      <c r="N282" s="113"/>
      <c r="R282" s="312">
        <v>0</v>
      </c>
      <c r="S282" s="312">
        <v>47</v>
      </c>
      <c r="U282" s="332">
        <f t="shared" si="29"/>
        <v>0</v>
      </c>
    </row>
    <row r="283" spans="2:21" ht="13.5" customHeight="1">
      <c r="B283" s="112">
        <f t="shared" si="28"/>
        <v>808</v>
      </c>
      <c r="C283" s="112" t="s">
        <v>225</v>
      </c>
      <c r="D283" s="175" t="s">
        <v>241</v>
      </c>
      <c r="E283" s="139"/>
      <c r="F283" s="177"/>
      <c r="G283" s="281" t="s">
        <v>245</v>
      </c>
      <c r="H283" s="246" t="str">
        <f t="shared" si="23"/>
        <v>nee</v>
      </c>
      <c r="I283" s="167"/>
      <c r="J283" s="68"/>
      <c r="K283" s="227"/>
      <c r="L283" s="69"/>
      <c r="M283" s="349">
        <f t="shared" si="27"/>
        <v>0</v>
      </c>
      <c r="N283" s="113"/>
      <c r="R283" s="312">
        <v>0</v>
      </c>
      <c r="S283" s="312">
        <v>93</v>
      </c>
      <c r="U283" s="332">
        <f t="shared" si="29"/>
        <v>0</v>
      </c>
    </row>
    <row r="284" spans="2:21" ht="13.5" customHeight="1" thickBot="1">
      <c r="B284" s="112">
        <f t="shared" si="28"/>
        <v>809</v>
      </c>
      <c r="C284" s="112" t="s">
        <v>226</v>
      </c>
      <c r="D284" s="175" t="s">
        <v>242</v>
      </c>
      <c r="E284" s="139"/>
      <c r="F284" s="177"/>
      <c r="G284" s="281" t="s">
        <v>245</v>
      </c>
      <c r="H284" s="246" t="str">
        <f t="shared" si="23"/>
        <v>nee</v>
      </c>
      <c r="I284" s="167"/>
      <c r="J284" s="68"/>
      <c r="K284" s="227"/>
      <c r="L284" s="69"/>
      <c r="M284" s="349">
        <f t="shared" si="27"/>
        <v>0</v>
      </c>
      <c r="N284" s="113"/>
      <c r="R284" s="313">
        <v>0</v>
      </c>
      <c r="S284" s="313">
        <v>185</v>
      </c>
      <c r="U284" s="334">
        <f t="shared" si="29"/>
        <v>0</v>
      </c>
    </row>
    <row r="285" spans="2:14" ht="13.5" customHeight="1" thickBot="1">
      <c r="B285" s="154">
        <f t="shared" si="28"/>
        <v>810</v>
      </c>
      <c r="C285" s="137" t="s">
        <v>479</v>
      </c>
      <c r="D285" s="90"/>
      <c r="E285" s="137"/>
      <c r="F285" s="137"/>
      <c r="G285" s="138"/>
      <c r="H285" s="137"/>
      <c r="I285" s="139"/>
      <c r="J285" s="76"/>
      <c r="K285" s="139"/>
      <c r="L285" s="80"/>
      <c r="M285" s="350">
        <f>SUM(M256:M269)+SUM(M276:M284)</f>
        <v>0</v>
      </c>
      <c r="N285" s="83"/>
    </row>
    <row r="286" spans="2:14" ht="13.5" customHeight="1">
      <c r="B286" s="85"/>
      <c r="C286" s="83"/>
      <c r="D286" s="85"/>
      <c r="E286" s="85"/>
      <c r="F286" s="85"/>
      <c r="G286" s="148"/>
      <c r="H286" s="149"/>
      <c r="I286" s="498"/>
      <c r="J286" s="498"/>
      <c r="K286" s="498"/>
      <c r="L286" s="150"/>
      <c r="M286" s="149"/>
      <c r="N286" s="83"/>
    </row>
    <row r="287" spans="2:14" ht="13.5" customHeight="1" thickBot="1">
      <c r="B287" s="109" t="s">
        <v>525</v>
      </c>
      <c r="C287" s="109"/>
      <c r="G287" s="151"/>
      <c r="H287" s="152"/>
      <c r="I287" s="499"/>
      <c r="J287" s="499"/>
      <c r="K287" s="499"/>
      <c r="L287" s="153"/>
      <c r="M287" s="149"/>
      <c r="N287" s="83"/>
    </row>
    <row r="288" spans="2:19" ht="13.5" customHeight="1" thickBot="1">
      <c r="B288" s="112">
        <f>B285+1</f>
        <v>811</v>
      </c>
      <c r="C288" s="112" t="s">
        <v>247</v>
      </c>
      <c r="D288" s="175" t="s">
        <v>249</v>
      </c>
      <c r="E288" s="139"/>
      <c r="F288" s="177"/>
      <c r="G288" s="281" t="s">
        <v>245</v>
      </c>
      <c r="H288" s="246" t="str">
        <f>IF($G$29="ja","ja","nee")</f>
        <v>nee</v>
      </c>
      <c r="I288" s="167"/>
      <c r="J288" s="68"/>
      <c r="K288" s="227"/>
      <c r="L288" s="337"/>
      <c r="M288" s="350">
        <f>IF(H288="ja",ROUND(J288*L288,0),0)</f>
        <v>0</v>
      </c>
      <c r="N288" s="83"/>
      <c r="R288" s="315">
        <v>0</v>
      </c>
      <c r="S288" s="315">
        <v>157.7</v>
      </c>
    </row>
    <row r="289" spans="2:21" ht="13.5" customHeight="1">
      <c r="B289" s="101"/>
      <c r="C289" s="101"/>
      <c r="D289" s="101"/>
      <c r="E289" s="101"/>
      <c r="F289" s="101"/>
      <c r="G289" s="116"/>
      <c r="H289" s="101"/>
      <c r="I289" s="114"/>
      <c r="J289" s="89"/>
      <c r="K289" s="114"/>
      <c r="L289" s="117"/>
      <c r="M289" s="74"/>
      <c r="N289" s="83"/>
      <c r="R289" s="308"/>
      <c r="S289" s="308"/>
      <c r="U289" s="481" t="s">
        <v>612</v>
      </c>
    </row>
    <row r="290" spans="2:21" ht="13.5" customHeight="1">
      <c r="B290" s="183" t="s">
        <v>526</v>
      </c>
      <c r="C290" s="91"/>
      <c r="G290" s="102"/>
      <c r="N290" s="83"/>
      <c r="R290" s="308"/>
      <c r="S290" s="308"/>
      <c r="U290" s="481" t="s">
        <v>613</v>
      </c>
    </row>
    <row r="291" spans="2:19" ht="13.5" customHeight="1">
      <c r="B291" s="157">
        <f>B288+1</f>
        <v>812</v>
      </c>
      <c r="C291" s="157" t="s">
        <v>416</v>
      </c>
      <c r="D291" s="146" t="s">
        <v>417</v>
      </c>
      <c r="E291" s="181"/>
      <c r="F291" s="182"/>
      <c r="G291" s="112" t="s">
        <v>438</v>
      </c>
      <c r="H291" s="246" t="str">
        <f>IF($G$27="ja","ja","nee")</f>
        <v>nee</v>
      </c>
      <c r="I291" s="167"/>
      <c r="J291" s="68"/>
      <c r="K291" s="227"/>
      <c r="L291" s="69"/>
      <c r="M291" s="349">
        <f aca="true" t="shared" si="30" ref="M291:M300">IF(H291="ja",ROUND(J291*L291,0),0)</f>
        <v>0</v>
      </c>
      <c r="N291" s="113"/>
      <c r="R291" s="311">
        <v>0</v>
      </c>
      <c r="S291" s="311">
        <v>33.1</v>
      </c>
    </row>
    <row r="292" spans="2:19" ht="13.5" customHeight="1">
      <c r="B292" s="157">
        <f>B291+1</f>
        <v>813</v>
      </c>
      <c r="C292" s="157" t="s">
        <v>418</v>
      </c>
      <c r="D292" s="146" t="s">
        <v>419</v>
      </c>
      <c r="E292" s="181"/>
      <c r="F292" s="182"/>
      <c r="G292" s="112" t="s">
        <v>184</v>
      </c>
      <c r="H292" s="246" t="str">
        <f>IF($G$28="ja","ja","nee")</f>
        <v>nee</v>
      </c>
      <c r="I292" s="167"/>
      <c r="J292" s="68"/>
      <c r="K292" s="227"/>
      <c r="L292" s="69"/>
      <c r="M292" s="349">
        <f t="shared" si="30"/>
        <v>0</v>
      </c>
      <c r="N292" s="113"/>
      <c r="R292" s="312">
        <v>0</v>
      </c>
      <c r="S292" s="312">
        <v>164.1</v>
      </c>
    </row>
    <row r="293" spans="2:19" ht="13.5" customHeight="1">
      <c r="B293" s="157">
        <f aca="true" t="shared" si="31" ref="B293:B301">B292+1</f>
        <v>814</v>
      </c>
      <c r="C293" s="157" t="s">
        <v>420</v>
      </c>
      <c r="D293" s="146" t="s">
        <v>421</v>
      </c>
      <c r="E293" s="181"/>
      <c r="F293" s="182"/>
      <c r="G293" s="112" t="s">
        <v>184</v>
      </c>
      <c r="H293" s="246" t="str">
        <f>IF($G$28="ja","ja","nee")</f>
        <v>nee</v>
      </c>
      <c r="I293" s="167"/>
      <c r="J293" s="68"/>
      <c r="K293" s="227"/>
      <c r="L293" s="69"/>
      <c r="M293" s="349">
        <f t="shared" si="30"/>
        <v>0</v>
      </c>
      <c r="N293" s="113"/>
      <c r="R293" s="312">
        <v>0</v>
      </c>
      <c r="S293" s="312">
        <v>164.1</v>
      </c>
    </row>
    <row r="294" spans="2:19" ht="13.5" customHeight="1">
      <c r="B294" s="157">
        <f t="shared" si="31"/>
        <v>815</v>
      </c>
      <c r="C294" s="157" t="s">
        <v>422</v>
      </c>
      <c r="D294" s="146" t="s">
        <v>423</v>
      </c>
      <c r="E294" s="181"/>
      <c r="F294" s="182"/>
      <c r="G294" s="112" t="s">
        <v>184</v>
      </c>
      <c r="H294" s="246" t="str">
        <f>IF($G$28="ja","ja","nee")</f>
        <v>nee</v>
      </c>
      <c r="I294" s="167"/>
      <c r="J294" s="68"/>
      <c r="K294" s="227"/>
      <c r="L294" s="69"/>
      <c r="M294" s="349">
        <f t="shared" si="30"/>
        <v>0</v>
      </c>
      <c r="N294" s="113"/>
      <c r="R294" s="312">
        <v>0</v>
      </c>
      <c r="S294" s="312">
        <v>61.4</v>
      </c>
    </row>
    <row r="295" spans="2:19" ht="13.5" customHeight="1">
      <c r="B295" s="157">
        <f t="shared" si="31"/>
        <v>816</v>
      </c>
      <c r="C295" s="157" t="s">
        <v>424</v>
      </c>
      <c r="D295" s="146" t="s">
        <v>425</v>
      </c>
      <c r="E295" s="181"/>
      <c r="F295" s="182"/>
      <c r="G295" s="112" t="s">
        <v>153</v>
      </c>
      <c r="H295" s="246" t="str">
        <f>IF($G$28="ja","ja","nee")</f>
        <v>nee</v>
      </c>
      <c r="I295" s="167"/>
      <c r="J295" s="68"/>
      <c r="K295" s="227"/>
      <c r="L295" s="69"/>
      <c r="M295" s="349">
        <f t="shared" si="30"/>
        <v>0</v>
      </c>
      <c r="N295" s="113"/>
      <c r="R295" s="312">
        <v>0</v>
      </c>
      <c r="S295" s="312">
        <v>61.4</v>
      </c>
    </row>
    <row r="296" spans="2:21" ht="13.5" customHeight="1">
      <c r="B296" s="157">
        <f t="shared" si="31"/>
        <v>817</v>
      </c>
      <c r="C296" s="157" t="s">
        <v>426</v>
      </c>
      <c r="D296" s="146" t="s">
        <v>427</v>
      </c>
      <c r="E296" s="181"/>
      <c r="F296" s="182"/>
      <c r="G296" s="112" t="s">
        <v>153</v>
      </c>
      <c r="H296" s="246" t="str">
        <f>IF($G$28="ja","ja","nee")</f>
        <v>nee</v>
      </c>
      <c r="I296" s="167"/>
      <c r="J296" s="68"/>
      <c r="K296" s="227"/>
      <c r="L296" s="69"/>
      <c r="M296" s="349">
        <f t="shared" si="30"/>
        <v>0</v>
      </c>
      <c r="N296" s="113"/>
      <c r="R296" s="312">
        <v>0</v>
      </c>
      <c r="S296" s="312">
        <v>164.1</v>
      </c>
      <c r="U296" s="330">
        <f>IF(M296&gt;0,J296,0)</f>
        <v>0</v>
      </c>
    </row>
    <row r="297" spans="2:21" ht="13.5" customHeight="1">
      <c r="B297" s="157">
        <f t="shared" si="31"/>
        <v>818</v>
      </c>
      <c r="C297" s="157" t="s">
        <v>428</v>
      </c>
      <c r="D297" s="146" t="s">
        <v>429</v>
      </c>
      <c r="E297" s="181"/>
      <c r="F297" s="182"/>
      <c r="G297" s="112" t="s">
        <v>439</v>
      </c>
      <c r="H297" s="246" t="str">
        <f>IF($G$29="ja","ja","nee")</f>
        <v>nee</v>
      </c>
      <c r="I297" s="167"/>
      <c r="J297" s="68"/>
      <c r="K297" s="227"/>
      <c r="L297" s="69"/>
      <c r="M297" s="349">
        <f t="shared" si="30"/>
        <v>0</v>
      </c>
      <c r="N297" s="113"/>
      <c r="R297" s="312">
        <v>0</v>
      </c>
      <c r="S297" s="312">
        <v>409.7</v>
      </c>
      <c r="U297" s="334">
        <f>IF(M297&gt;0,J297,0)</f>
        <v>0</v>
      </c>
    </row>
    <row r="298" spans="2:19" ht="13.5" customHeight="1">
      <c r="B298" s="157">
        <f t="shared" si="31"/>
        <v>819</v>
      </c>
      <c r="C298" s="157" t="s">
        <v>430</v>
      </c>
      <c r="D298" s="146" t="s">
        <v>431</v>
      </c>
      <c r="E298" s="181"/>
      <c r="F298" s="182"/>
      <c r="G298" s="112" t="s">
        <v>439</v>
      </c>
      <c r="H298" s="246" t="str">
        <f>IF($G$29="ja","ja","nee")</f>
        <v>nee</v>
      </c>
      <c r="I298" s="167"/>
      <c r="J298" s="68"/>
      <c r="K298" s="227"/>
      <c r="L298" s="69"/>
      <c r="M298" s="349">
        <f t="shared" si="30"/>
        <v>0</v>
      </c>
      <c r="N298" s="113"/>
      <c r="R298" s="312">
        <v>0</v>
      </c>
      <c r="S298" s="312">
        <v>2049.4</v>
      </c>
    </row>
    <row r="299" spans="2:19" ht="13.5" customHeight="1">
      <c r="B299" s="157">
        <f t="shared" si="31"/>
        <v>820</v>
      </c>
      <c r="C299" s="157" t="s">
        <v>432</v>
      </c>
      <c r="D299" s="146" t="s">
        <v>433</v>
      </c>
      <c r="E299" s="181"/>
      <c r="F299" s="182"/>
      <c r="G299" s="112" t="s">
        <v>439</v>
      </c>
      <c r="H299" s="246" t="str">
        <f>IF($G$29="ja","ja","nee")</f>
        <v>nee</v>
      </c>
      <c r="I299" s="167"/>
      <c r="J299" s="68"/>
      <c r="K299" s="227"/>
      <c r="L299" s="69"/>
      <c r="M299" s="349">
        <f t="shared" si="30"/>
        <v>0</v>
      </c>
      <c r="N299" s="113"/>
      <c r="R299" s="312">
        <v>0</v>
      </c>
      <c r="S299" s="312">
        <v>3688.6</v>
      </c>
    </row>
    <row r="300" spans="2:21" ht="13.5" customHeight="1" thickBot="1">
      <c r="B300" s="157">
        <f t="shared" si="31"/>
        <v>821</v>
      </c>
      <c r="C300" s="157" t="s">
        <v>434</v>
      </c>
      <c r="D300" s="146" t="s">
        <v>435</v>
      </c>
      <c r="E300" s="181"/>
      <c r="F300" s="182"/>
      <c r="G300" s="112" t="s">
        <v>184</v>
      </c>
      <c r="H300" s="246" t="str">
        <f>IF(OR($G$27="ja",$G$28="ja",$G$29="ja"),"ja","nee")</f>
        <v>nee</v>
      </c>
      <c r="I300" s="167"/>
      <c r="J300" s="68"/>
      <c r="K300" s="227"/>
      <c r="L300" s="69"/>
      <c r="M300" s="349">
        <f t="shared" si="30"/>
        <v>0</v>
      </c>
      <c r="N300" s="113"/>
      <c r="R300" s="313">
        <v>0</v>
      </c>
      <c r="S300" s="313">
        <v>102.1</v>
      </c>
      <c r="U300" s="173">
        <f>IF(M300&gt;0,J300,0)</f>
        <v>0</v>
      </c>
    </row>
    <row r="301" spans="2:19" ht="13.5" customHeight="1" thickBot="1">
      <c r="B301" s="218">
        <f t="shared" si="31"/>
        <v>822</v>
      </c>
      <c r="C301" s="90" t="s">
        <v>532</v>
      </c>
      <c r="E301" s="137"/>
      <c r="F301" s="137"/>
      <c r="G301" s="138"/>
      <c r="H301" s="137"/>
      <c r="I301" s="139"/>
      <c r="J301" s="76"/>
      <c r="K301" s="139"/>
      <c r="L301" s="77"/>
      <c r="M301" s="350">
        <f>SUM(M291:M300)</f>
        <v>0</v>
      </c>
      <c r="N301" s="83"/>
      <c r="R301" s="316"/>
      <c r="S301" s="316"/>
    </row>
    <row r="302" spans="2:19" ht="13.5" customHeight="1">
      <c r="B302" s="101"/>
      <c r="C302" s="101"/>
      <c r="D302" s="101"/>
      <c r="E302" s="101"/>
      <c r="F302" s="101"/>
      <c r="G302" s="116"/>
      <c r="H302" s="101"/>
      <c r="I302" s="114"/>
      <c r="J302" s="89"/>
      <c r="K302" s="114"/>
      <c r="L302" s="117"/>
      <c r="M302" s="74"/>
      <c r="N302" s="83"/>
      <c r="R302" s="308"/>
      <c r="S302" s="308"/>
    </row>
    <row r="303" ht="13.5" customHeight="1"/>
    <row r="304" spans="1:23" s="31" customFormat="1" ht="18" customHeight="1">
      <c r="A304" s="231">
        <f>Voorblad!A294</f>
        <v>0</v>
      </c>
      <c r="B304" s="232">
        <f>Voorblad!A296</f>
        <v>0</v>
      </c>
      <c r="I304" s="471"/>
      <c r="J304" s="45"/>
      <c r="K304" s="471"/>
      <c r="R304" s="301"/>
      <c r="S304" s="301"/>
      <c r="W304" s="102"/>
    </row>
    <row r="305" spans="1:23" s="31" customFormat="1" ht="18" customHeight="1">
      <c r="A305" s="233" t="s">
        <v>92</v>
      </c>
      <c r="B305" s="234" t="str">
        <f>B2</f>
        <v>Voorlopige nacalculatie 2004 AWBZ-instellingen sector V&amp;V</v>
      </c>
      <c r="C305" s="234"/>
      <c r="D305" s="234"/>
      <c r="E305" s="250"/>
      <c r="F305" s="234" t="str">
        <f>F2</f>
        <v> / </v>
      </c>
      <c r="G305" s="234"/>
      <c r="H305" s="236"/>
      <c r="I305" s="27"/>
      <c r="J305" s="492" t="str">
        <f>"versie: "&amp;TEXT(Voorblad!$M$9,"dd-mm-jjjj")</f>
        <v>versie: 14-01-2005</v>
      </c>
      <c r="K305" s="236"/>
      <c r="L305" s="238"/>
      <c r="M305" s="239">
        <f>M271+1</f>
        <v>9</v>
      </c>
      <c r="R305" s="301"/>
      <c r="S305" s="301"/>
      <c r="W305" s="102"/>
    </row>
    <row r="306" spans="2:19" s="31" customFormat="1" ht="12.75">
      <c r="B306" s="240"/>
      <c r="I306" s="45"/>
      <c r="J306" s="45"/>
      <c r="K306" s="45"/>
      <c r="R306" s="301"/>
      <c r="S306" s="301"/>
    </row>
    <row r="307" ht="13.5" customHeight="1"/>
    <row r="308" spans="7:19" ht="13.5" customHeight="1">
      <c r="G308" s="278"/>
      <c r="H308" s="253" t="s">
        <v>63</v>
      </c>
      <c r="I308" s="264" t="s">
        <v>64</v>
      </c>
      <c r="J308" s="253" t="s">
        <v>51</v>
      </c>
      <c r="K308" s="264" t="s">
        <v>65</v>
      </c>
      <c r="L308" s="253" t="s">
        <v>53</v>
      </c>
      <c r="M308" s="253" t="s">
        <v>55</v>
      </c>
      <c r="R308" s="302" t="s">
        <v>62</v>
      </c>
      <c r="S308" s="302"/>
    </row>
    <row r="309" spans="2:21" ht="13.5" customHeight="1">
      <c r="B309" s="183" t="s">
        <v>527</v>
      </c>
      <c r="C309" s="91"/>
      <c r="G309" s="254" t="s">
        <v>30</v>
      </c>
      <c r="H309" s="254" t="s">
        <v>50</v>
      </c>
      <c r="I309" s="268" t="s">
        <v>57</v>
      </c>
      <c r="J309" s="254" t="s">
        <v>52</v>
      </c>
      <c r="K309" s="268" t="s">
        <v>54</v>
      </c>
      <c r="L309" s="254" t="s">
        <v>54</v>
      </c>
      <c r="M309" s="254" t="s">
        <v>56</v>
      </c>
      <c r="N309" s="87"/>
      <c r="R309" s="303" t="s">
        <v>61</v>
      </c>
      <c r="S309" s="303" t="s">
        <v>60</v>
      </c>
      <c r="T309" s="336" t="s">
        <v>530</v>
      </c>
      <c r="U309" s="336" t="s">
        <v>529</v>
      </c>
    </row>
    <row r="310" spans="2:21" ht="13.5" customHeight="1">
      <c r="B310" s="158">
        <f>M305*100+1</f>
        <v>901</v>
      </c>
      <c r="C310" s="159" t="s">
        <v>253</v>
      </c>
      <c r="D310" s="146" t="s">
        <v>263</v>
      </c>
      <c r="E310" s="181"/>
      <c r="F310" s="182"/>
      <c r="G310" s="159" t="s">
        <v>271</v>
      </c>
      <c r="H310" s="246" t="str">
        <f>IF(OR(M151=0,M151=""),"nee","ja")</f>
        <v>nee</v>
      </c>
      <c r="I310" s="171"/>
      <c r="J310" s="68"/>
      <c r="K310" s="285"/>
      <c r="L310" s="69"/>
      <c r="M310" s="349">
        <f aca="true" t="shared" si="32" ref="M310:M317">IF(H310="ja",ROUND(J310*L310,0),0)</f>
        <v>0</v>
      </c>
      <c r="N310" s="113"/>
      <c r="P310" s="78"/>
      <c r="R310" s="311">
        <v>0</v>
      </c>
      <c r="S310" s="311">
        <v>10.1</v>
      </c>
      <c r="T310" s="330">
        <v>0</v>
      </c>
      <c r="U310" s="331">
        <f>U151</f>
        <v>0</v>
      </c>
    </row>
    <row r="311" spans="2:21" ht="13.5" customHeight="1">
      <c r="B311" s="158">
        <f>B310+1</f>
        <v>902</v>
      </c>
      <c r="C311" s="159" t="s">
        <v>254</v>
      </c>
      <c r="D311" s="146" t="s">
        <v>264</v>
      </c>
      <c r="E311" s="181"/>
      <c r="F311" s="182"/>
      <c r="G311" s="159" t="s">
        <v>271</v>
      </c>
      <c r="H311" s="246" t="str">
        <f>IF(OR(M152=0,M152=""),"nee","ja")</f>
        <v>nee</v>
      </c>
      <c r="I311" s="171"/>
      <c r="J311" s="68"/>
      <c r="K311" s="285"/>
      <c r="L311" s="69"/>
      <c r="M311" s="349">
        <f t="shared" si="32"/>
        <v>0</v>
      </c>
      <c r="N311" s="113"/>
      <c r="P311" s="78"/>
      <c r="R311" s="312">
        <v>0</v>
      </c>
      <c r="S311" s="312">
        <v>16.9</v>
      </c>
      <c r="T311" s="332">
        <v>0</v>
      </c>
      <c r="U311" s="333">
        <f>U152</f>
        <v>0</v>
      </c>
    </row>
    <row r="312" spans="2:21" ht="13.5" customHeight="1">
      <c r="B312" s="158">
        <f aca="true" t="shared" si="33" ref="B312:B318">B311+1</f>
        <v>903</v>
      </c>
      <c r="C312" s="159" t="s">
        <v>255</v>
      </c>
      <c r="D312" s="146" t="s">
        <v>265</v>
      </c>
      <c r="E312" s="181"/>
      <c r="F312" s="182"/>
      <c r="G312" s="159" t="s">
        <v>271</v>
      </c>
      <c r="H312" s="246" t="str">
        <f>IF(OR(M153=0,M153=""),"nee","ja")</f>
        <v>nee</v>
      </c>
      <c r="I312" s="171"/>
      <c r="J312" s="68"/>
      <c r="K312" s="285"/>
      <c r="L312" s="69"/>
      <c r="M312" s="349">
        <f t="shared" si="32"/>
        <v>0</v>
      </c>
      <c r="N312" s="113"/>
      <c r="P312" s="78"/>
      <c r="R312" s="312">
        <v>0</v>
      </c>
      <c r="S312" s="312">
        <v>9.7</v>
      </c>
      <c r="T312" s="332">
        <v>0</v>
      </c>
      <c r="U312" s="333">
        <f>U153</f>
        <v>0</v>
      </c>
    </row>
    <row r="313" spans="2:21" ht="13.5" customHeight="1">
      <c r="B313" s="158">
        <f t="shared" si="33"/>
        <v>904</v>
      </c>
      <c r="C313" s="159" t="s">
        <v>256</v>
      </c>
      <c r="D313" s="146" t="s">
        <v>266</v>
      </c>
      <c r="E313" s="181"/>
      <c r="F313" s="182"/>
      <c r="G313" s="159" t="s">
        <v>271</v>
      </c>
      <c r="H313" s="246" t="str">
        <f>IF(OR(M154=0,M154=""),"nee","ja")</f>
        <v>nee</v>
      </c>
      <c r="I313" s="171"/>
      <c r="J313" s="68"/>
      <c r="K313" s="285"/>
      <c r="L313" s="69"/>
      <c r="M313" s="349">
        <f t="shared" si="32"/>
        <v>0</v>
      </c>
      <c r="N313" s="113"/>
      <c r="P313" s="78"/>
      <c r="R313" s="312">
        <v>0</v>
      </c>
      <c r="S313" s="312">
        <v>19.4</v>
      </c>
      <c r="T313" s="332">
        <v>0</v>
      </c>
      <c r="U313" s="333">
        <f>U154</f>
        <v>0</v>
      </c>
    </row>
    <row r="314" spans="2:21" ht="13.5" customHeight="1">
      <c r="B314" s="158">
        <f t="shared" si="33"/>
        <v>905</v>
      </c>
      <c r="C314" s="159" t="s">
        <v>257</v>
      </c>
      <c r="D314" s="146" t="s">
        <v>267</v>
      </c>
      <c r="E314" s="181"/>
      <c r="F314" s="182"/>
      <c r="G314" s="159" t="s">
        <v>271</v>
      </c>
      <c r="H314" s="246" t="str">
        <f>IF(OR(M150=0,M150=""),"nee","ja")</f>
        <v>nee</v>
      </c>
      <c r="I314" s="171"/>
      <c r="J314" s="68"/>
      <c r="K314" s="285"/>
      <c r="L314" s="69"/>
      <c r="M314" s="349">
        <f t="shared" si="32"/>
        <v>0</v>
      </c>
      <c r="N314" s="113"/>
      <c r="P314" s="78"/>
      <c r="R314" s="312">
        <v>0</v>
      </c>
      <c r="S314" s="312">
        <v>18</v>
      </c>
      <c r="T314" s="332">
        <v>0</v>
      </c>
      <c r="U314" s="333">
        <f>U150</f>
        <v>0</v>
      </c>
    </row>
    <row r="315" spans="2:21" ht="13.5" customHeight="1">
      <c r="B315" s="158">
        <f t="shared" si="33"/>
        <v>906</v>
      </c>
      <c r="C315" s="159" t="s">
        <v>258</v>
      </c>
      <c r="D315" s="188" t="s">
        <v>262</v>
      </c>
      <c r="E315" s="100"/>
      <c r="F315" s="189"/>
      <c r="G315" s="159" t="s">
        <v>271</v>
      </c>
      <c r="H315" s="246" t="str">
        <f>IF(OR(SUM(M147:M149)=0,SUM(M147:M149)=""),"nee","ja")</f>
        <v>nee</v>
      </c>
      <c r="I315" s="171"/>
      <c r="J315" s="68"/>
      <c r="K315" s="285"/>
      <c r="L315" s="69"/>
      <c r="M315" s="349">
        <f t="shared" si="32"/>
        <v>0</v>
      </c>
      <c r="N315" s="113"/>
      <c r="P315" s="78"/>
      <c r="R315" s="312">
        <v>0</v>
      </c>
      <c r="S315" s="312">
        <v>13.9</v>
      </c>
      <c r="T315" s="332">
        <v>0</v>
      </c>
      <c r="U315" s="333">
        <f>SUM(U147:U149)</f>
        <v>0</v>
      </c>
    </row>
    <row r="316" spans="2:21" ht="13.5" customHeight="1">
      <c r="B316" s="158">
        <f t="shared" si="33"/>
        <v>907</v>
      </c>
      <c r="C316" s="159" t="s">
        <v>259</v>
      </c>
      <c r="D316" s="146" t="s">
        <v>486</v>
      </c>
      <c r="E316" s="181"/>
      <c r="F316" s="182"/>
      <c r="G316" s="159" t="s">
        <v>271</v>
      </c>
      <c r="H316" s="246" t="str">
        <f>IF(OR(SUM(M256:M269)+SUM(M276:M284)+M156=0,SUM(M256:M269)+SUM(M276:M284)+M156=""),"nee","ja")</f>
        <v>nee</v>
      </c>
      <c r="I316" s="171"/>
      <c r="J316" s="68"/>
      <c r="K316" s="285"/>
      <c r="L316" s="69"/>
      <c r="M316" s="349">
        <f t="shared" si="32"/>
        <v>0</v>
      </c>
      <c r="N316" s="113"/>
      <c r="P316" s="78"/>
      <c r="R316" s="312">
        <v>0</v>
      </c>
      <c r="S316" s="312">
        <v>13.9</v>
      </c>
      <c r="T316" s="332">
        <v>0</v>
      </c>
      <c r="U316" s="333">
        <f>SUM(U256:U269)+SUM(U276:U284)</f>
        <v>0</v>
      </c>
    </row>
    <row r="317" spans="2:21" ht="13.5" customHeight="1" thickBot="1">
      <c r="B317" s="158">
        <f t="shared" si="33"/>
        <v>908</v>
      </c>
      <c r="C317" s="160" t="s">
        <v>260</v>
      </c>
      <c r="D317" s="290" t="s">
        <v>487</v>
      </c>
      <c r="E317" s="190"/>
      <c r="F317" s="191"/>
      <c r="G317" s="159" t="s">
        <v>271</v>
      </c>
      <c r="H317" s="246" t="str">
        <f>IF(OR((M295+M296+M300)=0,(M295+M296+M300)=""),"nee","ja")</f>
        <v>nee</v>
      </c>
      <c r="I317" s="172"/>
      <c r="J317" s="68"/>
      <c r="K317" s="286"/>
      <c r="L317" s="287"/>
      <c r="M317" s="349">
        <f t="shared" si="32"/>
        <v>0</v>
      </c>
      <c r="N317" s="113"/>
      <c r="P317" s="192"/>
      <c r="R317" s="317">
        <v>0</v>
      </c>
      <c r="S317" s="317">
        <v>9.7</v>
      </c>
      <c r="T317" s="334">
        <v>0</v>
      </c>
      <c r="U317" s="335">
        <f>U295+U296+U300</f>
        <v>0</v>
      </c>
    </row>
    <row r="318" spans="2:14" ht="13.5" customHeight="1" thickBot="1">
      <c r="B318" s="219">
        <f t="shared" si="33"/>
        <v>909</v>
      </c>
      <c r="C318" s="90" t="s">
        <v>480</v>
      </c>
      <c r="E318" s="137"/>
      <c r="F318" s="137"/>
      <c r="G318" s="138"/>
      <c r="H318" s="137"/>
      <c r="I318" s="139"/>
      <c r="J318" s="76"/>
      <c r="K318" s="139"/>
      <c r="L318" s="77"/>
      <c r="M318" s="350">
        <f>SUM(M310:M317)</f>
        <v>0</v>
      </c>
      <c r="N318" s="85"/>
    </row>
    <row r="319" spans="2:19" ht="13.5" customHeight="1">
      <c r="B319" s="101"/>
      <c r="C319" s="101"/>
      <c r="D319" s="101"/>
      <c r="E319" s="101"/>
      <c r="F319" s="101"/>
      <c r="G319" s="116"/>
      <c r="H319" s="101"/>
      <c r="I319" s="114"/>
      <c r="J319" s="89"/>
      <c r="K319" s="114"/>
      <c r="L319" s="117"/>
      <c r="M319" s="98"/>
      <c r="N319" s="83"/>
      <c r="R319" s="308"/>
      <c r="S319" s="308"/>
    </row>
    <row r="320" spans="2:14" ht="13.5" customHeight="1">
      <c r="B320" s="183" t="s">
        <v>528</v>
      </c>
      <c r="C320" s="91"/>
      <c r="G320" s="125"/>
      <c r="H320" s="122"/>
      <c r="I320" s="122"/>
      <c r="J320" s="88"/>
      <c r="K320" s="122"/>
      <c r="L320" s="161"/>
      <c r="M320" s="88"/>
      <c r="N320" s="85"/>
    </row>
    <row r="321" spans="2:21" ht="13.5" customHeight="1">
      <c r="B321" s="158">
        <f>B318+1</f>
        <v>910</v>
      </c>
      <c r="C321" s="159" t="s">
        <v>269</v>
      </c>
      <c r="D321" s="146" t="s">
        <v>619</v>
      </c>
      <c r="E321" s="181"/>
      <c r="F321" s="182"/>
      <c r="G321" s="159" t="s">
        <v>184</v>
      </c>
      <c r="H321" s="159" t="str">
        <f>IF(OR(SUM(M135:M136)=0,SUM(M135:M136)=""),"nee","ja")</f>
        <v>nee</v>
      </c>
      <c r="I321" s="171"/>
      <c r="J321" s="68"/>
      <c r="K321" s="285"/>
      <c r="L321" s="69"/>
      <c r="M321" s="349">
        <f>IF(H321="ja",ROUND(J321*L321,0),0)</f>
        <v>0</v>
      </c>
      <c r="N321" s="113"/>
      <c r="R321" s="311">
        <v>0</v>
      </c>
      <c r="S321" s="311">
        <v>21</v>
      </c>
      <c r="T321" s="330">
        <v>0</v>
      </c>
      <c r="U321" s="331">
        <f>SUM(U135:U136)</f>
        <v>0</v>
      </c>
    </row>
    <row r="322" spans="2:21" ht="13.5" customHeight="1" thickBot="1">
      <c r="B322" s="158">
        <f>B321+1</f>
        <v>911</v>
      </c>
      <c r="C322" s="159" t="s">
        <v>436</v>
      </c>
      <c r="D322" s="146" t="s">
        <v>620</v>
      </c>
      <c r="E322" s="181"/>
      <c r="F322" s="182"/>
      <c r="G322" s="159" t="s">
        <v>440</v>
      </c>
      <c r="H322" s="159" t="str">
        <f>IF(OR(AND(M293=0,M291=0),AND(M291="",M293="")),"nee","ja")</f>
        <v>nee</v>
      </c>
      <c r="I322" s="171"/>
      <c r="J322" s="68"/>
      <c r="K322" s="285"/>
      <c r="L322" s="69"/>
      <c r="M322" s="349">
        <f>IF(H322="ja",ROUND(J322*L322,0),0)</f>
        <v>0</v>
      </c>
      <c r="N322" s="113"/>
      <c r="R322" s="313">
        <v>0</v>
      </c>
      <c r="S322" s="313">
        <v>18.4</v>
      </c>
      <c r="T322" s="334">
        <v>0</v>
      </c>
      <c r="U322" s="335">
        <f>IF(M291+M293&gt;0,1,0)</f>
        <v>0</v>
      </c>
    </row>
    <row r="323" spans="2:19" ht="13.5" customHeight="1" thickBot="1">
      <c r="B323" s="219">
        <f>B322+1</f>
        <v>912</v>
      </c>
      <c r="C323" s="90" t="s">
        <v>481</v>
      </c>
      <c r="E323" s="137"/>
      <c r="F323" s="137"/>
      <c r="G323" s="138"/>
      <c r="H323" s="137"/>
      <c r="I323" s="139"/>
      <c r="J323" s="76"/>
      <c r="K323" s="139"/>
      <c r="L323" s="77"/>
      <c r="M323" s="350">
        <f>SUM(M321:M322)</f>
        <v>0</v>
      </c>
      <c r="N323" s="83"/>
      <c r="R323" s="308"/>
      <c r="S323" s="308"/>
    </row>
    <row r="324" spans="2:19" ht="13.5" customHeight="1" thickBot="1">
      <c r="B324" s="155"/>
      <c r="C324" s="100"/>
      <c r="D324" s="100"/>
      <c r="E324" s="100"/>
      <c r="F324" s="100"/>
      <c r="G324" s="147"/>
      <c r="H324" s="100"/>
      <c r="I324" s="139"/>
      <c r="J324" s="500"/>
      <c r="K324" s="139"/>
      <c r="L324" s="156"/>
      <c r="M324" s="98"/>
      <c r="N324" s="83"/>
      <c r="R324" s="308"/>
      <c r="S324" s="308"/>
    </row>
    <row r="325" spans="2:19" ht="13.5" customHeight="1" thickBot="1">
      <c r="B325" s="154">
        <f>B323+1</f>
        <v>913</v>
      </c>
      <c r="C325" s="244" t="str">
        <f>"Totaal realisatie extramurale zorgprestaties (regel "&amp;B138&amp;"+"&amp;B157&amp;"+"&amp;B177&amp;"+"&amp;B196&amp;"+"&amp;B210&amp;"+"&amp;B224&amp;"+"&amp;B242&amp;"+"&amp;B253&amp;"+"&amp;B285&amp;"+"&amp;B288&amp;"+"&amp;B301&amp;"+"&amp;B318&amp;"+"&amp;B323&amp;")"</f>
        <v>Totaal realisatie extramurale zorgprestaties (regel 415+511+520+612+624+636+712+721+810+811+822+909+912)</v>
      </c>
      <c r="D325" s="90"/>
      <c r="E325" s="137"/>
      <c r="F325" s="137"/>
      <c r="G325" s="138"/>
      <c r="H325" s="137"/>
      <c r="I325" s="139"/>
      <c r="J325" s="76"/>
      <c r="K325" s="139"/>
      <c r="L325" s="77"/>
      <c r="M325" s="350">
        <f>M138+M157+M177+M196+M210+M224+M242+M253+M285+M288+M301+M318+M323</f>
        <v>0</v>
      </c>
      <c r="N325" s="83"/>
      <c r="R325" s="308"/>
      <c r="S325" s="308"/>
    </row>
    <row r="326" spans="2:19" ht="13.5" customHeight="1">
      <c r="B326" s="101"/>
      <c r="C326" s="101"/>
      <c r="D326" s="101"/>
      <c r="E326" s="101"/>
      <c r="F326" s="101"/>
      <c r="G326" s="116"/>
      <c r="H326" s="101"/>
      <c r="I326" s="114"/>
      <c r="J326" s="89"/>
      <c r="K326" s="114"/>
      <c r="L326" s="117"/>
      <c r="M326" s="98"/>
      <c r="N326" s="83"/>
      <c r="R326" s="308"/>
      <c r="S326" s="308"/>
    </row>
    <row r="327" spans="1:19" s="31" customFormat="1" ht="18" customHeight="1">
      <c r="A327" s="231">
        <f>Voorblad!A317</f>
        <v>0</v>
      </c>
      <c r="B327" s="232">
        <f>Voorblad!A319</f>
        <v>0</v>
      </c>
      <c r="I327" s="471"/>
      <c r="J327" s="45"/>
      <c r="K327" s="471"/>
      <c r="R327" s="301"/>
      <c r="S327" s="301"/>
    </row>
    <row r="328" spans="1:19" s="31" customFormat="1" ht="18" customHeight="1">
      <c r="A328" s="233" t="s">
        <v>92</v>
      </c>
      <c r="B328" s="234" t="str">
        <f>B2</f>
        <v>Voorlopige nacalculatie 2004 AWBZ-instellingen sector V&amp;V</v>
      </c>
      <c r="C328" s="234"/>
      <c r="D328" s="234"/>
      <c r="E328" s="250"/>
      <c r="F328" s="234" t="str">
        <f>F305</f>
        <v> / </v>
      </c>
      <c r="G328" s="234"/>
      <c r="H328" s="236"/>
      <c r="I328" s="27"/>
      <c r="J328" s="492" t="str">
        <f>"versie: "&amp;TEXT(Voorblad!$M$9,"dd-mm-jjjj")</f>
        <v>versie: 14-01-2005</v>
      </c>
      <c r="K328" s="236"/>
      <c r="L328" s="238"/>
      <c r="M328" s="239">
        <f>M305+1</f>
        <v>10</v>
      </c>
      <c r="R328" s="301"/>
      <c r="S328" s="301"/>
    </row>
    <row r="329" spans="2:19" s="31" customFormat="1" ht="12.75">
      <c r="B329" s="240"/>
      <c r="I329" s="45"/>
      <c r="J329" s="45"/>
      <c r="K329" s="45"/>
      <c r="R329" s="301"/>
      <c r="S329" s="301"/>
    </row>
    <row r="330" ht="13.5" customHeight="1"/>
    <row r="331" spans="3:19" ht="13.5" customHeight="1">
      <c r="C331" s="197"/>
      <c r="D331" s="133"/>
      <c r="E331" s="133"/>
      <c r="F331" s="292" t="s">
        <v>472</v>
      </c>
      <c r="G331" s="292" t="s">
        <v>471</v>
      </c>
      <c r="H331" s="293" t="s">
        <v>494</v>
      </c>
      <c r="I331" s="501"/>
      <c r="J331" s="292" t="s">
        <v>459</v>
      </c>
      <c r="K331" s="501"/>
      <c r="L331" s="292" t="s">
        <v>460</v>
      </c>
      <c r="M331" s="292" t="s">
        <v>461</v>
      </c>
      <c r="N331" s="102"/>
      <c r="R331" s="318"/>
      <c r="S331" s="318"/>
    </row>
    <row r="332" spans="2:14" ht="13.5" customHeight="1">
      <c r="B332" s="241" t="s">
        <v>665</v>
      </c>
      <c r="C332" s="197"/>
      <c r="D332" s="133"/>
      <c r="E332" s="133"/>
      <c r="F332" s="198" t="s">
        <v>57</v>
      </c>
      <c r="G332" s="198" t="s">
        <v>52</v>
      </c>
      <c r="I332" s="502"/>
      <c r="J332" s="198"/>
      <c r="L332" s="198" t="s">
        <v>473</v>
      </c>
      <c r="M332" s="198" t="s">
        <v>462</v>
      </c>
      <c r="N332" s="102"/>
    </row>
    <row r="333" spans="2:19" ht="13.5" customHeight="1">
      <c r="B333" s="72"/>
      <c r="C333" s="88"/>
      <c r="D333" s="199"/>
      <c r="E333" s="199"/>
      <c r="F333" s="200" t="s">
        <v>463</v>
      </c>
      <c r="G333" s="198">
        <v>2004</v>
      </c>
      <c r="H333" s="201"/>
      <c r="J333" s="202"/>
      <c r="L333" s="200" t="s">
        <v>463</v>
      </c>
      <c r="M333" s="202"/>
      <c r="N333" s="102"/>
      <c r="R333" s="318"/>
      <c r="S333" s="318"/>
    </row>
    <row r="334" spans="2:19" ht="13.5" customHeight="1">
      <c r="B334" s="203">
        <f>M328*100+1</f>
        <v>1001</v>
      </c>
      <c r="C334" s="204" t="s">
        <v>464</v>
      </c>
      <c r="D334" s="204"/>
      <c r="E334" s="204"/>
      <c r="F334" s="207">
        <f>J49</f>
        <v>0</v>
      </c>
      <c r="G334" s="207">
        <f>IF(J46&lt;J49,J46,J49)</f>
        <v>0</v>
      </c>
      <c r="H334" s="282">
        <v>55.32</v>
      </c>
      <c r="J334" s="206">
        <v>1.0165</v>
      </c>
      <c r="L334" s="349">
        <f>ROUND(ROUND($H334*$J334,2)*F334,0)</f>
        <v>0</v>
      </c>
      <c r="M334" s="349">
        <f>ROUND(ROUND($H334*$J334,2)*G334,0)</f>
        <v>0</v>
      </c>
      <c r="N334" s="294"/>
      <c r="R334" s="319"/>
      <c r="S334" s="319"/>
    </row>
    <row r="335" spans="2:19" ht="13.5" customHeight="1">
      <c r="B335" s="203">
        <f>B334+1</f>
        <v>1002</v>
      </c>
      <c r="C335" s="204" t="s">
        <v>465</v>
      </c>
      <c r="D335" s="204"/>
      <c r="E335" s="204"/>
      <c r="F335" s="207">
        <f>J48</f>
        <v>0</v>
      </c>
      <c r="G335" s="207">
        <f>IF(J45&lt;J48,J45,J48)</f>
        <v>0</v>
      </c>
      <c r="H335" s="282">
        <v>46.05</v>
      </c>
      <c r="J335" s="206">
        <v>1.0165</v>
      </c>
      <c r="L335" s="349">
        <f aca="true" t="shared" si="34" ref="L335:L345">ROUND(ROUND($H335*$J335,2)*F335,0)</f>
        <v>0</v>
      </c>
      <c r="M335" s="349">
        <f aca="true" t="shared" si="35" ref="M335:M345">ROUND(ROUND($H335*$J335,2)*G335,0)</f>
        <v>0</v>
      </c>
      <c r="N335" s="294"/>
      <c r="R335" s="319"/>
      <c r="S335" s="319"/>
    </row>
    <row r="336" spans="2:19" ht="13.5" customHeight="1">
      <c r="B336" s="203">
        <f aca="true" t="shared" si="36" ref="B336:B350">B335+1</f>
        <v>1003</v>
      </c>
      <c r="C336" s="204" t="s">
        <v>466</v>
      </c>
      <c r="D336" s="204"/>
      <c r="E336" s="204"/>
      <c r="F336" s="207">
        <f>F334</f>
        <v>0</v>
      </c>
      <c r="G336" s="207">
        <f>G334</f>
        <v>0</v>
      </c>
      <c r="H336" s="282">
        <v>10.26</v>
      </c>
      <c r="J336" s="206">
        <v>1.0078</v>
      </c>
      <c r="L336" s="349">
        <f t="shared" si="34"/>
        <v>0</v>
      </c>
      <c r="M336" s="349">
        <f t="shared" si="35"/>
        <v>0</v>
      </c>
      <c r="N336" s="294"/>
      <c r="R336" s="319"/>
      <c r="S336" s="319"/>
    </row>
    <row r="337" spans="2:19" ht="13.5" customHeight="1">
      <c r="B337" s="203">
        <f t="shared" si="36"/>
        <v>1004</v>
      </c>
      <c r="C337" s="204" t="s">
        <v>467</v>
      </c>
      <c r="D337" s="204"/>
      <c r="E337" s="204"/>
      <c r="F337" s="207">
        <f>F335</f>
        <v>0</v>
      </c>
      <c r="G337" s="207">
        <f>G335</f>
        <v>0</v>
      </c>
      <c r="H337" s="282">
        <v>10.09</v>
      </c>
      <c r="J337" s="206">
        <v>1.0078</v>
      </c>
      <c r="L337" s="349">
        <f t="shared" si="34"/>
        <v>0</v>
      </c>
      <c r="M337" s="349">
        <f t="shared" si="35"/>
        <v>0</v>
      </c>
      <c r="N337" s="294"/>
      <c r="R337" s="319"/>
      <c r="S337" s="319"/>
    </row>
    <row r="338" spans="2:19" ht="13.5" customHeight="1">
      <c r="B338" s="203">
        <f t="shared" si="36"/>
        <v>1005</v>
      </c>
      <c r="C338" s="204" t="s">
        <v>535</v>
      </c>
      <c r="D338" s="204"/>
      <c r="E338" s="204"/>
      <c r="F338" s="207">
        <f>SUM(J60:J62)</f>
        <v>0</v>
      </c>
      <c r="G338" s="207">
        <f>IF(J59&lt;SUM(J60:J62),J59,SUM(J60:J62))</f>
        <v>0</v>
      </c>
      <c r="H338" s="282">
        <v>15.82</v>
      </c>
      <c r="J338" s="206">
        <v>1.0165</v>
      </c>
      <c r="L338" s="349">
        <f t="shared" si="34"/>
        <v>0</v>
      </c>
      <c r="M338" s="349">
        <f t="shared" si="35"/>
        <v>0</v>
      </c>
      <c r="N338" s="294"/>
      <c r="R338" s="319"/>
      <c r="S338" s="319"/>
    </row>
    <row r="339" spans="2:19" ht="13.5" customHeight="1">
      <c r="B339" s="203">
        <f t="shared" si="36"/>
        <v>1006</v>
      </c>
      <c r="C339" s="204" t="s">
        <v>22</v>
      </c>
      <c r="D339" s="204"/>
      <c r="E339" s="204"/>
      <c r="F339" s="207">
        <f>J61</f>
        <v>0</v>
      </c>
      <c r="G339" s="207">
        <f>IF(J57&lt;J61,J57,J61)</f>
        <v>0</v>
      </c>
      <c r="H339" s="282">
        <v>9.96</v>
      </c>
      <c r="J339" s="206">
        <v>1.0165</v>
      </c>
      <c r="L339" s="349">
        <f t="shared" si="34"/>
        <v>0</v>
      </c>
      <c r="M339" s="349">
        <f t="shared" si="35"/>
        <v>0</v>
      </c>
      <c r="N339" s="294"/>
      <c r="R339" s="319"/>
      <c r="S339" s="319"/>
    </row>
    <row r="340" spans="2:19" ht="13.5" customHeight="1">
      <c r="B340" s="203">
        <f t="shared" si="36"/>
        <v>1007</v>
      </c>
      <c r="C340" s="204" t="s">
        <v>23</v>
      </c>
      <c r="D340" s="204"/>
      <c r="E340" s="204"/>
      <c r="F340" s="207">
        <f>J62</f>
        <v>0</v>
      </c>
      <c r="G340" s="207">
        <f>IF(J58&lt;J62,J58,J62)</f>
        <v>0</v>
      </c>
      <c r="H340" s="282">
        <v>3.47</v>
      </c>
      <c r="J340" s="206">
        <v>1.0165</v>
      </c>
      <c r="L340" s="349">
        <f t="shared" si="34"/>
        <v>0</v>
      </c>
      <c r="M340" s="349">
        <f t="shared" si="35"/>
        <v>0</v>
      </c>
      <c r="N340" s="294"/>
      <c r="R340" s="319"/>
      <c r="S340" s="319"/>
    </row>
    <row r="341" spans="2:19" ht="13.5" customHeight="1">
      <c r="B341" s="203">
        <f t="shared" si="36"/>
        <v>1008</v>
      </c>
      <c r="C341" s="204" t="s">
        <v>24</v>
      </c>
      <c r="D341" s="204"/>
      <c r="E341" s="204"/>
      <c r="F341" s="207">
        <f>F338</f>
        <v>0</v>
      </c>
      <c r="G341" s="207">
        <f>G338</f>
        <v>0</v>
      </c>
      <c r="H341" s="282">
        <v>5.14</v>
      </c>
      <c r="J341" s="206">
        <v>1.0078</v>
      </c>
      <c r="L341" s="349">
        <f t="shared" si="34"/>
        <v>0</v>
      </c>
      <c r="M341" s="349">
        <f t="shared" si="35"/>
        <v>0</v>
      </c>
      <c r="N341" s="294"/>
      <c r="R341" s="319"/>
      <c r="S341" s="319"/>
    </row>
    <row r="342" spans="2:19" ht="13.5" customHeight="1">
      <c r="B342" s="203">
        <f t="shared" si="36"/>
        <v>1009</v>
      </c>
      <c r="C342" s="204" t="s">
        <v>25</v>
      </c>
      <c r="D342" s="204"/>
      <c r="E342" s="204"/>
      <c r="F342" s="207">
        <f>F339</f>
        <v>0</v>
      </c>
      <c r="G342" s="207">
        <f>G339</f>
        <v>0</v>
      </c>
      <c r="H342" s="282">
        <v>2.92</v>
      </c>
      <c r="J342" s="206">
        <v>1.0078</v>
      </c>
      <c r="L342" s="349">
        <f t="shared" si="34"/>
        <v>0</v>
      </c>
      <c r="M342" s="349">
        <f t="shared" si="35"/>
        <v>0</v>
      </c>
      <c r="N342" s="294"/>
      <c r="R342" s="319"/>
      <c r="S342" s="319"/>
    </row>
    <row r="343" spans="2:19" ht="13.5" customHeight="1">
      <c r="B343" s="203">
        <f t="shared" si="36"/>
        <v>1010</v>
      </c>
      <c r="C343" s="204" t="s">
        <v>468</v>
      </c>
      <c r="D343" s="204"/>
      <c r="E343" s="204"/>
      <c r="F343" s="205"/>
      <c r="G343" s="283">
        <f>J87</f>
        <v>0</v>
      </c>
      <c r="H343" s="282">
        <f>L87</f>
        <v>0</v>
      </c>
      <c r="I343" s="503"/>
      <c r="J343" s="206">
        <v>1.0165</v>
      </c>
      <c r="L343" s="349">
        <f t="shared" si="34"/>
        <v>0</v>
      </c>
      <c r="M343" s="349">
        <f t="shared" si="35"/>
        <v>0</v>
      </c>
      <c r="N343" s="294"/>
      <c r="R343" s="319"/>
      <c r="S343" s="319"/>
    </row>
    <row r="344" spans="2:19" ht="13.5" customHeight="1">
      <c r="B344" s="203">
        <f t="shared" si="36"/>
        <v>1011</v>
      </c>
      <c r="C344" s="204" t="s">
        <v>469</v>
      </c>
      <c r="D344" s="204"/>
      <c r="E344" s="204"/>
      <c r="F344" s="205"/>
      <c r="G344" s="283">
        <f>J88</f>
        <v>0</v>
      </c>
      <c r="H344" s="282">
        <f>L88</f>
        <v>0</v>
      </c>
      <c r="J344" s="206">
        <v>1.0165</v>
      </c>
      <c r="L344" s="349">
        <f t="shared" si="34"/>
        <v>0</v>
      </c>
      <c r="M344" s="349">
        <f t="shared" si="35"/>
        <v>0</v>
      </c>
      <c r="N344" s="294"/>
      <c r="R344" s="319"/>
      <c r="S344" s="319"/>
    </row>
    <row r="345" spans="2:19" ht="13.5" customHeight="1">
      <c r="B345" s="203">
        <f t="shared" si="36"/>
        <v>1012</v>
      </c>
      <c r="C345" s="204" t="s">
        <v>470</v>
      </c>
      <c r="D345" s="204"/>
      <c r="E345" s="204"/>
      <c r="F345" s="205"/>
      <c r="G345" s="283">
        <f>J89</f>
        <v>0</v>
      </c>
      <c r="H345" s="282">
        <f>L89</f>
        <v>0</v>
      </c>
      <c r="J345" s="206">
        <v>1.0165</v>
      </c>
      <c r="L345" s="349">
        <f t="shared" si="34"/>
        <v>0</v>
      </c>
      <c r="M345" s="349">
        <f t="shared" si="35"/>
        <v>0</v>
      </c>
      <c r="N345" s="294"/>
      <c r="R345" s="319"/>
      <c r="S345" s="319"/>
    </row>
    <row r="346" spans="2:19" ht="13.5" customHeight="1">
      <c r="B346" s="203">
        <f t="shared" si="36"/>
        <v>1013</v>
      </c>
      <c r="C346" s="204" t="s">
        <v>474</v>
      </c>
      <c r="D346" s="204"/>
      <c r="E346" s="204"/>
      <c r="F346" s="204"/>
      <c r="G346" s="204"/>
      <c r="H346" s="208"/>
      <c r="I346" s="204"/>
      <c r="J346" s="209"/>
      <c r="K346" s="208"/>
      <c r="L346" s="210"/>
      <c r="M346" s="349">
        <f>M76</f>
        <v>0</v>
      </c>
      <c r="N346" s="294"/>
      <c r="R346" s="319"/>
      <c r="S346" s="319"/>
    </row>
    <row r="347" spans="2:19" ht="13.5" customHeight="1">
      <c r="B347" s="203">
        <f t="shared" si="36"/>
        <v>1014</v>
      </c>
      <c r="C347" s="204" t="s">
        <v>475</v>
      </c>
      <c r="D347" s="204"/>
      <c r="E347" s="204"/>
      <c r="F347" s="204"/>
      <c r="G347" s="204"/>
      <c r="H347" s="208"/>
      <c r="I347" s="204"/>
      <c r="J347" s="209"/>
      <c r="K347" s="208"/>
      <c r="L347" s="216"/>
      <c r="M347" s="349">
        <f>M325</f>
        <v>0</v>
      </c>
      <c r="N347" s="102"/>
      <c r="R347" s="319"/>
      <c r="S347" s="319"/>
    </row>
    <row r="348" spans="2:14" ht="13.5" customHeight="1">
      <c r="B348" s="211">
        <f t="shared" si="36"/>
        <v>1015</v>
      </c>
      <c r="C348" s="244" t="str">
        <f>"Totaal aanvaardbare kosten met betrekking tot de nacalculeerbare productie 2004 (regel "&amp;B334&amp;" t/m regel "&amp;B347&amp;")"</f>
        <v>Totaal aanvaardbare kosten met betrekking tot de nacalculeerbare productie 2004 (regel 1001 t/m regel 1014)</v>
      </c>
      <c r="D348" s="212"/>
      <c r="E348" s="212"/>
      <c r="F348" s="212"/>
      <c r="G348" s="213"/>
      <c r="H348" s="212"/>
      <c r="I348" s="213"/>
      <c r="J348" s="212"/>
      <c r="K348" s="213"/>
      <c r="L348" s="351">
        <f>SUM(L334:L347)</f>
        <v>0</v>
      </c>
      <c r="M348" s="351">
        <f>SUM(M334:M347)</f>
        <v>0</v>
      </c>
      <c r="N348" s="102"/>
    </row>
    <row r="349" spans="2:14" ht="13.5" customHeight="1" thickBot="1">
      <c r="B349" s="203">
        <f t="shared" si="36"/>
        <v>1016</v>
      </c>
      <c r="C349" s="214" t="s">
        <v>29</v>
      </c>
      <c r="D349" s="88"/>
      <c r="E349" s="88"/>
      <c r="F349" s="125"/>
      <c r="G349" s="88"/>
      <c r="H349" s="88"/>
      <c r="I349" s="88"/>
      <c r="J349" s="88"/>
      <c r="K349" s="88"/>
      <c r="L349" s="217"/>
      <c r="M349" s="349">
        <f>IF((M348-L348)&gt;0,L348-M348,0)</f>
        <v>0</v>
      </c>
      <c r="N349" s="102"/>
    </row>
    <row r="350" spans="2:14" ht="13.5" customHeight="1" thickBot="1">
      <c r="B350" s="211">
        <f t="shared" si="36"/>
        <v>1017</v>
      </c>
      <c r="C350" s="215" t="str">
        <f>"Totaal aanvaardbare kosten met betrekking tot de nacalculeerbare productie 2004 na verrekening correctie (regel "&amp;B348&amp;" + regel "&amp;B349&amp;")"</f>
        <v>Totaal aanvaardbare kosten met betrekking tot de nacalculeerbare productie 2004 na verrekening correctie (regel 1015 + regel 1016)</v>
      </c>
      <c r="D350" s="164"/>
      <c r="E350" s="164"/>
      <c r="F350" s="165"/>
      <c r="G350" s="164"/>
      <c r="H350" s="164"/>
      <c r="I350" s="164"/>
      <c r="J350" s="164"/>
      <c r="K350" s="164"/>
      <c r="L350" s="164"/>
      <c r="M350" s="275">
        <f>M348+M349</f>
        <v>0</v>
      </c>
      <c r="N350" s="102"/>
    </row>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c r="B368" s="289" t="s">
        <v>670</v>
      </c>
    </row>
    <row r="369" ht="13.5" customHeight="1">
      <c r="B369" s="289" t="s">
        <v>671</v>
      </c>
    </row>
  </sheetData>
  <sheetProtection password="CA05" sheet="1" objects="1" scenarios="1"/>
  <conditionalFormatting sqref="B10:F10">
    <cfRule type="expression" priority="1" dxfId="0" stopIfTrue="1">
      <formula>$B10&lt;&gt;""</formula>
    </cfRule>
  </conditionalFormatting>
  <conditionalFormatting sqref="L117:L118 F343:F345 L256:L269 L321:L322 L346:L347 L310:L317 L291:L300 L276:L284 L231:L241 L135:L136 L288 L245:L252 L213:L223 L199:L209 L185:L195 L169 L172 L175 L147:L156 L126:L128 L121:L123 L131:L132 L162:L166 L113:L114">
    <cfRule type="expression" priority="2" dxfId="1" stopIfTrue="1">
      <formula>$A$1=TRUE</formula>
    </cfRule>
  </conditionalFormatting>
  <conditionalFormatting sqref="J321:J322 J291:J300 J276:J284 J231:J241 J135:J136 J288 J245:J252 J213:J223 J199:J209 J185:J195 J169 J172 J175 J147:J156 J162:J166 J126:J128 J131:J132 J95 J100 J117:J118 J113:J114 J121:J123 J256:J269 L63 L87:L89 J87:J89 J68:J74 G24:G33 L68:L74 J310:J317 J56:J58 J45:J46 J48:J50 L50 J60:J63 G11:H11 D12:H13">
    <cfRule type="expression" priority="3" dxfId="1" stopIfTrue="1">
      <formula>$A$1=TRUE</formula>
    </cfRule>
  </conditionalFormatting>
  <dataValidations count="25">
    <dataValidation type="whole" operator="greaterThan" allowBlank="1" showInputMessage="1" showErrorMessage="1" errorTitle="Alleen positieve aantallen!" error="U kunt hier alleen een positief aantal invoeren!" sqref="L325 J320 L323 J323 J325 J318 L318 L301 J301 J285 L285 L242 J242 J228 L253 J253 L224 L177 L210 J210:J211 J196 J177 L196 J224">
      <formula1>-1</formula1>
    </dataValidation>
    <dataValidation type="decimal" operator="lessThanOrEqual" allowBlank="1" showInputMessage="1" showErrorMessage="1" errorTitle="let op maximumprijs!" error="U kunt niet boven de maximumprijs afspreken." sqref="M320">
      <formula1>#REF!</formula1>
    </dataValidation>
    <dataValidation type="custom" allowBlank="1" showInputMessage="1" showErrorMessage="1" errorTitle="Let op!" error="Een afspraak is alleen mogelijk als u de juiste toelating bezit. Tevens moet de afspraak een geheel aantal zijn en groter dan nul. " sqref="J140">
      <formula1>AND(H140="ja",J140&gt;=0,J140=ROUND(J140,0))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sqref="J68:J74 J113:J114 J117:J118 J121:J123 J126:J128 J131:J132 J135:J136 J147:J156 J162:J166 J169 J172 J175 J185:J195 J199:J209 J213:J223 J231:J241 J245:J252 J256:J269 J276:J284 J288 J291:J300">
      <formula1>AND(H68="ja",J68&gt;=0,J68=ROUND(J68,0))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gerealiseerde verpleegdagen." sqref="J87:J88">
      <formula1>AND(H87="ja",J87&gt;=0,J87=ROUND(J87,0),J87&lt;=$J$47)</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sqref="J56:J58 J60:J62">
      <formula1>AND(J56&gt;=0,J56=ROUND(J56,0),$D$54="ja")</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voorzover de realisatie groter is dan de productieafspraak." sqref="J63">
      <formula1>AND(J63&gt;=W63,J63&lt;=X63,J63=ROUND(J63,0),$D$54="ja")</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sqref="J45:J46 J48:J49">
      <formula1>AND(J45&gt;=0,J45=ROUND(J45,0),$D$43="ja")</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voorzover de realisatie groter is dan de productieafspraak." sqref="J50">
      <formula1>AND(J50&gt;=W50,J50&lt;=X50,J50=ROUND(J50,0),$D$43="ja")</formula1>
    </dataValidation>
    <dataValidation type="custom" allowBlank="1" showInputMessage="1" showErrorMessage="1" errorTitle="Invoer onjuist" error="Er mogen alleen gehele bedragen worden ingevuld." sqref="J95">
      <formula1>J95=ROUND(J95,0)</formula1>
    </dataValidation>
    <dataValidation type="custom" allowBlank="1" showInputMessage="1" showErrorMessage="1" errorTitle="Invoer onjuist" error="Er mogen alleen gehele positieve bedragen worden ingevuld." sqref="L346:L347">
      <formula1>AND(L346&gt;0,L346=ROUND(L346,0))</formula1>
    </dataValidation>
    <dataValidation type="whole" allowBlank="1" showInputMessage="1" showErrorMessage="1" errorTitle="Invoer onjuist" error="U dient een bestaand instellingsnummer in te vullen." sqref="H11">
      <formula1>1</formula1>
      <formula2>9999</formula2>
    </dataValidation>
    <dataValidation type="list" allowBlank="1" showInputMessage="1" showErrorMessage="1" errorTitle="Invoer onjuist" error="De volgende categorienummers zijn toegestaan:&#10;- &quot;140&quot;  voorheen verpleeghuizen;&#10;- &quot;142&quot;  voorheen verpleeghuizen (KBO);&#10;- &quot;145&quot;  voorheen verzorgingshuizen;&#10;- &quot;501&quot;  extramurale instellingen.&#10;" sqref="G11">
      <formula1>"140,142,145,501"</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L113:L114 L117:L118 L121:L123 L126:L128 L131:L132 L135:L136 L147:L156 L162:L166 L169 L172 L175 L185:L195 L199:L209 L213:L223 L231:L241 L245:L252 L256:L269 L276:L284 L288 L291:L300 L310:L317 L321:L322 L68:L74">
      <formula1>AND(H113="ja",L113&gt;=R113,L113&lt;=S113,L113=ROUND(L113,1))</formula1>
    </dataValidation>
    <dataValidation type="custom" allowBlank="1" showInputMessage="1" showErrorMessage="1" errorTitle="Let op prijs!" error="Een prijs boven het maximum of een negatieve prijs is niet mogelijk. Tevens moet de prijs op 1 decimaal worden afgesproken.&#10;" sqref="L140">
      <formula1>AND(H140="ja",L140&gt;=0,L140=ROUND(L140,1),L140&lt;=S140)</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2 decimalen bevatten.&#10;" sqref="L87:L89">
      <formula1>AND(H87="ja",L87&gt;=R87,L87&lt;=S87,L87=ROUND(L87,2))</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L50">
      <formula1>AND(D43="ja",L50&gt;=R50,L50&lt;=S50,L50=ROUND(L50,1))</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L63">
      <formula1>AND(D54="ja",L63&gt;=R63,L63&lt;=S63,L63=ROUND(L63,1))</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het afgesproken aantal bij de bijbehorende prestatie." sqref="J310:J314">
      <formula1>AND(H310="ja",J310&gt;=0,J310&gt;=T310,J310&lt;=U310,J310=ROUND(J310,0))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gereal. verzorg- en verpleegdgn." sqref="J89">
      <formula1>AND(H89="ja",J89&gt;=0,J89=ROUND(J89,0),J89&lt;=($J$47+$J$59))</formula1>
    </dataValidation>
    <dataValidation type="custom" allowBlank="1" showInputMessage="1" showErrorMessage="1" errorTitle="Invoer onjuist" error="Er mogen alleen gehele positieve aantallen worden ingevuld." sqref="F343:F345">
      <formula1>AND(F343&gt;0,F343=ROUND(F343,0))</formula1>
    </dataValidation>
    <dataValidation type="custom" allowBlank="1" showInputMessage="1" showErrorMessage="1" errorTitle="Invoer onjuist" error="Een afspraak is alleen mogelijk indien de instelling voor de betreffende functie is toegelaten.&#10;&#10;Daarnaast mogen er alleen gehele positieve bedragen worden ingevuld." sqref="J100">
      <formula1>AND(H100="ja",J100&gt;0,J100=ROUND(J100,0))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bij de bijbehorende prestaties." sqref="J315:J317 J321">
      <formula1>AND(H315="ja",J315&gt;=0,J315&gt;=T315,J315&lt;=U315,J315=ROUND(J315,0))</formula1>
    </dataValidation>
    <dataValidation type="custom" allowBlank="1" showInputMessage="1" showErrorMessage="1" errorTitle="Invoer onjuist" error="Indien de instelling is toegelaten voor de betreffende functie, vul dan &quot;ja&quot; in.&#10;&#10;Tevens mag dit onderdeel pas worden ingevuld indien de CTG/ZAio categorie en het instellingsnummer 2004 is ingevuld." sqref="G24:G33">
      <formula1>AND(OR(G24=$R$20,G24=$R$21),$R$11&gt;0,$S$11&gt;0)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bij de bijbehorende prestaties." sqref="J322">
      <formula1>AND(H322="ja",J322&gt;=0,U322&gt;=0,J322=ROUND(J322,0))</formula1>
    </dataValidation>
  </dataValidations>
  <printOptions/>
  <pageMargins left="0.2755905511811024" right="0.2755905511811024" top="0.1968503937007874" bottom="0.1968503937007874" header="0.31496062992125984" footer="0.31496062992125984"/>
  <pageSetup horizontalDpi="600" verticalDpi="600" orientation="landscape" paperSize="9" scale="95" r:id="rId2"/>
  <rowBreaks count="9" manualBreakCount="9">
    <brk id="35" min="1" max="12" man="1"/>
    <brk id="80" min="1" max="12" man="1"/>
    <brk id="106" min="1" max="12" man="1"/>
    <brk id="140" min="1" max="12" man="1"/>
    <brk id="178" min="1" max="12" man="1"/>
    <brk id="224" min="1" max="12" man="1"/>
    <brk id="269" min="1" max="12" man="1"/>
    <brk id="303" min="1" max="12" man="1"/>
    <brk id="326" min="1" max="12" man="1"/>
  </rowBreaks>
  <colBreaks count="1" manualBreakCount="1">
    <brk id="1" max="3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de Wit-Termaten</dc:creator>
  <cp:keywords/>
  <dc:description/>
  <cp:lastModifiedBy>ckas</cp:lastModifiedBy>
  <cp:lastPrinted>2005-01-14T09:52:34Z</cp:lastPrinted>
  <dcterms:created xsi:type="dcterms:W3CDTF">2004-11-08T12:30:05Z</dcterms:created>
  <dcterms:modified xsi:type="dcterms:W3CDTF">2005-05-11T12:03:47Z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-407778630</vt:i4>
  </property>
  <property fmtid="{D5CDD505-2E9C-101B-9397-08002B2CF9AE}" pid="3" name="_EmailSubject">
    <vt:lpwstr/>
  </property>
  <property fmtid="{D5CDD505-2E9C-101B-9397-08002B2CF9AE}" pid="4" name="_AuthorEmail">
    <vt:lpwstr>IHooft@ctg-zaio.nl</vt:lpwstr>
  </property>
  <property fmtid="{D5CDD505-2E9C-101B-9397-08002B2CF9AE}" pid="5" name="_AuthorEmailDisplayName">
    <vt:lpwstr>Hooft, Ilse</vt:lpwstr>
  </property>
  <property fmtid="{D5CDD505-2E9C-101B-9397-08002B2CF9AE}" pid="6" name="_PreviousAdHocReviewCycleID">
    <vt:i4>652950310</vt:i4>
  </property>
  <property fmtid="{D5CDD505-2E9C-101B-9397-08002B2CF9AE}" pid="7" name="_ReviewingToolsShownOnce">
    <vt:lpwstr/>
  </property>
  <property fmtid="{D5CDD505-2E9C-101B-9397-08002B2CF9AE}" pid="8" name="_dlc_DocId">
    <vt:lpwstr>THRFR6N5WDQ4-17-3083</vt:lpwstr>
  </property>
  <property fmtid="{D5CDD505-2E9C-101B-9397-08002B2CF9AE}" pid="9" name="_dlc_DocIdItemGuid">
    <vt:lpwstr>2e84d352-4e06-45af-8dc4-f936db85e722</vt:lpwstr>
  </property>
  <property fmtid="{D5CDD505-2E9C-101B-9397-08002B2CF9AE}" pid="10" name="_dlc_DocIdUrl">
    <vt:lpwstr>http://kennisnet.nza.nl/publicaties/Aanleveren/_layouts/DocIdRedir.aspx?ID=THRFR6N5WDQ4-17-3083, THRFR6N5WDQ4-17-3083</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Alle:Langdurige zorg:Verpleging en verzorging|33367432-927b-4a96-adc1-6d221f5d18a9</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Verpleging en verzorging|33367432-927b-4a96-adc1-6d221f5d18a9</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131;#Verpleging en verzorging|33367432-927b-4a96-adc1-6d221f5d18a9</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131;#Verpleging en verzorging|33367432-927b-4a96-adc1-6d221f5d18a9;#103;#Formulier|4bc40415-667d-4fea-816d-9688ca6ffa69</vt:lpwstr>
  </property>
</Properties>
</file>